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8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.xml" ContentType="application/vnd.ms-excel.controlproperties+xml"/>
  <Override PartName="/xl/drawings/drawing21.xml" ContentType="application/vnd.openxmlformats-officedocument.drawing+xml"/>
  <Override PartName="/xl/ctrlProps/ctrlProp2.xml" ContentType="application/vnd.ms-excel.controlproperties+xml"/>
  <Override PartName="/xl/drawings/drawing2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SVN\Work\Takeda\Takeda BA2\docs\"/>
    </mc:Choice>
  </mc:AlternateContent>
  <bookViews>
    <workbookView xWindow="0" yWindow="0" windowWidth="23040" windowHeight="8520" firstSheet="16" activeTab="17"/>
  </bookViews>
  <sheets>
    <sheet name="Developer_READ_ME" sheetId="27" r:id="rId1"/>
    <sheet name="Facilitator_Instructions" sheetId="17" r:id="rId2"/>
    <sheet name="Controls" sheetId="1" r:id="rId3"/>
    <sheet name="PopUp" sheetId="28" r:id="rId4"/>
    <sheet name="Dashboard" sheetId="45" r:id="rId5"/>
    <sheet name="param" sheetId="29" r:id="rId6"/>
    <sheet name="adj" sheetId="30" r:id="rId7"/>
    <sheet name="tlIntro" sheetId="33" r:id="rId8"/>
    <sheet name="tlTerritory1R1" sheetId="50" r:id="rId9"/>
    <sheet name="tlTerritory2R1" sheetId="51" r:id="rId10"/>
    <sheet name="tlTerritory3R1" sheetId="52" r:id="rId11"/>
    <sheet name="tlTerritory1R2" sheetId="34" r:id="rId12"/>
    <sheet name="tlTerritory2R2" sheetId="48" r:id="rId13"/>
    <sheet name="tlTerritory3R2" sheetId="49" r:id="rId14"/>
    <sheet name="tlPerfDashboardProd1R1" sheetId="75" r:id="rId15"/>
    <sheet name="tlPerfDashboardProd1R2" sheetId="69" r:id="rId16"/>
    <sheet name="tlPerfDashboardReg1R1" sheetId="66" r:id="rId17"/>
    <sheet name="tlPerfDashboardReg1R2" sheetId="70" r:id="rId18"/>
    <sheet name="tlDistrict1R1" sheetId="61" r:id="rId19"/>
    <sheet name="tlDistrict2R1" sheetId="62" r:id="rId20"/>
    <sheet name="tlDistrict3R1" sheetId="63" r:id="rId21"/>
    <sheet name="tlDistrict1R2" sheetId="57" r:id="rId22"/>
    <sheet name="tlDistrict2R2" sheetId="56" r:id="rId23"/>
    <sheet name="tlDistrict3R2" sheetId="55" r:id="rId24"/>
    <sheet name="ModuleClearDecisions" sheetId="36" r:id="rId25"/>
    <sheet name="ExportList" sheetId="77" r:id="rId26"/>
    <sheet name="Dec" sheetId="37" r:id="rId27"/>
    <sheet name="calc" sheetId="67" r:id="rId28"/>
    <sheet name="Cbal" sheetId="31" r:id="rId29"/>
    <sheet name="Obal" sheetId="32" r:id="rId30"/>
    <sheet name="datatbl" sheetId="73" r:id="rId31"/>
    <sheet name="Data" sheetId="72" r:id="rId32"/>
    <sheet name="MarketData" sheetId="65" r:id="rId33"/>
    <sheet name="ImportExportCSV" sheetId="46" r:id="rId34"/>
    <sheet name="obal_csv_export" sheetId="47" r:id="rId35"/>
    <sheet name="Feedback" sheetId="38" r:id="rId36"/>
    <sheet name="FeedbackTS" sheetId="39" r:id="rId37"/>
    <sheet name="ErrorMessage" sheetId="42" r:id="rId38"/>
    <sheet name="Glossary" sheetId="43" r:id="rId39"/>
    <sheet name="PrintReports" sheetId="44" r:id="rId40"/>
  </sheets>
  <functionGroups builtInGroupCount="18"/>
  <definedNames>
    <definedName name="adj_CostCode">adj!$B$16</definedName>
    <definedName name="adj_FTECode">adj!$B$15</definedName>
    <definedName name="adj_IndexTeam">adj!$E$13:$I$13</definedName>
    <definedName name="calcBudgetLeftProd1R1">calc!$E$1959:$I$1959</definedName>
    <definedName name="calcBudgetLeftProd1R2">calc!$E$1968:$I$1968</definedName>
    <definedName name="calcBudgetLeftReg1R1">calc!$E$1976:$I$1976</definedName>
    <definedName name="calcBudgetLeftReg1R2">calc!$E$1983:$I$1983</definedName>
    <definedName name="calcESATProd1">calc!$E$1846:$I$1846</definedName>
    <definedName name="calcESATProd1R1">calc!$E$1826:$I$1826</definedName>
    <definedName name="calcESATProd1R2">calc!$E$1846:$I$1846</definedName>
    <definedName name="calcESATReg1">calc!$E$1878:$I$1878</definedName>
    <definedName name="calcESATReg1R1">calc!$E$1863:$I$1863</definedName>
    <definedName name="calcESATReg1R2">calc!$E$1878:$I$1878</definedName>
    <definedName name="calcOpEffProd1">calc!$E$1926:$I$1926</definedName>
    <definedName name="calcOpEffProd1R1">calc!$E$1907:$I$1907</definedName>
    <definedName name="calcOpEffProd1R2">calc!$E$1926:$I$1926</definedName>
    <definedName name="calcOpEffReg1">calc!$E$1945:$I$1945</definedName>
    <definedName name="calcOpEffReg1R1">calc!$E$1936:$I$1936</definedName>
    <definedName name="calcOpEffReg1R2">calc!$E$1945:$I$1945</definedName>
    <definedName name="calcOpEffReg2R2">calc!$E$1945:$I$1945</definedName>
    <definedName name="calcPayer1TierStatus">calc!$E$2113:$I$2113</definedName>
    <definedName name="calcProd1Comp1Payer1TotalShareR1">calc!$E$842:$I$842</definedName>
    <definedName name="calcProd1Comp1Payer1TotalShareR2">calc!$E$846:$I$846</definedName>
    <definedName name="calcProd1Comp1Payer2TotalShareR1">calc!$E$843:$I$843</definedName>
    <definedName name="calcProd1Comp1Payer2TotalShareR2">calc!$E$847:$I$847</definedName>
    <definedName name="calcProd1Comp1Payer3TotalShareR1">calc!$E$844:$I$844</definedName>
    <definedName name="calcProd1Comp1Payer3TotalShareR2">calc!$E$848:$I$848</definedName>
    <definedName name="calcProd1Comp1TotalCustR1">calc!$E$850:$I$850</definedName>
    <definedName name="calcProd1Comp1TotalCustR2">calc!$E$851:$I$851</definedName>
    <definedName name="calcProd1Comp2Payer1TotalShareR1">calc!$E$888:$I$888</definedName>
    <definedName name="calcProd1Comp2Payer1TotalShareR2">calc!$E$892:$I$892</definedName>
    <definedName name="calcProd1Comp2Payer2TotalShareR1">calc!$E$889:$I$889</definedName>
    <definedName name="calcProd1Comp2Payer2TotalShareR2">calc!$E$893:$I$893</definedName>
    <definedName name="calcProd1Comp2Payer3TotalShareR1">calc!$E$890:$I$890</definedName>
    <definedName name="calcProd1Comp2Payer3TotalShareR2">calc!$E$894:$I$894</definedName>
    <definedName name="calcProd1ESAT">calc!$E$1846:$I$1846</definedName>
    <definedName name="calcProd1FTEsLeft">calc!$E$2003:$I$2003</definedName>
    <definedName name="calcProd1FTEsLeftR1">calc!$E$2003:$I$2003</definedName>
    <definedName name="calcProd1FTEsLeftR2">calc!$E$2023:$I$2023</definedName>
    <definedName name="calcProd1MarketGrowthCustR1">calc!$E$605:$I$605</definedName>
    <definedName name="calcProd1MarketGrowthCustR2">calc!$E$613:$I$613</definedName>
    <definedName name="calcProd1NewCustR1">calc!$E$603:$I$603</definedName>
    <definedName name="calcProd1NewCustR2">calc!$E$611:$I$611</definedName>
    <definedName name="calcProd1Payer1MarketGrowthCustR1">calc!$E$502:$I$502</definedName>
    <definedName name="calcProd1Payer1MarketGrowthCustR2">calc!$E$510:$I$510</definedName>
    <definedName name="calcProd1Payer1NewCustR1">calc!$E$500:$I$500</definedName>
    <definedName name="calcProd1Payer1NewCustR2">calc!$E$508:$I$508</definedName>
    <definedName name="calcProd1Payer1RecurCustR1">calc!$E$499:$I$499</definedName>
    <definedName name="calcProd1Payer1RecurCustR2">calc!$E$507:$I$507</definedName>
    <definedName name="calcProd1Payer1ShareNewCustR1">calc!$E$504:$I$504</definedName>
    <definedName name="calcProd1Payer1ShareNewCustR2">calc!$E$512:$I$512</definedName>
    <definedName name="calcProd1Payer1ShareTotalCustR1">calc!$E$505:$I$505</definedName>
    <definedName name="calcProd1Payer1ShareTotalCustR2">calc!$E$513:$I$513</definedName>
    <definedName name="calcProd1Payer1TierOrientationR1">calc!$E$2115:$I$2115</definedName>
    <definedName name="calcProd1Payer1TierOrientationR2">calc!$E$2116:$I$2116</definedName>
    <definedName name="calcProd1Payer1TotalCustR1">calc!$E$501:$I$501</definedName>
    <definedName name="calcProd1Payer1TotalCustR2">calc!$E$509:$I$509</definedName>
    <definedName name="calcProd1Payer1TotalVolumeR1">calc!$E$503:$I$503</definedName>
    <definedName name="calcProd1Payer1TotalVolumeR2">calc!$E$511:$I$511</definedName>
    <definedName name="calcProd1Payer2MarketGrowthCustR1">calc!$E$519:$I$519</definedName>
    <definedName name="calcProd1Payer2MarketGrowthCustR2">calc!$E$527:$I$527</definedName>
    <definedName name="calcProd1Payer2NewCustR1">calc!$E$517:$I$517</definedName>
    <definedName name="calcProd1Payer2NewCustR2">calc!$E$525:$I$525</definedName>
    <definedName name="calcProd1Payer2RecurCustR1">calc!$E$516:$I$516</definedName>
    <definedName name="calcProd1Payer2RecurCustR2">calc!$E$524:$I$524</definedName>
    <definedName name="calcProd1Payer2ShareNewCustR1">calc!$E$521:$I$521</definedName>
    <definedName name="calcProd1Payer2ShareNewCustR2">calc!$E$529:$I$529</definedName>
    <definedName name="calcProd1Payer2ShareTotalCustR1">calc!$E$522:$I$522</definedName>
    <definedName name="calcProd1Payer2ShareTotalCustR2">calc!$E$530:$I$530</definedName>
    <definedName name="calcProd1Payer2TierOrientationR1">calc!$E$2117:$I$2117</definedName>
    <definedName name="calcProd1Payer2TierOrientationR2">calc!$E$2118:$I$2118</definedName>
    <definedName name="calcProd1Payer2TotalCustR1">calc!$E$518:$I$518</definedName>
    <definedName name="calcProd1Payer2TotalCustR2">calc!$E$526:$I$526</definedName>
    <definedName name="calcProd1Payer2TotalVolumeR1">calc!$E$520:$I$520</definedName>
    <definedName name="calcProd1Payer2TotalVolumeR2">calc!$E$528:$I$528</definedName>
    <definedName name="calcProd1Payer3MarketGrowthCustR1">calc!$E$536:$I$536</definedName>
    <definedName name="calcProd1Payer3MarketGrowthCustR2">calc!$E$544:$I$544</definedName>
    <definedName name="calcProd1Payer3NewCustR1">calc!$E$534:$I$534</definedName>
    <definedName name="calcProd1Payer3NewCustR2">calc!$E$542:$I$542</definedName>
    <definedName name="calcProd1Payer3RecurCustR1">calc!$E$533:$I$533</definedName>
    <definedName name="calcProd1Payer3RecurCustR2">calc!$E$541:$I$541</definedName>
    <definedName name="calcProd1Payer3ShareNewCustR1">calc!$E$538:$I$538</definedName>
    <definedName name="calcProd1Payer3ShareNewCustR2">calc!$E$546:$I$546</definedName>
    <definedName name="calcProd1Payer3ShareTotalCustR1">calc!$E$539:$I$539</definedName>
    <definedName name="calcProd1Payer3ShareTotalCustR2">calc!$E$547:$I$547</definedName>
    <definedName name="calcProd1Payer3TierOrientationR1">calc!$E$2119:$I$2119</definedName>
    <definedName name="calcProd1Payer3TierOrientationR2">calc!$E$2120:$I$2120</definedName>
    <definedName name="calcProd1Payer3TotalCustR1">calc!$E$535:$I$535</definedName>
    <definedName name="calcProd1Payer3TotalCustR2">calc!$E$543:$I$543</definedName>
    <definedName name="calcProd1Payer3TotalVolumeR1">calc!$E$537:$I$537</definedName>
    <definedName name="calcProd1Payer3TotalVolumeR2">calc!$E$545:$I$545</definedName>
    <definedName name="calcProd1RecurCustR1">calc!$E$602:$I$602</definedName>
    <definedName name="calcProd1RecurCustR2">calc!$E$610:$I$610</definedName>
    <definedName name="calcProd1Se1Payer1PromotionShare">calc!$E$16:$I$16</definedName>
    <definedName name="calcProd1Se1Payer1RepCapShare">calc!$E$17:$I$17</definedName>
    <definedName name="calcProd1Se1Payer1SampleShare">calc!$E$14:$I$14</definedName>
    <definedName name="calcProd1Se1Payer1SpeakerShare">calc!$E$15:$I$15</definedName>
    <definedName name="calcProd1Seg1CoachingCostR1">calc!$E$3107:$I$3107</definedName>
    <definedName name="calcProd1Seg1CoachingCostR2">calc!$E$3111:$I$3111</definedName>
    <definedName name="calcProd1Seg1Comp1Payer1ShareLostR1">calc!$E$3163:$I$3163</definedName>
    <definedName name="calcProd1Seg1Comp1Payer1ShareLostR2">calc!$E$3169:$I$3169</definedName>
    <definedName name="calcProd1Seg1Comp1Payer1ShareWonR1">calc!$E$3162:$I$3162</definedName>
    <definedName name="calcProd1Seg1Comp1Payer1ShareWonR2">calc!$E$3168:$I$3168</definedName>
    <definedName name="calcProd1Seg1Comp1Payer1TotalCustR1">calc!$E$809:$I$809</definedName>
    <definedName name="calcProd1Seg1Comp1Payer1TotalCustR2">calc!$E$814:$I$814</definedName>
    <definedName name="calcProd1Seg1Comp1Payer1TotalShareR1">calc!$E$625:$I$625</definedName>
    <definedName name="calcProd1Seg1Comp1Payer1TotalShareR2">calc!$E$630:$I$630</definedName>
    <definedName name="calcProd1Seg1Comp1Payer2ShareLostR1">calc!$E$3175:$I$3175</definedName>
    <definedName name="calcProd1Seg1Comp1Payer2ShareLostR2">calc!$E$3181:$I$3181</definedName>
    <definedName name="calcProd1Seg1Comp1Payer2ShareWonR1">calc!$E$3174:$I$3174</definedName>
    <definedName name="calcProd1Seg1Comp1Payer2ShareWonR2">calc!$E$3180:$I$3180</definedName>
    <definedName name="calcProd1Seg1Comp1Payer2TotalCustR1">calc!$E$810:$I$810</definedName>
    <definedName name="calcProd1Seg1Comp1Payer2TotalCustR2">calc!$E$815:$I$815</definedName>
    <definedName name="calcProd1Seg1Comp1Payer2TotalShareR1">calc!$E$635:$I$635</definedName>
    <definedName name="calcProd1Seg1Comp1Payer2TotalShareR2">calc!$E$640:$I$640</definedName>
    <definedName name="calcProd1Seg1Comp1Payer3ShareLostR1">calc!$E$3187:$I$3187</definedName>
    <definedName name="calcProd1Seg1Comp1Payer3ShareLostR2">calc!$E$3193:$I$3193</definedName>
    <definedName name="calcProd1Seg1Comp1Payer3ShareWonR1">calc!$E$3186:$I$3186</definedName>
    <definedName name="calcProd1Seg1Comp1Payer3ShareWonR2">calc!$E$3192:$I$3192</definedName>
    <definedName name="calcProd1Seg1Comp1Payer3TotalCustR1">calc!$E$811:$I$811</definedName>
    <definedName name="calcProd1Seg1Comp1Payer3TotalCustR2">calc!$E$816:$I$816</definedName>
    <definedName name="calcProd1Seg1Comp1Payer3TotalShareR1">calc!$E$645:$I$645</definedName>
    <definedName name="calcProd1Seg1Comp1Payer3TotalShareR2">calc!$E$650:$I$650</definedName>
    <definedName name="calcProd1Seg1Comp1TotalCustR1">calc!$E$812:$I$812</definedName>
    <definedName name="calcProd1Seg1Comp1TotalCustR2">calc!$E$817:$I$817</definedName>
    <definedName name="calcProd1Seg1Comp1TotalShareR1">calc!$E$813:$I$813</definedName>
    <definedName name="calcProd1Seg1Comp1TotalShareR2">calc!$E$818:$I$818</definedName>
    <definedName name="calcProd1Seg1Comp2Payer1ShareLostR1">calc!$E$3165:$I$3165</definedName>
    <definedName name="calcProd1Seg1Comp2Payer1ShareLostR2">calc!$E$3171:$I$3171</definedName>
    <definedName name="calcProd1Seg1Comp2Payer1ShareWonR1">calc!$E$3164:$I$3164</definedName>
    <definedName name="calcProd1Seg1Comp2Payer1ShareWonR2">calc!$E$3170:$I$3170</definedName>
    <definedName name="calcProd1Seg1Comp2Payer1TotalCustR1">calc!$E$855:$I$855</definedName>
    <definedName name="calcProd1Seg1Comp2Payer1TotalCustR2">calc!$E$860:$I$860</definedName>
    <definedName name="calcProd1Seg1Comp2Payer1TotalShareR1">calc!$E$719:$I$719</definedName>
    <definedName name="calcProd1Seg1Comp2Payer1TotalShareR2">calc!$E$724:$I$724</definedName>
    <definedName name="calcProd1Seg1Comp2Payer2ShareLostR1">calc!$E$3177:$I$3177</definedName>
    <definedName name="calcProd1Seg1Comp2Payer2ShareLostR2">calc!$E$3183:$I$3183</definedName>
    <definedName name="calcProd1Seg1Comp2Payer2ShareWonR1">calc!$E$3176:$I$3176</definedName>
    <definedName name="calcProd1Seg1Comp2Payer2ShareWonR2">calc!$E$3182:$I$3182</definedName>
    <definedName name="calcProd1Seg1Comp2Payer2TotalCustR1">calc!$E$856:$I$856</definedName>
    <definedName name="calcProd1Seg1Comp2Payer2TotalCustR2">calc!$E$861:$I$861</definedName>
    <definedName name="calcProd1Seg1Comp2Payer2TotalShareR1">calc!$E$729:$I$729</definedName>
    <definedName name="calcProd1Seg1Comp2Payer2TotalShareR2">calc!$E$734:$I$734</definedName>
    <definedName name="calcProd1Seg1Comp2Payer3ShareLostR1">calc!$E$3189:$I$3189</definedName>
    <definedName name="calcProd1Seg1Comp2Payer3ShareLostR2">calc!$E$3195:$I$3195</definedName>
    <definedName name="calcProd1Seg1Comp2Payer3ShareWonR1">calc!$E$3188:$I$3188</definedName>
    <definedName name="calcProd1Seg1Comp2Payer3ShareWonR2">calc!$E$3194:$I$3194</definedName>
    <definedName name="calcProd1Seg1Comp2Payer3TotalCustR1">calc!$E$857:$I$857</definedName>
    <definedName name="calcProd1Seg1Comp2Payer3TotalCustR2">calc!$E$862:$I$862</definedName>
    <definedName name="calcProd1Seg1Comp2Payer3TotalShareR1">calc!$E$739:$I$739</definedName>
    <definedName name="calcProd1Seg1Comp2Payer3TotalShareR2">calc!$E$744:$I$744</definedName>
    <definedName name="calcProd1Seg1Comp2TotalCustR1">calc!$E$858:$I$858</definedName>
    <definedName name="calcProd1Seg1Comp2TotalCustR2">calc!$E$863:$I$863</definedName>
    <definedName name="calcProd1Seg1Comp2TotalShareR1">calc!$E$859:$I$859</definedName>
    <definedName name="calcProd1Seg1Comp2TotalShareR2">calc!$E$864:$I$864</definedName>
    <definedName name="calcProd1Seg1FTEsCFCollabR1">calc!$E$1986:$I$1986</definedName>
    <definedName name="calcProd1Seg1FTEsCFCollabR2">calc!$E$2006:$I$2006</definedName>
    <definedName name="calcProd1Seg1FTEsRegTrainR1">calc!$E$1987:$I$1987</definedName>
    <definedName name="calcProd1Seg1FTEsRegTrainR2">calc!$E$2007:$I$2007</definedName>
    <definedName name="calcProd1Seg1FTEsRep1R1">calc!$E$1988:$I$1988</definedName>
    <definedName name="calcProd1Seg1FTEsRep1R2">calc!$E$2008:$I$2008</definedName>
    <definedName name="calcProd1Seg1FTEsRep2R1">calc!$E$1989:$I$1989</definedName>
    <definedName name="calcProd1Seg1FTEsRep2R2">calc!$E$2009:$I$2009</definedName>
    <definedName name="calcProd1Seg1FTEsRep3R1">calc!$E$1990:$I$1990</definedName>
    <definedName name="calcProd1Seg1FTEsRep3R2">calc!$E$2010:$I$2010</definedName>
    <definedName name="calcProd1Seg1GrossRevenueR1">calc!$E$2161:$I$2161</definedName>
    <definedName name="calcProd1Seg1GrossRevenueR2">calc!$E$2262:$I$2262</definedName>
    <definedName name="calcProd1Seg1InternalCostR1">calc!$E$3142:$I$3142</definedName>
    <definedName name="calcProd1Seg1InternalCostR2">calc!$E$3146:$I$3146</definedName>
    <definedName name="calcProd1Seg1MarketGrowthCustR1">calc!$E$554:$I$554</definedName>
    <definedName name="calcProd1Seg1MarketGrowthCustR2">calc!$E$562:$I$562</definedName>
    <definedName name="calcProd1Seg1NetRevenueR1">calc!$E$2162:$I$2162</definedName>
    <definedName name="calcProd1Seg1NetRevenueR2">calc!$E$2263:$I$2263</definedName>
    <definedName name="calcProd1Seg1NewCustR1">calc!$E$551:$I$551</definedName>
    <definedName name="calcProd1Seg1NewCustR2">calc!$E$559:$I$559</definedName>
    <definedName name="calcProd1Seg1Payer1GrossRevenue">calc!$E$2140:$I$2140</definedName>
    <definedName name="calcProd1Seg1Payer1GrossRevenueR1">calc!$E$2140:$I$2140</definedName>
    <definedName name="calcProd1Seg1Payer1GrossRevenueR2">calc!$E$2241:$I$2241</definedName>
    <definedName name="calcProd1Seg1Payer1MarketGrowthCustR1">calc!$E$21:$I$21</definedName>
    <definedName name="calcProd1Seg1Payer1MarketGrowthCustR2">calc!$E$48:$I$48</definedName>
    <definedName name="calcProd1Seg1Payer1MarketRecurCustR1">calc!$E$10:$I$10</definedName>
    <definedName name="calcProd1Seg1Payer1MarketRecurCustR2">calc!$E$36:$I$36</definedName>
    <definedName name="calcProd1Seg1Payer1NetRevenue">calc!$E$2141:$I$2141</definedName>
    <definedName name="calcProd1Seg1Payer1NetRevenueR1">calc!$E$2141:$I$2141</definedName>
    <definedName name="calcProd1Seg1Payer1NetRevenueR2">calc!$E$2242:$I$2242</definedName>
    <definedName name="calcProd1Seg1Payer1PromotionShare">calc!$E$16:$I$16</definedName>
    <definedName name="calcProd1Seg1Payer1PromotionShareNew">calc!$E$26:$I$26</definedName>
    <definedName name="calcProd1Seg1Payer1PromotionShareNewR2">calc!$E$53:$I$53</definedName>
    <definedName name="calcProd1Seg1Payer1PromotionShareR2">calc!$E$42:$I$42</definedName>
    <definedName name="calcProd1Seg1Payer1RepCapShare">calc!$E$17:$I$17</definedName>
    <definedName name="calcProd1Seg1Payer1RepCapShareNew">calc!$E$27:$I$27</definedName>
    <definedName name="calcProd1Seg1Payer1RepCapShareNewR2">calc!$E$54:$I$54</definedName>
    <definedName name="calcProd1Seg1Payer1RepCapShareR2">calc!$E$43:$I$43</definedName>
    <definedName name="calcProd1Seg1Payer1SampleShare">calc!$E$14:$I$14</definedName>
    <definedName name="calcProd1Seg1Payer1SampleShareNew">calc!$E$24:$I$24</definedName>
    <definedName name="calcProd1Seg1Payer1SampleShareNewR2">calc!$E$51:$I$51</definedName>
    <definedName name="calcProd1Seg1Payer1SampleShareR2">calc!$E$40:$I$40</definedName>
    <definedName name="calcProd1Seg1Payer1ShareNewCustR1">calc!$E$29:$I$29</definedName>
    <definedName name="calcProd1Seg1Payer1ShareNewCustR2">calc!$E$56:$I$56</definedName>
    <definedName name="calcProd1Seg1Payer1ShareRecurCustR1">calc!$E$18:$I$18</definedName>
    <definedName name="calcProd1Seg1Payer1ShareRecurCustR2">calc!$E$45:$I$45</definedName>
    <definedName name="calcProd1Seg1Payer1ShareTotalCustR1">calc!$E$34:$I$34</definedName>
    <definedName name="calcProd1Seg1Payer1ShareTotalCustR2">calc!$E$61:$I$61</definedName>
    <definedName name="calcProd1Seg1Payer1SpeakerShare">calc!$E$15:$I$15</definedName>
    <definedName name="calcProd1Seg1Payer1SpeakerShareNew">calc!$E$25:$I$25</definedName>
    <definedName name="calcProd1Seg1Payer1SpeakerShareNewR2">calc!$E$52:$I$52</definedName>
    <definedName name="calcProd1Seg1Payer1SpeakerShareR2">calc!$E$41:$I$41</definedName>
    <definedName name="calcprod1Seg1Payer1TierImpactR1">calc!$E$12:$I$12</definedName>
    <definedName name="calcprod1Seg1Payer1TierImpactR2">calc!$E$38:$I$38</definedName>
    <definedName name="calcProd1Seg1Payer1TotalShareChange">calc!$E$3161:$I$3161</definedName>
    <definedName name="calcProd1Seg1Payer1TotalShareChangeR1">calc!$E$3161:$I$3161</definedName>
    <definedName name="calcProd1Seg1Payer1TotalShareChangeR2">calc!$E$3167:$I$3167</definedName>
    <definedName name="calcProd1Seg1Payer1TotalVolumeR1">calc!$E$32:$I$32</definedName>
    <definedName name="calcProd1Seg1Payer1TotalVolumeR2">calc!$E$59:$I$59</definedName>
    <definedName name="calcProd1Seg1Payer1VolumeNewCustR1">calc!$E$30:$I$30</definedName>
    <definedName name="calcProd1Seg1Payer1VolumeNewCustR2">calc!$E$57:$I$57</definedName>
    <definedName name="calcProd1Seg1Payer1VolumeR1">calc!$E$33:$I$33</definedName>
    <definedName name="calcProd1Seg1Payer1VolumeR2">calc!$E$60:$I$60</definedName>
    <definedName name="calcProd1Seg1Payer1VolumeRecurCustR1">calc!$E$19:$I$19</definedName>
    <definedName name="calcProd1Seg1Payer1VolumeRecurCustR2">calc!$E$46:$I$46</definedName>
    <definedName name="calcProd1Seg1Payer2GrossRevenue">calc!$E$2149:$I$2149</definedName>
    <definedName name="calcProd1Seg1Payer2GrossRevenueR1">calc!$E$2149:$I$2149</definedName>
    <definedName name="calcProd1Seg1Payer2GrossRevenueR2">calc!$E$2250:$I$2250</definedName>
    <definedName name="calcProd1Seg1Payer2MarketGrowthCustR1">calc!$E$75:$I$75</definedName>
    <definedName name="calcProd1Seg1Payer2MarketGrowthCustR2">calc!$E$102:$I$102</definedName>
    <definedName name="calcProd1Seg1Payer2MarketRecurCustR1">calc!$E$64:$I$64</definedName>
    <definedName name="calcProd1Seg1Payer2MarketRecurCustR2">calc!$E$90:$I$90</definedName>
    <definedName name="calcProd1Seg1Payer2NetRevenue">calc!$E$2150:$I$2150</definedName>
    <definedName name="calcProd1Seg1Payer2NetRevenueR1">calc!$E$2150:$I$2150</definedName>
    <definedName name="calcProd1Seg1Payer2NetRevenueR2">calc!$E$2251:$I$2251</definedName>
    <definedName name="calcProd1Seg1Payer2PromotionShare">calc!$E$70:$I$70</definedName>
    <definedName name="calcProd1Seg1Payer2PromotionShareNew">calc!$E$80:$I$80</definedName>
    <definedName name="calcProd1Seg1Payer2PromotionShareNewR2">calc!$E$107:$I$107</definedName>
    <definedName name="calcProd1Seg1Payer2PromotionShareR2">calc!$E$96:$I$96</definedName>
    <definedName name="calcProd1Seg1Payer2RepCapShare">calc!$E$71:$I$71</definedName>
    <definedName name="calcProd1Seg1Payer2RepCapShareNew">calc!$E$81:$I$81</definedName>
    <definedName name="calcProd1Seg1Payer2RepCapShareNewR2">calc!$E$108:$I$108</definedName>
    <definedName name="calcProd1Seg1Payer2RepCapShareR2">calc!$E$97:$I$97</definedName>
    <definedName name="calcProd1Seg1Payer2SampleShare">calc!$E$68:$I$68</definedName>
    <definedName name="calcProd1Seg1Payer2SampleShareNew">calc!$E$78:$I$78</definedName>
    <definedName name="calcProd1Seg1Payer2SampleShareNewR2">calc!$E$105:$I$105</definedName>
    <definedName name="calcProd1Seg1Payer2SampleShareR2">calc!$E$94:$I$94</definedName>
    <definedName name="calcProd1Seg1Payer2ShareNewCustR1">calc!$E$83:$I$83</definedName>
    <definedName name="calcProd1Seg1Payer2ShareNewCustR2">calc!$E$110:$I$110</definedName>
    <definedName name="calcProd1Seg1Payer2ShareRecurCustR1">calc!$E$72:$I$72</definedName>
    <definedName name="calcProd1Seg1Payer2ShareRecurCustR2">calc!$E$99:$I$99</definedName>
    <definedName name="calcProd1Seg1Payer2ShareTotalCustR1">calc!$E$88:$I$88</definedName>
    <definedName name="calcProd1Seg1Payer2ShareTotalCustR2">calc!$E$115:$I$115</definedName>
    <definedName name="calcProd1Seg1Payer2SpeakerShare">calc!$E$69:$I$69</definedName>
    <definedName name="calcProd1Seg1Payer2SpeakerShareNew">calc!$E$79:$I$79</definedName>
    <definedName name="calcProd1Seg1Payer2SpeakerShareNewR2">calc!$E$106:$I$106</definedName>
    <definedName name="calcProd1Seg1Payer2SpeakerShareR2">calc!$E$95:$I$95</definedName>
    <definedName name="calcprod1Seg1Payer2TierImpactR1">calc!$E$66:$I$66</definedName>
    <definedName name="calcprod1Seg1Payer2TierImpactR2">calc!$E$92:$I$92</definedName>
    <definedName name="calcProd1Seg1Payer2TotalShareChangeR1">calc!$E$3173:$I$3173</definedName>
    <definedName name="calcProd1Seg1Payer2TotalShareChangeR2">calc!$E$3179:$I$3179</definedName>
    <definedName name="calcProd1Seg1Payer2TotalVolumeR1">calc!$E$86:$I$86</definedName>
    <definedName name="calcProd1Seg1Payer2TotalVolumeR2">calc!$E$113:$I$113</definedName>
    <definedName name="calcProd1Seg1Payer2VolumeNewCustR1">calc!$E$84:$I$84</definedName>
    <definedName name="calcProd1Seg1Payer2VolumeNewCustR2">calc!$E$111:$I$111</definedName>
    <definedName name="calcProd1Seg1Payer2VolumeR1">calc!$E$87:$I$87</definedName>
    <definedName name="calcProd1Seg1Payer2VolumeR2">calc!$E$114:$I$114</definedName>
    <definedName name="calcProd1Seg1Payer2VolumeRecurCustR1">calc!$E$73:$I$73</definedName>
    <definedName name="calcProd1Seg1Payer2VolumeRecurCustR2">calc!$E$100:$I$100</definedName>
    <definedName name="calcProd1Seg1Payer3GrossRevenue">calc!$E$2158:$I$2158</definedName>
    <definedName name="calcProd1Seg1Payer3GrossRevenueR1">calc!$E$2158:$I$2158</definedName>
    <definedName name="calcProd1Seg1Payer3GrossRevenueR2">calc!$E$2259:$I$2259</definedName>
    <definedName name="calcProd1Seg1Payer3MarketGrowthCustR1">calc!$E$129:$I$129</definedName>
    <definedName name="calcProd1Seg1Payer3MarketGrowthCustR2">calc!$E$156:$I$156</definedName>
    <definedName name="calcProd1Seg1Payer3MarketRecurCustR1">calc!$E$118:$I$118</definedName>
    <definedName name="calcProd1Seg1Payer3MarketRecurCustR2">calc!$E$144:$I$144</definedName>
    <definedName name="calcProd1Seg1Payer3NetRevenue">calc!$E$2159:$I$2159</definedName>
    <definedName name="calcProd1Seg1Payer3NetRevenueR1">calc!$E$2159:$I$2159</definedName>
    <definedName name="calcProd1Seg1Payer3NetRevenueR2">calc!$E$2260:$I$2260</definedName>
    <definedName name="calcProd1Seg1Payer3PromotionShare">calc!$E$124:$I$124</definedName>
    <definedName name="calcProd1Seg1Payer3PromotionShareNew">calc!$E$134:$I$134</definedName>
    <definedName name="calcProd1Seg1Payer3PromotionShareNewR2">calc!$E$161:$I$161</definedName>
    <definedName name="calcProd1Seg1Payer3PromotionShareR2">calc!$E$150:$I$150</definedName>
    <definedName name="calcProd1Seg1Payer3RepCapShare">calc!$E$125:$I$125</definedName>
    <definedName name="calcProd1Seg1Payer3RepCapShareNew">calc!$E$135:$I$135</definedName>
    <definedName name="calcProd1Seg1Payer3RepCapShareNewR2">calc!$E$162:$I$162</definedName>
    <definedName name="calcProd1Seg1Payer3RepCapShareR2">calc!$E$151:$I$151</definedName>
    <definedName name="calcProd1Seg1Payer3SampleShare">calc!$E$122:$I$122</definedName>
    <definedName name="calcProd1Seg1Payer3SampleShareNew">calc!$E$132:$I$132</definedName>
    <definedName name="calcProd1Seg1Payer3SampleShareNewR2">calc!$E$159:$I$159</definedName>
    <definedName name="calcProd1Seg1Payer3SampleShareR2">calc!$E$148:$I$148</definedName>
    <definedName name="calcProd1Seg1Payer3ShareNewCustR1">calc!$E$137:$I$137</definedName>
    <definedName name="calcProd1Seg1Payer3ShareNewCustR2">calc!$E$164:$I$164</definedName>
    <definedName name="calcProd1Seg1Payer3ShareRecurCustR1">calc!$E$126:$I$126</definedName>
    <definedName name="calcProd1Seg1Payer3ShareRecurCustR2">calc!$E$153:$I$153</definedName>
    <definedName name="calcProd1Seg1Payer3ShareTotalCustR1">calc!$E$142:$I$142</definedName>
    <definedName name="calcProd1Seg1Payer3ShareTotalCustR2">calc!$E$169:$I$169</definedName>
    <definedName name="calcProd1Seg1Payer3SpeakerShare">calc!$E$123:$I$123</definedName>
    <definedName name="calcProd1Seg1Payer3SpeakerShareNew">calc!$E$133:$I$133</definedName>
    <definedName name="calcProd1Seg1Payer3SpeakerShareNewR2">calc!$E$160:$I$160</definedName>
    <definedName name="calcProd1Seg1Payer3SpeakerShareR2">calc!$E$149:$I$149</definedName>
    <definedName name="calcprod1Seg1Payer3TierImpactR1">calc!$E$120:$I$120</definedName>
    <definedName name="calcprod1Seg1Payer3TierImpactR2">calc!$E$146:$I$146</definedName>
    <definedName name="calcProd1Seg1Payer3TotalShareChangeR1">calc!$E$3185:$I$3185</definedName>
    <definedName name="calcProd1Seg1Payer3TotalShareChangeR2">calc!$E$3191:$I$3191</definedName>
    <definedName name="calcProd1Seg1Payer3TotalVolumeR1">calc!$E$140:$I$140</definedName>
    <definedName name="calcProd1Seg1Payer3TotalVolumeR2">calc!$E$167:$I$167</definedName>
    <definedName name="calcProd1Seg1Payer3VolumeNewCustR1">calc!$E$138:$I$138</definedName>
    <definedName name="calcProd1Seg1Payer3VolumeNewCustR2">calc!$E$165:$I$165</definedName>
    <definedName name="calcProd1Seg1Payer3VolumeR1">calc!$E$141:$I$141</definedName>
    <definedName name="calcProd1Seg1Payer3VolumeR2">calc!$E$168:$I$168</definedName>
    <definedName name="calcProd1Seg1Payer3VolumeRecurCustR1">calc!$E$127:$I$127</definedName>
    <definedName name="calcProd1Seg1Payer3VolumeRecurCustR2">calc!$E$154:$I$154</definedName>
    <definedName name="calcProd1Seg1PayerShareRecurCustR2">calc!$E$45:$I$45</definedName>
    <definedName name="calcProd1Seg1PayerVolumeRecurCustR2">calc!$E$46:$I$46</definedName>
    <definedName name="calcProd1Seg1PromotionAllocationR1">calc!$E$1955:$I$1955</definedName>
    <definedName name="calcProd1Seg1PromotionAllocationR2">calc!$E$1964:$I$1964</definedName>
    <definedName name="calcProd1Seg1PromotionAllocR1">calc!$E$2058:$I$2058</definedName>
    <definedName name="calcProd1Seg1PromotionAllocR2">calc!$E$2072:$I$2072</definedName>
    <definedName name="calcProd1Seg1RecurCustR1">calc!$E$552:$I$552</definedName>
    <definedName name="calcProd1Seg1RecurCustR2">calc!$E$560:$I$560</definedName>
    <definedName name="calcProd1Seg1RegTrainCostR1">calc!$E$3124:$I$3124</definedName>
    <definedName name="calcProd1Seg1RegTrainCostR2">calc!$E$3128:$I$3128</definedName>
    <definedName name="calcProd1Seg1Reimbursement">calc!$E$2163:$I$2163</definedName>
    <definedName name="calcProd1Seg1ReimbursementR2">calc!$E$2264:$I$2264</definedName>
    <definedName name="calcProd1Seg1Rep1BagWeightImpactR1">calc!$E$2684:$I$2684</definedName>
    <definedName name="calcProd1Seg1Rep1BagWeightImpactR2">calc!$E$2689:$I$2689</definedName>
    <definedName name="calcProd1Seg1Rep1BagWeightR1">calc!$E$2682:$I$2682</definedName>
    <definedName name="calcProd1Seg1Rep1BagWeightR2">calc!$E$2687:$I$2687</definedName>
    <definedName name="calcProd1Seg1Rep1CapR1">calc!$E$2544:$I$2544</definedName>
    <definedName name="calcProd1Seg1Rep1CapR2">calc!$E$2559:$I$2559</definedName>
    <definedName name="calcProd1Seg1Rep1ImpactR1">calc!$E$2776:$I$2776</definedName>
    <definedName name="calcProd1Seg1Rep1ImpactR2">calc!$E$2803:$I$2803</definedName>
    <definedName name="calcProd1Seg1Rep1InternalTimeR1">calc!$E$2946:$I$2946</definedName>
    <definedName name="calcProd1Seg1Rep1InternalTimeR2">calc!$E$2950:$I$2950</definedName>
    <definedName name="calcProd1Seg1Rep1Payer1ImpactR1">calc!$E$2780:$I$2780</definedName>
    <definedName name="calcProd1Seg1Rep1Payer1ImpactR2">calc!$E$2807:$I$2807</definedName>
    <definedName name="calcProd1Seg1Rep1Payer2ImpactR1">calc!$E$2781:$I$2781</definedName>
    <definedName name="calcProd1Seg1Rep1Payer2ImpactR2">calc!$E$2808:$I$2808</definedName>
    <definedName name="calcProd1Seg1Rep1Payer3ImpactR1">calc!$E$2782:$I$2782</definedName>
    <definedName name="calcProd1Seg1Rep1Payer3ImpactR2">calc!$E$2809:$I$2809</definedName>
    <definedName name="calcProd1Seg1Rep1Products">calc!$E$2668:$I$2668</definedName>
    <definedName name="calcProd1Seg1Rep2BagWeightImpactR1">calc!$E$2694:$I$2694</definedName>
    <definedName name="calcProd1Seg1Rep2BagWeightImpactR2">calc!$E$2699:$I$2699</definedName>
    <definedName name="calcProd1Seg1Rep2BagWeightR1">calc!$E$2692:$I$2692</definedName>
    <definedName name="calcProd1Seg1Rep2BagWeightR2">calc!$E$2697:$I$2697</definedName>
    <definedName name="calcProd1Seg1Rep2CapR1">calc!$E$2549:$I$2549</definedName>
    <definedName name="calcProd1Seg1Rep2CapR2">calc!$E$2564:$I$2564</definedName>
    <definedName name="calcProd1Seg1Rep2ImpactR1">calc!$E$2785:$I$2785</definedName>
    <definedName name="calcProd1Seg1Rep2ImpactR2">calc!$E$2812:$I$2812</definedName>
    <definedName name="calcProd1Seg1Rep2InternalTimeR1">calc!$E$2954:$I$2954</definedName>
    <definedName name="calcProd1Seg1Rep2InternalTimeR2">calc!$E$2958:$I$2958</definedName>
    <definedName name="calcProd1Seg1Rep2Payer1ImpactR1">calc!$E$2789:$I$2789</definedName>
    <definedName name="calcProd1Seg1Rep2Payer1ImpactR2">calc!$E$2816:$I$2816</definedName>
    <definedName name="calcProd1Seg1Rep2Payer2ImpactR1">calc!$E$2790:$I$2790</definedName>
    <definedName name="calcProd1Seg1Rep2Payer2ImpactR2">calc!$E$2817:$I$2817</definedName>
    <definedName name="calcProd1Seg1Rep2Payer3ImpactR1">calc!$E$2791:$I$2791</definedName>
    <definedName name="calcProd1Seg1Rep2Payer3ImpactR2">calc!$E$2818:$I$2818</definedName>
    <definedName name="calcProd1Seg1Rep2Products">calc!$E$2669:$I$2669</definedName>
    <definedName name="calcProd1Seg1Rep3BagWeightImpactR1">calc!$E$2704:$I$2704</definedName>
    <definedName name="calcProd1Seg1Rep3BagWeightImpactR2">calc!$E$2709:$I$2709</definedName>
    <definedName name="calcProd1Seg1Rep3BagWeightR1">calc!$E$2702:$I$2702</definedName>
    <definedName name="calcProd1Seg1Rep3BagWeightR2">calc!$E$2707:$I$2707</definedName>
    <definedName name="calcProd1Seg1Rep3CapR1">calc!$E$2554:$I$2554</definedName>
    <definedName name="calcProd1Seg1Rep3CapR2">calc!$E$2569:$I$2569</definedName>
    <definedName name="calcProd1Seg1Rep3ImpactR1">calc!$E$2794:$I$2794</definedName>
    <definedName name="calcProd1Seg1Rep3ImpactR2">calc!$E$2821:$I$2821</definedName>
    <definedName name="calcProd1Seg1Rep3InternalTimeR1">calc!$E$2962:$I$2962</definedName>
    <definedName name="calcProd1Seg1Rep3InternalTimeR2">calc!$E$2966:$I$2966</definedName>
    <definedName name="calcProd1Seg1Rep3Payer1ImpactR1">calc!$E$2798:$I$2798</definedName>
    <definedName name="calcProd1Seg1Rep3Payer1ImpactR2">calc!$E$2825:$I$2825</definedName>
    <definedName name="calcProd1Seg1Rep3Payer2ImpactR1">calc!$E$2799:$I$2799</definedName>
    <definedName name="calcProd1Seg1Rep3Payer2ImpactR2">calc!$E$2826:$I$2826</definedName>
    <definedName name="calcProd1Seg1Rep3Payer3ImpactR1">calc!$E$2800:$I$2800</definedName>
    <definedName name="calcProd1Seg1Rep3Payer3ImpactR2">calc!$E$2827:$I$2827</definedName>
    <definedName name="calcProd1Seg1Rep3Products">calc!$E$2670:$I$2670</definedName>
    <definedName name="calcProd1Seg1RepAvgBagWeightR1">calc!$E$1880:$I$1880</definedName>
    <definedName name="calcProd1Seg1RepAvgBagWeightR2">calc!$E$1881:$I$1881</definedName>
    <definedName name="calcProd1Seg1SampleAllocR1">calc!$E$2056:$I$2056</definedName>
    <definedName name="calcProd1Seg1SampleAllocR2">calc!$E$2070:$I$2070</definedName>
    <definedName name="calcProd1Seg1ShareNewCustR1">calc!$E$556:$I$556</definedName>
    <definedName name="calcProd1Seg1ShareNewCustR2">calc!$E$564:$I$564</definedName>
    <definedName name="calcProd1Seg1ShareTotalCustR1">calc!$E$557:$I$557</definedName>
    <definedName name="calcProd1Seg1ShareTotalCustR2">calc!$E$565:$I$565</definedName>
    <definedName name="calcProd1Seg1SpeakerAllocR1">calc!$E$2057:$I$2057</definedName>
    <definedName name="calcProd1Seg1SpeakerAllocR2">calc!$E$2071:$I$2071</definedName>
    <definedName name="calcProd1Seg1TotalVolumeR1">calc!$E$555:$I$555</definedName>
    <definedName name="calcProd1Seg1TotalVolumeR2">calc!$E$563:$I$563</definedName>
    <definedName name="calcProd1Seg1VolumeTotalCustR1">calc!$E$553:$I$553</definedName>
    <definedName name="calcProd1Seg1VolumeTotalCustR2">calc!$E$561:$I$561</definedName>
    <definedName name="calcProd1Seg2CoachingCostR1">calc!$E$3108:$I$3108</definedName>
    <definedName name="calcProd1Seg2CoachingCostR2">calc!$E$3112:$I$3112</definedName>
    <definedName name="calcProd1Seg2Comp1Payer1ShareLostR1">calc!$E$3199:$I$3199</definedName>
    <definedName name="calcProd1Seg2Comp1Payer1ShareLostR2">calc!$E$3205:$I$3205</definedName>
    <definedName name="calcProd1Seg2Comp1Payer1ShareWonR1">calc!$E$3198:$I$3198</definedName>
    <definedName name="calcProd1Seg2Comp1Payer1ShareWonR2">calc!$E$3204:$I$3204</definedName>
    <definedName name="calcProd1Seg2Comp1Payer1TotalCustR1">calc!$E$820:$I$820</definedName>
    <definedName name="calcProd1Seg2Comp1Payer1TotalCustR2">calc!$E$825:$I$825</definedName>
    <definedName name="calcProd1Seg2Comp1Payer1TotalShareR1">calc!$E$656:$I$656</definedName>
    <definedName name="calcProd1Seg2Comp1Payer1TotalShareR2">calc!$E$661:$I$661</definedName>
    <definedName name="calcProd1Seg2Comp1Payer2ShareLostR1">calc!$E$3211:$I$3211</definedName>
    <definedName name="calcProd1Seg2Comp1Payer2ShareLostR2">calc!$E$3217:$I$3217</definedName>
    <definedName name="calcProd1Seg2Comp1Payer2ShareWonR1">calc!$E$3210:$I$3210</definedName>
    <definedName name="calcProd1Seg2Comp1Payer2ShareWonR2">calc!$E$3216:$I$3216</definedName>
    <definedName name="calcProd1Seg2Comp1Payer2TotalCustR1">calc!$E$821:$I$821</definedName>
    <definedName name="calcProd1Seg2Comp1Payer2TotalCustR2">calc!$E$826:$I$826</definedName>
    <definedName name="calcProd1Seg2Comp1Payer2TotalShareR1">calc!$E$666:$I$666</definedName>
    <definedName name="calcProd1Seg2Comp1Payer2TotalShareR2">calc!$E$671:$I$671</definedName>
    <definedName name="calcProd1Seg2Comp1Payer3ShareLostR1">calc!$E$3223:$I$3223</definedName>
    <definedName name="calcProd1Seg2Comp1Payer3ShareLostR2">calc!$E$3229:$I$3229</definedName>
    <definedName name="calcProd1Seg2Comp1Payer3ShareWonR1">calc!$E$3222:$I$3222</definedName>
    <definedName name="calcProd1Seg2Comp1Payer3ShareWonR2">calc!$E$3228:$I$3228</definedName>
    <definedName name="calcProd1Seg2Comp1Payer3TotalCustR1">calc!$E$822:$I$822</definedName>
    <definedName name="calcProd1Seg2Comp1Payer3TotalCustR2">calc!$E$827:$I$827</definedName>
    <definedName name="calcProd1Seg2Comp1Payer3TotalShareR1">calc!$E$676:$I$676</definedName>
    <definedName name="calcProd1Seg2Comp1Payer3TotalShareR2">calc!$E$681:$I$681</definedName>
    <definedName name="calcProd1Seg2Comp1TotalCustR1">calc!$E$823:$I$823</definedName>
    <definedName name="calcProd1Seg2Comp1TotalCustR2">calc!$E$828:$I$828</definedName>
    <definedName name="calcProd1Seg2Comp1TotalShareR1">calc!$E$824:$I$824</definedName>
    <definedName name="calcProd1Seg2Comp1TotalShareR2">calc!$E$829:$I$829</definedName>
    <definedName name="calcProd1Seg2Comp2Payer1ShareLostR1">calc!$E$3201:$I$3201</definedName>
    <definedName name="calcProd1Seg2Comp2Payer1ShareLostR2">calc!$E$3207:$I$3207</definedName>
    <definedName name="calcProd1Seg2Comp2Payer1ShareWonR1">calc!$E$3200:$I$3200</definedName>
    <definedName name="calcProd1Seg2Comp2Payer1ShareWonR2">calc!$E$3206:$I$3206</definedName>
    <definedName name="calcProd1Seg2Comp2Payer1TotalCustR1">calc!$E$866:$I$866</definedName>
    <definedName name="calcProd1Seg2Comp2Payer1TotalCustR2">calc!$E$871:$I$871</definedName>
    <definedName name="calcProd1Seg2Comp2Payer1TotalShareR1">calc!$E$750:$I$750</definedName>
    <definedName name="calcProd1Seg2Comp2Payer1TotalShareR2">calc!$E$755:$I$755</definedName>
    <definedName name="calcProd1Seg2Comp2Payer2ShareLostR1">calc!$E$3213:$I$3213</definedName>
    <definedName name="calcProd1Seg2Comp2Payer2ShareLostR2">calc!$E$3219:$I$3219</definedName>
    <definedName name="calcProd1Seg2Comp2Payer2ShareWonR1">calc!$E$3212:$I$3212</definedName>
    <definedName name="calcProd1Seg2Comp2Payer2ShareWonR2">calc!$E$3218:$I$3218</definedName>
    <definedName name="calcProd1Seg2Comp2Payer2TotalCustR1">calc!$E$867:$I$867</definedName>
    <definedName name="calcProd1Seg2Comp2Payer2TotalCustR2">calc!$E$872:$I$872</definedName>
    <definedName name="calcProd1Seg2Comp2Payer2TotalShareR1">calc!$E$760:$I$760</definedName>
    <definedName name="calcProd1Seg2Comp2Payer2TotalShareR2">calc!$E$765:$I$765</definedName>
    <definedName name="calcProd1Seg2Comp2Payer3ShareLostR1">calc!$E$3225:$I$3225</definedName>
    <definedName name="calcProd1Seg2Comp2Payer3ShareLostR2">calc!$E$3231:$I$3231</definedName>
    <definedName name="calcProd1Seg2Comp2Payer3ShareWonR1">calc!$E$3224:$I$3224</definedName>
    <definedName name="calcProd1Seg2Comp2Payer3ShareWonR2">calc!$E$3230:$I$3230</definedName>
    <definedName name="calcProd1Seg2Comp2Payer3TotalCustR1">calc!$E$868:$I$868</definedName>
    <definedName name="calcProd1Seg2Comp2Payer3TotalCustR2">calc!$E$873:$I$873</definedName>
    <definedName name="calcProd1Seg2Comp2Payer3TotalShareR1">calc!$E$770:$I$770</definedName>
    <definedName name="calcProd1Seg2Comp2Payer3TotalShareR2">calc!$E$775:$I$775</definedName>
    <definedName name="calcProd1Seg2Comp2TotalCustR1">calc!$E$869:$I$869</definedName>
    <definedName name="calcProd1Seg2Comp2TotalCustR2">calc!$E$874:$I$874</definedName>
    <definedName name="calcProd1Seg2Comp2TotalShareR1">calc!$E$870:$I$870</definedName>
    <definedName name="calcProd1Seg2Comp2TotalShareR2">calc!$E$875:$I$875</definedName>
    <definedName name="calcProd1Seg2FTEsCFCollabR1">calc!$E$1991:$I$1991</definedName>
    <definedName name="calcProd1Seg2FTEsCFCollabR2">calc!$E$2011:$I$2011</definedName>
    <definedName name="calcProd1Seg2FTEsRegTrainR1">calc!$E$1992:$I$1992</definedName>
    <definedName name="calcProd1Seg2FTEsRegTrainR2">calc!$E$2012:$I$2012</definedName>
    <definedName name="calcProd1Seg2FTEsRep1R1">calc!$E$1993:$I$1993</definedName>
    <definedName name="calcProd1Seg2FTEsRep1R2">calc!$E$2013:$I$2013</definedName>
    <definedName name="calcProd1Seg2FTEsRep2R1">calc!$E$1994:$I$1994</definedName>
    <definedName name="calcProd1Seg2FTEsRep2R2">calc!$E$2014:$I$2014</definedName>
    <definedName name="calcProd1Seg2FTEsRep3R1">calc!$E$1995:$I$1995</definedName>
    <definedName name="calcProd1Seg2FTEsRep3R2">calc!$E$2015:$I$2015</definedName>
    <definedName name="calcProd1Seg2GrossRevenueR1">calc!$E$2193:$I$2193</definedName>
    <definedName name="calcProd1Seg2GrossRevenueR2">calc!$E$2294:$I$2294</definedName>
    <definedName name="calcProd1Seg2InternalCostR1">calc!$E$3143:$I$3143</definedName>
    <definedName name="calcProd1Seg2InternalCostR2">calc!$E$3147:$I$3147</definedName>
    <definedName name="calcProd1Seg2MarketGrowthCustR1">calc!$E$571:$I$571</definedName>
    <definedName name="calcProd1Seg2MarketGrowthCustR2">calc!$E$579:$I$579</definedName>
    <definedName name="calcProd1Seg2NetRevenueR1">calc!$E$2194:$I$2194</definedName>
    <definedName name="calcProd1Seg2NetRevenueR2">calc!$E$2295:$I$2295</definedName>
    <definedName name="calcProd1Seg2NewCustR1">calc!$E$568:$I$568</definedName>
    <definedName name="calcProd1Seg2NewCustR2">calc!$E$576:$I$576</definedName>
    <definedName name="calcProd1Seg2Payer1GrossRevenueR1">calc!$E$2172:$I$2172</definedName>
    <definedName name="calcProd1Seg2Payer1GrossRevenueR2">calc!$E$2273:$I$2273</definedName>
    <definedName name="calcProd1Seg2Payer1MarketGrowthCustR1">calc!$E$184:$I$184</definedName>
    <definedName name="calcProd1Seg2Payer1MarketGrowthCustR2">calc!$E$211:$I$211</definedName>
    <definedName name="calcProd1Seg2Payer1MarketRecurCustR1">calc!$E$173:$I$173</definedName>
    <definedName name="calcProd1Seg2Payer1MarketRecurCustR2">calc!$E$199:$I$199</definedName>
    <definedName name="calcProd1Seg2Payer1NetRevenueR1">calc!$E$2173:$I$2173</definedName>
    <definedName name="calcProd1Seg2Payer1NetRevenueR2">calc!$E$2274:$I$2274</definedName>
    <definedName name="calcProd1Seg2Payer1PromotionShare">calc!$E$179:$I$179</definedName>
    <definedName name="calcProd1Seg2Payer1PromotionShareNew">calc!$E$189:$I$189</definedName>
    <definedName name="calcProd1Seg2Payer1PromotionShareNewR2">calc!$E$216:$I$216</definedName>
    <definedName name="calcProd1Seg2Payer1PromotionShareR2">calc!$E$205:$I$205</definedName>
    <definedName name="calcProd1Seg2Payer1RepCapShare">calc!$E$180:$I$180</definedName>
    <definedName name="calcProd1Seg2Payer1RepCapShareNew">calc!$E$190:$I$190</definedName>
    <definedName name="calcProd1Seg2Payer1RepCapShareNewR2">calc!$E$217:$I$217</definedName>
    <definedName name="calcProd1Seg2Payer1RepCapShareR2">calc!$E$206:$I$206</definedName>
    <definedName name="calcProd1Seg2Payer1SampleShare">calc!$E$177:$I$177</definedName>
    <definedName name="calcProd1Seg2Payer1SampleShareNew">calc!$E$187:$I$187</definedName>
    <definedName name="calcProd1Seg2Payer1SampleShareNewR2">calc!$E$214:$I$214</definedName>
    <definedName name="calcProd1Seg2Payer1SampleShareR2">calc!$E$203:$I$203</definedName>
    <definedName name="calcProd1Seg2Payer1ShareNewCustR1">calc!$E$192:$I$192</definedName>
    <definedName name="calcProd1Seg2Payer1ShareNewCustR2">calc!$E$219:$I$219</definedName>
    <definedName name="calcProd1Seg2Payer1ShareRecurCustR1">calc!$E$181:$I$181</definedName>
    <definedName name="calcProd1Seg2Payer1ShareRecurCustR2">calc!$E$208:$I$208</definedName>
    <definedName name="calcProd1Seg2Payer1ShareTotalCustR1">calc!$E$197:$I$197</definedName>
    <definedName name="calcProd1Seg2Payer1ShareTotalCustR2">calc!$E$224:$I$224</definedName>
    <definedName name="calcProd1Seg2Payer1SpeakerShare">calc!$E$178:$I$178</definedName>
    <definedName name="calcProd1Seg2Payer1SpeakerShareNew">calc!$E$188:$I$188</definedName>
    <definedName name="calcProd1Seg2Payer1SpeakerShareNewR2">calc!$E$215:$I$215</definedName>
    <definedName name="calcProd1Seg2Payer1SpeakerShareR2">calc!$E$204:$I$204</definedName>
    <definedName name="calcprod1Seg2Payer1TierImpactR1">calc!$E$175:$I$175</definedName>
    <definedName name="calcprod1Seg2Payer1TierImpactR2">calc!$E$201:$I$201</definedName>
    <definedName name="calcProd1Seg2Payer1TotalShareChangeR1">calc!$E$3197:$I$3197</definedName>
    <definedName name="calcProd1Seg2Payer1TotalShareChangeR2">calc!$E$3203:$I$3203</definedName>
    <definedName name="calcProd1Seg2Payer1TotalVolumeR1">calc!$E$195:$I$195</definedName>
    <definedName name="calcProd1Seg2Payer1TotalVolumeR2">calc!$E$222:$I$222</definedName>
    <definedName name="calcProd1Seg2Payer1VolumeNewCustR1">calc!$E$193:$I$193</definedName>
    <definedName name="calcProd1Seg2Payer1VolumeNewCustR2">calc!$E$220:$I$220</definedName>
    <definedName name="calcProd1Seg2Payer1VolumeR1">calc!$E$196:$I$196</definedName>
    <definedName name="calcProd1Seg2Payer1VolumeR2">calc!$E$223:$I$223</definedName>
    <definedName name="calcProd1Seg2Payer1VolumeRecurCustR1">calc!$E$182:$I$182</definedName>
    <definedName name="calcProd1Seg2Payer1VolumeRecurCustR2">calc!$E$209:$I$209</definedName>
    <definedName name="calcProd1Seg2Payer2GrossRevenueR1">calc!$E$2181:$I$2181</definedName>
    <definedName name="calcProd1Seg2Payer2GrossRevenueR2">calc!$E$2282:$I$2282</definedName>
    <definedName name="calcProd1Seg2Payer2MarketGrowthCustR1">calc!$E$238:$I$238</definedName>
    <definedName name="calcProd1Seg2Payer2MarketGrowthCustR2">calc!$E$265:$I$265</definedName>
    <definedName name="calcProd1Seg2Payer2MarketRecurCustR1">calc!$E$227:$I$227</definedName>
    <definedName name="calcProd1Seg2Payer2MarketRecurCustR2">calc!$E$253:$I$253</definedName>
    <definedName name="calcProd1Seg2Payer2NetRevenueR1">calc!$E$2182:$I$2182</definedName>
    <definedName name="calcProd1Seg2Payer2NetRevenueR2">calc!$E$2283:$I$2283</definedName>
    <definedName name="calcProd1Seg2Payer2PromotionShare">calc!$E$233:$I$233</definedName>
    <definedName name="calcProd1Seg2Payer2PromotionShareNew">calc!$E$243:$I$243</definedName>
    <definedName name="calcProd1Seg2Payer2PromotionShareNewR2">calc!$E$270:$I$270</definedName>
    <definedName name="calcProd1Seg2Payer2PromotionShareR2">calc!$E$259:$I$259</definedName>
    <definedName name="calcProd1Seg2Payer2RepCapShare">calc!$E$234:$I$234</definedName>
    <definedName name="calcProd1Seg2Payer2RepCapShareNew">calc!$E$244:$I$244</definedName>
    <definedName name="calcProd1Seg2Payer2RepCapShareNewR2">calc!$E$271:$I$271</definedName>
    <definedName name="calcProd1Seg2Payer2RepCapShareR2">calc!$E$260:$I$260</definedName>
    <definedName name="calcProd1Seg2Payer2SampleShare">calc!$E$231:$I$231</definedName>
    <definedName name="calcProd1Seg2Payer2SampleShareNew">calc!$E$241:$I$241</definedName>
    <definedName name="calcProd1Seg2Payer2SampleShareNewR2">calc!$E$268:$I$268</definedName>
    <definedName name="calcProd1Seg2Payer2SampleShareR2">calc!$E$257:$I$257</definedName>
    <definedName name="calcProd1Seg2Payer2ShareNewCustR1">calc!$E$246:$I$246</definedName>
    <definedName name="calcProd1Seg2Payer2ShareNewCustR2">calc!$E$273:$I$273</definedName>
    <definedName name="calcProd1Seg2Payer2ShareRecurCustR1">calc!$E$235:$I$235</definedName>
    <definedName name="calcProd1Seg2Payer2ShareRecurCustR2">calc!$E$262:$I$262</definedName>
    <definedName name="calcProd1Seg2Payer2ShareTotalCustR1">calc!$E$251:$I$251</definedName>
    <definedName name="calcProd1Seg2Payer2ShareTotalCustR2">calc!$E$278:$I$278</definedName>
    <definedName name="calcProd1Seg2Payer2SpeakerShare">calc!$E$232:$I$232</definedName>
    <definedName name="calcProd1Seg2Payer2SpeakerShareNew">calc!$E$242:$I$242</definedName>
    <definedName name="calcProd1Seg2Payer2SpeakerShareNewR2">calc!$E$269:$I$269</definedName>
    <definedName name="calcProd1Seg2Payer2SpeakerShareR2">calc!$E$258:$I$258</definedName>
    <definedName name="calcprod1Seg2Payer2TierImpactR1">calc!$E$229:$I$229</definedName>
    <definedName name="calcprod1Seg2Payer2TierImpactR2">calc!$E$255:$I$255</definedName>
    <definedName name="calcProd1Seg2Payer2TotalShareChangeR1">calc!$E$3209:$I$3209</definedName>
    <definedName name="calcProd1Seg2Payer2TotalShareChangeR2">calc!$E$3215:$I$3215</definedName>
    <definedName name="calcProd1Seg2Payer2TotalVolumeR1">calc!$E$249:$I$249</definedName>
    <definedName name="calcProd1Seg2Payer2TotalVolumeR2">calc!$E$276:$I$276</definedName>
    <definedName name="calcProd1Seg2Payer2VolumeNewCustR1">calc!$E$247:$I$247</definedName>
    <definedName name="calcProd1Seg2Payer2VolumeNewCustR2">calc!$E$274:$I$274</definedName>
    <definedName name="calcProd1Seg2Payer2VolumeR1">calc!$E$250:$I$250</definedName>
    <definedName name="calcProd1Seg2Payer2VolumeR2">calc!$E$277:$I$277</definedName>
    <definedName name="calcProd1Seg2Payer2VolumeRecurCustR1">calc!$E$236:$I$236</definedName>
    <definedName name="calcProd1Seg2Payer2VolumeRecurCustR2">calc!$E$263:$I$263</definedName>
    <definedName name="calcProd1Seg2Payer3GrossRevenueR1">calc!$E$2190:$I$2190</definedName>
    <definedName name="calcProd1Seg2Payer3GrossRevenueR2">calc!$E$2291:$I$2291</definedName>
    <definedName name="calcProd1Seg2Payer3MarketGrowthCustR1">calc!$E$292:$I$292</definedName>
    <definedName name="calcProd1Seg2Payer3MarketGrowthCustR2">calc!$E$319:$I$319</definedName>
    <definedName name="calcProd1Seg2Payer3MarketRecurCustR1">calc!$E$281:$I$281</definedName>
    <definedName name="calcProd1Seg2Payer3MarketRecurCustR2">calc!$E$307:$I$307</definedName>
    <definedName name="calcProd1Seg2Payer3NetRevenueR1">calc!$E$2191:$I$2191</definedName>
    <definedName name="calcProd1Seg2Payer3NetRevenueR2">calc!$E$2292:$I$2292</definedName>
    <definedName name="calcProd1Seg2Payer3PromotionShare">calc!$E$287:$I$287</definedName>
    <definedName name="calcProd1Seg2Payer3PromotionShareNew">calc!$E$297:$I$297</definedName>
    <definedName name="calcProd1Seg2Payer3PromotionShareNewR2">calc!$E$324:$I$324</definedName>
    <definedName name="calcProd1Seg2Payer3PromotionShareR2">calc!$E$313:$I$313</definedName>
    <definedName name="calcProd1Seg2Payer3RepCapShare">calc!$E$288:$I$288</definedName>
    <definedName name="calcProd1Seg2Payer3RepCapShareNew">calc!$E$298:$I$298</definedName>
    <definedName name="calcProd1Seg2Payer3RepCapShareNewR2">calc!$E$325:$I$325</definedName>
    <definedName name="calcProd1Seg2Payer3RepCapShareR2">calc!$E$314:$I$314</definedName>
    <definedName name="calcProd1Seg2Payer3SampleShare">calc!$E$285:$I$285</definedName>
    <definedName name="calcProd1Seg2Payer3SampleShareNew">calc!$E$295:$I$295</definedName>
    <definedName name="calcProd1Seg2Payer3SampleShareNewR2">calc!$E$322:$I$322</definedName>
    <definedName name="calcProd1Seg2Payer3SampleShareR2">calc!$E$311:$I$311</definedName>
    <definedName name="calcProd1Seg2Payer3ShareNewCustR1">calc!$E$300:$I$300</definedName>
    <definedName name="calcProd1Seg2Payer3ShareNewCustR2">calc!$E$327:$I$327</definedName>
    <definedName name="calcProd1Seg2Payer3ShareRecurCustR1">calc!$E$289:$I$289</definedName>
    <definedName name="calcProd1Seg2Payer3ShareRecurCustR2">calc!$E$316:$I$316</definedName>
    <definedName name="calcProd1Seg2Payer3ShareTotalCustR1">calc!$E$305:$I$305</definedName>
    <definedName name="calcProd1Seg2Payer3ShareTotalCustR2">calc!$E$332:$I$332</definedName>
    <definedName name="calcProd1Seg2Payer3SpeakerShare">calc!$E$286:$I$286</definedName>
    <definedName name="calcProd1Seg2Payer3SpeakerShareNew">calc!$E$296:$I$296</definedName>
    <definedName name="calcProd1Seg2Payer3SpeakerShareNewR2">calc!$E$323:$I$323</definedName>
    <definedName name="calcProd1Seg2Payer3SpeakerShareR2">calc!$E$312:$I$312</definedName>
    <definedName name="calcprod1Seg2Payer3TierImpactR1">calc!$E$283:$I$283</definedName>
    <definedName name="calcprod1Seg2Payer3TierImpactR2">calc!$E$309:$I$309</definedName>
    <definedName name="calcProd1Seg2Payer3TotalShareChangeR1">calc!$E$3221:$I$3221</definedName>
    <definedName name="calcProd1Seg2Payer3TotalShareChangeR2">calc!$E$3227:$I$3227</definedName>
    <definedName name="calcProd1Seg2Payer3TotalVolumeR1">calc!$E$303:$I$303</definedName>
    <definedName name="calcProd1Seg2Payer3TotalVolumeR2">calc!$E$330:$I$330</definedName>
    <definedName name="calcProd1Seg2Payer3VolumeNewCustR1">calc!$E$301:$I$301</definedName>
    <definedName name="calcProd1Seg2Payer3VolumeNewCustR2">calc!$E$328:$I$328</definedName>
    <definedName name="calcProd1Seg2Payer3VolumeR1">calc!$E$304:$I$304</definedName>
    <definedName name="calcProd1Seg2Payer3VolumeR2">calc!$E$331:$I$331</definedName>
    <definedName name="calcProd1Seg2Payer3VolumeRecurCustR1">calc!$E$290:$I$290</definedName>
    <definedName name="calcProd1Seg2Payer3VolumeRecurCustR2">calc!$E$317:$I$317</definedName>
    <definedName name="calcProd1Seg2PromotionAllocationR1">calc!$E$1956:$I$1956</definedName>
    <definedName name="calcProd1Seg2PromotionAllocationR2">calc!$E$1965:$I$1965</definedName>
    <definedName name="calcProd1Seg2PromotionAllocR1">calc!$E$2063:$I$2063</definedName>
    <definedName name="calcProd1Seg2PromotionAllocR2">calc!$E$2077:$I$2077</definedName>
    <definedName name="calcProd1Seg2RecurCustR1">calc!$E$569:$I$569</definedName>
    <definedName name="calcProd1Seg2RecurCustR2">calc!$E$577:$I$577</definedName>
    <definedName name="calcProd1Seg2RegTrainCostR1">calc!$E$3125:$I$3125</definedName>
    <definedName name="calcProd1Seg2RegTrainCostR2">calc!$E$3129:$I$3129</definedName>
    <definedName name="calcProd1Seg2Reimbursement">calc!$E$2195:$I$2195</definedName>
    <definedName name="calcProd1Seg2ReimbursementR2">calc!$E$2296:$I$2296</definedName>
    <definedName name="calcProd1Seg2Rep1BagWeightImpactR1">calc!$E$2714:$I$2714</definedName>
    <definedName name="calcProd1Seg2Rep1BagWeightImpactR2">calc!$E$2719:$I$2719</definedName>
    <definedName name="calcProd1Seg2Rep1BagWeightR1">calc!$E$2712:$I$2712</definedName>
    <definedName name="calcProd1Seg2Rep1BagWeightR2">calc!$E$2717:$I$2717</definedName>
    <definedName name="calcProd1Seg2Rep1CapR1">calc!$E$2575:$I$2575</definedName>
    <definedName name="calcProd1Seg2Rep1CapR2">calc!$E$2590:$I$2590</definedName>
    <definedName name="calcProd1Seg2Rep1ImpactR1">calc!$E$2830:$I$2830</definedName>
    <definedName name="calcProd1Seg2Rep1ImpactR2">calc!$E$2857:$I$2857</definedName>
    <definedName name="calcProd1Seg2Rep1InternalTimeR1">calc!$E$2972:$I$2972</definedName>
    <definedName name="calcProd1Seg2Rep1InternalTimeR2">calc!$E$2976:$I$2976</definedName>
    <definedName name="calcProd1Seg2Rep1Payer1ImpactR1">calc!$E$2834:$I$2834</definedName>
    <definedName name="calcProd1Seg2Rep1Payer1ImpactR2">calc!$E$2861:$I$2861</definedName>
    <definedName name="calcProd1Seg2Rep1Payer2ImpactR1">calc!$E$2835:$I$2835</definedName>
    <definedName name="calcProd1Seg2Rep1Payer2ImpactR2">calc!$E$2862:$I$2862</definedName>
    <definedName name="calcProd1Seg2Rep1Payer3ImpactR1">calc!$E$2836:$I$2836</definedName>
    <definedName name="calcProd1Seg2Rep1Payer3ImpactR2">calc!$E$2863:$I$2863</definedName>
    <definedName name="calcProd1Seg2Rep1Products">calc!$E$2671:$I$2671</definedName>
    <definedName name="calcProd1Seg2Rep2BagWeightImpactR1">calc!$E$2724:$I$2724</definedName>
    <definedName name="calcProd1Seg2Rep2BagWeightImpactR2">calc!$E$2729:$I$2729</definedName>
    <definedName name="calcProd1Seg2Rep2BagWeightR1">calc!$E$2722:$I$2722</definedName>
    <definedName name="calcProd1Seg2Rep2BagWeightR2">calc!$E$2727:$I$2727</definedName>
    <definedName name="calcProd1Seg2Rep2CapR1">calc!$E$2580:$I$2580</definedName>
    <definedName name="calcProd1Seg2Rep2CapR2">calc!$E$2595:$I$2595</definedName>
    <definedName name="calcProd1Seg2Rep2ImpactR1">calc!$E$2839:$I$2839</definedName>
    <definedName name="calcProd1Seg2Rep2ImpactR2">calc!$E$2866:$I$2866</definedName>
    <definedName name="calcProd1Seg2Rep2InternalTimeR1">calc!$E$2980:$I$2980</definedName>
    <definedName name="calcProd1Seg2Rep2InternalTimeR2">calc!$E$2984:$I$2984</definedName>
    <definedName name="calcProd1Seg2Rep2Payer1ImpactR1">calc!$E$2843:$I$2843</definedName>
    <definedName name="calcProd1Seg2Rep2Payer1ImpactR2">calc!$E$2870:$I$2870</definedName>
    <definedName name="calcProd1Seg2Rep2Payer2ImpactR1">calc!$E$2844:$I$2844</definedName>
    <definedName name="calcProd1Seg2Rep2Payer2ImpactR2">calc!$E$2871:$I$2871</definedName>
    <definedName name="calcProd1Seg2Rep2Payer3ImpactR1">calc!$E$2845:$I$2845</definedName>
    <definedName name="calcProd1Seg2Rep2Payer3ImpactR2">calc!$E$2872:$I$2872</definedName>
    <definedName name="calcProd1Seg2Rep2Products">calc!$E$2672:$I$2672</definedName>
    <definedName name="calcProd1Seg2Rep3BagWeightImpactR1">calc!$E$2734:$I$2734</definedName>
    <definedName name="calcProd1Seg2Rep3BagWeightImpactR2">calc!$E$2739:$I$2739</definedName>
    <definedName name="calcProd1Seg2Rep3BagWeightR1">calc!$E$2732:$I$2732</definedName>
    <definedName name="calcProd1Seg2Rep3BagWeightR2">calc!$E$2737:$I$2737</definedName>
    <definedName name="calcProd1Seg2Rep3CapR1">calc!$E$2585:$I$2585</definedName>
    <definedName name="calcProd1Seg2Rep3CapR2">calc!$E$2600:$I$2600</definedName>
    <definedName name="calcProd1Seg2Rep3ImpactR1">calc!$E$2848:$I$2848</definedName>
    <definedName name="calcProd1Seg2Rep3ImpactR2">calc!$E$2875:$I$2875</definedName>
    <definedName name="calcProd1Seg2Rep3InternalTimeR1">calc!$E$2988:$I$2988</definedName>
    <definedName name="calcProd1Seg2Rep3InternalTimeR2">calc!$E$2992:$I$2992</definedName>
    <definedName name="calcProd1Seg2Rep3Payer1ImpactR1">calc!$E$2852:$I$2852</definedName>
    <definedName name="calcProd1Seg2Rep3Payer1ImpactR2">calc!$E$2879:$I$2879</definedName>
    <definedName name="calcProd1Seg2Rep3Payer2ImpactR1">calc!$E$2853:$I$2853</definedName>
    <definedName name="calcProd1Seg2Rep3Payer2ImpactR2">calc!$E$2880:$I$2880</definedName>
    <definedName name="calcProd1Seg2Rep3Payer3ImpactR1">calc!$E$2854:$I$2854</definedName>
    <definedName name="calcProd1Seg2Rep3Payer3ImpactR2">calc!$E$2881:$I$2881</definedName>
    <definedName name="calcProd1Seg2Rep3Products">calc!$E$2673:$I$2673</definedName>
    <definedName name="calcProd1Seg2RepAvgBagWeightR1">calc!$E$1882:$I$1882</definedName>
    <definedName name="calcProd1Seg2RepAvgBagWeightR2">calc!$E$1883:$I$1883</definedName>
    <definedName name="calcProd1Seg2SampleAllocR1">calc!$E$2061:$I$2061</definedName>
    <definedName name="calcProd1Seg2SampleAllocR2">calc!$E$2075:$I$2075</definedName>
    <definedName name="calcProd1Seg2ShareNewCustR1">calc!$E$573:$I$573</definedName>
    <definedName name="calcProd1Seg2ShareNewCustR2">calc!$E$581:$I$581</definedName>
    <definedName name="calcProd1Seg2ShareTotalCustR1">calc!$E$574:$I$574</definedName>
    <definedName name="calcProd1Seg2ShareTotalCustR2">calc!$E$582:$I$582</definedName>
    <definedName name="calcProd1Seg2SpeakerAllocR1">calc!$E$2062:$I$2062</definedName>
    <definedName name="calcProd1Seg2SpeakerAllocR2">calc!$E$2076:$I$2076</definedName>
    <definedName name="calcProd1Seg2TotalVolumeR1">calc!$E$572:$I$572</definedName>
    <definedName name="calcProd1Seg2TotalVolumeR2">calc!$E$580:$I$580</definedName>
    <definedName name="calcProd1Seg2VolumeTotalCustR1">calc!$E$570:$I$570</definedName>
    <definedName name="calcProd1Seg2VolumeTotalCustR2">calc!$E$578:$I$578</definedName>
    <definedName name="calcProd1Seg3CoachingCostR1">calc!$E$3109:$I$3109</definedName>
    <definedName name="calcProd1Seg3CoachingCostR2">calc!$E$3113:$I$3113</definedName>
    <definedName name="calcProd1Seg3Comp1Payer1ShareLostR1">calc!$E$3235:$I$3235</definedName>
    <definedName name="calcProd1Seg3Comp1Payer1ShareLostR2">calc!$E$3241:$I$3241</definedName>
    <definedName name="calcProd1Seg3Comp1Payer1ShareWonR1">calc!$E$3234:$I$3234</definedName>
    <definedName name="calcProd1Seg3Comp1Payer1ShareWonR2">calc!$E$3240:$I$3240</definedName>
    <definedName name="calcProd1Seg3Comp1Payer1TotalCustR1">calc!$E$831:$I$831</definedName>
    <definedName name="calcProd1Seg3Comp1Payer1TotalCustR2">calc!$E$836:$I$836</definedName>
    <definedName name="calcProd1Seg3Comp1Payer1TotalShareR1">calc!$E$686:$I$686</definedName>
    <definedName name="calcProd1Seg3Comp1Payer1TotalShareR2">calc!$E$691:$I$691</definedName>
    <definedName name="calcProd1Seg3Comp1Payer2ShareLostR1">calc!$E$3247:$I$3247</definedName>
    <definedName name="calcProd1Seg3Comp1Payer2ShareLostR2">calc!$E$3253:$I$3253</definedName>
    <definedName name="calcProd1Seg3Comp1Payer2ShareWonR1">calc!$E$3246:$I$3246</definedName>
    <definedName name="calcProd1Seg3Comp1Payer2ShareWonR2">calc!$E$3252:$I$3252</definedName>
    <definedName name="calcProd1Seg3Comp1Payer2TotalCustR1">calc!$E$832:$I$832</definedName>
    <definedName name="calcProd1Seg3Comp1Payer2TotalCustR2">calc!$E$837:$I$837</definedName>
    <definedName name="calcProd1Seg3Comp1Payer2TotalShareR1">calc!$E$696:$I$696</definedName>
    <definedName name="calcProd1Seg3Comp1Payer2TotalShareR2">calc!$E$701:$I$701</definedName>
    <definedName name="calcProd1Seg3Comp1Payer3ShareLostR1">calc!$E$3259:$I$3259</definedName>
    <definedName name="calcProd1Seg3Comp1Payer3ShareLostR2">calc!$E$3265:$I$3265</definedName>
    <definedName name="calcProd1Seg3Comp1Payer3ShareWonR1">calc!$E$3258:$I$3258</definedName>
    <definedName name="calcProd1Seg3Comp1Payer3ShareWonR2">calc!$E$3264:$I$3264</definedName>
    <definedName name="calcProd1Seg3Comp1Payer3TotalCustR1">calc!$E$833:$I$833</definedName>
    <definedName name="calcProd1Seg3Comp1Payer3TotalCustR2">calc!$E$838:$I$838</definedName>
    <definedName name="calcProd1Seg3Comp1Payer3TotalShareR1">calc!$E$706:$I$706</definedName>
    <definedName name="calcProd1Seg3Comp1Payer3TotalShareR2">calc!$E$711:$I$711</definedName>
    <definedName name="calcProd1Seg3Comp1TotalCustR1">calc!$E$834:$I$834</definedName>
    <definedName name="calcProd1Seg3Comp1TotalCustR2">calc!$E$839:$I$839</definedName>
    <definedName name="calcProd1Seg3Comp1TotalShareR1">calc!$E$835:$I$835</definedName>
    <definedName name="calcProd1Seg3Comp1TotalShareR2">calc!$E$840:$I$840</definedName>
    <definedName name="calcProd1Seg3Comp2Payer1ShareLostR1">calc!$E$3237:$I$3237</definedName>
    <definedName name="calcProd1Seg3Comp2Payer1ShareLostR2">calc!$E$3243:$I$3243</definedName>
    <definedName name="calcProd1Seg3Comp2Payer1ShareWonR1">calc!$E$3236:$I$3236</definedName>
    <definedName name="calcProd1Seg3Comp2Payer1ShareWonR2">calc!$E$3242:$I$3242</definedName>
    <definedName name="calcProd1Seg3Comp2Payer1TotalCustR1">calc!$E$877:$I$877</definedName>
    <definedName name="calcProd1Seg3Comp2Payer1TotalCustR2">calc!$E$882:$I$882</definedName>
    <definedName name="calcProd1Seg3Comp2Payer1TotalShareR1">calc!$E$780:$I$780</definedName>
    <definedName name="calcProd1Seg3Comp2Payer1TotalShareR2">calc!$E$785:$I$785</definedName>
    <definedName name="calcProd1Seg3Comp2Payer2ShareLostR1">calc!$E$3249:$I$3249</definedName>
    <definedName name="calcProd1Seg3Comp2Payer2ShareLostR2">calc!$E$3255:$I$3255</definedName>
    <definedName name="calcProd1Seg3Comp2Payer2ShareWonR1">calc!$E$3248:$I$3248</definedName>
    <definedName name="calcProd1Seg3Comp2Payer2ShareWonR2">calc!$E$3254:$I$3254</definedName>
    <definedName name="calcProd1Seg3Comp2Payer2TotalCustR1">calc!$E$878:$I$878</definedName>
    <definedName name="calcProd1Seg3Comp2Payer2TotalCustR2">calc!$E$883:$I$883</definedName>
    <definedName name="calcProd1Seg3Comp2Payer2TotalShareR1">calc!$E$790:$I$790</definedName>
    <definedName name="calcProd1Seg3Comp2Payer2TotalShareR2">calc!$E$795:$I$795</definedName>
    <definedName name="calcProd1Seg3Comp2Payer3ShareLostR1">calc!$E$3261:$I$3261</definedName>
    <definedName name="calcProd1Seg3Comp2Payer3ShareLostR2">calc!$E$3267:$I$3267</definedName>
    <definedName name="calcProd1Seg3Comp2Payer3ShareWonR1">calc!$E$3260:$I$3260</definedName>
    <definedName name="calcProd1Seg3Comp2Payer3ShareWonR2">calc!$E$3266:$I$3266</definedName>
    <definedName name="calcProd1Seg3Comp2Payer3TotalCustR1">calc!$E$879:$I$879</definedName>
    <definedName name="calcProd1Seg3Comp2Payer3TotalCustR2">calc!$E$884:$I$884</definedName>
    <definedName name="calcProd1Seg3Comp2Payer3TotalShareR1">calc!$E$800:$I$800</definedName>
    <definedName name="calcProd1Seg3Comp2Payer3TotalShareR2">calc!$E$805:$I$805</definedName>
    <definedName name="calcProd1Seg3Comp2TotalCustR1">calc!$E$880:$I$880</definedName>
    <definedName name="calcProd1Seg3Comp2TotalCustR2">calc!$E$885:$I$885</definedName>
    <definedName name="calcProd1Seg3Comp2TotalShareR1">calc!$E$881:$I$881</definedName>
    <definedName name="calcProd1Seg3Comp2TotalShareR2">calc!$E$886:$I$886</definedName>
    <definedName name="calcProd1Seg3FTEsCFCollabR1">calc!$E$1996:$I$1996</definedName>
    <definedName name="calcProd1Seg3FTEsCFCollabR2">calc!$E$2016:$I$2016</definedName>
    <definedName name="calcProd1Seg3FTEsRegTrainR1">calc!$E$1997:$I$1997</definedName>
    <definedName name="calcProd1Seg3FTEsRegTrainR2">calc!$E$2017:$I$2017</definedName>
    <definedName name="calcProd1Seg3FTEsRep1R1">calc!$E$1998:$I$1998</definedName>
    <definedName name="calcProd1Seg3FTEsRep1R2">calc!$E$2018:$I$2018</definedName>
    <definedName name="calcProd1Seg3FTEsRep2R1">calc!$E$1999:$I$1999</definedName>
    <definedName name="calcProd1Seg3FTEsRep2R2">calc!$E$2019:$I$2019</definedName>
    <definedName name="calcProd1Seg3FTEsRep3R1">calc!$E$2000:$I$2000</definedName>
    <definedName name="calcProd1Seg3FTEsRep3R2">calc!$E$2020:$I$2020</definedName>
    <definedName name="calcProd1Seg3GrossRevenueR1">calc!$E$2225:$I$2225</definedName>
    <definedName name="calcProd1Seg3GrossRevenueR2">calc!$E$2326:$I$2326</definedName>
    <definedName name="calcProd1Seg3InternalCostR1">calc!$E$3144:$I$3144</definedName>
    <definedName name="calcProd1Seg3InternalCostR2">calc!$E$3148:$I$3148</definedName>
    <definedName name="calcProd1Seg3MarketGrowthCustR1">calc!$E$588:$I$588</definedName>
    <definedName name="calcProd1Seg3MarketGrowthCustR2">calc!$E$596:$I$596</definedName>
    <definedName name="calcProd1Seg3NetRevenueR1">calc!$E$2226:$I$2226</definedName>
    <definedName name="calcProd1Seg3NetRevenueR2">calc!$E$2327:$I$2327</definedName>
    <definedName name="calcProd1Seg3NewCustR1">calc!$E$585:$I$585</definedName>
    <definedName name="calcProd1Seg3NewCustR2">calc!$E$593:$I$593</definedName>
    <definedName name="calcProd1Seg3Payer1GrossRevenueR1">calc!$E$2204:$I$2204</definedName>
    <definedName name="calcProd1Seg3Payer1GrossRevenueR2">calc!$E$2305:$I$2305</definedName>
    <definedName name="calcProd1Seg3Payer1MarketGrowthCustR1">calc!$E$347:$I$347</definedName>
    <definedName name="calcProd1Seg3Payer1MarketGrowthCustR2">calc!$E$374:$I$374</definedName>
    <definedName name="calcProd1Seg3Payer1MarketRecurCustR1">calc!$E$336:$I$336</definedName>
    <definedName name="calcProd1Seg3Payer1MarketRecurCustR2">calc!$E$362:$I$362</definedName>
    <definedName name="calcProd1Seg3Payer1NetRevenueR1">calc!$E$2205:$I$2205</definedName>
    <definedName name="calcProd1Seg3Payer1NetRevenueR2">calc!$E$2306:$I$2306</definedName>
    <definedName name="calcProd1Seg3Payer1PromotionShare">calc!$E$342:$I$342</definedName>
    <definedName name="calcProd1Seg3Payer1PromotionShareNew">calc!$E$352:$I$352</definedName>
    <definedName name="calcProd1Seg3Payer1PromotionShareNewR2">calc!$E$379:$I$379</definedName>
    <definedName name="calcProd1Seg3Payer1PromotionShareR2">calc!$E$368:$I$368</definedName>
    <definedName name="calcProd1Seg3Payer1RepCapShare">calc!$E$343:$I$343</definedName>
    <definedName name="calcProd1Seg3Payer1RepCapShareNew">calc!$E$353:$I$353</definedName>
    <definedName name="calcProd1Seg3Payer1RepCapShareNewR2">calc!$E$380:$I$380</definedName>
    <definedName name="calcProd1Seg3Payer1RepCapShareR2">calc!$E$369:$I$369</definedName>
    <definedName name="calcProd1Seg3Payer1SampleShare">calc!$E$340:$I$340</definedName>
    <definedName name="calcProd1Seg3Payer1SampleShareNew">calc!$E$350:$I$350</definedName>
    <definedName name="calcProd1Seg3Payer1SampleShareNewR2">calc!$E$377:$I$377</definedName>
    <definedName name="calcProd1Seg3Payer1SampleShareR2">calc!$E$366:$I$366</definedName>
    <definedName name="calcProd1Seg3Payer1ShareNewCustR1">calc!$E$355:$I$355</definedName>
    <definedName name="calcProd1Seg3Payer1ShareNewCustR2">calc!$E$382:$I$382</definedName>
    <definedName name="calcProd1Seg3Payer1ShareRecurCustR1">calc!$E$344:$I$344</definedName>
    <definedName name="calcProd1Seg3Payer1ShareRecurCustR2">calc!$E$371:$I$371</definedName>
    <definedName name="calcProd1Seg3Payer1ShareTotalCustR1">calc!$E$360:$I$360</definedName>
    <definedName name="calcProd1Seg3Payer1ShareTotalCustR2">calc!$E$387:$I$387</definedName>
    <definedName name="calcProd1Seg3Payer1SpeakerShare">calc!$E$341:$I$341</definedName>
    <definedName name="calcProd1Seg3Payer1SpeakerShareNew">calc!$E$351:$I$351</definedName>
    <definedName name="calcProd1Seg3Payer1SpeakerShareNewR2">calc!$E$378:$I$378</definedName>
    <definedName name="calcProd1Seg3Payer1SpeakerShareR2">calc!$E$367:$I$367</definedName>
    <definedName name="calcprod1Seg3Payer1TierImpactR1">calc!$E$338:$I$338</definedName>
    <definedName name="calcprod1Seg3Payer1TierImpactR2">calc!$E$364:$I$364</definedName>
    <definedName name="calcProd1Seg3Payer1TotalShareChangeR1">calc!$E$3233:$I$3233</definedName>
    <definedName name="calcProd1Seg3Payer1TotalShareChangeR2">calc!$E$3239:$I$3239</definedName>
    <definedName name="calcProd1Seg3Payer1TotalVolumeR1">calc!$E$358:$I$358</definedName>
    <definedName name="calcProd1Seg3Payer1TotalVolumeR2">calc!$E$385:$I$385</definedName>
    <definedName name="calcProd1Seg3Payer1VolumeNewCustR1">calc!$E$356:$I$356</definedName>
    <definedName name="calcProd1Seg3Payer1VolumeNewCustR2">calc!$E$383:$I$383</definedName>
    <definedName name="calcProd1Seg3Payer1VolumeR1">calc!$E$359:$I$359</definedName>
    <definedName name="calcProd1Seg3Payer1VolumeR2">calc!$E$386:$I$386</definedName>
    <definedName name="calcProd1Seg3Payer1VolumeRecurCustR1">calc!$E$345:$I$345</definedName>
    <definedName name="calcProd1Seg3Payer1VolumeRecurCustR2">calc!$E$372:$I$372</definedName>
    <definedName name="calcProd1Seg3Payer2GrossRevenueR1">calc!$E$2213:$I$2213</definedName>
    <definedName name="calcProd1Seg3Payer2GrossRevenueR2">calc!$E$2314:$I$2314</definedName>
    <definedName name="calcProd1Seg3Payer2MarketGrowthCustR1">calc!$E$401:$I$401</definedName>
    <definedName name="calcProd1Seg3Payer2MarketGrowthCustR2">calc!$E$428:$I$428</definedName>
    <definedName name="calcProd1Seg3Payer2MarketRecurCustR1">calc!$E$390:$I$390</definedName>
    <definedName name="calcProd1Seg3Payer2MarketRecurCustR2">calc!$E$416:$I$416</definedName>
    <definedName name="calcProd1Seg3Payer2NetRevenueR1">calc!$E$2214:$I$2214</definedName>
    <definedName name="calcProd1Seg3Payer2NetRevenueR2">calc!$E$2315:$I$2315</definedName>
    <definedName name="calcProd1Seg3Payer2PromotionShare">calc!$E$396:$I$396</definedName>
    <definedName name="calcProd1Seg3Payer2PromotionShareNew">calc!$E$406:$I$406</definedName>
    <definedName name="calcProd1Seg3Payer2PromotionShareNewR2">calc!$E$433:$I$433</definedName>
    <definedName name="calcProd1Seg3Payer2PromotionShareR2">calc!$E$422:$I$422</definedName>
    <definedName name="calcProd1Seg3Payer2RepCapShare">calc!$E$397:$I$397</definedName>
    <definedName name="calcProd1Seg3Payer2RepCapShareNew">calc!$E$407:$I$407</definedName>
    <definedName name="calcProd1Seg3Payer2RepCapShareNewR2">calc!$E$434:$I$434</definedName>
    <definedName name="calcProd1Seg3Payer2RepCapShareR2">calc!$E$423:$I$423</definedName>
    <definedName name="calcProd1Seg3Payer2SampleShare">calc!$E$394:$I$394</definedName>
    <definedName name="calcProd1Seg3Payer2SampleShareNew">calc!$E$404:$I$404</definedName>
    <definedName name="calcProd1Seg3Payer2SampleShareNewR2">calc!$E$431:$I$431</definedName>
    <definedName name="calcProd1Seg3Payer2SampleShareR2">calc!$E$420:$I$420</definedName>
    <definedName name="calcProd1Seg3Payer2ShareNewCustR1">calc!$E$409:$I$409</definedName>
    <definedName name="calcProd1Seg3Payer2ShareNewCustR2">calc!$E$436:$I$436</definedName>
    <definedName name="calcProd1Seg3Payer2ShareRecurCustR1">calc!$E$398:$I$398</definedName>
    <definedName name="calcProd1Seg3Payer2ShareRecurCustR2">calc!$E$425:$I$425</definedName>
    <definedName name="calcProd1Seg3Payer2ShareTotalCustR1">calc!$E$414:$I$414</definedName>
    <definedName name="calcProd1Seg3Payer2ShareTotalCustR2">calc!$E$441:$I$441</definedName>
    <definedName name="calcProd1Seg3Payer2SpeakerShare">calc!$E$395:$I$395</definedName>
    <definedName name="calcProd1Seg3Payer2SpeakerShareNew">calc!$E$405:$I$405</definedName>
    <definedName name="calcProd1Seg3Payer2SpeakerShareNewR2">calc!$E$432:$I$432</definedName>
    <definedName name="calcProd1Seg3Payer2SpeakerShareR2">calc!$E$421:$I$421</definedName>
    <definedName name="calcprod1Seg3Payer2TierImpactR1">calc!$E$392:$I$392</definedName>
    <definedName name="calcprod1Seg3Payer2TierImpactR2">calc!$E$418:$I$418</definedName>
    <definedName name="calcProd1Seg3Payer2TotalShareChangeR1">calc!$E$3245:$I$3245</definedName>
    <definedName name="calcProd1Seg3Payer2TotalShareChangeR2">calc!$E$3251:$I$3251</definedName>
    <definedName name="calcProd1Seg3Payer2TotalVolumeR1">calc!$E$412:$I$412</definedName>
    <definedName name="calcProd1Seg3Payer2TotalVolumeR2">calc!$E$439:$I$439</definedName>
    <definedName name="calcProd1Seg3Payer2VolumeNewCustR1">calc!$E$410:$I$410</definedName>
    <definedName name="calcProd1Seg3Payer2VolumeNewCustR2">calc!$E$437:$I$437</definedName>
    <definedName name="calcProd1Seg3Payer2VolumeR1">calc!$E$413:$I$413</definedName>
    <definedName name="calcProd1Seg3Payer2VolumeR2">calc!$E$440:$I$440</definedName>
    <definedName name="calcProd1Seg3Payer2VolumeRecurCustR1">calc!$E$399:$I$399</definedName>
    <definedName name="calcProd1Seg3Payer2VolumeRecurCustR2">calc!$E$426:$I$426</definedName>
    <definedName name="calcProd1Seg3Payer3GrossRevenueR1">calc!$E$2222:$I$2222</definedName>
    <definedName name="calcProd1Seg3Payer3GrossRevenueR2">calc!$E$2323:$I$2323</definedName>
    <definedName name="calcProd1Seg3Payer3MarketGrowthCustR1">calc!$E$455:$I$455</definedName>
    <definedName name="calcProd1Seg3Payer3MarketGrowthCustR2">calc!$E$482:$I$482</definedName>
    <definedName name="calcProd1Seg3Payer3MarketRecurCustR1">calc!$E$444:$I$444</definedName>
    <definedName name="calcProd1Seg3Payer3MarketRecurCustR2">calc!$E$470:$I$470</definedName>
    <definedName name="calcProd1Seg3Payer3NetRevenueR1">calc!$E$2223:$I$2223</definedName>
    <definedName name="calcProd1Seg3Payer3NetRevenueR2">calc!$E$2324:$I$2324</definedName>
    <definedName name="calcProd1Seg3Payer3PromotionShare">calc!$E$450:$I$450</definedName>
    <definedName name="calcProd1Seg3Payer3PromotionShareNew">calc!$E$460:$I$460</definedName>
    <definedName name="calcProd1Seg3Payer3PromotionShareNewR2">calc!$E$487:$I$487</definedName>
    <definedName name="calcProd1Seg3Payer3PromotionShareR2">calc!$E$476:$I$476</definedName>
    <definedName name="calcProd1Seg3Payer3RepCapShare">calc!$E$451:$I$451</definedName>
    <definedName name="calcProd1Seg3Payer3RepCapShareNew">calc!$E$461:$I$461</definedName>
    <definedName name="calcProd1Seg3Payer3RepCapShareNewR2">calc!$E$488:$I$488</definedName>
    <definedName name="calcProd1Seg3Payer3RepCapShareR2">calc!$E$477:$I$477</definedName>
    <definedName name="calcProd1Seg3Payer3SampleShare">calc!$E$448:$I$448</definedName>
    <definedName name="calcProd1Seg3Payer3SampleShareNew">calc!$E$458:$I$458</definedName>
    <definedName name="calcProd1Seg3Payer3SampleShareNewR2">calc!$E$485:$I$485</definedName>
    <definedName name="calcProd1Seg3Payer3SampleShareR2">calc!$E$474:$I$474</definedName>
    <definedName name="calcProd1Seg3Payer3ShareNewCustR1">calc!$E$463:$I$463</definedName>
    <definedName name="calcProd1Seg3Payer3ShareNewCustR2">calc!$E$490:$I$490</definedName>
    <definedName name="calcProd1Seg3Payer3ShareRecurCustR1">calc!$E$452:$I$452</definedName>
    <definedName name="calcProd1Seg3Payer3ShareRecurCustR2">calc!$E$479:$I$479</definedName>
    <definedName name="calcProd1Seg3Payer3ShareTotalCustR1">calc!$E$468:$I$468</definedName>
    <definedName name="calcProd1Seg3Payer3ShareTotalCustR2">calc!$E$495:$I$495</definedName>
    <definedName name="calcProd1Seg3Payer3SpeakerShare">calc!$E$449:$I$449</definedName>
    <definedName name="calcProd1Seg3Payer3SpeakerShareNew">calc!$E$459:$I$459</definedName>
    <definedName name="calcProd1Seg3Payer3SpeakerShareNewR2">calc!$E$486:$I$486</definedName>
    <definedName name="calcProd1Seg3Payer3SpeakerShareR2">calc!$E$475:$I$475</definedName>
    <definedName name="calcprod1Seg3Payer3TierImpactR1">calc!$E$446:$I$446</definedName>
    <definedName name="calcprod1Seg3Payer3TierImpactR2">calc!$E$472:$I$472</definedName>
    <definedName name="calcProd1Seg3Payer3TotalShareChangeR1">calc!$E$3257:$I$3257</definedName>
    <definedName name="calcProd1Seg3Payer3TotalShareChangeR2">calc!$E$3263:$I$3263</definedName>
    <definedName name="calcProd1Seg3Payer3TotalVolumeR1">calc!$E$466:$I$466</definedName>
    <definedName name="calcProd1Seg3Payer3TotalVolumeR2">calc!$E$493:$I$493</definedName>
    <definedName name="calcProd1Seg3Payer3VolumeNewCustR1">calc!$E$464:$I$464</definedName>
    <definedName name="calcProd1Seg3Payer3VolumeNewCustR2">calc!$E$491:$I$491</definedName>
    <definedName name="calcProd1Seg3Payer3VolumeR1">calc!$E$467:$I$467</definedName>
    <definedName name="calcProd1Seg3Payer3VolumeR2">calc!$E$494:$I$494</definedName>
    <definedName name="calcProd1Seg3Payer3VolumeRecurCustR1">calc!$E$453:$I$453</definedName>
    <definedName name="calcProd1Seg3Payer3VolumeRecurCustR2">calc!$E$480:$I$480</definedName>
    <definedName name="calcProd1Seg3PromotionAllocationR1">calc!$E$1957:$I$1957</definedName>
    <definedName name="calcProd1Seg3PromotionAllocationR2">calc!$E$1966:$I$1966</definedName>
    <definedName name="calcProd1Seg3PromotionAllocR1">calc!$E$2068:$I$2068</definedName>
    <definedName name="calcProd1Seg3PromotionAllocR2">calc!$E$2082:$I$2082</definedName>
    <definedName name="calcProd1Seg3RecurCustR1">calc!$E$586:$I$586</definedName>
    <definedName name="calcProd1Seg3RecurCustR2">calc!$E$594:$I$594</definedName>
    <definedName name="calcProd1Seg3RegTrainCostR1">calc!$E$3126:$I$3126</definedName>
    <definedName name="calcProd1Seg3RegTrainCostR2">calc!$E$3130:$I$3130</definedName>
    <definedName name="calcProd1Seg3Reimbursement">calc!$E$2227:$I$2227</definedName>
    <definedName name="calcProd1Seg3ReimbursementR2">calc!$E$2328:$I$2328</definedName>
    <definedName name="calcProd1Seg3Rep1BagWeightImpactR1">calc!$E$2744:$I$2744</definedName>
    <definedName name="calcProd1Seg3Rep1BagWeightImpactR2">calc!$E$2749:$I$2749</definedName>
    <definedName name="calcProd1Seg3Rep1BagWeightR1">calc!$E$2742:$I$2742</definedName>
    <definedName name="calcProd1Seg3Rep1BagWeightR2">calc!$E$2747:$I$2747</definedName>
    <definedName name="calcProd1Seg3Rep1CapR1">calc!$E$2606:$I$2606</definedName>
    <definedName name="calcProd1Seg3Rep1CapR2">calc!$E$2621:$I$2621</definedName>
    <definedName name="calcProd1Seg3Rep1ImpactR1">calc!$E$2885:$I$2885</definedName>
    <definedName name="calcProd1Seg3Rep1ImpactR2">calc!$E$2912:$I$2912</definedName>
    <definedName name="calcProd1Seg3Rep1InternalTimeR1">calc!$E$2998:$I$2998</definedName>
    <definedName name="calcProd1Seg3Rep1InternalTimeR2">calc!$E$3002:$I$3002</definedName>
    <definedName name="calcProd1Seg3Rep1Payer1ImpactR1">calc!$E$2889:$I$2889</definedName>
    <definedName name="calcProd1Seg3Rep1Payer1ImpactR2">calc!$E$2916:$I$2916</definedName>
    <definedName name="calcProd1Seg3Rep1Payer2ImpactR1">calc!$E$2890:$I$2890</definedName>
    <definedName name="calcProd1Seg3Rep1Payer2ImpactR2">calc!$E$2917:$I$2917</definedName>
    <definedName name="calcProd1Seg3Rep1Payer3ImpactR1">calc!$E$2891:$I$2891</definedName>
    <definedName name="calcProd1Seg3Rep1Payer3ImpactR2">calc!$E$2918:$I$2918</definedName>
    <definedName name="calcProd1Seg3Rep1Products">calc!$E$2674:$I$2674</definedName>
    <definedName name="calcProd1Seg3Rep2BagWeightImpactR1">calc!$E$2754:$I$2754</definedName>
    <definedName name="calcProd1Seg3Rep2BagWeightImpactR2">calc!$E$2759:$I$2759</definedName>
    <definedName name="calcProd1Seg3Rep2BagWeightR1">calc!$E$2752:$I$2752</definedName>
    <definedName name="calcProd1Seg3Rep2BagWeightR2">calc!$E$2757:$I$2757</definedName>
    <definedName name="calcProd1Seg3Rep2CapR1">calc!$E$2611:$I$2611</definedName>
    <definedName name="calcProd1Seg3Rep2CapR2">calc!$E$2626:$I$2626</definedName>
    <definedName name="calcProd1Seg3Rep2ImpactR1">calc!$E$2894:$I$2894</definedName>
    <definedName name="calcProd1Seg3Rep2ImpactR2">calc!$E$2921:$I$2921</definedName>
    <definedName name="calcProd1Seg3Rep2InternalTimeR1">calc!$E$3006:$I$3006</definedName>
    <definedName name="calcProd1Seg3Rep2InternalTimeR2">calc!$E$3010:$I$3010</definedName>
    <definedName name="calcProd1Seg3Rep2Payer1ImpactR1">calc!$E$2898:$I$2898</definedName>
    <definedName name="calcProd1Seg3Rep2Payer1ImpactR2">calc!$E$2925:$I$2925</definedName>
    <definedName name="calcProd1Seg3Rep2Payer2ImpactR1">calc!$E$2899:$I$2899</definedName>
    <definedName name="calcProd1Seg3Rep2Payer2ImpactR2">calc!$E$2926:$I$2926</definedName>
    <definedName name="calcProd1Seg3Rep2Payer3ImpactR1">calc!$E$2900:$I$2900</definedName>
    <definedName name="calcProd1Seg3Rep2Payer3ImpactR2">calc!$E$2927:$I$2927</definedName>
    <definedName name="calcProd1Seg3Rep2Products">calc!$E$2675:$I$2675</definedName>
    <definedName name="calcProd1Seg3Rep3BagWeightImpactR1">calc!$E$2764:$I$2764</definedName>
    <definedName name="calcProd1Seg3Rep3BagWeightImpactR2">calc!$E$2769:$I$2769</definedName>
    <definedName name="calcProd1Seg3Rep3BagWeightR1">calc!$E$2762:$I$2762</definedName>
    <definedName name="calcProd1Seg3Rep3BagWeightR2">calc!$E$2767:$I$2767</definedName>
    <definedName name="calcProd1Seg3Rep3CapR1">calc!$E$2616:$I$2616</definedName>
    <definedName name="calcProd1Seg3Rep3CapR2">calc!$E$2631:$I$2631</definedName>
    <definedName name="calcProd1Seg3Rep3ImpactR1">calc!$E$2903:$I$2903</definedName>
    <definedName name="calcProd1Seg3Rep3ImpactR2">calc!$E$2930:$I$2930</definedName>
    <definedName name="calcProd1Seg3Rep3InternalTimeR1">calc!$E$3014:$I$3014</definedName>
    <definedName name="calcProd1Seg3Rep3InternalTimeR2">calc!$E$3018:$I$3018</definedName>
    <definedName name="calcProd1Seg3Rep3Payer1ImpactR1">calc!$E$2907:$I$2907</definedName>
    <definedName name="calcProd1Seg3Rep3Payer1ImpactR2">calc!$E$2934:$I$2934</definedName>
    <definedName name="calcProd1Seg3Rep3Payer2ImpactR1">calc!$E$2908:$I$2908</definedName>
    <definedName name="calcProd1Seg3Rep3Payer2ImpactR2">calc!$E$2935:$I$2935</definedName>
    <definedName name="calcProd1Seg3Rep3Payer3ImpactR1">calc!$E$2909:$I$2909</definedName>
    <definedName name="calcProd1Seg3Rep3Payer3ImpactR2">calc!$E$2936:$I$2936</definedName>
    <definedName name="calcProd1Seg3Rep3Products">calc!$E$2676:$I$2676</definedName>
    <definedName name="calcProd1Seg3RepAvgBagWeightR1">calc!$E$1884:$I$1884</definedName>
    <definedName name="calcProd1Seg3RepAvgBagWeightR2">calc!$E$1885:$I$1885</definedName>
    <definedName name="calcProd1Seg3SampleAllocR1">calc!$E$2066:$I$2066</definedName>
    <definedName name="calcProd1Seg3SampleAllocR2">calc!$E$2080:$I$2080</definedName>
    <definedName name="calcProd1Seg3ShareNewCustR1">calc!$E$590:$I$590</definedName>
    <definedName name="calcProd1Seg3ShareNewCustR2">calc!$E$598:$I$598</definedName>
    <definedName name="calcProd1Seg3ShareTotalCustR1">calc!$E$591:$I$591</definedName>
    <definedName name="calcProd1Seg3ShareTotalCustR2">calc!$E$599:$I$599</definedName>
    <definedName name="calcProd1Seg3SpeakerAllocR1">calc!$E$2067:$I$2067</definedName>
    <definedName name="calcProd1Seg3SpeakerAllocR2">calc!$E$2081:$I$2081</definedName>
    <definedName name="calcProd1Seg3TotalVolumeR1">calc!$E$589:$I$589</definedName>
    <definedName name="calcProd1Seg3TotalVolumeR2">calc!$E$597:$I$597</definedName>
    <definedName name="calcProd1Seg3VolumeTotalCustR1">calc!$E$587:$I$587</definedName>
    <definedName name="calcProd1Seg3VolumeTotalCustR2">calc!$E$595:$I$595</definedName>
    <definedName name="calcProd1ShareNewCustR1">calc!$E$607:$I$607</definedName>
    <definedName name="calcProd1ShareNewCustR2">calc!$E$615:$I$615</definedName>
    <definedName name="calcProd1ShareTotalCustR1">calc!$E$608:$I$608</definedName>
    <definedName name="calcProd1ShareTotalCustR2">calc!$E$616:$I$616</definedName>
    <definedName name="calcProd1SpeakerProportionR1">calc!$E$1947:$I$1947</definedName>
    <definedName name="calcProd1SpeakerProportionR2">calc!$E$1948:$I$1948</definedName>
    <definedName name="calcProd1TotalGrossRevenue">calc!$E$2229:$I$2229</definedName>
    <definedName name="calcProd1TotalGrossRevenueR1">calc!$E$2229:$I$2229</definedName>
    <definedName name="calcProd1TotalGrossRevenueR2">calc!$E$2330:$I$2330</definedName>
    <definedName name="calcProd1TotalNetRevenue">calc!$E$2230:$I$2230</definedName>
    <definedName name="calcProd1TotalNetRevenueR1">calc!$E$2230:$I$2230</definedName>
    <definedName name="calcProd1TotalNetRevenueR2">calc!$E$2331:$I$2331</definedName>
    <definedName name="calcProd1TotalReimbursement">calc!$E$2231:$I$2231</definedName>
    <definedName name="calcProd1TotalReimbursementR1">calc!$E$2231:$I$2231</definedName>
    <definedName name="calcProd1TotalReimbursementR2">calc!$E$2332:$I$2332</definedName>
    <definedName name="calcProd1TotalVolumeR1">calc!$E$606:$I$606</definedName>
    <definedName name="calcProd1TotalVolumeR2">calc!$E$614:$I$614</definedName>
    <definedName name="calcProd1VolumeTotalCustR1">calc!$E$604:$I$604</definedName>
    <definedName name="calcProd1VolumeTotalCustR2">calc!$E$612:$I$612</definedName>
    <definedName name="calcReg1Comp1Payer1TotalShareR1">calc!$E$1647:$I$1647</definedName>
    <definedName name="calcReg1Comp1Payer1TotalShareR2">calc!$E$1651:$I$1651</definedName>
    <definedName name="calcReg1Comp1Payer2TotalShareR1">calc!$E$1648:$I$1648</definedName>
    <definedName name="calcReg1Comp1Payer2TotalShareR2">calc!$E$1652:$I$1652</definedName>
    <definedName name="calcReg1Comp1Payer3TotalShareR1">calc!$E$1649:$I$1649</definedName>
    <definedName name="calcReg1Comp1Payer3TotalShareR2">calc!$E$1653:$I$1653</definedName>
    <definedName name="calcReg1Comp1TotalCustR1">calc!$E$1655:$I$1655</definedName>
    <definedName name="calcReg1Comp1TotalCustR2">calc!$E$1656:$I$1656</definedName>
    <definedName name="calcReg1Comp2Payer1TotalShareR1">calc!$E$1796:$I$1796</definedName>
    <definedName name="calcReg1Comp2Payer1TotalShareR2">calc!$E$1800:$I$1800</definedName>
    <definedName name="calcReg1Comp2Payer2TotalShareR1">calc!$E$1797:$I$1797</definedName>
    <definedName name="calcReg1Comp2Payer2TotalShareR2">calc!$E$1801:$I$1801</definedName>
    <definedName name="calcReg1Comp2Payer3TotalShareR1">calc!$E$1798:$I$1798</definedName>
    <definedName name="calcReg1Comp2Payer3TotalShareR2">calc!$E$1802:$I$1802</definedName>
    <definedName name="calcReg1Comp2TotalCustR1">calc!$E$1658:$I$1658</definedName>
    <definedName name="calcReg1Comp2TotalCustR2">calc!$E$1659:$I$1659</definedName>
    <definedName name="calcReg1ESAT">calc!$E$1878:$I$1878</definedName>
    <definedName name="calcReg1FTEsLeft">calc!$E$2038:$I$2038</definedName>
    <definedName name="calcReg1FTEsLeftR1">calc!$E$2038:$I$2038</definedName>
    <definedName name="calcReg1FTEsLeftR2">calc!$E$2052:$I$2052</definedName>
    <definedName name="calcReg1MarketGrowthCustR1">calc!$E$1505:$I$1505</definedName>
    <definedName name="calcReg1MarketGrowthCustR2">calc!$E$1513:$I$1513</definedName>
    <definedName name="calcReg1NewCustR1">calc!$E$1503:$I$1503</definedName>
    <definedName name="calcReg1NewCustR2">calc!$E$1511:$I$1511</definedName>
    <definedName name="calcReg1Payer1MarketGrowthCustR1">calc!$E$1401:$I$1401</definedName>
    <definedName name="calcReg1Payer1MarketGrowthCustR2">calc!$E$1409:$I$1409</definedName>
    <definedName name="calcReg1Payer1NewCustR1">calc!$E$1399:$I$1399</definedName>
    <definedName name="calcReg1Payer1NewCustR2">calc!$E$1407:$I$1407</definedName>
    <definedName name="calcReg1Payer1RecurCustR1">calc!$E$1398:$I$1398</definedName>
    <definedName name="calcReg1Payer1RecurCustR2">calc!$E$1406:$I$1406</definedName>
    <definedName name="calcReg1Payer1ShareNewCustR1">calc!$E$1403:$I$1403</definedName>
    <definedName name="calcReg1Payer1ShareNewCustR2">calc!$E$1411:$I$1411</definedName>
    <definedName name="calcReg1Payer1ShareTotalCustR1">calc!$E$1404:$I$1404</definedName>
    <definedName name="calcReg1Payer1ShareTotalCustR2">calc!$E$1412:$I$1412</definedName>
    <definedName name="calcReg1Payer1TierOrientationR1">calc!$E$2122:$I$2122</definedName>
    <definedName name="calcReg1Payer1TierOrientationR2">calc!$E$2123:$I$2123</definedName>
    <definedName name="calcReg1Payer1TotalCustR1">calc!$E$1400:$I$1400</definedName>
    <definedName name="calcReg1Payer1TotalCustR2">calc!$E$1408:$I$1408</definedName>
    <definedName name="calcReg1Payer1TotalVolumeR1">calc!$E$1402:$I$1402</definedName>
    <definedName name="calcReg1Payer1TotalVolumeR2">calc!$E$1410:$I$1410</definedName>
    <definedName name="calcReg1Payer2MarketGrowthCustR1">calc!$E$1418:$I$1418</definedName>
    <definedName name="calcReg1Payer2MarketGrowthCustR2">calc!$E$1426:$I$1426</definedName>
    <definedName name="calcReg1Payer2NewCustR1">calc!$E$1416:$I$1416</definedName>
    <definedName name="calcReg1Payer2NewCustR2">calc!$E$1424:$I$1424</definedName>
    <definedName name="calcReg1Payer2RecurCustR1">calc!$E$1415:$I$1415</definedName>
    <definedName name="calcReg1Payer2RecurCustR2">calc!$E$1423:$I$1423</definedName>
    <definedName name="calcReg1Payer2ShareNewCustR1">calc!$E$1420:$I$1420</definedName>
    <definedName name="calcReg1Payer2ShareNewCustR2">calc!$E$1428:$I$1428</definedName>
    <definedName name="calcReg1Payer2ShareTotalCustR1">calc!$E$1421:$I$1421</definedName>
    <definedName name="calcReg1Payer2ShareTotalCustR2">calc!$E$1429:$I$1429</definedName>
    <definedName name="calcReg1Payer2TierOrientationR1">calc!$E$2124:$I$2124</definedName>
    <definedName name="calcReg1Payer2TierOrientationR2">calc!$E$2125:$I$2125</definedName>
    <definedName name="calcReg1Payer2TotalCustR1">calc!$E$1417:$I$1417</definedName>
    <definedName name="calcReg1Payer2TotalCustR2">calc!$E$1425:$I$1425</definedName>
    <definedName name="calcReg1Payer2TotalVolumeR1">calc!$E$1419:$I$1419</definedName>
    <definedName name="calcReg1Payer2TotalVolumeR2">calc!$E$1427:$I$1427</definedName>
    <definedName name="calcReg1Payer3MarketGrowthCustR1">calc!$E$1435:$I$1435</definedName>
    <definedName name="calcReg1Payer3MarketGrowthCustR2">calc!$E$1443:$I$1443</definedName>
    <definedName name="calcReg1Payer3NewCustR1">calc!$E$1433:$I$1433</definedName>
    <definedName name="calcReg1Payer3NewCustR2">calc!$E$1441:$I$1441</definedName>
    <definedName name="calcReg1Payer3RecurCustR1">calc!$E$1432:$I$1432</definedName>
    <definedName name="calcReg1Payer3RecurCustR2">calc!$E$1440:$I$1440</definedName>
    <definedName name="calcReg1Payer3ShareNewCustR1">calc!$E$1437:$I$1437</definedName>
    <definedName name="calcReg1Payer3ShareNewCustR2">calc!$E$1445:$I$1445</definedName>
    <definedName name="calcReg1Payer3ShareTotalCustR1">calc!$E$1438:$I$1438</definedName>
    <definedName name="calcReg1Payer3ShareTotalCustR2">calc!$E$1446:$I$1446</definedName>
    <definedName name="calcReg1Payer3TierOrientationR1">calc!$E$2126:$I$2126</definedName>
    <definedName name="calcReg1Payer3TierOrientationR2">calc!$E$2127:$I$2127</definedName>
    <definedName name="calcReg1Payer3TotalCustR1">calc!$E$1434:$I$1434</definedName>
    <definedName name="calcReg1Payer3TotalCustR2">calc!$E$1442:$I$1442</definedName>
    <definedName name="calcReg1Payer3TotalVolumeR1">calc!$E$1436:$I$1436</definedName>
    <definedName name="calcReg1Payer3TotalVolumeR2">calc!$E$1444:$I$1444</definedName>
    <definedName name="calcReg1RecurCustR1">calc!$E$1502:$I$1502</definedName>
    <definedName name="calcReg1RecurCustR2">calc!$E$1510:$I$1510</definedName>
    <definedName name="calcReg1Seg1CoachingCostR1">calc!$E$3115:$I$3115</definedName>
    <definedName name="calcReg1Seg1CoachingCostR2">calc!$E$3119:$I$3119</definedName>
    <definedName name="calcReg1Seg1Comp1Payer1ShareLostR1">calc!$E$3272:$I$3272</definedName>
    <definedName name="calcReg1Seg1Comp1Payer1ShareLostR2">calc!$E$3278:$I$3278</definedName>
    <definedName name="calcReg1Seg1Comp1Payer1ShareWonR1">calc!$E$3271:$I$3271</definedName>
    <definedName name="calcReg1Seg1Comp1Payer1ShareWonR2">calc!$E$3277:$I$3277</definedName>
    <definedName name="calcReg1Seg1Comp1Payer1TotalCustR1">calc!$E$1614:$I$1614</definedName>
    <definedName name="calcReg1Seg1Comp1Payer1TotalCustR2">calc!$E$1619:$I$1619</definedName>
    <definedName name="calcReg1Seg1Comp1Payer1TotalShareR1">calc!$E$1524:$I$1524</definedName>
    <definedName name="calcReg1Seg1Comp1Payer1TotalShareR2">calc!$E$1529:$I$1529</definedName>
    <definedName name="calcReg1Seg1Comp1Payer2ShareLostR1">calc!$E$3284:$I$3284</definedName>
    <definedName name="calcReg1Seg1Comp1Payer2ShareLostR2">calc!$E$3290:$I$3290</definedName>
    <definedName name="calcReg1Seg1Comp1Payer2ShareWonR1">calc!$E$3283:$I$3283</definedName>
    <definedName name="calcReg1Seg1Comp1Payer2ShareWonR2">calc!$E$3289:$I$3289</definedName>
    <definedName name="calcReg1Seg1Comp1Payer2TotalCustR1">calc!$E$1615:$I$1615</definedName>
    <definedName name="calcReg1Seg1Comp1Payer2TotalCustR2">calc!$E$1620:$I$1620</definedName>
    <definedName name="calcReg1Seg1Comp1Payer2TotalShareR1">calc!$E$1534:$I$1534</definedName>
    <definedName name="calcReg1Seg1Comp1Payer2TotalShareR2">calc!$E$1539:$I$1539</definedName>
    <definedName name="calcReg1Seg1Comp1Payer3ShareLostR1">calc!$E$3296:$I$3296</definedName>
    <definedName name="calcReg1Seg1Comp1Payer3ShareLostR2">calc!$E$3302:$I$3302</definedName>
    <definedName name="calcReg1Seg1Comp1Payer3ShareWonR1">calc!$E$3295:$I$3295</definedName>
    <definedName name="calcReg1Seg1Comp1Payer3ShareWonR2">calc!$E$3301:$I$3301</definedName>
    <definedName name="calcReg1Seg1Comp1Payer3TotalCustR1">calc!$E$1616:$I$1616</definedName>
    <definedName name="calcReg1Seg1Comp1Payer3TotalCustR2">calc!$E$1621:$I$1621</definedName>
    <definedName name="calcReg1Seg1Comp1Payer3TotalShareR1">calc!$E$1544:$I$1544</definedName>
    <definedName name="calcReg1Seg1Comp1Payer3TotalShareR2">calc!$E$1549:$I$1549</definedName>
    <definedName name="calcReg1Seg1Comp1TotalCustR1">calc!$E$1617:$I$1617</definedName>
    <definedName name="calcReg1Seg1Comp1TotalCustR2">calc!$E$1622:$I$1622</definedName>
    <definedName name="calcReg1Seg1Comp1TotalShareR1">calc!$E$1618:$I$1618</definedName>
    <definedName name="calcReg1Seg1Comp1TotalShareR2">calc!$E$1623:$I$1623</definedName>
    <definedName name="calcReg1Seg1Comp2Payer1ShareLostR1">calc!$E$3274:$I$3274</definedName>
    <definedName name="calcReg1Seg1Comp2Payer1ShareLostR2">calc!$E$3280:$I$3280</definedName>
    <definedName name="calcReg1Seg1Comp2Payer1ShareWonR1">calc!$E$3273:$I$3273</definedName>
    <definedName name="calcReg1Seg1Comp2Payer1ShareWonR2">calc!$E$3279:$I$3279</definedName>
    <definedName name="calcReg1Seg1Comp2Payer1TotalCustR1">calc!$E$1762:$I$1762</definedName>
    <definedName name="calcReg1Seg1Comp2Payer1TotalCustR2">calc!$E$1767:$I$1767</definedName>
    <definedName name="calcReg1Seg1Comp2Payer1TotalShareR1">calc!$E$1673:$I$1673</definedName>
    <definedName name="calcReg1Seg1Comp2Payer1TotalShareR2">calc!$E$1678:$I$1678</definedName>
    <definedName name="calcReg1Seg1Comp2Payer2ShareLostR1">calc!$E$3286:$I$3286</definedName>
    <definedName name="calcReg1Seg1Comp2Payer2ShareLostR2">calc!$E$3292:$I$3292</definedName>
    <definedName name="calcReg1Seg1Comp2Payer2ShareWonR1">calc!$E$3285:$I$3285</definedName>
    <definedName name="calcReg1Seg1Comp2Payer2ShareWonR2">calc!$E$3291:$I$3291</definedName>
    <definedName name="calcReg1Seg1Comp2Payer2TotalCustR1">calc!$E$1763:$I$1763</definedName>
    <definedName name="calcReg1Seg1Comp2Payer2TotalCustR2">calc!$E$1768:$I$1768</definedName>
    <definedName name="calcReg1Seg1Comp2Payer2TotalShareR1">calc!$E$1683:$I$1683</definedName>
    <definedName name="calcReg1Seg1Comp2Payer2TotalShareR2">calc!$E$1688:$I$1688</definedName>
    <definedName name="calcReg1Seg1Comp2Payer3ShareLostR1">calc!$E$3298:$I$3298</definedName>
    <definedName name="calcReg1Seg1Comp2Payer3ShareLostR2">calc!$E$3304:$I$3304</definedName>
    <definedName name="calcReg1Seg1Comp2Payer3ShareWonR1">calc!$E$3297:$I$3297</definedName>
    <definedName name="calcReg1Seg1Comp2Payer3ShareWonR2">calc!$E$3303:$I$3303</definedName>
    <definedName name="calcReg1Seg1Comp2Payer3TotalCustR1">calc!$E$1764:$I$1764</definedName>
    <definedName name="calcReg1Seg1Comp2Payer3TotalCustR2">calc!$E$1769:$I$1769</definedName>
    <definedName name="calcReg1Seg1Comp2Payer3TotalShareR1">calc!$E$1693:$I$1693</definedName>
    <definedName name="calcReg1Seg1Comp2Payer3TotalShareR2">calc!$E$1698:$I$1698</definedName>
    <definedName name="calcReg1Seg1Comp2TotalCustR1">calc!$E$1765:$I$1765</definedName>
    <definedName name="calcReg1Seg1Comp2TotalCustR2">calc!$E$1770:$I$1770</definedName>
    <definedName name="calcReg1Seg1Comp2TotalShareR1">calc!$E$1766:$I$1766</definedName>
    <definedName name="calcReg1Seg1Comp2TotalShareR2">calc!$E$1771:$I$1771</definedName>
    <definedName name="calcReg1Seg1FTEsCFCollabR1">calc!$E$2027:$I$2027</definedName>
    <definedName name="calcReg1Seg1FTEsCFCollabR2">calc!$E$2041:$I$2041</definedName>
    <definedName name="calcReg1Seg1FTEsRegTrainR1">calc!$E$2028:$I$2028</definedName>
    <definedName name="calcReg1Seg1FTEsRegTrainR2">calc!$E$2042:$I$2042</definedName>
    <definedName name="calcReg1Seg1FTEsRep1R1">calc!$E$2029:$I$2029</definedName>
    <definedName name="calcReg1Seg1FTEsRep1R2">calc!$E$2043:$I$2043</definedName>
    <definedName name="calcReg1Seg1GrossRevenueR1">calc!$E$2366:$I$2366</definedName>
    <definedName name="calcReg1Seg1GrossRevenueR2">calc!$E$2467:$I$2467</definedName>
    <definedName name="calcReg1Seg1InternalCostR1">calc!$E$3150:$I$3150</definedName>
    <definedName name="calcReg1Seg1InternalCostR2">calc!$E$3154:$I$3154</definedName>
    <definedName name="calcReg1Seg1MarketGrowthCustR1">calc!$E$1453:$I$1453</definedName>
    <definedName name="calcReg1Seg1MarketGrowthCustR2">calc!$E$1461:$I$1461</definedName>
    <definedName name="calcReg1Seg1NetRevenueR1">calc!$E$2367:$I$2367</definedName>
    <definedName name="calcReg1Seg1NetRevenueR2">calc!$E$2468:$I$2468</definedName>
    <definedName name="calcReg1Seg1NewCustR1">calc!$E$1450:$I$1450</definedName>
    <definedName name="calcReg1Seg1NewCustR2">calc!$E$1458:$I$1458</definedName>
    <definedName name="calcReg1Seg1Payer1GrossRevenueR1">calc!$E$2345:$I$2345</definedName>
    <definedName name="calcReg1Seg1Payer1GrossRevenueR2">calc!$E$2446:$I$2446</definedName>
    <definedName name="calcReg1Seg1Payer1MarketGrowthCustR1">calc!$E$919:$I$919</definedName>
    <definedName name="calcReg1Seg1Payer1MarketGrowthCustR2">calc!$E$946:$I$946</definedName>
    <definedName name="calcReg1Seg1Payer1MarketRecurCustR1">calc!$E$908:$I$908</definedName>
    <definedName name="calcReg1Seg1Payer1MarketRecurCustR2">calc!$E$934:$I$934</definedName>
    <definedName name="calcReg1Seg1Payer1NetRevenueR1">calc!$E$2346:$I$2346</definedName>
    <definedName name="calcReg1Seg1Payer1NetRevenueR2">calc!$E$2447:$I$2447</definedName>
    <definedName name="calcReg1Seg1Payer1PromotionShare">calc!$E$914:$I$914</definedName>
    <definedName name="calcReg1Seg1Payer1PromotionShareNew">calc!$E$924:$I$924</definedName>
    <definedName name="calcReg1Seg1Payer1PromotionShareNewR2">calc!$E$951:$I$951</definedName>
    <definedName name="calcReg1Seg1Payer1PromotionShareR2">calc!$E$940:$I$940</definedName>
    <definedName name="calcReg1Seg1Payer1RepCapShare">calc!$E$915:$I$915</definedName>
    <definedName name="calcReg1Seg1Payer1RepCapShareNew">calc!$E$925:$I$925</definedName>
    <definedName name="calcReg1Seg1Payer1RepCapShareNewR2">calc!$E$952:$I$952</definedName>
    <definedName name="calcReg1Seg1Payer1RepCapShareR2">calc!$E$941:$I$941</definedName>
    <definedName name="calcReg1Seg1Payer1SampleShare">calc!$E$912:$I$912</definedName>
    <definedName name="calcReg1Seg1Payer1SampleShareNew">calc!$E$922:$I$922</definedName>
    <definedName name="calcReg1Seg1Payer1SampleShareNewR2">calc!$E$949:$I$949</definedName>
    <definedName name="calcReg1Seg1Payer1SampleShareR2">calc!$E$938:$I$938</definedName>
    <definedName name="calcReg1Seg1Payer1ShareNewCustR1">calc!$E$927:$I$927</definedName>
    <definedName name="calcReg1Seg1Payer1ShareNewCustR2">calc!$E$954:$I$954</definedName>
    <definedName name="calcReg1Seg1Payer1ShareRecurCustR1">calc!$E$916:$I$916</definedName>
    <definedName name="calcReg1Seg1Payer1ShareRecurCustR2">calc!$E$943:$I$943</definedName>
    <definedName name="calcReg1Seg1Payer1ShareTotalCustR1">calc!$E$932:$I$932</definedName>
    <definedName name="calcReg1Seg1Payer1ShareTotalCustR2">calc!$E$959:$I$959</definedName>
    <definedName name="calcReg1Seg1Payer1SpeakerShare">calc!$E$913:$I$913</definedName>
    <definedName name="calcReg1Seg1Payer1SpeakerShareNew">calc!$E$923:$I$923</definedName>
    <definedName name="calcReg1Seg1Payer1SpeakerShareNewR2">calc!$E$950:$I$950</definedName>
    <definedName name="calcReg1Seg1Payer1SpeakerShareR2">calc!$E$939:$I$939</definedName>
    <definedName name="calcReg1Seg1Payer1TierImpactR1">calc!$E$910:$I$910</definedName>
    <definedName name="calcReg1Seg1Payer1TierImpactR2">calc!$E$936:$I$936</definedName>
    <definedName name="calcReg1Seg1Payer1TotalShareChangeR1">calc!$E$3270:$I$3270</definedName>
    <definedName name="calcReg1Seg1Payer1TotalShareChangeR2">calc!$E$3276:$I$3276</definedName>
    <definedName name="calcReg1Seg1Payer1TotalVolumeR1">calc!$E$930:$I$930</definedName>
    <definedName name="calcReg1Seg1Payer1TotalVolumeR2">calc!$E$957:$I$957</definedName>
    <definedName name="calcReg1Seg1Payer1VolumeNewCustR1">calc!$E$928:$I$928</definedName>
    <definedName name="calcReg1Seg1Payer1VolumeNewCustR2">calc!$E$955:$I$955</definedName>
    <definedName name="calcReg1Seg1Payer1VolumeR1">calc!$E$931:$I$931</definedName>
    <definedName name="calcReg1Seg1Payer1VolumeR2">calc!$E$958:$I$958</definedName>
    <definedName name="calcReg1Seg1Payer1VolumeRecurCustR1">calc!$E$917:$I$917</definedName>
    <definedName name="calcReg1Seg1Payer1VolumeRecurCustR2">calc!$E$944:$I$944</definedName>
    <definedName name="calcReg1Seg1Payer2GrossRevenueR1">calc!$E$2354:$I$2354</definedName>
    <definedName name="calcReg1Seg1Payer2GrossRevenueR2">calc!$E$2455:$I$2455</definedName>
    <definedName name="calcReg1Seg1Payer2MarketGrowthCustR1">calc!$E$973:$I$973</definedName>
    <definedName name="calcReg1Seg1Payer2MarketGrowthCustR2">calc!$E$1000:$I$1000</definedName>
    <definedName name="calcReg1Seg1Payer2MarketRecurCustR1">calc!$E$962:$I$962</definedName>
    <definedName name="calcReg1Seg1Payer2MarketRecurCustR2">calc!$E$988:$I$988</definedName>
    <definedName name="calcReg1Seg1Payer2NetRevenueR1">calc!$E$2355:$I$2355</definedName>
    <definedName name="calcReg1Seg1Payer2NetRevenueR2">calc!$E$2456:$I$2456</definedName>
    <definedName name="calcReg1Seg1Payer2PromotionShare">calc!$E$968:$I$968</definedName>
    <definedName name="calcReg1Seg1Payer2PromotionShareNew">calc!$E$978:$I$978</definedName>
    <definedName name="calcReg1Seg1Payer2PromotionShareNewR2">calc!$E$1005:$I$1005</definedName>
    <definedName name="calcReg1Seg1Payer2PromotionShareR2">calc!$E$994:$I$994</definedName>
    <definedName name="calcReg1Seg1Payer2RepCapShare">calc!$E$969:$I$969</definedName>
    <definedName name="calcReg1Seg1Payer2RepCapShareNew">calc!$E$979:$I$979</definedName>
    <definedName name="calcReg1Seg1Payer2RepCapShareNewR2">calc!$E$1006:$I$1006</definedName>
    <definedName name="calcReg1Seg1Payer2RepCapShareR2">calc!$E$995:$I$995</definedName>
    <definedName name="calcReg1Seg1Payer2SampleShare">calc!$E$966:$I$966</definedName>
    <definedName name="calcReg1Seg1Payer2SampleShareNew">calc!$E$976:$I$976</definedName>
    <definedName name="calcReg1Seg1Payer2SampleShareNewR2">calc!$E$1003:$I$1003</definedName>
    <definedName name="calcReg1Seg1Payer2SampleShareR2">calc!$E$992:$I$992</definedName>
    <definedName name="calcReg1Seg1Payer2ShareNewCustR1">calc!$E$981:$I$981</definedName>
    <definedName name="calcReg1Seg1Payer2ShareNewCustR2">calc!$E$1008:$I$1008</definedName>
    <definedName name="calcReg1Seg1Payer2ShareRecurCustR1">calc!$E$970:$I$970</definedName>
    <definedName name="calcReg1Seg1Payer2ShareRecurCustR2">calc!$E$997:$I$997</definedName>
    <definedName name="calcReg1Seg1Payer2ShareTotalCustR1">calc!$E$986:$I$986</definedName>
    <definedName name="calcReg1Seg1Payer2ShareTotalCustR2">calc!$E$1013:$I$1013</definedName>
    <definedName name="calcReg1Seg1Payer2SpeakerShare">calc!$E$967:$I$967</definedName>
    <definedName name="calcReg1Seg1Payer2SpeakerShareNew">calc!$E$977:$I$977</definedName>
    <definedName name="calcReg1Seg1Payer2SpeakerShareNewR2">calc!$E$1004:$I$1004</definedName>
    <definedName name="calcReg1Seg1Payer2SpeakerShareR2">calc!$E$993:$I$993</definedName>
    <definedName name="calcReg1Seg1Payer2TierImpactR1">calc!$E$964:$I$964</definedName>
    <definedName name="calcReg1Seg1Payer2TierImpactR2">calc!$E$990:$I$990</definedName>
    <definedName name="calcReg1Seg1Payer2TotalShareChangeR1">calc!$E$3282:$I$3282</definedName>
    <definedName name="calcReg1Seg1Payer2TotalShareChangeR2">calc!$E$3288:$I$3288</definedName>
    <definedName name="calcReg1Seg1Payer2TotalVolumeR1">calc!$E$984:$I$984</definedName>
    <definedName name="calcReg1Seg1Payer2TotalVolumeR2">calc!$E$1011:$I$1011</definedName>
    <definedName name="calcReg1Seg1Payer2VolumeNewCustR1">calc!$E$982:$I$982</definedName>
    <definedName name="calcReg1Seg1Payer2VolumeNewCustR2">calc!$E$1009:$I$1009</definedName>
    <definedName name="calcReg1Seg1Payer2VolumeR1">calc!$E$985:$I$985</definedName>
    <definedName name="calcReg1Seg1Payer2VolumeR2">calc!$E$1012:$I$1012</definedName>
    <definedName name="calcReg1Seg1Payer2VolumeRecurCustR1">calc!$E$971:$I$971</definedName>
    <definedName name="calcReg1Seg1Payer2VolumeRecurCustR2">calc!$E$998:$I$998</definedName>
    <definedName name="calcReg1Seg1Payer3GrossRevenueR1">calc!$E$2363:$I$2363</definedName>
    <definedName name="calcReg1Seg1Payer3GrossRevenueR2">calc!$E$2464:$I$2464</definedName>
    <definedName name="calcReg1Seg1Payer3MarketGrowthCustR1">calc!$E$1027:$I$1027</definedName>
    <definedName name="calcReg1Seg1Payer3MarketGrowthCustR2">calc!$E$1054:$I$1054</definedName>
    <definedName name="calcReg1Seg1Payer3MarketRecurCustR1">calc!$E$1016:$I$1016</definedName>
    <definedName name="calcReg1Seg1Payer3MarketRecurCustR2">calc!$E$1042:$I$1042</definedName>
    <definedName name="calcReg1Seg1Payer3NetRevenueR1">calc!$E$2364:$I$2364</definedName>
    <definedName name="calcReg1Seg1Payer3NetRevenueR2">calc!$E$2465:$I$2465</definedName>
    <definedName name="calcReg1Seg1Payer3PromotionShare">calc!$E$1022:$I$1022</definedName>
    <definedName name="calcReg1Seg1Payer3PromotionShareNew">calc!$E$1032:$I$1032</definedName>
    <definedName name="calcReg1Seg1Payer3PromotionShareNewR2">calc!$E$1059:$I$1059</definedName>
    <definedName name="calcReg1Seg1Payer3PromotionShareR2">calc!$E$1048:$I$1048</definedName>
    <definedName name="calcReg1Seg1Payer3RepCapShare">calc!$E$1023:$I$1023</definedName>
    <definedName name="calcReg1Seg1Payer3RepCapShareNew">calc!$E$1033:$I$1033</definedName>
    <definedName name="calcReg1Seg1Payer3RepCapShareNewR2">calc!$E$1060:$I$1060</definedName>
    <definedName name="calcReg1Seg1Payer3RepCapShareR2">calc!$E$1049:$I$1049</definedName>
    <definedName name="calcReg1Seg1Payer3SampleShare">calc!$E$1020:$I$1020</definedName>
    <definedName name="calcReg1Seg1Payer3SampleShareNew">calc!$E$1030:$I$1030</definedName>
    <definedName name="calcReg1Seg1Payer3SampleShareNewR2">calc!$E$1057:$I$1057</definedName>
    <definedName name="calcReg1Seg1Payer3SampleShareR2">calc!$E$1046:$I$1046</definedName>
    <definedName name="calcReg1Seg1Payer3ShareNewCustR1">calc!$E$1035:$I$1035</definedName>
    <definedName name="calcReg1Seg1Payer3ShareNewCustR2">calc!$E$1062:$I$1062</definedName>
    <definedName name="calcReg1Seg1Payer3ShareRecurCustR1">calc!$E$1024:$I$1024</definedName>
    <definedName name="calcReg1Seg1Payer3ShareRecurCustR2">calc!$E$1051:$I$1051</definedName>
    <definedName name="calcReg1Seg1Payer3ShareTotalCustR1">calc!$E$1040:$I$1040</definedName>
    <definedName name="calcReg1Seg1Payer3ShareTotalCustR2">calc!$E$1067:$I$1067</definedName>
    <definedName name="calcReg1Seg1Payer3SpeakerShare">calc!$E$1021:$I$1021</definedName>
    <definedName name="calcReg1Seg1Payer3SpeakerShareNew">calc!$E$1031:$I$1031</definedName>
    <definedName name="calcReg1Seg1Payer3SpeakerShareNewR2">calc!$E$1058:$I$1058</definedName>
    <definedName name="calcReg1Seg1Payer3SpeakerShareR2">calc!$E$1047:$I$1047</definedName>
    <definedName name="calcReg1Seg1Payer3TierImpactR1">calc!$E$1018:$I$1018</definedName>
    <definedName name="calcReg1Seg1Payer3TierImpactR2">calc!$E$1044:$I$1044</definedName>
    <definedName name="calcReg1Seg1Payer3TotalShareChangeR1">calc!$E$3294:$I$3294</definedName>
    <definedName name="calcReg1Seg1Payer3TotalShareChangeR2">calc!$E$3300:$I$3300</definedName>
    <definedName name="calcReg1Seg1Payer3TotalVolumeR1">calc!$E$1038:$I$1038</definedName>
    <definedName name="calcReg1Seg1Payer3TotalVolumeR2">calc!$E$1065:$I$1065</definedName>
    <definedName name="calcReg1Seg1Payer3VolumeNewCustR1">calc!$E$1036:$I$1036</definedName>
    <definedName name="calcReg1Seg1Payer3VolumeNewCustR2">calc!$E$1063:$I$1063</definedName>
    <definedName name="calcReg1Seg1Payer3VolumeR1">calc!$E$1039:$I$1039</definedName>
    <definedName name="calcReg1Seg1Payer3VolumeR2">calc!$E$1066:$I$1066</definedName>
    <definedName name="calcReg1Seg1Payer3VolumeRecurCustR1">calc!$E$1025:$I$1025</definedName>
    <definedName name="calcReg1Seg1Payer3VolumeRecurCustR2">calc!$E$1052:$I$1052</definedName>
    <definedName name="calcReg1Seg1PromotionAllocationR1">calc!$E$1972:$I$1972</definedName>
    <definedName name="calcReg1Seg1PromotionAllocationR2">calc!$E$1979:$I$1979</definedName>
    <definedName name="calcReg1Seg1PromotionAllocR1">calc!$E$2087:$I$2087</definedName>
    <definedName name="calcReg1Seg1PromotionAllocR2">calc!$E$2101:$I$2101</definedName>
    <definedName name="calcReg1Seg1RecurCustR1">calc!$E$1451:$I$1451</definedName>
    <definedName name="calcReg1Seg1RecurCustR2">calc!$E$1459:$I$1459</definedName>
    <definedName name="calcReg1Seg1RegTrainCostR1">calc!$E$3133:$I$3133</definedName>
    <definedName name="calcReg1Seg1RegTrainCostR2">calc!$E$3137:$I$3137</definedName>
    <definedName name="calcReg1Seg1Reimbursement">calc!$E$2368:$I$2368</definedName>
    <definedName name="calcReg1Seg1ReimbursementR2">calc!$E$2469:$I$2469</definedName>
    <definedName name="calcReg1Seg1Rep1CapR1">calc!$E$2638:$I$2638</definedName>
    <definedName name="calcReg1Seg1Rep1CapR2">calc!$E$2643:$I$2643</definedName>
    <definedName name="calcReg1Seg1Rep1ImpactR1">calc!$E$3053:$I$3053</definedName>
    <definedName name="calcReg1Seg1Rep1ImpactR2">calc!$E$3062:$I$3062</definedName>
    <definedName name="calcReg1Seg1Rep1InternalTimeR1">calc!$E$3025:$I$3025</definedName>
    <definedName name="calcReg1Seg1Rep1InternalTimeR2">calc!$E$3030:$I$3030</definedName>
    <definedName name="calcReg1Seg1Rep1Payer1ImpactR1">calc!$E$3057:$I$3057</definedName>
    <definedName name="calcReg1Seg1Rep1Payer1ImpactR2">calc!$E$3066:$I$3066</definedName>
    <definedName name="calcReg1Seg1Rep1Payer2ImpactR1">calc!$E$3058:$I$3058</definedName>
    <definedName name="calcReg1Seg1Rep1Payer2ImpactR2">calc!$E$3067:$I$3067</definedName>
    <definedName name="calcReg1Seg1Rep1Payer3ImpactR1">calc!$E$3059:$I$3059</definedName>
    <definedName name="calcReg1Seg1Rep1Payer3ImpactR2">calc!$E$3068:$I$3068</definedName>
    <definedName name="calcReg1Seg1SampleAllocR1">calc!$E$2085:$I$2085</definedName>
    <definedName name="calcReg1Seg1SampleAllocR2">calc!$E$2099:$I$2099</definedName>
    <definedName name="calcReg1Seg1ShareNewCustR1">calc!$E$1455:$I$1455</definedName>
    <definedName name="calcReg1Seg1ShareNewCustR2">calc!$E$1463:$I$1463</definedName>
    <definedName name="calcReg1Seg1ShareTotalCustR1">calc!$E$1456:$I$1456</definedName>
    <definedName name="calcReg1Seg1ShareTotalCustR2">calc!$E$1464:$I$1464</definedName>
    <definedName name="calcReg1Seg1SpeakerAllocR1">calc!$E$2086:$I$2086</definedName>
    <definedName name="calcReg1Seg1SpeakerAllocR2">calc!$E$2100:$I$2100</definedName>
    <definedName name="calcReg1Seg1TotalVolumeR1">calc!$E$1454:$I$1454</definedName>
    <definedName name="calcReg1Seg1TotalVolumeR2">calc!$E$1462:$I$1462</definedName>
    <definedName name="calcReg1Seg1VolumeTotalCustR1">calc!$E$1452:$I$1452</definedName>
    <definedName name="calcReg1Seg1VolumeTotalCustR2">calc!$E$1460:$I$1460</definedName>
    <definedName name="calcReg1Seg2CoachingCostR1">calc!$E$3116:$I$3116</definedName>
    <definedName name="calcReg1Seg2CoachingCostR2">calc!$E$3120:$I$3120</definedName>
    <definedName name="calcReg1Seg2Comp1Payer1ShareLostR1">calc!$E$3308:$I$3308</definedName>
    <definedName name="calcReg1Seg2Comp1Payer1ShareLostR2">calc!$E$3314:$I$3314</definedName>
    <definedName name="calcReg1Seg2Comp1Payer1ShareWonR1">calc!$E$3307:$I$3307</definedName>
    <definedName name="calcReg1Seg2Comp1Payer1ShareWonR2">calc!$E$3313:$I$3313</definedName>
    <definedName name="calcReg1Seg2Comp1Payer1TotalCustR1">calc!$E$1625:$I$1625</definedName>
    <definedName name="calcReg1Seg2Comp1Payer1TotalCustR2">calc!$E$1630:$I$1630</definedName>
    <definedName name="calcReg1Seg2Comp1Payer1TotalShareR1">calc!$E$1555:$I$1555</definedName>
    <definedName name="calcReg1Seg2Comp1Payer1TotalShareR2">calc!$E$1560:$I$1560</definedName>
    <definedName name="calcReg1Seg2Comp1Payer2ShareLostR1">calc!$E$3320:$I$3320</definedName>
    <definedName name="calcReg1Seg2Comp1Payer2ShareLostR2">calc!$E$3326:$I$3326</definedName>
    <definedName name="calcReg1Seg2Comp1Payer2ShareWonR1">calc!$E$3319:$I$3319</definedName>
    <definedName name="calcReg1Seg2Comp1Payer2ShareWonR2">calc!$E$3325:$I$3325</definedName>
    <definedName name="calcReg1Seg2Comp1Payer2TotalCustR1">calc!$E$1626:$I$1626</definedName>
    <definedName name="calcReg1Seg2Comp1Payer2TotalCustR2">calc!$E$1631:$I$1631</definedName>
    <definedName name="calcReg1Seg2Comp1Payer2TotalShareR1">calc!$E$1565:$I$1565</definedName>
    <definedName name="calcReg1Seg2Comp1Payer2TotalShareR2">calc!$E$1570:$I$1570</definedName>
    <definedName name="calcReg1Seg2Comp1Payer3ShareLostR1">calc!$E$3332:$I$3332</definedName>
    <definedName name="calcReg1Seg2Comp1Payer3ShareLostR2">calc!$E$3338:$I$3338</definedName>
    <definedName name="calcReg1Seg2Comp1Payer3ShareWonR1">calc!$E$3331:$I$3331</definedName>
    <definedName name="calcReg1Seg2Comp1Payer3ShareWonR2">calc!$E$3337:$I$3337</definedName>
    <definedName name="calcReg1Seg2Comp1Payer3TotalCustR1">calc!$E$1627:$I$1627</definedName>
    <definedName name="calcReg1Seg2Comp1Payer3TotalCustR2">calc!$E$1632:$I$1632</definedName>
    <definedName name="calcReg1Seg2Comp1Payer3TotalShareR1">calc!$E$1575:$I$1575</definedName>
    <definedName name="calcReg1Seg2Comp1Payer3TotalShareR2">calc!$E$1580:$I$1580</definedName>
    <definedName name="calcReg1Seg2Comp1TotalCustR1">calc!$E$1628:$I$1628</definedName>
    <definedName name="calcReg1Seg2Comp1TotalCustR2">calc!$E$1633:$I$1633</definedName>
    <definedName name="calcReg1Seg2Comp1TotalShareR1">calc!$E$1629:$I$1629</definedName>
    <definedName name="calcReg1Seg2Comp1TotalShareR2">calc!$E$1634:$I$1634</definedName>
    <definedName name="calcReg1Seg2Comp2Payer1ShareLostR1">calc!$E$3310:$I$3310</definedName>
    <definedName name="calcReg1Seg2Comp2Payer1ShareLostR2">calc!$E$3316:$I$3316</definedName>
    <definedName name="calcReg1Seg2Comp2Payer1ShareWonR1">calc!$E$3309:$I$3309</definedName>
    <definedName name="calcReg1Seg2Comp2Payer1ShareWonR2">calc!$E$3315:$I$3315</definedName>
    <definedName name="calcReg1Seg2Comp2Payer1TotalCustR1">calc!$E$1773:$I$1773</definedName>
    <definedName name="calcReg1Seg2Comp2Payer1TotalCustR2">calc!$E$1778:$I$1778</definedName>
    <definedName name="calcReg1Seg2Comp2Payer1TotalShareR1">calc!$E$1704:$I$1704</definedName>
    <definedName name="calcReg1Seg2Comp2Payer1TotalShareR2">calc!$E$1709:$I$1709</definedName>
    <definedName name="calcReg1Seg2Comp2Payer2ShareLostR1">calc!$E$3322:$I$3322</definedName>
    <definedName name="calcReg1Seg2Comp2Payer2ShareLostR2">calc!$E$3328:$I$3328</definedName>
    <definedName name="calcReg1Seg2Comp2Payer2ShareWonR1">calc!$E$3321:$I$3321</definedName>
    <definedName name="calcReg1Seg2Comp2Payer2ShareWonR2">calc!$E$3327:$I$3327</definedName>
    <definedName name="calcReg1Seg2Comp2Payer2TotalCustR1">calc!$E$1774:$I$1774</definedName>
    <definedName name="calcReg1Seg2Comp2Payer2TotalCustR2">calc!$E$1779:$I$1779</definedName>
    <definedName name="calcReg1Seg2Comp2Payer2TotalShareR1">calc!$E$1714:$I$1714</definedName>
    <definedName name="calcReg1Seg2Comp2Payer2TotalShareR2">calc!$E$1719:$I$1719</definedName>
    <definedName name="calcReg1Seg2Comp2Payer3ShareLostR1">calc!$E$3334:$I$3334</definedName>
    <definedName name="calcReg1Seg2Comp2Payer3ShareLostR2">calc!$E$3340:$I$3340</definedName>
    <definedName name="calcReg1Seg2Comp2Payer3ShareWonR1">calc!$E$3333:$I$3333</definedName>
    <definedName name="calcReg1Seg2Comp2Payer3ShareWonR2">calc!$E$3339:$I$3339</definedName>
    <definedName name="calcReg1Seg2Comp2Payer3TotalCustR1">calc!$E$1775:$I$1775</definedName>
    <definedName name="calcReg1Seg2Comp2Payer3TotalCustR2">calc!$E$1780:$I$1780</definedName>
    <definedName name="calcReg1Seg2Comp2Payer3TotalShareR1">calc!$E$1724:$I$1724</definedName>
    <definedName name="calcReg1Seg2Comp2Payer3TotalShareR2">calc!$E$1729:$I$1729</definedName>
    <definedName name="calcReg1Seg2Comp2TotalCustR1">calc!$E$1776:$I$1776</definedName>
    <definedName name="calcReg1Seg2Comp2TotalCustR2">calc!$E$1781:$I$1781</definedName>
    <definedName name="calcReg1Seg2Comp2TotalShareR1">calc!$E$1777:$I$1777</definedName>
    <definedName name="calcReg1Seg2Comp2TotalShareR2">calc!$E$1782:$I$1782</definedName>
    <definedName name="calcReg1Seg2FTEsCFCollabR1">calc!$E$2030:$I$2030</definedName>
    <definedName name="calcReg1Seg2FTEsCFCollabR2">calc!$E$2044:$I$2044</definedName>
    <definedName name="calcReg1Seg2FTEsRegTrainR1">calc!$E$2031:$I$2031</definedName>
    <definedName name="calcReg1Seg2FTEsRegTrainR2">calc!$E$2045:$I$2045</definedName>
    <definedName name="calcReg1Seg2FTEsRep1R1">calc!$E$2032:$I$2032</definedName>
    <definedName name="calcReg1Seg2FTEsRep1R2">calc!$E$2046:$I$2046</definedName>
    <definedName name="calcReg1Seg2GrossRevenueR1">calc!$E$2398:$I$2398</definedName>
    <definedName name="calcReg1Seg2GrossRevenueR2">calc!$E$2499:$I$2499</definedName>
    <definedName name="calcReg1Seg2InternalCostR1">calc!$E$3151:$I$3151</definedName>
    <definedName name="calcReg1Seg2InternalCostR2">calc!$E$3155:$I$3155</definedName>
    <definedName name="calcReg1Seg2MarketGrowthCustR1">calc!$E$1470:$I$1470</definedName>
    <definedName name="calcReg1Seg2MarketGrowthCustR2">calc!$E$1478:$I$1478</definedName>
    <definedName name="calcReg1Seg2NetRevenueR1">calc!$E$2399:$I$2399</definedName>
    <definedName name="calcReg1Seg2NetRevenueR2">calc!$E$2500:$I$2500</definedName>
    <definedName name="calcReg1Seg2NewCustR1">calc!$E$1467:$I$1467</definedName>
    <definedName name="calcReg1Seg2NewCustR2">calc!$E$1475:$I$1475</definedName>
    <definedName name="calcReg1Seg2Payer1GrossRevenueR1">calc!$E$2377:$I$2377</definedName>
    <definedName name="calcReg1Seg2Payer1GrossRevenueR2">calc!$E$2478:$I$2478</definedName>
    <definedName name="calcReg1Seg2Payer1MarketGrowthCustR1">calc!$E$1082:$I$1082</definedName>
    <definedName name="calcReg1Seg2Payer1MarketGrowthCustR2">calc!$E$1109:$I$1109</definedName>
    <definedName name="calcReg1Seg2Payer1MarketRecurCustR1">calc!$E$1071:$I$1071</definedName>
    <definedName name="calcReg1Seg2Payer1MarketRecurCustR2">calc!$E$1097:$I$1097</definedName>
    <definedName name="calcReg1Seg2Payer1NetRevenueR1">calc!$E$2378:$I$2378</definedName>
    <definedName name="calcReg1Seg2Payer1NetRevenueR2">calc!$E$2479:$I$2479</definedName>
    <definedName name="calcReg1Seg2Payer1PromotionShare">calc!$E$1077:$I$1077</definedName>
    <definedName name="calcReg1Seg2Payer1PromotionShareNew">calc!$E$1087:$I$1087</definedName>
    <definedName name="calcReg1Seg2Payer1PromotionShareNewR2">calc!$E$1114:$I$1114</definedName>
    <definedName name="calcReg1Seg2Payer1PromotionShareR2">calc!$E$1103:$I$1103</definedName>
    <definedName name="calcReg1Seg2Payer1RepCapShare">calc!$E$1078:$I$1078</definedName>
    <definedName name="calcReg1Seg2Payer1RepCapShareNew">calc!$E$1088:$I$1088</definedName>
    <definedName name="calcReg1Seg2Payer1RepCapShareNewR2">calc!$E$1115:$I$1115</definedName>
    <definedName name="calcReg1Seg2Payer1RepCapShareR2">calc!$E$1104:$I$1104</definedName>
    <definedName name="calcReg1Seg2Payer1SampleShare">calc!$E$1075:$I$1075</definedName>
    <definedName name="calcReg1Seg2Payer1SampleShareNew">calc!$E$1085:$I$1085</definedName>
    <definedName name="calcReg1Seg2Payer1SampleShareNewR2">calc!$E$1112:$I$1112</definedName>
    <definedName name="calcReg1Seg2Payer1SampleShareR2">calc!$E$1101:$I$1101</definedName>
    <definedName name="calcReg1Seg2Payer1ShareNewCustR1">calc!$E$1090:$I$1090</definedName>
    <definedName name="calcReg1Seg2Payer1ShareNewCustR2">calc!$E$1117:$I$1117</definedName>
    <definedName name="calcReg1Seg2Payer1ShareRecurCustR1">calc!$E$1079:$I$1079</definedName>
    <definedName name="calcReg1Seg2Payer1ShareRecurCustR2">calc!$E$1106:$I$1106</definedName>
    <definedName name="calcReg1Seg2Payer1ShareTotalCustR1">calc!$E$1095:$I$1095</definedName>
    <definedName name="calcReg1Seg2Payer1ShareTotalCustR2">calc!$E$1122:$I$1122</definedName>
    <definedName name="calcReg1Seg2Payer1SpeakerShare">calc!$E$1076:$I$1076</definedName>
    <definedName name="calcReg1Seg2Payer1SpeakerShareNew">calc!$E$1086:$I$1086</definedName>
    <definedName name="calcReg1Seg2Payer1SpeakerShareNewR2">calc!$E$1113:$I$1113</definedName>
    <definedName name="calcReg1Seg2Payer1SpeakerShareR2">calc!$E$1102:$I$1102</definedName>
    <definedName name="calcReg1Seg2Payer1TierImpactR1">calc!$E$1073:$I$1073</definedName>
    <definedName name="calcReg1Seg2Payer1TierImpactR2">calc!$E$1099:$I$1099</definedName>
    <definedName name="calcReg1Seg2Payer1TotalShareChangeR1">calc!$E$3306:$I$3306</definedName>
    <definedName name="calcReg1Seg2Payer1TotalShareChangeR2">calc!$E$3312:$I$3312</definedName>
    <definedName name="calcReg1Seg2Payer1TotalVolumeR1">calc!$E$1093:$I$1093</definedName>
    <definedName name="calcReg1Seg2Payer1TotalVolumeR2">calc!$E$1120:$I$1120</definedName>
    <definedName name="calcReg1Seg2Payer1VolumeNewCustR1">calc!$E$1091:$I$1091</definedName>
    <definedName name="calcReg1Seg2Payer1VolumeNewCustR2">calc!$E$1118:$I$1118</definedName>
    <definedName name="calcReg1Seg2Payer1VolumeR1">calc!$E$1094:$I$1094</definedName>
    <definedName name="calcReg1Seg2Payer1VolumeR2">calc!$E$1121:$I$1121</definedName>
    <definedName name="calcReg1Seg2Payer1VolumeRecurCustR1">calc!$E$1080:$I$1080</definedName>
    <definedName name="calcReg1Seg2Payer1VolumeRecurCustR2">calc!$E$1107:$I$1107</definedName>
    <definedName name="calcReg1Seg2Payer2GrossRevenueR1">calc!$E$2386:$I$2386</definedName>
    <definedName name="calcReg1Seg2Payer2GrossRevenueR2">calc!$E$2487:$I$2487</definedName>
    <definedName name="calcReg1Seg2Payer2MarketGrowthCustR1">calc!$E$1136:$I$1136</definedName>
    <definedName name="calcReg1Seg2Payer2MarketGrowthCustR2">calc!$E$1163:$I$1163</definedName>
    <definedName name="calcReg1Seg2Payer2MarketRecurCustR1">calc!$E$1125:$I$1125</definedName>
    <definedName name="calcReg1Seg2Payer2MarketRecurCustR2">calc!$E$1151:$I$1151</definedName>
    <definedName name="calcReg1Seg2Payer2NetRevenueR1">calc!$E$2387:$I$2387</definedName>
    <definedName name="calcReg1Seg2Payer2NetRevenueR2">calc!$E$2488:$I$2488</definedName>
    <definedName name="calcReg1Seg2Payer2PromotionShare">calc!$E$1131:$I$1131</definedName>
    <definedName name="calcReg1Seg2Payer2PromotionShareNew">calc!$E$1141:$I$1141</definedName>
    <definedName name="calcReg1Seg2Payer2PromotionShareNewR2">calc!$E$1168:$I$1168</definedName>
    <definedName name="calcReg1Seg2Payer2PromotionShareR2">calc!$E$1157:$I$1157</definedName>
    <definedName name="calcReg1Seg2Payer2RepCapShare">calc!$E$1132:$I$1132</definedName>
    <definedName name="calcReg1Seg2Payer2RepCapShareNew">calc!$E$1142:$I$1142</definedName>
    <definedName name="calcReg1Seg2Payer2RepCapShareNewR2">calc!$E$1169:$I$1169</definedName>
    <definedName name="calcReg1Seg2Payer2RepCapShareR2">calc!$E$1158:$I$1158</definedName>
    <definedName name="calcReg1Seg2Payer2SampleShare">calc!$E$1129:$I$1129</definedName>
    <definedName name="calcReg1Seg2Payer2SampleShareNew">calc!$E$1139:$I$1139</definedName>
    <definedName name="calcReg1Seg2Payer2SampleShareNewR2">calc!$E$1166:$I$1166</definedName>
    <definedName name="calcReg1Seg2Payer2SampleShareR2">calc!$E$1155:$I$1155</definedName>
    <definedName name="calcReg1Seg2Payer2ShareNewCustR1">calc!$E$1144:$I$1144</definedName>
    <definedName name="calcReg1Seg2Payer2ShareNewCustR2">calc!$E$1171:$I$1171</definedName>
    <definedName name="calcReg1Seg2Payer2ShareRecurCustR1">calc!$E$1133:$I$1133</definedName>
    <definedName name="calcReg1Seg2Payer2ShareRecurCustR2">calc!$E$1160:$I$1160</definedName>
    <definedName name="calcReg1Seg2Payer2ShareTotalCustR1">calc!$E$1149:$I$1149</definedName>
    <definedName name="calcReg1Seg2Payer2ShareTotalCustR2">calc!$E$1176:$I$1176</definedName>
    <definedName name="calcReg1Seg2Payer2SpeakerShare">calc!$E$1130:$I$1130</definedName>
    <definedName name="calcReg1Seg2Payer2SpeakerShareNew">calc!$E$1140:$I$1140</definedName>
    <definedName name="calcReg1Seg2Payer2SpeakerShareNewR2">calc!$E$1167:$I$1167</definedName>
    <definedName name="calcReg1Seg2Payer2SpeakerShareR2">calc!$E$1156:$I$1156</definedName>
    <definedName name="calcReg1Seg2Payer2TierImpactR1">calc!$E$1127:$I$1127</definedName>
    <definedName name="calcReg1Seg2Payer2TierImpactR2">calc!$E$1153:$I$1153</definedName>
    <definedName name="calcReg1Seg2Payer2TotalShareChangeR1">calc!$E$3318:$I$3318</definedName>
    <definedName name="calcReg1Seg2Payer2TotalShareChangeR2">calc!$E$3324:$I$3324</definedName>
    <definedName name="calcReg1Seg2Payer2TotalVolumeR1">calc!$E$1147:$I$1147</definedName>
    <definedName name="calcReg1Seg2Payer2TotalVolumeR2">calc!$E$1174:$I$1174</definedName>
    <definedName name="calcReg1Seg2Payer2VolumeNewCustR1">calc!$E$1145:$I$1145</definedName>
    <definedName name="calcReg1Seg2Payer2VolumeNewCustR2">calc!$E$1172:$I$1172</definedName>
    <definedName name="calcReg1Seg2Payer2VolumeR1">calc!$E$1148:$I$1148</definedName>
    <definedName name="calcReg1Seg2Payer2VolumeR2">calc!$E$1175:$I$1175</definedName>
    <definedName name="calcReg1Seg2Payer2VolumeRecurCustR1">calc!$E$1134:$I$1134</definedName>
    <definedName name="calcReg1Seg2Payer2VolumeRecurCustR2">calc!$E$1161:$I$1161</definedName>
    <definedName name="calcReg1Seg2Payer3GrossRevenueR1">calc!$E$2395:$I$2395</definedName>
    <definedName name="calcReg1Seg2Payer3GrossRevenueR2">calc!$E$2496:$I$2496</definedName>
    <definedName name="calcReg1Seg2Payer3MarketGrowthCustR1">calc!$E$1190:$I$1190</definedName>
    <definedName name="calcReg1Seg2Payer3MarketGrowthCustR2">calc!$E$1217:$I$1217</definedName>
    <definedName name="calcReg1Seg2Payer3MarketRecurCustR1">calc!$E$1179:$I$1179</definedName>
    <definedName name="calcReg1Seg2Payer3MarketRecurCustR2">calc!$E$1205:$I$1205</definedName>
    <definedName name="calcReg1Seg2Payer3NetRevenueR1">calc!$E$2396:$I$2396</definedName>
    <definedName name="calcReg1Seg2Payer3NetRevenueR2">calc!$E$2497:$I$2497</definedName>
    <definedName name="calcReg1Seg2Payer3PromotionShare">calc!$E$1185:$I$1185</definedName>
    <definedName name="calcReg1Seg2Payer3PromotionShareNew">calc!$E$1195:$I$1195</definedName>
    <definedName name="calcReg1Seg2Payer3PromotionShareNewR2">calc!$E$1222:$I$1222</definedName>
    <definedName name="calcReg1Seg2Payer3PromotionShareR2">calc!$E$1211:$I$1211</definedName>
    <definedName name="calcReg1Seg2Payer3RepCapShare">calc!$E$1186:$I$1186</definedName>
    <definedName name="calcReg1Seg2Payer3RepCapShareNew">calc!$E$1196:$I$1196</definedName>
    <definedName name="calcReg1Seg2Payer3RepCapShareNewR2">calc!$E$1223:$I$1223</definedName>
    <definedName name="calcReg1Seg2Payer3RepCapShareR2">calc!$E$1212:$I$1212</definedName>
    <definedName name="calcReg1Seg2Payer3SampleShare">calc!$E$1183:$I$1183</definedName>
    <definedName name="calcReg1Seg2Payer3SampleShareNew">calc!$E$1193:$I$1193</definedName>
    <definedName name="calcReg1Seg2Payer3SampleShareNewR2">calc!$E$1220:$I$1220</definedName>
    <definedName name="calcReg1Seg2Payer3SampleShareR2">calc!$E$1209:$I$1209</definedName>
    <definedName name="calcReg1Seg2Payer3ShareNewCustR1">calc!$E$1198:$I$1198</definedName>
    <definedName name="calcReg1Seg2Payer3ShareNewCustR2">calc!$E$1225:$I$1225</definedName>
    <definedName name="calcReg1Seg2Payer3ShareRecurCustR1">calc!$E$1187:$I$1187</definedName>
    <definedName name="calcReg1Seg2Payer3ShareRecurCustR2">calc!$E$1214:$I$1214</definedName>
    <definedName name="calcReg1Seg2Payer3ShareTotalCustR1">calc!$E$1203:$I$1203</definedName>
    <definedName name="calcReg1Seg2Payer3ShareTotalCustR2">calc!$E$1230:$I$1230</definedName>
    <definedName name="calcReg1Seg2Payer3SpeakerShare">calc!$E$1184:$I$1184</definedName>
    <definedName name="calcReg1Seg2Payer3SpeakerShareNew">calc!$E$1194:$I$1194</definedName>
    <definedName name="calcReg1Seg2Payer3SpeakerShareNewR2">calc!$E$1221:$I$1221</definedName>
    <definedName name="calcReg1Seg2Payer3SpeakerShareR2">calc!$E$1210:$I$1210</definedName>
    <definedName name="calcReg1Seg2Payer3TierImpactR1">calc!$E$1181:$I$1181</definedName>
    <definedName name="calcReg1Seg2Payer3TierImpactR2">calc!$E$1207:$I$1207</definedName>
    <definedName name="calcReg1Seg2Payer3TotalShareChangeR1">calc!$E$3330:$I$3330</definedName>
    <definedName name="calcReg1Seg2Payer3TotalShareChangeR2">calc!$E$3336:$I$3336</definedName>
    <definedName name="calcReg1Seg2Payer3TotalVolumeR1">calc!$E$1201:$I$1201</definedName>
    <definedName name="calcReg1Seg2Payer3TotalVolumeR2">calc!$E$1228:$I$1228</definedName>
    <definedName name="calcReg1Seg2Payer3VolumeNewCustR1">calc!$E$1199:$I$1199</definedName>
    <definedName name="calcReg1Seg2Payer3VolumeNewCustR2">calc!$E$1226:$I$1226</definedName>
    <definedName name="calcReg1Seg2Payer3VolumeR1">calc!$E$1202:$I$1202</definedName>
    <definedName name="calcReg1Seg2Payer3VolumeR2">calc!$E$1229:$I$1229</definedName>
    <definedName name="calcReg1Seg2Payer3VolumeRecurCustR1">calc!$E$1188:$I$1188</definedName>
    <definedName name="calcReg1Seg2Payer3VolumeRecurCustR2">calc!$E$1215:$I$1215</definedName>
    <definedName name="calcReg1Seg2PromotionAllocationR1">calc!$E$1973:$I$1973</definedName>
    <definedName name="calcReg1Seg2PromotionAllocationR2">calc!$E$1980:$I$1980</definedName>
    <definedName name="calcReg1Seg2PromotionAllocR1">calc!$E$2092:$I$2092</definedName>
    <definedName name="calcReg1Seg2PromotionAllocR2">calc!$E$2106:$I$2106</definedName>
    <definedName name="calcReg1Seg2RecurCustR1">calc!$E$1468:$I$1468</definedName>
    <definedName name="calcReg1Seg2RecurCustR2">calc!$E$1476:$I$1476</definedName>
    <definedName name="calcReg1Seg2RegTrainCostR1">calc!$E$3134:$I$3134</definedName>
    <definedName name="calcReg1Seg2RegTrainCostR2">calc!$E$3138:$I$3138</definedName>
    <definedName name="calcReg1Seg2Reimbursement">calc!$E$2400:$I$2400</definedName>
    <definedName name="calcReg1Seg2ReimbursementR2">calc!$E$2501:$I$2501</definedName>
    <definedName name="calcReg1Seg2Rep1CapR1">calc!$E$2649:$I$2649</definedName>
    <definedName name="calcReg1Seg2Rep1CapR2">calc!$E$2654:$I$2654</definedName>
    <definedName name="calcReg1Seg2Rep1ImpactR1">calc!$E$3071:$I$3071</definedName>
    <definedName name="calcReg1Seg2Rep1ImpactR2">calc!$E$3080:$I$3080</definedName>
    <definedName name="calcReg1Seg2Rep1InternalTimeR1">calc!$E$3035:$I$3035</definedName>
    <definedName name="calcReg1Seg2Rep1InternalTimeR2">calc!$E$3040:$I$3040</definedName>
    <definedName name="calcReg1Seg2Rep1Payer1ImpactR1">calc!$E$3075:$I$3075</definedName>
    <definedName name="calcReg1Seg2Rep1Payer1ImpactR2">calc!$E$3084:$I$3084</definedName>
    <definedName name="calcReg1Seg2Rep1Payer2ImpactR1">calc!$E$3076:$I$3076</definedName>
    <definedName name="calcReg1Seg2Rep1Payer2ImpactR2">calc!$E$3085:$I$3085</definedName>
    <definedName name="calcReg1Seg2Rep1Payer3ImpactR1">calc!$E$3077:$I$3077</definedName>
    <definedName name="calcReg1Seg2Rep1Payer3ImpactR2">calc!$E$3086:$I$3086</definedName>
    <definedName name="calcReg1Seg2SampleAllocR1">calc!$E$2090:$I$2090</definedName>
    <definedName name="calcReg1Seg2SampleAllocR2">calc!$E$2104:$I$2104</definedName>
    <definedName name="calcReg1Seg2ShareNewCustR1">calc!$E$1472:$I$1472</definedName>
    <definedName name="calcReg1Seg2ShareNewCustR2">calc!$E$1480:$I$1480</definedName>
    <definedName name="calcReg1Seg2ShareTotalCustR1">calc!$E$1473:$I$1473</definedName>
    <definedName name="calcReg1Seg2ShareTotalCustR2">calc!$E$1481:$I$1481</definedName>
    <definedName name="calcReg1Seg2SpeakerAllocR1">calc!$E$2091:$I$2091</definedName>
    <definedName name="calcReg1Seg2SpeakerAllocR2">calc!$E$2105:$I$2105</definedName>
    <definedName name="calcReg1Seg2TotalVolumeR1">calc!$E$1471:$I$1471</definedName>
    <definedName name="calcReg1Seg2TotalVolumeR2">calc!$E$1479:$I$1479</definedName>
    <definedName name="calcReg1Seg2VolumeTotalCustR1">calc!$E$1469:$I$1469</definedName>
    <definedName name="calcReg1Seg2VolumeTotalCustR2">calc!$E$1477:$I$1477</definedName>
    <definedName name="calcReg1Seg3CoachingCostR1">calc!$E$3117:$I$3117</definedName>
    <definedName name="calcReg1Seg3CoachingCostR2">calc!$E$3121:$I$3121</definedName>
    <definedName name="calcReg1Seg3Comp1Payer1ShareLostR1">calc!$E$3344:$I$3344</definedName>
    <definedName name="calcReg1Seg3Comp1Payer1ShareLostR2">calc!$E$3350:$I$3350</definedName>
    <definedName name="calcReg1Seg3Comp1Payer1ShareWonR1">calc!$E$3343:$I$3343</definedName>
    <definedName name="calcReg1Seg3Comp1Payer1ShareWonR2">calc!$E$3349:$I$3349</definedName>
    <definedName name="calcReg1Seg3Comp1Payer1TotalCustR1">calc!$E$1636:$I$1636</definedName>
    <definedName name="calcReg1Seg3Comp1Payer1TotalCustR2">calc!$E$1641:$I$1641</definedName>
    <definedName name="calcReg1Seg3Comp1Payer1TotalShareR1">calc!$E$1585:$I$1585</definedName>
    <definedName name="calcReg1Seg3Comp1Payer1TotalShareR2">calc!$E$1590:$I$1590</definedName>
    <definedName name="calcReg1Seg3Comp1Payer2ShareLostR1">calc!$E$3356:$I$3356</definedName>
    <definedName name="calcReg1Seg3Comp1Payer2ShareLostR2">calc!$E$3362:$I$3362</definedName>
    <definedName name="calcReg1Seg3Comp1Payer2ShareWonR1">calc!$E$3355:$I$3355</definedName>
    <definedName name="calcReg1Seg3Comp1Payer2ShareWonR2">calc!$E$3361:$I$3361</definedName>
    <definedName name="calcReg1Seg3Comp1Payer2TotalCustR1">calc!$E$1637:$I$1637</definedName>
    <definedName name="calcReg1Seg3Comp1Payer2TotalCustR2">calc!$E$1642:$I$1642</definedName>
    <definedName name="calcReg1Seg3Comp1Payer2TotalShareR1">calc!$E$1595:$I$1595</definedName>
    <definedName name="calcReg1Seg3Comp1Payer2TotalShareR2">calc!$E$1600:$I$1600</definedName>
    <definedName name="calcReg1Seg3Comp1Payer3ShareLostR1">calc!$E$3368:$I$3368</definedName>
    <definedName name="calcReg1Seg3Comp1Payer3ShareLostR2">calc!$E$3374:$I$3374</definedName>
    <definedName name="calcReg1Seg3Comp1Payer3ShareWonR1">calc!$E$3367:$I$3367</definedName>
    <definedName name="calcReg1Seg3Comp1Payer3ShareWonR2">calc!$E$3373:$I$3373</definedName>
    <definedName name="calcReg1Seg3Comp1Payer3TotalCustR1">calc!$E$1638:$I$1638</definedName>
    <definedName name="calcReg1Seg3Comp1Payer3TotalCustR2">calc!$E$1643:$I$1643</definedName>
    <definedName name="calcReg1Seg3Comp1Payer3TotalShareR1">calc!$E$1605:$I$1605</definedName>
    <definedName name="calcReg1Seg3Comp1Payer3TotalShareR2">calc!$E$1610:$I$1610</definedName>
    <definedName name="calcReg1Seg3Comp1TotalCustR1">calc!$E$1639:$I$1639</definedName>
    <definedName name="calcReg1Seg3Comp1TotalCustR2">calc!$E$1644:$I$1644</definedName>
    <definedName name="calcReg1Seg3Comp1TotalShareR1">calc!$E$1640:$I$1640</definedName>
    <definedName name="calcReg1Seg3Comp1TotalShareR2">calc!$E$1645:$I$1645</definedName>
    <definedName name="calcReg1Seg3Comp2Payer1ShareLostR1">calc!$E$3346:$I$3346</definedName>
    <definedName name="calcReg1Seg3Comp2Payer1ShareLostR2">calc!$E$3352:$I$3352</definedName>
    <definedName name="calcReg1Seg3Comp2Payer1ShareWonR1">calc!$E$3345:$I$3345</definedName>
    <definedName name="calcReg1Seg3Comp2Payer1ShareWonR2">calc!$E$3351:$I$3351</definedName>
    <definedName name="calcReg1Seg3Comp2Payer1TotalCustR1">calc!$E$1784:$I$1784</definedName>
    <definedName name="calcReg1Seg3Comp2Payer1TotalCustR2">calc!$E$1789:$I$1789</definedName>
    <definedName name="calcReg1Seg3Comp2Payer1TotalShareR1">calc!$E$1734:$I$1734</definedName>
    <definedName name="calcReg1Seg3Comp2Payer1TotalShareR2">calc!$E$1739:$I$1739</definedName>
    <definedName name="calcReg1Seg3Comp2Payer2ShareLostR1">calc!$E$3358:$I$3358</definedName>
    <definedName name="calcReg1Seg3Comp2Payer2ShareLostR2">calc!$E$3364:$I$3364</definedName>
    <definedName name="calcReg1Seg3Comp2Payer2ShareWonR1">calc!$E$3357:$I$3357</definedName>
    <definedName name="calcReg1Seg3Comp2Payer2ShareWonR2">calc!$E$3363:$I$3363</definedName>
    <definedName name="calcReg1Seg3Comp2Payer2TotalCustR1">calc!$E$1785:$I$1785</definedName>
    <definedName name="calcReg1Seg3Comp2Payer2TotalCustR2">calc!$E$1790:$I$1790</definedName>
    <definedName name="calcReg1Seg3Comp2Payer2TotalShareR1">calc!$E$1744:$I$1744</definedName>
    <definedName name="calcReg1Seg3Comp2Payer2TotalShareR2">calc!$E$1749:$I$1749</definedName>
    <definedName name="calcReg1Seg3Comp2Payer3ShareLostR1">calc!$E$3370:$I$3370</definedName>
    <definedName name="calcReg1Seg3Comp2Payer3ShareLostR2">calc!$E$3376:$I$3376</definedName>
    <definedName name="calcReg1Seg3Comp2Payer3ShareWonR1">calc!$E$3369:$I$3369</definedName>
    <definedName name="calcReg1Seg3Comp2Payer3ShareWonR2">calc!$E$3375:$I$3375</definedName>
    <definedName name="calcReg1Seg3Comp2Payer3TotalCustR1">calc!$E$1786:$I$1786</definedName>
    <definedName name="calcReg1Seg3Comp2Payer3TotalCustR2">calc!$E$1791:$I$1791</definedName>
    <definedName name="calcReg1Seg3Comp2Payer3TotalShareR1">calc!$E$1754:$I$1754</definedName>
    <definedName name="calcReg1Seg3Comp2Payer3TotalShareR2">calc!$E$1759:$I$1759</definedName>
    <definedName name="calcReg1Seg3Comp2TotalCustR1">calc!$E$1787:$I$1787</definedName>
    <definedName name="calcReg1Seg3Comp2TotalCustR2">calc!$E$1792:$I$1792</definedName>
    <definedName name="calcReg1Seg3Comp2TotalShareR1">calc!$E$1788:$I$1788</definedName>
    <definedName name="calcReg1Seg3Comp2TotalShareR2">calc!$E$1793:$I$1793</definedName>
    <definedName name="calcReg1Seg3FTEsCFCollabR1">calc!$E$2033:$I$2033</definedName>
    <definedName name="calcReg1Seg3FTEsCFCollabR2">calc!$E$2047:$I$2047</definedName>
    <definedName name="calcReg1Seg3FTEsRegTrainR1">calc!$E$2034:$I$2034</definedName>
    <definedName name="calcReg1Seg3FTEsRegTrainR2">calc!$E$2048:$I$2048</definedName>
    <definedName name="calcReg1Seg3FTEsRep1R1">calc!$E$2035:$I$2035</definedName>
    <definedName name="calcReg1Seg3FTEsRep1R2">calc!$E$2049:$I$2049</definedName>
    <definedName name="calcReg1Seg3GrossRevenueR1">calc!$E$2430:$I$2430</definedName>
    <definedName name="calcReg1Seg3GrossRevenueR2">calc!$E$2531:$I$2531</definedName>
    <definedName name="calcReg1Seg3InternalCostR1">calc!$E$3152:$I$3152</definedName>
    <definedName name="calcReg1Seg3InternalCostR2">calc!$E$3156:$I$3156</definedName>
    <definedName name="calcReg1Seg3MarketGrowthCustR1">calc!$E$1487:$I$1487</definedName>
    <definedName name="calcReg1Seg3MarketGrowthCustR2">calc!$E$1495:$I$1495</definedName>
    <definedName name="calcReg1Seg3NetRevenueR1">calc!$E$2431:$I$2431</definedName>
    <definedName name="calcReg1Seg3NetRevenueR2">calc!$E$2532:$I$2532</definedName>
    <definedName name="calcReg1Seg3NewCustR1">calc!$E$1484:$I$1484</definedName>
    <definedName name="calcReg1Seg3NewCustR2">calc!$E$1492:$I$1492</definedName>
    <definedName name="calcReg1Seg3Payer1GrossRevenueR1">calc!$E$2409:$I$2409</definedName>
    <definedName name="calcReg1Seg3Payer1GrossRevenueR2">calc!$E$2510:$I$2510</definedName>
    <definedName name="calcReg1Seg3Payer1MarketGrowthCustR1">calc!$E$1245:$I$1245</definedName>
    <definedName name="calcReg1Seg3Payer1MarketGrowthCustR2">calc!$E$1272:$I$1272</definedName>
    <definedName name="calcReg1Seg3Payer1MarketRecurCustR1">calc!$E$1234:$I$1234</definedName>
    <definedName name="calcReg1Seg3Payer1MarketRecurCustR2">calc!$E$1260:$I$1260</definedName>
    <definedName name="calcReg1Seg3Payer1NetRevenueR1">calc!$E$2410:$I$2410</definedName>
    <definedName name="calcReg1Seg3Payer1NetRevenueR2">calc!$E$2511:$I$2511</definedName>
    <definedName name="calcReg1Seg3Payer1PromotionShare">calc!$E$1240:$I$1240</definedName>
    <definedName name="calcReg1Seg3Payer1PromotionShareNew">calc!$E$1250:$I$1250</definedName>
    <definedName name="calcReg1Seg3Payer1PromotionShareNewR2">calc!$E$1277:$I$1277</definedName>
    <definedName name="calcReg1Seg3Payer1PromotionShareR2">calc!$E$1266:$I$1266</definedName>
    <definedName name="calcReg1Seg3Payer1RepCapShare">calc!$E$1241:$I$1241</definedName>
    <definedName name="calcReg1Seg3Payer1RepCapShareNew">calc!$E$1251:$I$1251</definedName>
    <definedName name="calcReg1Seg3Payer1RepCapShareNewR2">calc!$E$1278:$I$1278</definedName>
    <definedName name="calcReg1Seg3Payer1RepCapShareR2">calc!$E$1267:$I$1267</definedName>
    <definedName name="calcReg1Seg3Payer1SampleShare">calc!$E$1238:$I$1238</definedName>
    <definedName name="calcReg1Seg3Payer1SampleShareNew">calc!$E$1248:$I$1248</definedName>
    <definedName name="calcReg1Seg3Payer1SampleShareNewR2">calc!$E$1275:$I$1275</definedName>
    <definedName name="calcReg1Seg3Payer1SampleShareR2">calc!$E$1264:$I$1264</definedName>
    <definedName name="calcReg1Seg3Payer1ShareNewCustR1">calc!$E$1253:$I$1253</definedName>
    <definedName name="calcReg1Seg3Payer1ShareNewCustR2">calc!$E$1280:$I$1280</definedName>
    <definedName name="calcReg1Seg3Payer1ShareRecurCustR1">calc!$E$1242:$I$1242</definedName>
    <definedName name="calcReg1Seg3Payer1ShareRecurCustR2">calc!$E$1269:$I$1269</definedName>
    <definedName name="calcReg1Seg3Payer1ShareTotalCustR1">calc!$E$1258:$I$1258</definedName>
    <definedName name="calcReg1Seg3Payer1ShareTotalCustR2">calc!$E$1285:$I$1285</definedName>
    <definedName name="calcReg1Seg3Payer1SpeakerShare">calc!$E$1239:$I$1239</definedName>
    <definedName name="calcReg1Seg3Payer1SpeakerShareNew">calc!$E$1249:$I$1249</definedName>
    <definedName name="calcReg1Seg3Payer1SpeakerShareNewR2">calc!$E$1276:$I$1276</definedName>
    <definedName name="calcReg1Seg3Payer1SpeakerShareR2">calc!$E$1265:$I$1265</definedName>
    <definedName name="calcReg1Seg3Payer1TierImpactR1">calc!$E$1236:$I$1236</definedName>
    <definedName name="calcReg1Seg3Payer1TierImpactR2">calc!$E$1262:$I$1262</definedName>
    <definedName name="calcReg1Seg3Payer1TotalShareChangeR1">calc!$E$3342:$I$3342</definedName>
    <definedName name="calcReg1Seg3Payer1TotalShareChangeR2">calc!$E$3348:$I$3348</definedName>
    <definedName name="calcReg1Seg3Payer1TotalVolumeR1">calc!$E$1256:$I$1256</definedName>
    <definedName name="calcReg1Seg3Payer1TotalVolumeR2">calc!$E$1283:$I$1283</definedName>
    <definedName name="calcReg1Seg3Payer1VolumeNewCustR1">calc!$E$1254:$I$1254</definedName>
    <definedName name="calcReg1Seg3Payer1VolumeNewCustR2">calc!$E$1281:$I$1281</definedName>
    <definedName name="calcReg1Seg3Payer1VolumeR1">calc!$E$1257:$I$1257</definedName>
    <definedName name="calcReg1Seg3Payer1VolumeR2">calc!$E$1284:$I$1284</definedName>
    <definedName name="calcReg1Seg3Payer1VolumeRecurCustR1">calc!$E$1243:$I$1243</definedName>
    <definedName name="calcReg1Seg3Payer1VolumeRecurCustR2">calc!$E$1270:$I$1270</definedName>
    <definedName name="calcReg1Seg3Payer2GrossRevenueR1">calc!$E$2418:$I$2418</definedName>
    <definedName name="calcReg1Seg3Payer2GrossRevenueR2">calc!$E$2519:$I$2519</definedName>
    <definedName name="calcReg1Seg3Payer2MarketGrowthCustR1">calc!$E$1299:$I$1299</definedName>
    <definedName name="calcReg1Seg3Payer2MarketGrowthCustR2">calc!$E$1326:$I$1326</definedName>
    <definedName name="calcReg1Seg3Payer2MarketRecurCustR1">calc!$E$1288:$I$1288</definedName>
    <definedName name="calcReg1Seg3Payer2MarketRecurCustR2">calc!$E$1314:$I$1314</definedName>
    <definedName name="calcReg1Seg3Payer2NetRevenueR1">calc!$E$2419:$I$2419</definedName>
    <definedName name="calcReg1Seg3Payer2NetRevenueR2">calc!$E$2520:$I$2520</definedName>
    <definedName name="calcReg1Seg3Payer2PromotionShare">calc!$E$1294:$I$1294</definedName>
    <definedName name="calcReg1Seg3Payer2PromotionShareNew">calc!$E$1304:$I$1304</definedName>
    <definedName name="calcReg1Seg3Payer2PromotionShareNewR2">calc!$E$1331:$I$1331</definedName>
    <definedName name="calcReg1Seg3Payer2PromotionShareR2">calc!$E$1320:$I$1320</definedName>
    <definedName name="calcReg1Seg3Payer2RepCapShare">calc!$E$1295:$I$1295</definedName>
    <definedName name="calcReg1Seg3Payer2RepCapShareNew">calc!$E$1305:$I$1305</definedName>
    <definedName name="calcReg1Seg3Payer2RepCapShareNewR2">calc!$E$1332:$I$1332</definedName>
    <definedName name="calcReg1Seg3Payer2RepCapShareR2">calc!$E$1321:$I$1321</definedName>
    <definedName name="calcReg1Seg3Payer2SampleShare">calc!$E$1292:$I$1292</definedName>
    <definedName name="calcReg1Seg3Payer2SampleShareNew">calc!$E$1302:$I$1302</definedName>
    <definedName name="calcReg1Seg3Payer2SampleShareNewR2">calc!$E$1329:$I$1329</definedName>
    <definedName name="calcReg1Seg3Payer2SampleShareR2">calc!$E$1318:$I$1318</definedName>
    <definedName name="calcReg1Seg3Payer2ShareNewCustR1">calc!$E$1307:$I$1307</definedName>
    <definedName name="calcReg1Seg3Payer2ShareNewCustR2">calc!$E$1334:$I$1334</definedName>
    <definedName name="calcReg1Seg3Payer2ShareRecurCustR1">calc!$E$1296:$I$1296</definedName>
    <definedName name="calcReg1Seg3Payer2ShareRecurCustR2">calc!$E$1323:$I$1323</definedName>
    <definedName name="calcReg1Seg3Payer2ShareTotalCustR1">calc!$E$1312:$I$1312</definedName>
    <definedName name="calcReg1Seg3Payer2ShareTotalCustR2">calc!$E$1339:$I$1339</definedName>
    <definedName name="calcReg1Seg3Payer2SpeakerShare">calc!$E$1293:$I$1293</definedName>
    <definedName name="calcReg1Seg3Payer2SpeakerShareNew">calc!$E$1303:$I$1303</definedName>
    <definedName name="calcReg1Seg3Payer2SpeakerShareNewR2">calc!$E$1330:$I$1330</definedName>
    <definedName name="calcReg1Seg3Payer2SpeakerShareR2">calc!$E$1319:$I$1319</definedName>
    <definedName name="calcReg1Seg3Payer2TierImpactR1">calc!$E$1290:$I$1290</definedName>
    <definedName name="calcReg1Seg3Payer2TierImpactR2">calc!$E$1316:$I$1316</definedName>
    <definedName name="calcReg1Seg3Payer2TotalShareChangeR1">calc!$E$3354:$I$3354</definedName>
    <definedName name="calcReg1Seg3Payer2TotalShareChangeR2">calc!$E$3360:$I$3360</definedName>
    <definedName name="calcReg1Seg3Payer2TotalVolumeR1">calc!$E$1310:$I$1310</definedName>
    <definedName name="calcReg1Seg3Payer2TotalVolumeR2">calc!$E$1337:$I$1337</definedName>
    <definedName name="calcReg1Seg3Payer2VolumeNewCustR1">calc!$E$1308:$I$1308</definedName>
    <definedName name="calcReg1Seg3Payer2VolumeNewCustR2">calc!$E$1335:$I$1335</definedName>
    <definedName name="calcReg1Seg3Payer2VolumeR1">calc!$E$1311:$I$1311</definedName>
    <definedName name="calcReg1Seg3Payer2VolumeR2">calc!$E$1338:$I$1338</definedName>
    <definedName name="calcReg1Seg3Payer2VolumeRecurCustR1">calc!$E$1297:$I$1297</definedName>
    <definedName name="calcReg1Seg3Payer2VolumeRecurCustR2">calc!$E$1324:$I$1324</definedName>
    <definedName name="calcReg1Seg3Payer3GrossRevenueR1">calc!$E$2427:$I$2427</definedName>
    <definedName name="calcReg1Seg3Payer3GrossRevenueR2">calc!$E$2528:$I$2528</definedName>
    <definedName name="calcReg1Seg3Payer3MarketGrowthCustR1">calc!$E$1353:$I$1353</definedName>
    <definedName name="calcReg1Seg3Payer3MarketGrowthCustR2">calc!$E$1380:$I$1380</definedName>
    <definedName name="calcReg1Seg3Payer3MarketRecurCustR1">calc!$E$1342:$I$1342</definedName>
    <definedName name="calcReg1Seg3Payer3MarketRecurCustR2">calc!$E$1368:$I$1368</definedName>
    <definedName name="calcReg1Seg3Payer3NetRevenueR1">calc!$E$2428:$I$2428</definedName>
    <definedName name="calcReg1Seg3Payer3NetRevenueR2">calc!$E$2529:$I$2529</definedName>
    <definedName name="calcReg1Seg3Payer3PromotionShare">calc!$E$1348:$I$1348</definedName>
    <definedName name="calcReg1Seg3Payer3PromotionShareNew">calc!$E$1358:$I$1358</definedName>
    <definedName name="calcReg1Seg3Payer3PromotionShareNewR2">calc!$E$1385:$I$1385</definedName>
    <definedName name="calcReg1Seg3Payer3PromotionShareR2">calc!$E$1374:$I$1374</definedName>
    <definedName name="calcReg1Seg3Payer3RepCapShare">calc!$E$1349:$I$1349</definedName>
    <definedName name="calcReg1Seg3Payer3RepCapShareNew">calc!$E$1359:$I$1359</definedName>
    <definedName name="calcReg1Seg3Payer3RepCapShareNewR2">calc!$E$1386:$I$1386</definedName>
    <definedName name="calcReg1Seg3Payer3RepCapShareR2">calc!$E$1375:$I$1375</definedName>
    <definedName name="calcReg1Seg3Payer3SampleShare">calc!$E$1346:$I$1346</definedName>
    <definedName name="calcReg1Seg3Payer3SampleShareNew">calc!$E$1356:$I$1356</definedName>
    <definedName name="calcReg1Seg3Payer3SampleShareNewR2">calc!$E$1383:$I$1383</definedName>
    <definedName name="calcReg1Seg3Payer3SampleShareR2">calc!$E$1372:$I$1372</definedName>
    <definedName name="calcReg1Seg3Payer3ShareNewCustR1">calc!$E$1361:$I$1361</definedName>
    <definedName name="calcReg1Seg3Payer3ShareNewCustR2">calc!$E$1388:$I$1388</definedName>
    <definedName name="calcReg1Seg3Payer3ShareRecurCustR1">calc!$E$1350:$I$1350</definedName>
    <definedName name="calcReg1Seg3Payer3ShareRecurCustR2">calc!$E$1377:$I$1377</definedName>
    <definedName name="calcReg1Seg3Payer3ShareTotalCustR1">calc!$E$1366:$I$1366</definedName>
    <definedName name="calcReg1Seg3Payer3ShareTotalCustR2">calc!$E$1393:$I$1393</definedName>
    <definedName name="calcReg1Seg3Payer3SpeakerShare">calc!$E$1347:$I$1347</definedName>
    <definedName name="calcReg1Seg3Payer3SpeakerShareNew">calc!$E$1357:$I$1357</definedName>
    <definedName name="calcReg1Seg3Payer3SpeakerShareNewR2">calc!$E$1384:$I$1384</definedName>
    <definedName name="calcReg1Seg3Payer3SpeakerShareR2">calc!$E$1373:$I$1373</definedName>
    <definedName name="calcReg1Seg3Payer3TierImpactR1">calc!$E$1344:$I$1344</definedName>
    <definedName name="calcReg1Seg3Payer3TierImpactR2">calc!$E$1370:$I$1370</definedName>
    <definedName name="calcReg1Seg3Payer3TotalShareChangeR1">calc!$E$3366:$I$3366</definedName>
    <definedName name="calcReg1Seg3Payer3TotalShareChangeR2">calc!$E$3372:$I$3372</definedName>
    <definedName name="calcReg1Seg3Payer3TotalVolumeR1">calc!$E$1364:$I$1364</definedName>
    <definedName name="calcReg1Seg3Payer3TotalVolumeR2">calc!$E$1391:$I$1391</definedName>
    <definedName name="calcReg1Seg3Payer3VolumeNewCustR1">calc!$E$1362:$I$1362</definedName>
    <definedName name="calcReg1Seg3Payer3VolumeNewCustR2">calc!$E$1389:$I$1389</definedName>
    <definedName name="calcReg1Seg3Payer3VolumeR1">calc!$E$1365:$I$1365</definedName>
    <definedName name="calcReg1Seg3Payer3VolumeR2">calc!$E$1392:$I$1392</definedName>
    <definedName name="calcReg1Seg3Payer3VolumeRecurCustR1">calc!$E$1351:$I$1351</definedName>
    <definedName name="calcReg1Seg3Payer3VolumeRecurCustR2">calc!$E$1378:$I$1378</definedName>
    <definedName name="calcReg1Seg3PromotionAllocationR1">calc!$E$1974:$I$1974</definedName>
    <definedName name="calcReg1Seg3PromotionAllocationR2">calc!$E$1981:$I$1981</definedName>
    <definedName name="calcReg1Seg3PromotionAllocR1">calc!$E$2097:$I$2097</definedName>
    <definedName name="calcReg1Seg3PromotionAllocR2">calc!$E$2111:$I$2111</definedName>
    <definedName name="calcReg1Seg3RecurCustR1">calc!$E$1485:$I$1485</definedName>
    <definedName name="calcReg1Seg3RecurCustR2">calc!$E$1493:$I$1493</definedName>
    <definedName name="calcReg1Seg3RegTrainCostR1">calc!$E$3135:$I$3135</definedName>
    <definedName name="calcReg1Seg3RegTrainCostR2">calc!$E$3139:$I$3139</definedName>
    <definedName name="calcReg1Seg3Reimbursement">calc!$E$2432:$I$2432</definedName>
    <definedName name="calcReg1Seg3ReimbursementR2">calc!$E$2533:$I$2533</definedName>
    <definedName name="calcReg1Seg3Rep1CapR1">calc!$E$2660:$I$2660</definedName>
    <definedName name="calcReg1Seg3Rep1CapR2">calc!$E$2665:$I$2665</definedName>
    <definedName name="calcReg1Seg3Rep1ImpactR1">calc!$E$3088:$I$3088</definedName>
    <definedName name="calcReg1Seg3Rep1ImpactR2">calc!$E$3097:$I$3097</definedName>
    <definedName name="calcReg1Seg3Rep1InternalTimeR1">calc!$E$3045:$I$3045</definedName>
    <definedName name="calcReg1Seg3Rep1InternalTimeR2">calc!$E$3050:$I$3050</definedName>
    <definedName name="calcReg1Seg3Rep1Payer1ImpactR1">calc!$E$3092:$I$3092</definedName>
    <definedName name="calcReg1Seg3Rep1Payer1ImpactR2">calc!$E$3101:$I$3101</definedName>
    <definedName name="calcReg1Seg3Rep1Payer2ImpactR1">calc!$E$3093:$I$3093</definedName>
    <definedName name="calcReg1Seg3Rep1Payer2ImpactR2">calc!$E$3102:$I$3102</definedName>
    <definedName name="calcReg1Seg3Rep1Payer3ImpactR1">calc!$E$3094:$I$3094</definedName>
    <definedName name="calcReg1Seg3Rep1Payer3ImpactR2">calc!$E$3103:$I$3103</definedName>
    <definedName name="calcReg1Seg3SampleAllocR1">calc!$E$2095:$I$2095</definedName>
    <definedName name="calcReg1Seg3SampleAllocR2">calc!$E$2109:$I$2109</definedName>
    <definedName name="calcReg1Seg3ShareNewCustR1">calc!$E$1489:$I$1489</definedName>
    <definedName name="calcReg1Seg3ShareNewCustR2">calc!$E$1497:$I$1497</definedName>
    <definedName name="calcReg1Seg3ShareTotalCustR1">calc!$E$1490:$I$1490</definedName>
    <definedName name="calcReg1Seg3ShareTotalCustR2">calc!$E$1498:$I$1498</definedName>
    <definedName name="calcReg1Seg3SpeakerAllocR1">calc!$E$2096:$I$2096</definedName>
    <definedName name="calcReg1Seg3SpeakerAllocR2">calc!$E$2110:$I$2110</definedName>
    <definedName name="calcReg1Seg3TotalVolumeR1">calc!$E$1488:$I$1488</definedName>
    <definedName name="calcReg1Seg3TotalVolumeR2">calc!$E$1496:$I$1496</definedName>
    <definedName name="calcReg1Seg3VolumeTotalCustR1">calc!$E$1486:$I$1486</definedName>
    <definedName name="calcReg1Seg3VolumeTotalCustR2">calc!$E$1494:$I$1494</definedName>
    <definedName name="calcReg1ShareNewCustR1">calc!$E$1507:$I$1507</definedName>
    <definedName name="calcReg1ShareNewCustR2">calc!$E$1515:$I$1515</definedName>
    <definedName name="calcReg1ShareTotalCustR1">calc!$E$1508:$I$1508</definedName>
    <definedName name="calcReg1ShareTotalCustR2">calc!$E$1516:$I$1516</definedName>
    <definedName name="calcReg1SpeakerProportionR1">calc!$E$1949:$I$1949</definedName>
    <definedName name="calcReg1SpeakerProportionR2">calc!$E$1950:$I$1950</definedName>
    <definedName name="calcReg1TotalGrossRevenueR1">calc!$E$2434:$I$2434</definedName>
    <definedName name="calcReg1TotalGrossRevenueR2">calc!$E$2535:$I$2535</definedName>
    <definedName name="calcReg1TotalNetRevenueR1">calc!$E$2435:$I$2435</definedName>
    <definedName name="calcReg1TotalNetRevenueR2">calc!$E$2536:$I$2536</definedName>
    <definedName name="calcReg1TotalReimbursementR1">calc!$E$2436:$I$2436</definedName>
    <definedName name="calcReg1TotalReimbursementR2">calc!$E$2537:$I$2537</definedName>
    <definedName name="calcReg1TotalVolumeR1">calc!$E$1506:$I$1506</definedName>
    <definedName name="calcReg1TotalVolumeR2">calc!$E$1514:$I$1514</definedName>
    <definedName name="calcReg1VolumeTotalCustR1">calc!$E$1504:$I$1504</definedName>
    <definedName name="calcReg1VolumeTotalCustR2">calc!$E$1512:$I$1512</definedName>
    <definedName name="calcRg1ShareNewCustR1">calc!$E$1507:$I$1507</definedName>
    <definedName name="cbal_Paste">Cbal!$E$14:$I$14</definedName>
    <definedName name="cbalESATProd1">Cbal!$E$306:$I$306</definedName>
    <definedName name="cbalESATReg1">Cbal!$E$305:$I$305</definedName>
    <definedName name="cbalESATReg2">Cbal!$E$306:$I$306</definedName>
    <definedName name="cbalInputProd1Seg1Therapy1Rep1Weight_R1">Cbal!$E$401:$I$401</definedName>
    <definedName name="cbalInputProd1Seg1Therapy1Rep1Weight_R2">Cbal!$E$404:$I$404</definedName>
    <definedName name="cbalInputProd1Seg1Therapy1Rep2Weight_R1">Cbal!$E$402:$I$402</definedName>
    <definedName name="cbalInputProd1Seg1Therapy1Rep2Weight_R2">Cbal!$E$405:$I$405</definedName>
    <definedName name="cbalInputProd1Seg1Therapy1Rep3Weight_R1">Cbal!$E$403:$I$403</definedName>
    <definedName name="cbalInputProd1Seg1Therapy1Rep3Weight_R2">Cbal!$E$406:$I$406</definedName>
    <definedName name="cbalInputProd1Seg1Therapy1RepAWeight_R1">Cbal!$E$401:$I$401</definedName>
    <definedName name="cbalInputProd1Seg1Therapy1RepAWeight_R2">Cbal!$E$404:$I$404</definedName>
    <definedName name="cbalInputProd1Seg1Therapy1RepBWeight_R1">Cbal!$E$402:$I$402</definedName>
    <definedName name="cbalInputProd1Seg1Therapy1RepBWeight_R2">Cbal!$E$405:$I$405</definedName>
    <definedName name="cbalInputProd1Seg1Therapy1RepCWeight_R1">Cbal!$E$403:$I$403</definedName>
    <definedName name="cbalInputProd1Seg1Therapy1RepCWeight_R2">Cbal!$E$406:$I$406</definedName>
    <definedName name="cbalInputProd1Seg2Therapy1Rep1Weight_R1">Cbal!$E$407:$I$407</definedName>
    <definedName name="cbalInputProd1Seg2Therapy1Rep1Weight_R2">Cbal!$E$410:$I$410</definedName>
    <definedName name="cbalInputProd1Seg2Therapy1Rep2Weight_R1">Cbal!$E$408:$I$408</definedName>
    <definedName name="cbalInputProd1Seg2Therapy1Rep2Weight_R2">Cbal!$E$411:$I$411</definedName>
    <definedName name="cbalInputProd1Seg2Therapy1Rep3Weight_R1">Cbal!$E$409:$I$409</definedName>
    <definedName name="cbalInputProd1Seg2Therapy1Rep3Weight_R2">Cbal!$E$412:$I$412</definedName>
    <definedName name="cbalInputProd1Seg2Therapy1RepAWeight_R1">Cbal!$E$407:$I$407</definedName>
    <definedName name="cbalInputProd1Seg2Therapy1RepAWeight_R2">Cbal!$E$410:$I$410</definedName>
    <definedName name="cbalInputProd1Seg2Therapy1RepBWeight_R1">Cbal!$E$408:$I$408</definedName>
    <definedName name="cbalInputProd1Seg2Therapy1RepBWeight_R2">Cbal!$E$411:$I$411</definedName>
    <definedName name="cbalInputProd1Seg2Therapy1RepCWeight_R1">Cbal!$E$409:$I$409</definedName>
    <definedName name="cbalInputProd1Seg2Therapy1RepCWeight_R2">Cbal!$E$412:$I$412</definedName>
    <definedName name="cbalInputProd1Seg3Therapy1Rep1Weight_R1">Cbal!$E$413:$I$413</definedName>
    <definedName name="cbalInputProd1Seg3Therapy1Rep1Weight_R2">Cbal!$E$416:$I$416</definedName>
    <definedName name="cbalInputProd1Seg3Therapy1Rep2Weight_R1">Cbal!$E$414:$I$414</definedName>
    <definedName name="cbalInputProd1Seg3Therapy1Rep2Weight_R2">Cbal!$E$417:$I$417</definedName>
    <definedName name="cbalInputProd1Seg3Therapy1Rep3Weight_R1">Cbal!$E$415:$I$415</definedName>
    <definedName name="cbalInputProd1Seg3Therapy1Rep3Weight_R2">Cbal!$E$418:$I$418</definedName>
    <definedName name="cbalInputProd1Seg3Therapy1RepAWeight_R1">Cbal!$E$413:$I$413</definedName>
    <definedName name="cbalInputProd1Seg3Therapy1RepAWeight_R2">Cbal!$E$416:$I$416</definedName>
    <definedName name="cbalInputProd1Seg3Therapy1RepBWeight_R1">Cbal!$E$414:$I$414</definedName>
    <definedName name="cbalInputProd1Seg3Therapy1RepBWeight_R2">Cbal!$E$417:$I$417</definedName>
    <definedName name="cbalInputProd1Seg3Therapy1RepCWeight_R1">Cbal!$E$415:$I$415</definedName>
    <definedName name="cbalInputProd1Seg3Therapy1RepCWeight_R2">Cbal!$E$418:$I$418</definedName>
    <definedName name="cbalOpEffProd1">Cbal!$E$308:$I$308</definedName>
    <definedName name="cbalOpEffReg1">Cbal!$E$307:$I$307</definedName>
    <definedName name="cbalProd1BudgetLeft">Cbal!$E$362:$I$362</definedName>
    <definedName name="cbalProd1BudgetLeftR2">Cbal!$E$364:$I$364</definedName>
    <definedName name="cbalProd1Comp1NewShare">Cbal!$E$180:$I$180</definedName>
    <definedName name="cbalProd1Comp1Payer1Share">Cbal!$E$248:$I$248</definedName>
    <definedName name="cbalProd1Comp1Payer1Status">Cbal!$E$315:$I$315</definedName>
    <definedName name="cbalProd1Comp1Payer2Share">Cbal!$E$254:$I$254</definedName>
    <definedName name="cbalProd1Comp1Payer2Status">Cbal!$E$316:$I$316</definedName>
    <definedName name="cbalProd1Comp1Payer3Share">Cbal!$E$260:$I$260</definedName>
    <definedName name="cbalProd1Comp1Payer3Status">Cbal!$E$317:$I$317</definedName>
    <definedName name="cbalProd1Comp1TotalShare">Cbal!$E$174:$I$174</definedName>
    <definedName name="cbalProd1Comp2NewShare">Cbal!$E$192:$I$192</definedName>
    <definedName name="cbalProd1Comp2Payer1Share">Cbal!$E$267:$I$267</definedName>
    <definedName name="cbalProd1Comp2Payer1Status">Cbal!$E$319:$I$319</definedName>
    <definedName name="cbalProd1Comp2Payer2Share">Cbal!$E$273:$I$273</definedName>
    <definedName name="cbalProd1Comp2Payer2Status">Cbal!$E$320:$I$320</definedName>
    <definedName name="cbalProd1Comp2Payer3Share">Cbal!$E$279:$I$279</definedName>
    <definedName name="cbalProd1Comp2Payer3Status">Cbal!$E$321:$I$321</definedName>
    <definedName name="cbalProd1Comp2TotalShare">Cbal!$E$186:$I$186</definedName>
    <definedName name="cbalProd1FTEsLeft">Cbal!$E$367:$I$367</definedName>
    <definedName name="cbalProd1NewShare">Cbal!$E$167:$I$167</definedName>
    <definedName name="cbalProd1NewVolume">Cbal!$E$204:$I$204</definedName>
    <definedName name="cbalProd1Payer1Share">Cbal!$E$229:$I$229</definedName>
    <definedName name="cbalProd1Payer1Status">Cbal!$E$311:$I$311</definedName>
    <definedName name="cbalProd1Payer1TotalVolume">Cbal!$E$211:$I$211</definedName>
    <definedName name="cbalProd1Payer1Volume">Cbal!$E$286:$I$286</definedName>
    <definedName name="cbalProd1Payer2Share">Cbal!$E$235:$I$235</definedName>
    <definedName name="cbalProd1Payer2Status">Cbal!$E$312:$I$312</definedName>
    <definedName name="cbalProd1Payer2TotalVolume">Cbal!$E$217:$I$217</definedName>
    <definedName name="cbalProd1Payer2Volume">Cbal!$E$292:$I$292</definedName>
    <definedName name="cbalProd1Payer3Share">Cbal!$E$241:$I$241</definedName>
    <definedName name="cbalProd1Payer3Status">Cbal!$E$313:$I$313</definedName>
    <definedName name="cbalProd1Payer3TotalVolume">Cbal!$E$223:$I$223</definedName>
    <definedName name="cbalProd1Payer3Volume">Cbal!$E$298:$I$298</definedName>
    <definedName name="cbalProd1SampleBudgetLeft">Cbal!$E$358:$I$358</definedName>
    <definedName name="cbalProd1SampleBudgetLeftR2">Cbal!$E$359:$I$359</definedName>
    <definedName name="cbalProd1Seg1Comp1NewShare">Cbal!$E$181:$I$181</definedName>
    <definedName name="cbalProd1Seg1Comp1Payer1Share">Cbal!$E$249:$I$249</definedName>
    <definedName name="cbalProd1Seg1Comp1Payer2Share">Cbal!$E$255:$I$255</definedName>
    <definedName name="cbalProd1Seg1Comp1Payer3Share">Cbal!$E$261:$I$261</definedName>
    <definedName name="cbalProd1Seg1Comp1TotalShare">Cbal!$E$175:$I$175</definedName>
    <definedName name="cbalProd1Seg1Comp2NewShare">Cbal!$E$193:$I$193</definedName>
    <definedName name="cbalProd1Seg1Comp2Payer1Share">Cbal!$E$268:$I$268</definedName>
    <definedName name="cbalProd1Seg1Comp2Payer2Share">Cbal!$E$274:$I$274</definedName>
    <definedName name="cbalProd1Seg1Comp2Payer3Share">Cbal!$E$280:$I$280</definedName>
    <definedName name="cbalProd1Seg1Comp2TotalShare">Cbal!$E$187:$I$187</definedName>
    <definedName name="cbalProd1Seg1NewShare">Cbal!$E$168:$I$168</definedName>
    <definedName name="cbalProd1Seg1NewVolume">Cbal!$E$205:$I$205</definedName>
    <definedName name="cbalProd1Seg1Payer1Share">Cbal!$E$230:$I$230</definedName>
    <definedName name="cbalProd1Seg1Payer1TotalVolume">Cbal!$E$212:$I$212</definedName>
    <definedName name="cbalProd1Seg1Payer1Volume">Cbal!$E$287:$I$287</definedName>
    <definedName name="cbalProd1Seg1Payer2Share">Cbal!$E$236:$I$236</definedName>
    <definedName name="cbalProd1Seg1Payer2TotalVolume">Cbal!$E$218:$I$218</definedName>
    <definedName name="cbalProd1Seg1Payer2Volume">Cbal!$E$293:$I$293</definedName>
    <definedName name="cbalProd1Seg1Payer3Share">Cbal!$E$242:$I$242</definedName>
    <definedName name="cbalProd1Seg1Payer3TotalVolume">Cbal!$E$224:$I$224</definedName>
    <definedName name="cbalProd1Seg1Payer3Volume">Cbal!$E$299:$I$299</definedName>
    <definedName name="cbalProd1Seg1PromotionAlloc">Cbal!$E$373:$I$373</definedName>
    <definedName name="cbalProd1Seg1PromotionAllocation">Cbal!$E$370:$I$370</definedName>
    <definedName name="cbalProd1Seg1Rep1Cap">Cbal!$E$345:$I$345</definedName>
    <definedName name="cbalProd1Seg1Rep1InternalTime">Cbal!$E$419:$I$419</definedName>
    <definedName name="cbalProd1Seg1Rep2Cap">Cbal!$E$346:$I$346</definedName>
    <definedName name="cbalProd1Seg1Rep2InternalTime">Cbal!$E$420:$I$420</definedName>
    <definedName name="cbalProd1Seg1Rep3Cap">Cbal!$E$347:$I$347</definedName>
    <definedName name="cbalProd1Seg1Rep3InternalTime">Cbal!$E$421:$I$421</definedName>
    <definedName name="cbalProd1Seg1SampleAlloc">Cbal!$E$371:$I$371</definedName>
    <definedName name="cbalProd1Seg1SpeakerAlloc">Cbal!$E$372:$I$372</definedName>
    <definedName name="cbalProd1Seg1TotalMarketVolume">Cbal!$E$341:$I$341</definedName>
    <definedName name="cbalProd1Seg1TotalPromotionAllocation">Cbal!$E$394:$I$394</definedName>
    <definedName name="cbalProd1Seg1TotalShare">Cbal!$E$162:$I$162</definedName>
    <definedName name="cbalProd1Seg1TotalVolume">Cbal!$E$199:$I$199</definedName>
    <definedName name="cbalProd1Seg2Comp1NewShare">Cbal!$E$182:$I$182</definedName>
    <definedName name="cbalProd1Seg2Comp1Payer1Share">Cbal!$E$250:$I$250</definedName>
    <definedName name="cbalProd1Seg2Comp1Payer2Share">Cbal!$E$256:$I$256</definedName>
    <definedName name="cbalProd1Seg2Comp1Payer3Share">Cbal!$E$262:$I$262</definedName>
    <definedName name="cbalProd1Seg2Comp1TotalShare">Cbal!$E$176:$I$176</definedName>
    <definedName name="cbalProd1Seg2Comp2NewShare">Cbal!$E$194:$I$194</definedName>
    <definedName name="cbalProd1Seg2Comp2Payer1Share">Cbal!$E$269:$I$269</definedName>
    <definedName name="cbalProd1Seg2Comp2Payer2Share">Cbal!$E$275:$I$275</definedName>
    <definedName name="cbalProd1Seg2Comp2Payer3Share">Cbal!$E$281:$I$281</definedName>
    <definedName name="cbalProd1Seg2Comp2TotalShare">Cbal!$E$188:$I$188</definedName>
    <definedName name="cbalProd1Seg2NewShare">Cbal!$E$169:$I$169</definedName>
    <definedName name="cbalProd1Seg2NewVolume">Cbal!$E$206:$I$206</definedName>
    <definedName name="cbalProd1Seg2Payer1Share">Cbal!$E$231:$I$231</definedName>
    <definedName name="cbalProd1Seg2Payer1TotalVolume">Cbal!$E$213:$I$213</definedName>
    <definedName name="cbalProd1Seg2Payer1Volume">Cbal!$E$288:$I$288</definedName>
    <definedName name="cbalProd1Seg2Payer2Share">Cbal!$E$237:$I$237</definedName>
    <definedName name="cbalProd1Seg2Payer2TotalVolume">Cbal!$E$219:$I$219</definedName>
    <definedName name="cbalProd1Seg2Payer2Volume">Cbal!$E$294:$I$294</definedName>
    <definedName name="cbalProd1Seg2Payer3Share">Cbal!$E$243:$I$243</definedName>
    <definedName name="cbalProd1Seg2Payer3TotalVolume">Cbal!$E$225:$I$225</definedName>
    <definedName name="cbalProd1Seg2Payer3Volume">Cbal!$E$300:$I$300</definedName>
    <definedName name="cbalProd1Seg2PromotionAlloc">Cbal!$E$377:$I$377</definedName>
    <definedName name="cbalProd1Seg2PromotionAllocation">Cbal!$E$374:$I$374</definedName>
    <definedName name="cbalProd1Seg2Rep1Cap">Cbal!$E$348:$I$348</definedName>
    <definedName name="cbalProd1Seg2Rep1InternalTime">Cbal!$E$422:$I$422</definedName>
    <definedName name="cbalProd1Seg2Rep2Cap">Cbal!$E$349:$I$349</definedName>
    <definedName name="cbalProd1Seg2Rep2InternalTime">Cbal!$E$423:$I$423</definedName>
    <definedName name="cbalProd1Seg2Rep3Cap">Cbal!$E$350:$I$350</definedName>
    <definedName name="cbalProd1Seg2Rep3InternalTime">Cbal!$E$424:$I$424</definedName>
    <definedName name="cbalProd1Seg2SampleAlloc">Cbal!$E$375:$I$375</definedName>
    <definedName name="cbalProd1Seg2SpeakerAlloc">Cbal!$E$376:$I$376</definedName>
    <definedName name="cbalProd1Seg2TotalMarketVolume">Cbal!$E$342:$I$342</definedName>
    <definedName name="cbalProd1Seg2TotalPromotionAllocation">Cbal!$E$395:$I$395</definedName>
    <definedName name="cbalProd1Seg2TotalShare">Cbal!$E$163:$I$163</definedName>
    <definedName name="cbalProd1Seg2TotalVolume">Cbal!$E$200:$I$200</definedName>
    <definedName name="cbalProd1Seg3Comp1NewShare">Cbal!$E$183:$I$183</definedName>
    <definedName name="cbalProd1Seg3Comp1Payer1Share">Cbal!$E$251:$I$251</definedName>
    <definedName name="cbalProd1Seg3Comp1Payer2Share">Cbal!$E$257:$I$257</definedName>
    <definedName name="cbalProd1Seg3Comp1Payer3Share">Cbal!$E$263:$I$263</definedName>
    <definedName name="cbalProd1Seg3Comp1TotalShare">Cbal!$E$177:$I$177</definedName>
    <definedName name="cbalProd1Seg3Comp2NewShare">Cbal!$E$195:$I$195</definedName>
    <definedName name="cbalProd1Seg3Comp2Payer1Share">Cbal!$E$270:$I$270</definedName>
    <definedName name="cbalProd1Seg3Comp2Payer2Share">Cbal!$E$276:$I$276</definedName>
    <definedName name="cbalProd1Seg3Comp2Payer3Share">Cbal!$E$282:$I$282</definedName>
    <definedName name="cbalProd1Seg3Comp2TotalShare">Cbal!$E$189:$I$189</definedName>
    <definedName name="cbalProd1Seg3NewShare">Cbal!$E$170:$I$170</definedName>
    <definedName name="cbalProd1Seg3NewVolume">Cbal!$E$207:$I$207</definedName>
    <definedName name="cbalProd1Seg3Payer1Share">Cbal!$E$232:$I$232</definedName>
    <definedName name="cbalProd1Seg3Payer1TotalVolume">Cbal!$E$214:$I$214</definedName>
    <definedName name="cbalProd1Seg3Payer1Volume">Cbal!$E$289:$I$289</definedName>
    <definedName name="cbalProd1Seg3Payer2Share">Cbal!$E$238:$I$238</definedName>
    <definedName name="cbalProd1Seg3Payer2TotalVolume">Cbal!$E$220:$I$220</definedName>
    <definedName name="cbalProd1Seg3Payer2Volume">Cbal!$E$295:$I$295</definedName>
    <definedName name="cbalProd1Seg3Payer3Share">Cbal!$E$244:$I$244</definedName>
    <definedName name="cbalProd1Seg3Payer3TotalVolume">Cbal!$E$226:$I$226</definedName>
    <definedName name="cbalProd1Seg3Payer3Volume">Cbal!$E$301:$I$301</definedName>
    <definedName name="cbalProd1Seg3PromotionAlloc">Cbal!$E$381:$I$381</definedName>
    <definedName name="cbalProd1Seg3PromotionAllocation">Cbal!$E$378:$I$378</definedName>
    <definedName name="cbalProd1Seg3Rep1Cap">Cbal!$E$351:$I$351</definedName>
    <definedName name="cbalProd1Seg3Rep1InternalTime">Cbal!$E$425:$I$425</definedName>
    <definedName name="cbalProd1Seg3Rep2Cap">Cbal!$E$352:$I$352</definedName>
    <definedName name="cbalProd1Seg3Rep2InternalTime">Cbal!$E$426:$I$426</definedName>
    <definedName name="cbalProd1Seg3Rep3Cap">Cbal!$E$353:$I$353</definedName>
    <definedName name="cbalProd1Seg3Rep3InternalTime">Cbal!$E$427:$I$427</definedName>
    <definedName name="cbalProd1Seg3SampleAlloc">Cbal!$E$379:$I$379</definedName>
    <definedName name="cbalProd1Seg3SpeakerAlloc">Cbal!$E$380:$I$380</definedName>
    <definedName name="cbalProd1Seg3TotalMarketVolume">Cbal!$E$343:$I$343</definedName>
    <definedName name="cbalProd1Seg3TotalPromotionAllocation">Cbal!$E$396:$I$396</definedName>
    <definedName name="cbalProd1Seg3TotalShare">Cbal!$E$164:$I$164</definedName>
    <definedName name="cbalProd1Seg3TotalVolume">Cbal!$E$201:$I$201</definedName>
    <definedName name="cbalProd1TotalMarketVolume">Cbal!$E$340:$I$340</definedName>
    <definedName name="cbalProd1TotalShare">Cbal!$E$161:$I$161</definedName>
    <definedName name="cbalProd1TotalVolume">Cbal!$E$198:$I$198</definedName>
    <definedName name="cbalReg1BudgetLeft">Cbal!$E$363:$I$363</definedName>
    <definedName name="cbalReg1BudgetLeftR2">Cbal!$E$365:$I$365</definedName>
    <definedName name="cbalReg1Comp1NewShare">Cbal!$E$36:$I$36</definedName>
    <definedName name="cbalReg1Comp1Payer1Share">Cbal!$E$104:$I$104</definedName>
    <definedName name="cbalReg1Comp1Payer1Status">Cbal!$E$327:$I$327</definedName>
    <definedName name="cbalReg1Comp1Payer2Share">Cbal!$E$110:$I$110</definedName>
    <definedName name="cbalReg1Comp1Payer2Status">Cbal!$E$328:$I$328</definedName>
    <definedName name="cbalReg1Comp1Payer3Share">Cbal!$E$116:$I$116</definedName>
    <definedName name="cbalReg1Comp1Payer3Status">Cbal!$E$329:$I$329</definedName>
    <definedName name="cbalReg1Comp1TotalShare">Cbal!$E$30:$I$30</definedName>
    <definedName name="cbalReg1Comp2NewShare">Cbal!$E$48:$I$48</definedName>
    <definedName name="cbalReg1Comp2Payer1Share">Cbal!$E$123:$I$123</definedName>
    <definedName name="cbalReg1Comp2Payer1Status">Cbal!$E$331:$I$331</definedName>
    <definedName name="cbalReg1Comp2Payer2Share">Cbal!$E$129:$I$129</definedName>
    <definedName name="cbalReg1Comp2Payer2Status">Cbal!$E$332:$I$332</definedName>
    <definedName name="cbalReg1Comp2Payer3Share">Cbal!$E$135:$I$135</definedName>
    <definedName name="cbalReg1Comp2Payer3Status">Cbal!$E$333:$I$333</definedName>
    <definedName name="cbalReg1Comp2TotalShare">Cbal!$E$42:$I$42</definedName>
    <definedName name="cbalReg1FTEsLeft">Cbal!$E$368:$I$368</definedName>
    <definedName name="cbalReg1NewShare">Cbal!$E$23:$I$23</definedName>
    <definedName name="cbalReg1NewVolume">Cbal!$E$60:$I$60</definedName>
    <definedName name="cbalReg1Payer1Share">Cbal!$E$85:$I$85</definedName>
    <definedName name="cbalReg1Payer1Status">Cbal!$E$323:$I$323</definedName>
    <definedName name="cbalReg1Payer1TotalVolume">Cbal!$E$67:$I$67</definedName>
    <definedName name="cbalReg1Payer1Volume">Cbal!$E$142:$I$142</definedName>
    <definedName name="cbalReg1Payer2Share">Cbal!$E$91:$I$91</definedName>
    <definedName name="cbalReg1Payer2Status">Cbal!$E$324:$I$324</definedName>
    <definedName name="cbalReg1Payer2TotalVolume">Cbal!$E$73:$I$73</definedName>
    <definedName name="cbalReg1Payer2Volume">Cbal!$E$148:$I$148</definedName>
    <definedName name="cbalReg1Payer3Share">Cbal!$E$97:$I$97</definedName>
    <definedName name="cbalReg1Payer3Status">Cbal!$E$325:$I$325</definedName>
    <definedName name="cbalReg1Payer3TotalVolume">Cbal!$E$79:$I$79</definedName>
    <definedName name="cbalReg1Payer3Volume">Cbal!$E$154:$I$154</definedName>
    <definedName name="cbalReg1SampleBudgetLeft">Cbal!$E$360:$I$360</definedName>
    <definedName name="cbalReg1SampleBudgetLeftR2">Cbal!$E$361:$I$361</definedName>
    <definedName name="cbalReg1Seg1Comp1NewShare">Cbal!$E$37:$I$37</definedName>
    <definedName name="cbalReg1Seg1Comp1Payer1Share">Cbal!$E$105:$I$105</definedName>
    <definedName name="cbalReg1Seg1Comp1Payer2Share">Cbal!$E$111:$I$111</definedName>
    <definedName name="cbalReg1Seg1Comp1Payer3Share">Cbal!$E$117:$I$117</definedName>
    <definedName name="cbalReg1Seg1Comp1TotalShare">Cbal!$E$31:$I$31</definedName>
    <definedName name="cbalReg1Seg1Comp2NewShare">Cbal!$E$49:$I$49</definedName>
    <definedName name="cbalReg1Seg1Comp2Payer1Share">Cbal!$E$124:$I$124</definedName>
    <definedName name="cbalReg1Seg1Comp2Payer2Share">Cbal!$E$130:$I$130</definedName>
    <definedName name="cbalReg1Seg1Comp2Payer3Share">Cbal!$E$136:$I$136</definedName>
    <definedName name="cbalReg1Seg1Comp2TotalShare">Cbal!$E$43:$I$43</definedName>
    <definedName name="cbalReg1Seg1NewShare">Cbal!$E$24:$I$24</definedName>
    <definedName name="cbalReg1Seg1NewVolume">Cbal!$E$61:$I$61</definedName>
    <definedName name="cbalReg1Seg1Payer1Share">Cbal!$E$86:$I$86</definedName>
    <definedName name="cbalReg1Seg1Payer1TotalVolume">Cbal!$E$68:$I$68</definedName>
    <definedName name="cbalReg1Seg1Payer1Volume">Cbal!$E$143:$I$143</definedName>
    <definedName name="cbalReg1Seg1Payer2Share">Cbal!$E$92:$I$92</definedName>
    <definedName name="cbalReg1Seg1Payer2TotalVolume">Cbal!$E$74:$I$74</definedName>
    <definedName name="cbalReg1Seg1Payer2Volume">Cbal!$E$149:$I$149</definedName>
    <definedName name="cbalReg1Seg1Payer3Share">Cbal!$E$98:$I$98</definedName>
    <definedName name="cbalReg1Seg1Payer3TotalVolume">Cbal!$E$80:$I$80</definedName>
    <definedName name="cbalReg1Seg1Payer3Volume">Cbal!$E$155:$I$155</definedName>
    <definedName name="cbalReg1Seg1PromotionAlloc">Cbal!$E$385:$I$385</definedName>
    <definedName name="cbalReg1Seg1PromotionAllocation">Cbal!$E$382:$I$382</definedName>
    <definedName name="cbalReg1Seg1Rep1Cap">Cbal!$E$354:$I$354</definedName>
    <definedName name="cbalReg1Seg1RepInternalTime">Cbal!$E$428:$I$428</definedName>
    <definedName name="cbalReg1Seg1SampleAlloc">Cbal!$E$383:$I$383</definedName>
    <definedName name="cbalReg1Seg1SpeakerAlloc">Cbal!$E$384:$I$384</definedName>
    <definedName name="cbalReg1Seg1TotalMarketVolume">Cbal!$E$336:$I$336</definedName>
    <definedName name="cbalReg1Seg1TotalPromotionAllocation">Cbal!$E$397:$I$397</definedName>
    <definedName name="cbalReg1Seg1TotalShare">Cbal!$E$18:$I$18</definedName>
    <definedName name="cbalReg1Seg1TotalVolume">Cbal!$E$55:$I$55</definedName>
    <definedName name="cbalReg1Seg2Comp1NewShare">Cbal!$E$38:$I$38</definedName>
    <definedName name="cbalReg1Seg2Comp1Payer1Share">Cbal!$E$106:$I$106</definedName>
    <definedName name="cbalReg1Seg2Comp1Payer2Share">Cbal!$E$112:$I$112</definedName>
    <definedName name="cbalReg1Seg2Comp1Payer3Share">Cbal!$E$118:$I$118</definedName>
    <definedName name="cbalReg1Seg2Comp1TotalShare">Cbal!$E$32:$I$32</definedName>
    <definedName name="cbalReg1Seg2Comp2NewShare">Cbal!$E$50:$I$50</definedName>
    <definedName name="cbalReg1Seg2Comp2Payer1Share">Cbal!$E$125:$I$125</definedName>
    <definedName name="cbalReg1Seg2Comp2Payer2Share">Cbal!$E$131:$I$131</definedName>
    <definedName name="cbalReg1Seg2Comp2Payer3Share">Cbal!$E$137:$I$137</definedName>
    <definedName name="cbalReg1Seg2Comp2TotalShare">Cbal!$E$44:$I$44</definedName>
    <definedName name="cbalReg1Seg2NewShare">Cbal!$E$25:$I$25</definedName>
    <definedName name="cbalReg1Seg2NewVolume">Cbal!$E$62:$I$62</definedName>
    <definedName name="cbalReg1Seg2Payer1Share">Cbal!$E$87:$I$87</definedName>
    <definedName name="cbalReg1Seg2Payer1TotalVolume">Cbal!$E$69:$I$69</definedName>
    <definedName name="cbalReg1Seg2Payer1Volume">Cbal!$E$144:$I$144</definedName>
    <definedName name="cbalReg1Seg2Payer2Share">Cbal!$E$93:$I$93</definedName>
    <definedName name="cbalReg1Seg2Payer2TotalVolume">Cbal!$E$75:$I$75</definedName>
    <definedName name="cbalReg1Seg2Payer2Volume">Cbal!$E$150:$I$150</definedName>
    <definedName name="cbalReg1Seg2Payer3Share">Cbal!$E$99:$I$99</definedName>
    <definedName name="cbalReg1Seg2Payer3TotalVolume">Cbal!$E$81:$I$81</definedName>
    <definedName name="cbalReg1Seg2Payer3Volume">Cbal!$E$156:$I$156</definedName>
    <definedName name="cbalReg1Seg2PromotionAlloc">Cbal!$E$389:$I$389</definedName>
    <definedName name="cbalReg1Seg2PromotionAllocation">Cbal!$E$386:$I$386</definedName>
    <definedName name="cbalReg1Seg2Rep1Cap">Cbal!$E$355:$I$355</definedName>
    <definedName name="cbalReg1Seg2RepInternalTime">Cbal!$E$429:$I$429</definedName>
    <definedName name="cbalReg1Seg2SampleAlloc">Cbal!$E$387:$I$387</definedName>
    <definedName name="cbalReg1Seg2SpeakerAlloc">Cbal!$E$388:$I$388</definedName>
    <definedName name="cbalReg1Seg2TotalMarketVolume">Cbal!$E$337:$I$337</definedName>
    <definedName name="cbalReg1Seg2TotalPromotionAllocation">Cbal!$E$398:$I$398</definedName>
    <definedName name="cbalReg1Seg2TotalShare">Cbal!$E$19:$I$19</definedName>
    <definedName name="cbalReg1Seg2TotalVolume">Cbal!$E$56:$I$56</definedName>
    <definedName name="cbalReg1Seg3Comp1NewShare">Cbal!$E$39:$I$39</definedName>
    <definedName name="cbalReg1Seg3Comp1Payer1Share">Cbal!$E$107:$I$107</definedName>
    <definedName name="cbalReg1Seg3Comp1Payer2Share">Cbal!$E$113:$I$113</definedName>
    <definedName name="cbalReg1Seg3Comp1Payer3Share">Cbal!$E$119:$I$119</definedName>
    <definedName name="cbalReg1Seg3Comp1TotalShare">Cbal!$E$33:$I$33</definedName>
    <definedName name="cbalReg1Seg3Comp2NewShare">Cbal!$E$51:$I$51</definedName>
    <definedName name="cbalReg1Seg3Comp2Payer1Share">Cbal!$E$126:$I$126</definedName>
    <definedName name="cbalReg1Seg3Comp2Payer2Share">Cbal!$E$132:$I$132</definedName>
    <definedName name="cbalReg1Seg3Comp2Payer3Share">Cbal!$E$138:$I$138</definedName>
    <definedName name="cbalReg1Seg3Comp2TotalShare">Cbal!$E$45:$I$45</definedName>
    <definedName name="cbalReg1Seg3NewShare">Cbal!$E$26:$I$26</definedName>
    <definedName name="cbalReg1Seg3NewVolume">Cbal!$E$63:$I$63</definedName>
    <definedName name="cbalReg1Seg3Payer1Share">Cbal!$E$88:$I$88</definedName>
    <definedName name="cbalReg1Seg3Payer1TotalVolume">Cbal!$E$70:$I$70</definedName>
    <definedName name="cbalReg1Seg3Payer1Volume">Cbal!$E$145:$I$145</definedName>
    <definedName name="cbalReg1Seg3Payer2Share">Cbal!$E$94:$I$94</definedName>
    <definedName name="cbalReg1Seg3Payer2TotalVolume">Cbal!$E$76:$I$76</definedName>
    <definedName name="cbalReg1Seg3Payer2Volume">Cbal!$E$151:$I$151</definedName>
    <definedName name="cbalReg1Seg3Payer3Share">Cbal!$E$100:$I$100</definedName>
    <definedName name="cbalReg1Seg3Payer3TotalVolume">Cbal!$E$82:$I$82</definedName>
    <definedName name="cbalReg1Seg3Payer3Volume">Cbal!$E$157:$I$157</definedName>
    <definedName name="cbalReg1Seg3PromotionAlloc">Cbal!$E$393:$I$393</definedName>
    <definedName name="cbalReg1Seg3PromotionAllocation">Cbal!$E$390:$I$390</definedName>
    <definedName name="cbalReg1Seg3Rep1Cap">Cbal!$E$356:$I$356</definedName>
    <definedName name="cbalReg1Seg3RepInternalTime">Cbal!$E$430:$I$430</definedName>
    <definedName name="cbalReg1Seg3SampleAlloc">Cbal!$E$391:$I$391</definedName>
    <definedName name="cbalReg1Seg3SpeakerAlloc">Cbal!$E$392:$I$392</definedName>
    <definedName name="cbalReg1Seg3TotalMarketVolume">Cbal!$E$338:$I$338</definedName>
    <definedName name="cbalReg1Seg3TotalPromotionAllocation">Cbal!$E$399:$I$399</definedName>
    <definedName name="cbalReg1Seg3TotalShare">Cbal!$E$20:$I$20</definedName>
    <definedName name="cbalReg1Seg3TotalVolume">Cbal!$E$57:$I$57</definedName>
    <definedName name="cbalReg1TotalMarketVolume">Cbal!$E$335:$I$335</definedName>
    <definedName name="cbalReg1TotalShare">Cbal!$E$17:$I$17</definedName>
    <definedName name="cbalReg1TotalVolume">Cbal!$E$54:$I$54</definedName>
    <definedName name="ClearDecisionsColDelete">ModuleClearDecisions!$D$10</definedName>
    <definedName name="ClearDecisionsLabelsPaste">ModuleClearDecisions!$B$38</definedName>
    <definedName name="ClearDecisionsReset">ModuleClearDecisions!$G$38:$G$285</definedName>
    <definedName name="ClearDecisionsResetValuesTool">ModuleClearDecisions!$H$38:$H$285</definedName>
    <definedName name="ClearDecisionsSheetsDelete">ModuleClearDecisions!$D$14:$D$33</definedName>
    <definedName name="cnstComma">PopUp!$E$72</definedName>
    <definedName name="cnstDoubleQuote">PopUp!$E$71</definedName>
    <definedName name="cnstMillion">Glossary!$D$19</definedName>
    <definedName name="cnstSingleQuote">PopUp!$E$70</definedName>
    <definedName name="core_FilePrefix">Controls!$D$5</definedName>
    <definedName name="dataCFFTEs">Data!$C$6:$C$11</definedName>
    <definedName name="dataCoachingFTEs">Data!$B$6:$B$11</definedName>
    <definedName name="dataCoachingFTEsReg1">Data!$E$6:$E$11</definedName>
    <definedName name="dataComp1Impact">MarketData!$H$10</definedName>
    <definedName name="dataComp2Impact">MarketData!$H$11</definedName>
    <definedName name="dataPayer2Tier">MarketData!$L$6:$L$7</definedName>
    <definedName name="dataPayerTier">MarketData!$K$2:$K$7</definedName>
    <definedName name="dataPricingImpactTier1">MarketData!$C$6</definedName>
    <definedName name="dataPricingImpactTier2">MarketData!$D$6</definedName>
    <definedName name="dataPricingImpactTier3">MarketData!$E$6</definedName>
    <definedName name="dataProd1ActualShare">MarketData!$C$801:$F$801</definedName>
    <definedName name="dataProd1BudgetR2RolePlay">MarketData!$C$18:$E$18</definedName>
    <definedName name="dataProd1BudgetR2RPOptions">MarketData!$C$17:$E$17</definedName>
    <definedName name="dataProd1CoachingCost">MarketData!$E$20</definedName>
    <definedName name="dataProd1Comp1ActualShare">MarketData!$C$814:$F$814</definedName>
    <definedName name="dataProd1Comp1Payer1TotalShare">MarketData!$C$762:$F$762</definedName>
    <definedName name="dataProd1Comp1Payer2TotalShare">MarketData!$C$768:$F$768</definedName>
    <definedName name="dataProd1Comp1Payer3TotalShare">MarketData!$C$774:$F$774</definedName>
    <definedName name="dataProd1Comp1TotalShare">MarketData!$C$421:$F$421</definedName>
    <definedName name="dataProd1Comp2ActualShare">MarketData!$C$821:$F$821</definedName>
    <definedName name="dataProd1Comp2Payer1TotalShare">MarketData!$C$781:$F$781</definedName>
    <definedName name="dataProd1Comp2Payer2TotalShare">MarketData!$C$787:$F$787</definedName>
    <definedName name="dataProd1Comp2Payer3TotalShare">MarketData!$C$793:$F$793</definedName>
    <definedName name="dataProd1Comp2TotalShare">MarketData!$C$422:$F$422</definedName>
    <definedName name="dataProd1Growth">MarketData!$C$420:$F$420</definedName>
    <definedName name="dataProd1NewVolume">MarketData!$C$418:$F$418</definedName>
    <definedName name="dataProd1Payer1NewVolume">MarketData!$C$726:$F$726</definedName>
    <definedName name="dataProd1Payer1TotalShare">MarketData!$C$743:$F$743</definedName>
    <definedName name="dataProd1Payer1TotalVolume">MarketData!$C$710:$F$710</definedName>
    <definedName name="dataProd1Payer2NewVolume">MarketData!$C$731:$F$731</definedName>
    <definedName name="dataProd1Payer2TotalShare">MarketData!$C$749:$F$749</definedName>
    <definedName name="dataProd1Payer2TotalVolume">MarketData!$C$715:$F$715</definedName>
    <definedName name="dataProd1Payer3NewVolume">MarketData!$C$736:$F$736</definedName>
    <definedName name="dataProd1Payer3TotalShare">MarketData!$C$755:$F$755</definedName>
    <definedName name="dataProd1Payer3TotalVolume">MarketData!$C$720:$F$720</definedName>
    <definedName name="dataProd1RegTrainCost">MarketData!$D$20</definedName>
    <definedName name="dataProd1Seg1ActualShare">MarketData!$C$797:$F$797</definedName>
    <definedName name="dataProd1Seg1Comp1ActualShare">MarketData!$C$810:$F$810</definedName>
    <definedName name="dataProd1Seg1Comp1NewCust">MarketData!$C$582:$F$582</definedName>
    <definedName name="dataProd1Seg1Comp1Payer1Percentage">MarketData!$C$586:$F$586</definedName>
    <definedName name="dataProd1Seg1Comp1Payer1TotalShare">MarketData!$C$759:$F$759</definedName>
    <definedName name="dataProd1Seg1Comp1Payer1Volume">MarketData!$C$591:$F$591</definedName>
    <definedName name="dataProd1Seg1Comp1Payer2Percentage">MarketData!$C$587:$F$587</definedName>
    <definedName name="dataProd1Seg1Comp1Payer2TotalShare">MarketData!$C$765:$F$765</definedName>
    <definedName name="dataProd1Seg1Comp1Payer2Volume">MarketData!$C$592:$F$592</definedName>
    <definedName name="dataProd1Seg1Comp1Payer3Percentage">MarketData!$C$588:$F$588</definedName>
    <definedName name="dataProd1Seg1Comp1Payer3TotalShare">MarketData!$C$771:$F$771</definedName>
    <definedName name="dataProd1Seg1Comp1Payer3Volume">MarketData!$C$593:$F$593</definedName>
    <definedName name="dataProd1Seg1Comp1RecurCust">MarketData!$C$581:$F$581</definedName>
    <definedName name="dataProd1Seg1Comp1TotalShare">MarketData!$C$433:$F$433</definedName>
    <definedName name="dataProd1Seg1Comp1TotalVolume">MarketData!$C$583:$F$583</definedName>
    <definedName name="dataProd1Seg1Comp2ActualShare">MarketData!$C$817:$F$817</definedName>
    <definedName name="dataProd1Seg1Comp2NewCust">MarketData!$C$597:$F$597</definedName>
    <definedName name="dataProd1Seg1Comp2Payer1Percentage">MarketData!$C$601:$F$601</definedName>
    <definedName name="dataProd1Seg1Comp2Payer1TotalShare">MarketData!$C$778:$F$778</definedName>
    <definedName name="dataProd1Seg1Comp2Payer1Volume">MarketData!$C$606:$F$606</definedName>
    <definedName name="dataProd1Seg1Comp2Payer2Percentage">MarketData!$C$602:$F$602</definedName>
    <definedName name="dataProd1Seg1Comp2Payer2TotalShare">MarketData!$C$784:$F$784</definedName>
    <definedName name="dataProd1Seg1Comp2Payer2Volume">MarketData!$C$607:$F$607</definedName>
    <definedName name="dataProd1Seg1Comp2Payer3Percentage">MarketData!$C$603:$F$603</definedName>
    <definedName name="dataProd1Seg1Comp2Payer3TotalShare">MarketData!$C$790:$F$790</definedName>
    <definedName name="dataProd1Seg1Comp2Payer3Volume">MarketData!$C$608:$F$608</definedName>
    <definedName name="dataProd1Seg1Comp2RecurCust">MarketData!$C$596:$F$596</definedName>
    <definedName name="dataProd1Seg1Comp2TotalShare">MarketData!$C$434:$F$434</definedName>
    <definedName name="dataProd1Seg1Comp2TotalVolume">MarketData!$C$598:$F$598</definedName>
    <definedName name="dataProd1Seg1NewCust">MarketData!$C$464:$F$464</definedName>
    <definedName name="dataProd1Seg1NewCustGrowth">MarketData!$C$429:$F$429</definedName>
    <definedName name="dataProd1Seg1Payer1GrossRevenue">MarketData!$C$488:$F$488</definedName>
    <definedName name="dataProd1Seg1Payer1GrowthCust">MarketData!$C$482:$F$482</definedName>
    <definedName name="dataProd1Seg1Payer1NetRevenue">MarketData!$C$490:$F$490</definedName>
    <definedName name="dataProd1Seg1Payer1NewVolPerc">MarketData!$C$690:$F$690</definedName>
    <definedName name="dataProd1Seg1Payer1NewVolume">MarketData!$C$723:$F$723</definedName>
    <definedName name="dataProd1Seg1Payer1Percentage">MarketData!$C$468:$F$468</definedName>
    <definedName name="dataProd1Seg1Payer1RecurCust">MarketData!$C$478:$F$478</definedName>
    <definedName name="dataProd1Seg1Payer1Reimbursement">MarketData!$C$489:$F$489</definedName>
    <definedName name="dataProd1Seg1Payer1TotalShare">MarketData!$C$740:$F$740</definedName>
    <definedName name="dataProd1Seg1Payer1TotalVolPerc">MarketData!$C$674:$F$674</definedName>
    <definedName name="dataProd1Seg1Payer1TotalVolume">MarketData!$C$707:$F$707</definedName>
    <definedName name="dataProd1Seg1Payer1Volume">MarketData!$C$473:$F$473</definedName>
    <definedName name="dataProd1Seg1Payer2GrossRevenue">MarketData!$C$492:$F$492</definedName>
    <definedName name="dataProd1Seg1Payer2GrowthCust">MarketData!$C$483:$F$483</definedName>
    <definedName name="dataProd1Seg1Payer2NetRevenue">MarketData!$C$494:$F$494</definedName>
    <definedName name="dataProd1Seg1Payer2NewVolPerc">MarketData!$C$691:$F$691</definedName>
    <definedName name="dataProd1Seg1Payer2NewVolume">MarketData!$C$728:$F$728</definedName>
    <definedName name="dataProd1Seg1Payer2Percentage">MarketData!$C$469:$F$469</definedName>
    <definedName name="dataProd1Seg1Payer2RecurCust">MarketData!$C$479:$F$479</definedName>
    <definedName name="dataProd1Seg1Payer2Reimbursement">MarketData!$C$493:$F$493</definedName>
    <definedName name="dataProd1Seg1Payer2TotalShare">MarketData!$C$746:$F$746</definedName>
    <definedName name="dataProd1Seg1Payer2TotalVolPerc">MarketData!$C$675:$F$675</definedName>
    <definedName name="dataProd1Seg1Payer2TotalVolume">MarketData!$C$712:$F$712</definedName>
    <definedName name="dataProd1Seg1Payer2Volume">MarketData!$C$474:$F$474</definedName>
    <definedName name="dataProd1Seg1Payer3GrossRevenue">MarketData!$C$496:$F$496</definedName>
    <definedName name="dataProd1Seg1Payer3GrowthCust">MarketData!$C$484:$F$484</definedName>
    <definedName name="dataProd1Seg1Payer3NetRevenue">MarketData!$C$498:$F$498</definedName>
    <definedName name="dataProd1Seg1Payer3NewVolPerc">MarketData!$C$692:$F$692</definedName>
    <definedName name="dataProd1Seg1Payer3NewVolume">MarketData!$C$733:$F$733</definedName>
    <definedName name="dataProd1Seg1Payer3Percentage">MarketData!$C$470:$F$470</definedName>
    <definedName name="dataProd1Seg1Payer3RecurCust">MarketData!$C$480:$F$480</definedName>
    <definedName name="dataProd1Seg1Payer3Reimbursement">MarketData!$C$497:$F$497</definedName>
    <definedName name="dataProd1Seg1Payer3TotalShare">MarketData!$C$752:$F$752</definedName>
    <definedName name="dataProd1Seg1Payer3TotalVolPerc">MarketData!$C$676:$F$676</definedName>
    <definedName name="dataProd1Seg1Payer3TotalVolume">MarketData!$C$717:$F$717</definedName>
    <definedName name="dataProd1Seg1Payer3Volume">MarketData!$C$475:$F$475</definedName>
    <definedName name="dataProd1Seg1PopGrowth">MarketData!$C$425:$F$425</definedName>
    <definedName name="dataProd1Seg1PopPerc">MarketData!$C$425:$F$425</definedName>
    <definedName name="dataProd1Seg1RecurCust">MarketData!$C$463:$F$463</definedName>
    <definedName name="dataProd1Seg1RecurRate">MarketData!$C$427:$F$427</definedName>
    <definedName name="dataProd1Seg1TotalMarket">MarketData!$C$431:$F$431</definedName>
    <definedName name="dataProd1Seg1TotalNewCust">MarketData!$C$430:$F$430</definedName>
    <definedName name="dataProd1Seg1TotalPop">MarketData!$C$426:$F$426</definedName>
    <definedName name="dataProd1Seg1TotalRecurCust">MarketData!$C$428:$F$428</definedName>
    <definedName name="dataProd1Seg1TotalShare">MarketData!$C$432:$F$432</definedName>
    <definedName name="dataProd1Seg1TotalVolume">MarketData!$C$465:$F$465</definedName>
    <definedName name="dataProd1Seg2ActualShare">MarketData!$C$798:$F$798</definedName>
    <definedName name="dataProd1Seg2Comp1ActualShare">MarketData!$C$811:$F$811</definedName>
    <definedName name="dataProd1Seg2Comp1NewCust">MarketData!$C$613:$F$613</definedName>
    <definedName name="dataProd1Seg2Comp1Payer1Percentage">MarketData!$C$617:$F$617</definedName>
    <definedName name="dataProd1Seg2Comp1Payer1TotalShare">MarketData!$C$760:$F$760</definedName>
    <definedName name="dataProd1Seg2Comp1Payer1Volume">MarketData!$C$622:$F$622</definedName>
    <definedName name="dataProd1Seg2Comp1Payer2Percentage">MarketData!$C$618:$F$618</definedName>
    <definedName name="dataProd1Seg2Comp1Payer2TotalShare">MarketData!$C$766:$F$766</definedName>
    <definedName name="dataProd1Seg2Comp1Payer2Volume">MarketData!$C$623:$F$623</definedName>
    <definedName name="dataProd1Seg2Comp1Payer3Percentage">MarketData!$C$619:$F$619</definedName>
    <definedName name="dataProd1Seg2Comp1Payer3TotalShare">MarketData!$C$772:$F$772</definedName>
    <definedName name="dataProd1Seg2Comp1Payer3Volume">MarketData!$C$624:$F$624</definedName>
    <definedName name="dataProd1Seg2Comp1RecurCust">MarketData!$C$612:$F$612</definedName>
    <definedName name="dataProd1Seg2Comp1TotalShare">MarketData!$C$445:$F$445</definedName>
    <definedName name="dataProd1Seg2Comp1TotalVolume">MarketData!$C$614:$F$614</definedName>
    <definedName name="dataProd1Seg2Comp2ActualShare">MarketData!$C$818:$F$818</definedName>
    <definedName name="dataProd1Seg2Comp2NewCust">MarketData!$C$628:$F$628</definedName>
    <definedName name="dataProd1Seg2Comp2Payer1Percentage">MarketData!$C$632:$F$632</definedName>
    <definedName name="dataProd1Seg2Comp2Payer1TotalShare">MarketData!$C$779:$F$779</definedName>
    <definedName name="dataProd1Seg2Comp2Payer1Volume">MarketData!$C$637:$F$637</definedName>
    <definedName name="dataProd1Seg2Comp2Payer2Percentage">MarketData!$C$633:$F$633</definedName>
    <definedName name="dataProd1Seg2Comp2Payer2TotalShare">MarketData!$C$785:$F$785</definedName>
    <definedName name="dataProd1Seg2Comp2Payer2Volume">MarketData!$C$638:$F$638</definedName>
    <definedName name="dataProd1Seg2Comp2Payer3Percentage">MarketData!$C$634:$F$634</definedName>
    <definedName name="dataProd1Seg2Comp2Payer3TotalShare">MarketData!$C$791:$F$791</definedName>
    <definedName name="dataProd1Seg2Comp2Payer3Volume">MarketData!$C$639:$F$639</definedName>
    <definedName name="dataProd1Seg2Comp2RecurCust">MarketData!$C$627:$F$627</definedName>
    <definedName name="dataProd1Seg2Comp2TotalShare">MarketData!$C$446:$F$446</definedName>
    <definedName name="dataProd1Seg2Comp2TotalVolume">MarketData!$C$629:$F$629</definedName>
    <definedName name="dataProd1Seg2NewCust">MarketData!$C$503:$F$503</definedName>
    <definedName name="dataProd1Seg2NewCustGrowth">MarketData!$C$441:$F$441</definedName>
    <definedName name="dataProd1Seg2Payer1GrossRevenue">MarketData!$C$528:$F$528</definedName>
    <definedName name="dataProd1Seg2Payer1GrowthCust">MarketData!$C$522:$F$522</definedName>
    <definedName name="dataProd1Seg2Payer1NetRevenue">MarketData!$C$530:$F$530</definedName>
    <definedName name="dataProd1Seg2Payer1NewVolPerc">MarketData!$C$695:$F$695</definedName>
    <definedName name="dataProd1Seg2Payer1NewVolume">MarketData!$C$724:$F$724</definedName>
    <definedName name="dataProd1Seg2Payer1Percentage">MarketData!$C$508:$F$508</definedName>
    <definedName name="dataProd1Seg2Payer1RecurCust">MarketData!$C$518:$F$518</definedName>
    <definedName name="dataProd1Seg2Payer1Reimbursement">MarketData!$C$529:$F$529</definedName>
    <definedName name="dataProd1Seg2Payer1TotalShare">MarketData!$C$741:$F$741</definedName>
    <definedName name="dataProd1Seg2Payer1TotalVolPerc">MarketData!$C$679:$F$679</definedName>
    <definedName name="dataProd1Seg2Payer1TotalVolume">MarketData!$C$708:$F$708</definedName>
    <definedName name="dataProd1Seg2Payer1Volume">MarketData!$C$513:$F$513</definedName>
    <definedName name="dataProd1Seg2Payer2GrossRevenue">MarketData!$C$532:$F$532</definedName>
    <definedName name="dataProd1Seg2Payer2GrowthCust">MarketData!$C$523:$F$523</definedName>
    <definedName name="dataProd1Seg2Payer2NetRevenue">MarketData!$C$534:$F$534</definedName>
    <definedName name="dataProd1Seg2Payer2NewVolPerc">MarketData!$C$696:$F$696</definedName>
    <definedName name="dataProd1Seg2Payer2NewVolume">MarketData!$C$729:$F$729</definedName>
    <definedName name="dataProd1Seg2Payer2Percentage">MarketData!$C$509:$F$509</definedName>
    <definedName name="dataProd1Seg2Payer2RecurCust">MarketData!$C$519:$F$519</definedName>
    <definedName name="dataProd1Seg2Payer2Reimbursement">MarketData!$C$533:$F$533</definedName>
    <definedName name="dataProd1Seg2Payer2TotalShare">MarketData!$C$747:$F$747</definedName>
    <definedName name="dataProd1Seg2Payer2TotalVolPerc">MarketData!$C$680:$F$680</definedName>
    <definedName name="dataProd1Seg2Payer2TotalVolume">MarketData!$C$713:$F$713</definedName>
    <definedName name="dataProd1Seg2Payer2Volume">MarketData!$C$514:$F$514</definedName>
    <definedName name="dataProd1Seg2Payer3GrossRevenue">MarketData!$C$536:$F$536</definedName>
    <definedName name="dataProd1Seg2Payer3GrowthCust">MarketData!$C$524:$F$524</definedName>
    <definedName name="dataProd1Seg2Payer3NetRevenue">MarketData!$C$538:$F$538</definedName>
    <definedName name="dataProd1Seg2Payer3NewVolPerc">MarketData!$C$697:$F$697</definedName>
    <definedName name="dataProd1Seg2Payer3NewVolume">MarketData!$C$734:$F$734</definedName>
    <definedName name="dataProd1Seg2Payer3Percentage">MarketData!$C$510:$F$510</definedName>
    <definedName name="dataProd1Seg2Payer3RecurCust">MarketData!$C$520:$F$520</definedName>
    <definedName name="dataProd1Seg2Payer3Reimbursement">MarketData!$C$537:$F$537</definedName>
    <definedName name="dataProd1Seg2Payer3TotalShare">MarketData!$C$753:$F$753</definedName>
    <definedName name="dataProd1Seg2Payer3TotalVolPerc">MarketData!$C$681:$F$681</definedName>
    <definedName name="dataProd1Seg2Payer3TotalVolume">MarketData!$C$718:$F$718</definedName>
    <definedName name="dataProd1Seg2Payer3Volume">MarketData!$C$515:$F$515</definedName>
    <definedName name="dataProd1Seg2PopGrowth">MarketData!$C$437:$F$437</definedName>
    <definedName name="dataProd1Seg2RecurCust">MarketData!$C$502:$F$502</definedName>
    <definedName name="dataProd1Seg2RecurRate">MarketData!$C$439:$F$439</definedName>
    <definedName name="dataProd1Seg2TotalMarket">MarketData!$C$443:$F$443</definedName>
    <definedName name="dataProd1Seg2TotalNewCust">MarketData!$C$442:$F$442</definedName>
    <definedName name="dataProd1Seg2TotalPop">MarketData!$C$438:$F$438</definedName>
    <definedName name="dataProd1Seg2TotalRecurCust">MarketData!$C$440:$F$440</definedName>
    <definedName name="dataProd1Seg2TotalShare">MarketData!$C$444:$F$444</definedName>
    <definedName name="dataProd1Seg2TotalVolume">MarketData!$C$504:$F$504</definedName>
    <definedName name="dataProd1Seg3ActualShare">MarketData!$C$799:$F$799</definedName>
    <definedName name="dataProd1Seg3Comp1ActualShare">MarketData!$C$812:$F$812</definedName>
    <definedName name="dataProd1Seg3Comp1NewCust">MarketData!$C$644:$F$644</definedName>
    <definedName name="dataProd1Seg3Comp1Payer1Percentage">MarketData!$C$648:$F$648</definedName>
    <definedName name="dataProd1Seg3Comp1Payer1TotalShare">MarketData!$C$761:$F$761</definedName>
    <definedName name="dataProd1Seg3Comp1Payer1Volume">MarketData!$C$653:$F$653</definedName>
    <definedName name="dataProd1Seg3Comp1Payer2Percentage">MarketData!$C$649:$F$649</definedName>
    <definedName name="dataProd1Seg3Comp1Payer2TotalShare">MarketData!$C$767:$F$767</definedName>
    <definedName name="dataProd1Seg3Comp1Payer2Volume">MarketData!$C$654:$F$654</definedName>
    <definedName name="dataProd1Seg3Comp1Payer3Percentage">MarketData!$C$650:$F$650</definedName>
    <definedName name="dataProd1Seg3Comp1Payer3TotalShare">MarketData!$C$773:$F$773</definedName>
    <definedName name="dataProd1Seg3Comp1Payer3Volume">MarketData!$C$655:$F$655</definedName>
    <definedName name="dataProd1Seg3Comp1RecurCust">MarketData!$C$643:$F$643</definedName>
    <definedName name="dataProd1Seg3Comp1TotalShare">MarketData!$C$457:$F$457</definedName>
    <definedName name="dataProd1Seg3Comp1TotalVolume">MarketData!$C$645:$F$645</definedName>
    <definedName name="dataProd1Seg3Comp2ActualShare">MarketData!$C$819:$F$819</definedName>
    <definedName name="dataProd1Seg3Comp2NewCust">MarketData!$C$659:$F$659</definedName>
    <definedName name="dataProd1Seg3Comp2Payer1Percentage">MarketData!$C$663:$F$663</definedName>
    <definedName name="dataProd1Seg3Comp2Payer1TotalShare">MarketData!$C$780:$F$780</definedName>
    <definedName name="dataProd1Seg3Comp2Payer1Volume">MarketData!$C$668:$F$668</definedName>
    <definedName name="dataProd1Seg3Comp2Payer2Percentage">MarketData!$C$664:$F$664</definedName>
    <definedName name="dataProd1Seg3Comp2Payer2TotalShare">MarketData!$C$786:$F$786</definedName>
    <definedName name="dataProd1Seg3Comp2Payer2Volume">MarketData!$C$669:$F$669</definedName>
    <definedName name="dataProd1Seg3Comp2Payer3Percentage">MarketData!$C$665:$F$665</definedName>
    <definedName name="dataProd1Seg3Comp2Payer3TotalShare">MarketData!$C$792:$F$792</definedName>
    <definedName name="dataProd1Seg3Comp2Payer3Volume">MarketData!$C$670:$F$670</definedName>
    <definedName name="dataProd1Seg3Comp2RecurCust">MarketData!$C$658:$F$658</definedName>
    <definedName name="dataProd1Seg3Comp2TotalShare">MarketData!$C$458:$F$458</definedName>
    <definedName name="dataProd1Seg3Comp2TotalVolume">MarketData!$C$660:$F$660</definedName>
    <definedName name="dataProd1Seg3NewCust">MarketData!$C$542:$F$542</definedName>
    <definedName name="dataProd1Seg3NewCustGrowth">MarketData!$C$453:$F$453</definedName>
    <definedName name="dataProd1Seg3Payer1GrossRevenue">MarketData!$C$566:$F$566</definedName>
    <definedName name="dataProd1Seg3Payer1GrowthCust">MarketData!$C$560:$F$560</definedName>
    <definedName name="dataProd1Seg3Payer1NetRevenue">MarketData!$C$568:$F$568</definedName>
    <definedName name="dataProd1Seg3Payer1NewVolPerc">MarketData!$C$700:$F$700</definedName>
    <definedName name="dataProd1Seg3Payer1NewVolume">MarketData!$C$725:$F$725</definedName>
    <definedName name="dataProd1Seg3Payer1Percentage">MarketData!$C$546:$F$546</definedName>
    <definedName name="dataProd1Seg3Payer1RecurCust">MarketData!$C$556:$F$556</definedName>
    <definedName name="dataProd1Seg3Payer1Reimbursement">MarketData!$C$567:$F$567</definedName>
    <definedName name="dataProd1Seg3Payer1TotalShare">MarketData!$C$742:$F$742</definedName>
    <definedName name="dataProd1Seg3Payer1TotalVolPerc">MarketData!$C$684:$F$684</definedName>
    <definedName name="dataProd1Seg3Payer1TotalVolume">MarketData!$C$709:$F$709</definedName>
    <definedName name="dataProd1Seg3Payer1Volume">MarketData!$C$551:$F$551</definedName>
    <definedName name="dataProd1Seg3Payer2GrossRevenue">MarketData!$C$570:$F$570</definedName>
    <definedName name="dataProd1Seg3Payer2GrowthCust">MarketData!$C$561:$F$561</definedName>
    <definedName name="dataProd1Seg3Payer2NetRevenue">MarketData!$C$572:$F$572</definedName>
    <definedName name="dataProd1Seg3Payer2NewVolPerc">MarketData!$C$701:$F$701</definedName>
    <definedName name="dataProd1Seg3Payer2NewVolume">MarketData!$C$730:$F$730</definedName>
    <definedName name="dataProd1Seg3Payer2Percentage">MarketData!$C$547:$F$547</definedName>
    <definedName name="dataProd1Seg3Payer2RecurCust">MarketData!$C$557:$F$557</definedName>
    <definedName name="dataProd1Seg3Payer2Reimbursement">MarketData!$C$571:$F$571</definedName>
    <definedName name="dataProd1Seg3Payer2TotalShare">MarketData!$C$748:$F$748</definedName>
    <definedName name="dataProd1Seg3Payer2TotalVolPerc">MarketData!$C$685:$F$685</definedName>
    <definedName name="dataProd1Seg3Payer2TotalVolume">MarketData!$C$714:$F$714</definedName>
    <definedName name="dataProd1Seg3Payer2Volume">MarketData!$C$552:$F$552</definedName>
    <definedName name="dataProd1Seg3Payer3GrossRevenue">MarketData!$C$574:$F$574</definedName>
    <definedName name="dataProd1Seg3Payer3GrowthCust">MarketData!$C$562:$F$562</definedName>
    <definedName name="dataProd1Seg3Payer3NetRevenue">MarketData!$C$576:$F$576</definedName>
    <definedName name="dataProd1Seg3Payer3NewVolPerc">MarketData!$C$702:$F$702</definedName>
    <definedName name="dataProd1Seg3Payer3NewVolume">MarketData!$C$735:$F$735</definedName>
    <definedName name="dataProd1Seg3Payer3Percentage">MarketData!$C$548:$F$548</definedName>
    <definedName name="dataProd1Seg3Payer3RecurCust">MarketData!$C$558:$F$558</definedName>
    <definedName name="dataProd1Seg3Payer3Reimbursement">MarketData!$C$575:$F$575</definedName>
    <definedName name="dataProd1Seg3Payer3TotalShare">MarketData!$C$754:$F$754</definedName>
    <definedName name="dataProd1Seg3Payer3TotalVolPerc">MarketData!$C$686:$F$686</definedName>
    <definedName name="dataProd1Seg3Payer3TotalVolume">MarketData!$C$719:$F$719</definedName>
    <definedName name="dataProd1Seg3Payer3Volume">MarketData!$C$553:$F$553</definedName>
    <definedName name="dataProd1Seg3PopGrowth">MarketData!$C$449:$F$449</definedName>
    <definedName name="dataProd1Seg3RecurCust">MarketData!$C$541:$F$541</definedName>
    <definedName name="dataProd1Seg3RecurRate">MarketData!$C$451:$F$451</definedName>
    <definedName name="dataProd1Seg3TotalMarket">MarketData!$C$455:$F$455</definedName>
    <definedName name="dataProd1Seg3TotalNewCust">MarketData!$C$454:$F$454</definedName>
    <definedName name="dataProd1Seg3TotalPop">MarketData!$C$450:$F$450</definedName>
    <definedName name="dataProd1Seg3TotalRecurCust">MarketData!$C$452:$F$452</definedName>
    <definedName name="dataProd1Seg3TotalShare">MarketData!$C$456:$F$456</definedName>
    <definedName name="dataProd1Seg3TotalVolume">MarketData!$C$543:$F$543</definedName>
    <definedName name="dataProd1TotalMarketVolume">MarketData!$C$416:$F$416</definedName>
    <definedName name="dataProd1TotalShare">MarketData!$C$419:$F$419</definedName>
    <definedName name="dataProd1TotalVolume">MarketData!$C$417:$F$417</definedName>
    <definedName name="dataReg1ActualShare">MarketData!$C$807:$F$807</definedName>
    <definedName name="dataReg1CoachingCost">MarketData!$F$20</definedName>
    <definedName name="dataReg1Comp1ActualShare">MarketData!$C$828:$F$828</definedName>
    <definedName name="dataReg1Comp1Payer1TotalShare">MarketData!$C$374:$F$374</definedName>
    <definedName name="dataReg1Comp1Payer2TotalShare">MarketData!$C$380:$F$380</definedName>
    <definedName name="dataReg1Comp1Payer3TotalShare">MarketData!$C$386:$F$386</definedName>
    <definedName name="dataReg1Comp1TotalShare">MarketData!$C$30:$F$30</definedName>
    <definedName name="dataReg1Comp2ActualShare">MarketData!$C$835:$F$835</definedName>
    <definedName name="dataReg1Comp2Payer1TotalShare">MarketData!$C$393:$F$393</definedName>
    <definedName name="dataReg1Comp2Payer2TotalShare">MarketData!$C$399:$F$399</definedName>
    <definedName name="dataReg1Comp2Payer3TotalShare">MarketData!$C$405:$F$405</definedName>
    <definedName name="dataReg1Comp2TotalShare">MarketData!$C$31:$F$31</definedName>
    <definedName name="dataReg1Growth">MarketData!$C$29:$F$29</definedName>
    <definedName name="dataReg1NewVolume">MarketData!$C$27:$F$27</definedName>
    <definedName name="dataReg1Payer1NewVolume">MarketData!$C$339:$F$339</definedName>
    <definedName name="dataReg1Payer1TotalShare">MarketData!$C$355:$F$355</definedName>
    <definedName name="dataReg1Payer1TotalVolume">MarketData!$C$305:$F$305</definedName>
    <definedName name="dataReg1Payer2NewVolume">MarketData!$C$344:$F$344</definedName>
    <definedName name="dataReg1Payer2TotalShare">MarketData!$C$361:$F$361</definedName>
    <definedName name="dataReg1Payer2TotalVolume">MarketData!$C$310:$F$310</definedName>
    <definedName name="dataReg1Payer3NewVolume">MarketData!$C$349:$F$349</definedName>
    <definedName name="dataReg1Payer3TotalShare">MarketData!$C$367:$F$367</definedName>
    <definedName name="dataReg1Payer3TotalVolume">MarketData!$C$315:$F$315</definedName>
    <definedName name="dataReg1RegTrainCost">MarketData!$C$20</definedName>
    <definedName name="dataReg1Seg1ActualShare">MarketData!$C$803:$F$803</definedName>
    <definedName name="dataReg1Seg1Comp1ActualShare">MarketData!$C$824:$F$824</definedName>
    <definedName name="dataReg1Seg1Comp1NewCust">MarketData!$C$194:$F$194</definedName>
    <definedName name="dataReg1Seg1Comp1Payer1Percentage">MarketData!$C$198:$F$198</definedName>
    <definedName name="dataReg1Seg1Comp1Payer1TotalShare">MarketData!$C$371:$F$371</definedName>
    <definedName name="dataReg1Seg1Comp1Payer1Volume">MarketData!$C$203:$F$203</definedName>
    <definedName name="dataReg1Seg1Comp1Payer2Percentage">MarketData!$C$199:$F$199</definedName>
    <definedName name="dataReg1Seg1Comp1Payer2TotalShare">MarketData!$C$377:$F$377</definedName>
    <definedName name="dataReg1Seg1Comp1Payer2Volume">MarketData!$C$204:$F$204</definedName>
    <definedName name="dataReg1Seg1Comp1Payer3Percentage">MarketData!$C$200:$F$200</definedName>
    <definedName name="dataReg1Seg1Comp1Payer3TotalShare">MarketData!$C$383:$F$383</definedName>
    <definedName name="dataReg1Seg1Comp1Payer3Volume">MarketData!$C$205:$F$205</definedName>
    <definedName name="dataReg1Seg1Comp1RecurCust">MarketData!$C$193:$F$193</definedName>
    <definedName name="dataReg1Seg1Comp1TotalShare">MarketData!$C$43:$F$43</definedName>
    <definedName name="dataReg1Seg1Comp1TotalVolume">MarketData!$C$195:$F$195</definedName>
    <definedName name="dataReg1Seg1Comp2ActualShare">MarketData!$C$831:$F$831</definedName>
    <definedName name="dataReg1Seg1Comp2NewCust">MarketData!$C$209:$F$209</definedName>
    <definedName name="dataReg1Seg1Comp2Payer1Percentage">MarketData!$C$212:$F$212</definedName>
    <definedName name="dataReg1Seg1Comp2Payer1TotalShare">MarketData!$C$390:$F$390</definedName>
    <definedName name="dataReg1Seg1Comp2Payer1Volume">MarketData!$C$217:$F$217</definedName>
    <definedName name="dataReg1Seg1Comp2Payer2Percentage">MarketData!$C$213:$F$213</definedName>
    <definedName name="dataReg1Seg1Comp2Payer2TotalShare">MarketData!$C$396:$F$396</definedName>
    <definedName name="dataReg1Seg1Comp2Payer2Volume">MarketData!$C$218:$F$218</definedName>
    <definedName name="dataReg1Seg1Comp2Payer3Percentage">MarketData!$C$214:$F$214</definedName>
    <definedName name="dataReg1Seg1Comp2Payer3TotalShare">MarketData!$C$402:$F$402</definedName>
    <definedName name="dataReg1Seg1Comp2Payer3Volume">MarketData!$C$219:$F$219</definedName>
    <definedName name="dataReg1Seg1Comp2RecurCust">MarketData!$C$208:$F$208</definedName>
    <definedName name="dataReg1Seg1Comp2TotalShare">MarketData!$C$44:$F$44</definedName>
    <definedName name="dataReg1Seg1Comp2TotalVolume">MarketData!$C$210:$F$210</definedName>
    <definedName name="dataReg1Seg1GrowthCust">MarketData!$C$73:$F$73</definedName>
    <definedName name="dataReg1Seg1NewCustGrowth">MarketData!$C$39:$F$39</definedName>
    <definedName name="dataReg1Seg1Payer1GrossRevenue">MarketData!$C$97:$F$97</definedName>
    <definedName name="dataReg1Seg1Payer1GrowthCust">MarketData!$C$91:$F$91</definedName>
    <definedName name="dataReg1Seg1Payer1NetRevenue">MarketData!$C$99:$F$99</definedName>
    <definedName name="dataReg1Seg1Payer1NewVolPerc">MarketData!$C$319:$F$319</definedName>
    <definedName name="dataReg1Seg1Payer1NewVolume">MarketData!$C$336:$F$336</definedName>
    <definedName name="dataReg1Seg1Payer1Percentage">MarketData!$C$77:$F$77</definedName>
    <definedName name="dataReg1Seg1Payer1RecurCust">MarketData!$C$87:$F$87</definedName>
    <definedName name="dataReg1Seg1Payer1Reimbursement">MarketData!$C$98:$F$98</definedName>
    <definedName name="dataReg1Seg1Payer1TotalShare">MarketData!$C$352:$F$352</definedName>
    <definedName name="dataReg1Seg1Payer1TotalVolPerc">MarketData!$C$287:$F$287</definedName>
    <definedName name="dataReg1Seg1Payer1TotalVolume">MarketData!$C$302:$F$302</definedName>
    <definedName name="dataReg1Seg1Payer1Volume">MarketData!$C$82:$F$82</definedName>
    <definedName name="dataReg1Seg1Payer2GrossRevenue">MarketData!$C$101:$F$101</definedName>
    <definedName name="dataReg1Seg1Payer2GrowthCust">MarketData!$C$92:$F$92</definedName>
    <definedName name="dataReg1Seg1Payer2NetRevenue">MarketData!$C$103:$F$103</definedName>
    <definedName name="dataReg1Seg1Payer2NewVolPerc">MarketData!$C$320:$F$320</definedName>
    <definedName name="dataReg1Seg1Payer2NewVolume">MarketData!$C$341:$F$341</definedName>
    <definedName name="dataReg1Seg1Payer2Percentage">MarketData!$C$78:$F$78</definedName>
    <definedName name="dataReg1Seg1Payer2RecurCust">MarketData!$C$88:$F$88</definedName>
    <definedName name="dataReg1Seg1Payer2Reimbursement">MarketData!$C$102:$F$102</definedName>
    <definedName name="dataReg1Seg1Payer2TotalShare">MarketData!$C$358:$F$358</definedName>
    <definedName name="dataReg1Seg1Payer2TotalVolPerc">MarketData!$C$288:$F$288</definedName>
    <definedName name="dataReg1Seg1Payer2TotalVolume">MarketData!$C$307:$F$307</definedName>
    <definedName name="dataReg1Seg1Payer2Volume">MarketData!$C$83:$F$83</definedName>
    <definedName name="dataReg1Seg1Payer3GrossRevenue">MarketData!$C$105:$F$105</definedName>
    <definedName name="dataReg1Seg1Payer3GrowthCust">MarketData!$C$93:$F$93</definedName>
    <definedName name="dataReg1Seg1Payer3NetRevenue">MarketData!$C$107:$F$107</definedName>
    <definedName name="dataReg1Seg1Payer3NewVolPerc">MarketData!$C$321:$F$321</definedName>
    <definedName name="dataReg1Seg1Payer3NewVolume">MarketData!$C$346:$F$346</definedName>
    <definedName name="dataReg1Seg1Payer3Percentage">MarketData!$C$79:$F$79</definedName>
    <definedName name="dataReg1Seg1Payer3RecurCust">MarketData!$C$89:$F$89</definedName>
    <definedName name="dataReg1Seg1Payer3Reimbursement">MarketData!$C$106:$F$106</definedName>
    <definedName name="dataReg1Seg1Payer3TotalShare">MarketData!$C$364:$F$364</definedName>
    <definedName name="dataReg1Seg1Payer3TotalVolPerc">MarketData!$C$289:$F$289</definedName>
    <definedName name="dataReg1Seg1Payer3TotalVolume">MarketData!$C$312:$F$312</definedName>
    <definedName name="dataReg1Seg1Payer3Volume">MarketData!$C$84:$F$84</definedName>
    <definedName name="dataReg1Seg1PayerVolume">MarketData!$C$82:$F$82</definedName>
    <definedName name="dataReg1Seg1PopGrowth">MarketData!$C$35:$F$35</definedName>
    <definedName name="dataReg1Seg1RecurCust">MarketData!$C$72:$F$72</definedName>
    <definedName name="dataReg1Seg1RecurRate">MarketData!$C$37:$F$37</definedName>
    <definedName name="dataReg1Seg1TotalMarket">MarketData!$C$41:$F$41</definedName>
    <definedName name="dataReg1Seg1TotalNewCust">MarketData!$C$40:$F$40</definedName>
    <definedName name="dataReg1Seg1TotalPop">MarketData!$C$36:$F$36</definedName>
    <definedName name="dataReg1Seg1TotalRecurCust">MarketData!$C$38:$F$38</definedName>
    <definedName name="dataReg1Seg1TotalShare">MarketData!$C$42:$F$42</definedName>
    <definedName name="dataReg1Seg1TotalVolume">MarketData!$C$74:$F$74</definedName>
    <definedName name="dataReg1Seg1VolumePercentage">MarketData!$C$42:$F$42</definedName>
    <definedName name="dataReg1Seg2ActualShare">MarketData!$C$804:$F$804</definedName>
    <definedName name="dataReg1Seg2Comp1ActualShare">MarketData!$C$825:$F$825</definedName>
    <definedName name="dataReg1Seg2Comp1NewCust">MarketData!$C$225:$F$225</definedName>
    <definedName name="dataReg1Seg2Comp1Payer1Percentage">MarketData!$C$229:$F$229</definedName>
    <definedName name="dataReg1Seg2Comp1Payer1TotalShare">MarketData!$C$372:$F$372</definedName>
    <definedName name="dataReg1Seg2Comp1Payer1Volume">MarketData!$C$234:$F$234</definedName>
    <definedName name="dataReg1Seg2Comp1Payer2Percentage">MarketData!$C$230:$F$230</definedName>
    <definedName name="dataReg1Seg2Comp1Payer2TotalShare">MarketData!$C$378:$F$378</definedName>
    <definedName name="dataReg1Seg2Comp1Payer2Volume">MarketData!$C$235:$F$235</definedName>
    <definedName name="dataReg1Seg2Comp1Payer3Percentage">MarketData!$C$231:$F$231</definedName>
    <definedName name="dataReg1Seg2Comp1Payer3TotalShare">MarketData!$C$384:$F$384</definedName>
    <definedName name="dataReg1Seg2Comp1Payer3Volume">MarketData!$C$236:$F$236</definedName>
    <definedName name="dataReg1Seg2Comp1RecurCust">MarketData!$C$224:$F$224</definedName>
    <definedName name="dataReg1Seg2Comp1TotalShare">MarketData!$C$55:$F$55</definedName>
    <definedName name="dataReg1Seg2Comp1TotalVolume">MarketData!$C$226:$F$226</definedName>
    <definedName name="dataReg1Seg2Comp2ActualShare">MarketData!$C$832:$F$832</definedName>
    <definedName name="dataReg1Seg2Comp2NewCust">MarketData!$C$240:$F$240</definedName>
    <definedName name="dataReg1Seg2Comp2Payer1Percentage">MarketData!$C$243:$F$243</definedName>
    <definedName name="dataReg1Seg2Comp2Payer1TotalShare">MarketData!$C$391:$F$391</definedName>
    <definedName name="dataReg1Seg2Comp2Payer1Volume">MarketData!$C$248:$F$248</definedName>
    <definedName name="dataReg1Seg2Comp2Payer2Percentage">MarketData!$C$244:$F$244</definedName>
    <definedName name="dataReg1Seg2Comp2Payer2TotalShare">MarketData!$C$397:$F$397</definedName>
    <definedName name="dataReg1Seg2Comp2Payer2Volume">MarketData!$C$249:$F$249</definedName>
    <definedName name="dataReg1Seg2Comp2Payer3Percentage">MarketData!$C$245:$F$245</definedName>
    <definedName name="dataReg1Seg2Comp2Payer3TotalShare">MarketData!$C$403:$F$403</definedName>
    <definedName name="dataReg1Seg2Comp2Payer3Volume">MarketData!$C$250:$F$250</definedName>
    <definedName name="dataReg1Seg2Comp2RecurCust">MarketData!$C$239:$F$239</definedName>
    <definedName name="dataReg1Seg2Comp2TotalShare">MarketData!$C$56:$F$56</definedName>
    <definedName name="dataReg1Seg2Comp2TotalVolume">MarketData!$C$241:$F$241</definedName>
    <definedName name="dataReg1Seg2GrowthCust">MarketData!$C$112:$F$112</definedName>
    <definedName name="dataReg1Seg2NewCustGrowth">MarketData!$C$51:$F$51</definedName>
    <definedName name="dataReg1Seg2Payer1GrossRevenue">MarketData!$C$137:$F$137</definedName>
    <definedName name="dataReg1Seg2Payer1GrowthCust">MarketData!$C$131:$F$131</definedName>
    <definedName name="dataReg1Seg2Payer1NetRevenue">MarketData!$C$139:$F$139</definedName>
    <definedName name="dataReg1Seg2Payer1NewVolPerc">MarketData!$C$324:$F$324</definedName>
    <definedName name="dataReg1Seg2Payer1NewVolume">MarketData!$C$337:$F$337</definedName>
    <definedName name="dataReg1Seg2Payer1Percentage">MarketData!$C$117:$F$117</definedName>
    <definedName name="dataReg1Seg2Payer1RecurCust">MarketData!$C$127:$F$127</definedName>
    <definedName name="dataReg1Seg2Payer1Reimbursement">MarketData!$C$138:$F$138</definedName>
    <definedName name="dataReg1Seg2Payer1TotalShare">MarketData!$C$353:$F$353</definedName>
    <definedName name="dataReg1Seg2Payer1TotalVolPerc">MarketData!$C$292:$F$292</definedName>
    <definedName name="dataReg1Seg2Payer1TotalVolume">MarketData!$C$303:$F$303</definedName>
    <definedName name="dataReg1Seg2Payer1Volume">MarketData!$C$122:$F$122</definedName>
    <definedName name="dataReg1Seg2Payer2GrossRevenue">MarketData!$C$141:$F$141</definedName>
    <definedName name="dataReg1Seg2Payer2GrowthCust">MarketData!$C$132:$F$132</definedName>
    <definedName name="dataReg1Seg2Payer2NetRevenue">MarketData!$C$143:$F$143</definedName>
    <definedName name="dataReg1Seg2Payer2NewVolPerc">MarketData!$C$325:$F$325</definedName>
    <definedName name="dataReg1Seg2Payer2NewVolume">MarketData!$C$342:$F$342</definedName>
    <definedName name="dataReg1Seg2Payer2Percentage">MarketData!$C$118:$F$118</definedName>
    <definedName name="dataReg1Seg2Payer2RecurCust">MarketData!$C$128:$F$128</definedName>
    <definedName name="dataReg1Seg2Payer2Reimbursement">MarketData!$C$142:$F$142</definedName>
    <definedName name="dataReg1Seg2Payer2TotalShare">MarketData!$C$359:$F$359</definedName>
    <definedName name="dataReg1Seg2Payer2TotalVolPerc">MarketData!$C$293:$F$293</definedName>
    <definedName name="dataReg1Seg2Payer2TotalVolume">MarketData!$C$308:$F$308</definedName>
    <definedName name="dataReg1Seg2Payer2Volume">MarketData!$C$123:$F$123</definedName>
    <definedName name="dataReg1Seg2Payer3GrossRevenue">MarketData!$C$145:$F$145</definedName>
    <definedName name="dataReg1Seg2Payer3GrowthCust">MarketData!$C$133:$F$133</definedName>
    <definedName name="dataReg1Seg2Payer3NetRevenue">MarketData!$C$147:$F$147</definedName>
    <definedName name="dataReg1Seg2Payer3NewVolPerc">MarketData!$C$326:$F$326</definedName>
    <definedName name="dataReg1Seg2Payer3NewVolume">MarketData!$C$347:$F$347</definedName>
    <definedName name="dataReg1Seg2Payer3Percentage">MarketData!$C$119:$F$119</definedName>
    <definedName name="dataReg1Seg2Payer3RecurCust">MarketData!$C$129:$F$129</definedName>
    <definedName name="dataReg1Seg2Payer3Reimbursement">MarketData!$C$146:$F$146</definedName>
    <definedName name="dataReg1Seg2Payer3TotalShare">MarketData!$C$365:$F$365</definedName>
    <definedName name="dataReg1Seg2Payer3TotalVolPerc">MarketData!$C$294:$F$294</definedName>
    <definedName name="dataReg1Seg2Payer3TotalVolume">MarketData!$C$313:$F$313</definedName>
    <definedName name="dataReg1Seg2Payer3Volume">MarketData!$C$124:$F$124</definedName>
    <definedName name="dataReg1Seg2PopGrowth">MarketData!$C$47:$F$47</definedName>
    <definedName name="dataReg1Seg2RecurCust">MarketData!$C$111:$F$111</definedName>
    <definedName name="dataReg1Seg2RecurRate">MarketData!$C$49:$F$49</definedName>
    <definedName name="dataReg1Seg2TotalMarket">MarketData!$C$53:$F$53</definedName>
    <definedName name="dataReg1Seg2TotalNewCust">MarketData!$C$52:$F$52</definedName>
    <definedName name="dataReg1Seg2TotalPop">MarketData!$C$48:$F$48</definedName>
    <definedName name="dataReg1Seg2TotalRecurCust">MarketData!$C$50:$F$50</definedName>
    <definedName name="dataReg1Seg2TotalShare">MarketData!$C$54:$F$54</definedName>
    <definedName name="dataReg1Seg2TotalVolume">MarketData!$C$113:$F$113</definedName>
    <definedName name="dataReg1Seg3ActualShare">MarketData!$C$805:$F$805</definedName>
    <definedName name="dataReg1Seg3Comp1ActualShare">MarketData!$C$826:$F$826</definedName>
    <definedName name="dataReg1Seg3Comp1NewCust">MarketData!$C$256:$F$256</definedName>
    <definedName name="dataReg1Seg3Comp1Payer1Percentage">MarketData!$C$260:$F$260</definedName>
    <definedName name="dataReg1Seg3Comp1Payer1TotalShare">MarketData!$C$373:$F$373</definedName>
    <definedName name="dataReg1Seg3Comp1Payer1Volume">MarketData!$C$265:$F$265</definedName>
    <definedName name="dataReg1Seg3Comp1Payer2Percentage">MarketData!$C$261:$F$261</definedName>
    <definedName name="dataReg1Seg3Comp1Payer2TotalShare">MarketData!$C$379:$F$379</definedName>
    <definedName name="dataReg1Seg3Comp1Payer2Volume">MarketData!$C$266:$F$266</definedName>
    <definedName name="dataReg1Seg3Comp1Payer3Percentage">MarketData!$C$262:$F$262</definedName>
    <definedName name="dataReg1Seg3Comp1Payer3TotalShare">MarketData!$C$385:$F$385</definedName>
    <definedName name="dataReg1Seg3Comp1Payer3Volume">MarketData!$C$267:$F$267</definedName>
    <definedName name="dataReg1Seg3Comp1RecurCust">MarketData!$C$255:$F$255</definedName>
    <definedName name="dataReg1Seg3Comp1TotalShare">MarketData!$C$67:$F$67</definedName>
    <definedName name="dataReg1Seg3Comp1TotalVolume">MarketData!$C$257:$F$257</definedName>
    <definedName name="dataReg1Seg3Comp2ActualShare">MarketData!$C$833:$F$833</definedName>
    <definedName name="dataReg1Seg3Comp2NewCust">MarketData!$C$271:$F$271</definedName>
    <definedName name="dataReg1Seg3Comp2Payer1Percentage">MarketData!$C$275:$F$275</definedName>
    <definedName name="dataReg1Seg3Comp2Payer1TotalShare">MarketData!$C$392:$F$392</definedName>
    <definedName name="dataReg1Seg3Comp2Payer1Volume">MarketData!$C$280:$F$280</definedName>
    <definedName name="dataReg1Seg3Comp2Payer2Percentage">MarketData!$C$276:$F$276</definedName>
    <definedName name="dataReg1Seg3Comp2Payer2TotalShare">MarketData!$C$398:$F$398</definedName>
    <definedName name="dataReg1Seg3Comp2Payer2Volume">MarketData!$C$281:$F$281</definedName>
    <definedName name="dataReg1Seg3Comp2Payer3Percentage">MarketData!$C$277:$F$277</definedName>
    <definedName name="dataReg1Seg3Comp2Payer3TotalShare">MarketData!$C$404:$F$404</definedName>
    <definedName name="dataReg1Seg3Comp2Payer3Volume">MarketData!$C$282:$F$282</definedName>
    <definedName name="dataReg1Seg3Comp2RecurCust">MarketData!$C$270:$F$270</definedName>
    <definedName name="dataReg1Seg3Comp2TotalShare">MarketData!$C$68:$F$68</definedName>
    <definedName name="dataReg1Seg3Comp2TotalVolume">MarketData!$C$272:$F$272</definedName>
    <definedName name="dataReg1Seg3GrowthCust">MarketData!$C$151:$F$151</definedName>
    <definedName name="dataReg1Seg3NewCustGrowth">MarketData!$C$63:$F$63</definedName>
    <definedName name="dataReg1Seg3Payer1GrossRevenue">MarketData!$C$178:$F$178</definedName>
    <definedName name="dataReg1Seg3Payer1GrowthCust">MarketData!$C$170:$F$170</definedName>
    <definedName name="dataReg1Seg3Payer1NetRevenue">MarketData!$C$180:$F$180</definedName>
    <definedName name="dataReg1Seg3Payer1NewVolPerc">MarketData!$C$329:$F$329</definedName>
    <definedName name="dataReg1Seg3Payer1NewVolume">MarketData!$C$338:$F$338</definedName>
    <definedName name="dataReg1Seg3Payer1Percentage">MarketData!$C$156:$F$156</definedName>
    <definedName name="dataReg1Seg3Payer1RecurCust">MarketData!$C$166:$F$166</definedName>
    <definedName name="dataReg1Seg3Payer1Reimbursement">MarketData!$C$179:$F$179</definedName>
    <definedName name="dataReg1Seg3Payer1TotalShare">MarketData!$C$354:$F$354</definedName>
    <definedName name="dataReg1Seg3Payer1TotalVolPerc">MarketData!$C$297:$F$297</definedName>
    <definedName name="dataReg1Seg3Payer1TotalVolume">MarketData!$C$304:$F$304</definedName>
    <definedName name="dataReg1Seg3Payer1Volume">MarketData!$C$161:$F$161</definedName>
    <definedName name="dataReg1Seg3Payer2GrossRevenue">MarketData!$C$182:$F$182</definedName>
    <definedName name="dataReg1Seg3Payer2GrowthCust">MarketData!$C$171:$F$171</definedName>
    <definedName name="dataReg1Seg3Payer2NetRevenue">MarketData!$C$184:$F$184</definedName>
    <definedName name="dataReg1Seg3Payer2NewVolPerc">MarketData!$C$330:$F$330</definedName>
    <definedName name="dataReg1Seg3Payer2NewVolume">MarketData!$C$343:$F$343</definedName>
    <definedName name="dataReg1Seg3Payer2Percentage">MarketData!$C$157:$F$157</definedName>
    <definedName name="dataReg1Seg3Payer2RecurCust">MarketData!$C$167:$F$167</definedName>
    <definedName name="dataReg1Seg3Payer2Reimbursement">MarketData!$C$183:$F$183</definedName>
    <definedName name="dataReg1Seg3Payer2TotalShare">MarketData!$C$360:$F$360</definedName>
    <definedName name="dataReg1Seg3Payer2TotalVolPerc">MarketData!$C$298:$F$298</definedName>
    <definedName name="dataReg1Seg3Payer2TotalVolume">MarketData!$C$309:$F$309</definedName>
    <definedName name="dataReg1Seg3Payer2Volume">MarketData!$C$162:$F$162</definedName>
    <definedName name="dataReg1Seg3Payer3GrossRevenue">MarketData!$C$186:$F$186</definedName>
    <definedName name="dataReg1Seg3Payer3GrowthCust">MarketData!$C$172:$F$172</definedName>
    <definedName name="dataReg1Seg3Payer3NetRevenue">MarketData!$C$188:$F$188</definedName>
    <definedName name="dataReg1Seg3Payer3NewVolPerc">MarketData!$C$331:$F$331</definedName>
    <definedName name="dataReg1Seg3Payer3NewVolume">MarketData!$C$348:$F$348</definedName>
    <definedName name="dataReg1Seg3Payer3Percentage">MarketData!$C$158:$F$158</definedName>
    <definedName name="dataReg1Seg3Payer3RecurCust">MarketData!$C$168:$F$168</definedName>
    <definedName name="dataReg1Seg3Payer3Reimbursement">MarketData!$C$187:$F$187</definedName>
    <definedName name="dataReg1Seg3Payer3TotalShare">MarketData!$C$366:$F$366</definedName>
    <definedName name="dataReg1Seg3Payer3TotalVolPerc">MarketData!$C$299:$F$299</definedName>
    <definedName name="dataReg1Seg3Payer3TotalVolume">MarketData!$C$314:$F$314</definedName>
    <definedName name="dataReg1Seg3Payer3Volume">MarketData!$C$163:$F$163</definedName>
    <definedName name="dataReg1Seg3PopGrowth">MarketData!$C$59:$F$59</definedName>
    <definedName name="dataReg1Seg3RecurCust">MarketData!$C$150:$F$150</definedName>
    <definedName name="dataReg1Seg3RecurRate">MarketData!$C$61:$F$61</definedName>
    <definedName name="dataReg1Seg3TotalMarket">MarketData!$C$65:$F$65</definedName>
    <definedName name="dataReg1Seg3TotalNewCust">MarketData!$C$64:$F$64</definedName>
    <definedName name="dataReg1Seg3TotalPop">MarketData!$C$60:$F$60</definedName>
    <definedName name="dataReg1Seg3TotalRecurCust">MarketData!$C$62:$F$62</definedName>
    <definedName name="dataReg1Seg3TotalShare">MarketData!$C$66:$F$66</definedName>
    <definedName name="dataReg1Seg3TotalVolume">MarketData!$C$152:$F$152</definedName>
    <definedName name="dataReg1TotalMarketVolume">MarketData!$C$25:$F$25</definedName>
    <definedName name="dataReg1TotalShare">MarketData!$C$28:$F$28</definedName>
    <definedName name="dataReg1TotalVolume">MarketData!$C$26:$F$26</definedName>
    <definedName name="dataRegSeg1RecurCust">MarketData!$C$72:$F$72</definedName>
    <definedName name="dataRegSeg1TotalNewCust">MarketData!$C$430:$F$430</definedName>
    <definedName name="dataRegSeg2TotalNewCust">MarketData!$C$442:$F$442</definedName>
    <definedName name="dataRegSeg3TotalNewCust">MarketData!$C$64:$F$64</definedName>
    <definedName name="dataRegTrainFTEs">Data!$D$6:$D$11</definedName>
    <definedName name="datatblCareaboutRank">datatbl!$D$20:$D$23</definedName>
    <definedName name="datatblProd1Seg1Payer1">datatbl!$C$5:$C$8</definedName>
    <definedName name="datatblProd1Seg1Payer2">datatbl!$D$5:$D$8</definedName>
    <definedName name="datatblProd1Seg1Payer3">datatbl!$E$5:$E$8</definedName>
    <definedName name="datatblProd1Seg2Payer1">datatbl!$H$5:$H$8</definedName>
    <definedName name="datatblProd1Seg2Payer2">datatbl!$I$5:$I$8</definedName>
    <definedName name="datatblProd1Seg2Payer3">datatbl!$J$5:$J$8</definedName>
    <definedName name="datatblProd1Seg3Payer1">datatbl!$M$5:$M$8</definedName>
    <definedName name="datatblProd1Seg3Payer2">datatbl!$N$5:$N$8</definedName>
    <definedName name="datatblProd1Seg3Payer3">datatbl!$O$5:$O$8</definedName>
    <definedName name="datatblReg1Seg1Payer1">datatbl!$C$12:$C$15</definedName>
    <definedName name="datatblReg1Seg1Payer2">datatbl!$D$12:$D$15</definedName>
    <definedName name="datatblReg1Seg1Payer3">datatbl!$E$12:$E$15</definedName>
    <definedName name="datatblReg1Seg2Payer1">datatbl!$H$12:$H$15</definedName>
    <definedName name="datatblReg1Seg2Payer2">datatbl!$I$12:$I$15</definedName>
    <definedName name="datatblReg1Seg2Payer3">datatbl!$J$12:$J$15</definedName>
    <definedName name="datatblReg1Seg3Payer1">datatbl!$M$12:$M$15</definedName>
    <definedName name="datatblReg1Seg3Payer2">datatbl!$N$12:$N$15</definedName>
    <definedName name="datatblReg1Seg3Payer3">datatbl!$O$12:$O$15</definedName>
    <definedName name="dataTherapy1ListPrice">MarketData!$C$3</definedName>
    <definedName name="dataTherapy1Payer1Rebate">MarketData!$D$3</definedName>
    <definedName name="dataTherapy1Payer2Rebate">MarketData!$E$3</definedName>
    <definedName name="dataTherapy1Payer3Rebate">MarketData!$F$3</definedName>
    <definedName name="dataTierImpact">MarketData!$C$6:$I$6</definedName>
    <definedName name="dataTierImpactList">MarketData!$C$5:$I$5</definedName>
    <definedName name="dataTierStatusComp1Payer1">MarketData!$C$12</definedName>
    <definedName name="dataTierStatusComp1Payer2">MarketData!$D$12</definedName>
    <definedName name="dataTierStatusComp1Payer3">MarketData!$E$12</definedName>
    <definedName name="dataTierStatusComp2Payer1">MarketData!$C$14</definedName>
    <definedName name="dataTierStatusComp2Payer2">MarketData!$D$14</definedName>
    <definedName name="dataTierStatusComp2Payer3">MarketData!$E$14</definedName>
    <definedName name="dataTierStatusPayer1">MarketData!$C$9</definedName>
    <definedName name="dataTierStatusPayer2">MarketData!$D$9</definedName>
    <definedName name="dataTierStatusPayer3">MarketData!$E$9</definedName>
    <definedName name="dataTierVolumeImpact">MarketData!$L$12:$L$17</definedName>
    <definedName name="DB_ArrayDash1Names">Dashboard!$C$46:$C$55</definedName>
    <definedName name="DB_ArrayDash1Values">Dashboard!$G$46:$G$55</definedName>
    <definedName name="DB_ArrayDash2Names">Dashboard!$C$60:$C$69</definedName>
    <definedName name="DB_ArrayDash2Values">Dashboard!$G$60:$G$69</definedName>
    <definedName name="DB_ArrayDash3Names">Dashboard!$C$74:$C$83</definedName>
    <definedName name="DB_ArrayDash3Values">Dashboard!$G$74:$G$83</definedName>
    <definedName name="DB_ArrayDash4Names">Dashboard!$C$88:$C$97</definedName>
    <definedName name="DB_ArrayDash4Values">Dashboard!$G$88:$G$97</definedName>
    <definedName name="DB_ArrayDash5Names">Dashboard!$C$102:$C$111</definedName>
    <definedName name="DB_ArrayDash5Values">Dashboard!$G$102:$G$111</definedName>
    <definedName name="DB_ArrayDash6Names">Dashboard!$C$116:$C$125</definedName>
    <definedName name="DB_ArrayDash6Values">Dashboard!$G$116:$G$125</definedName>
    <definedName name="DB_ArrayDash7Names">Dashboard!$C$130:$C$139</definedName>
    <definedName name="DB_ArrayDash7Values">Dashboard!$G$130:$G$139</definedName>
    <definedName name="DB_ArrayDash8Names">Dashboard!$C$144:$C$153</definedName>
    <definedName name="DB_ArrayDash8Values">Dashboard!$G$144:$G$153</definedName>
    <definedName name="DB_Dashboard1">Dashboard!$E$14</definedName>
    <definedName name="DB_Dashboard1Prod1">Dashboard!$E$14</definedName>
    <definedName name="DB_Dashboard2">Dashboard!$E$17</definedName>
    <definedName name="DB_Dashboard2Prod1">Dashboard!$E$17</definedName>
    <definedName name="DB_Dashboard3">Dashboard!$E$20</definedName>
    <definedName name="DB_Dashboard3Prod1">Dashboard!$E$20</definedName>
    <definedName name="DB_Dashboard4">Dashboard!$E$23</definedName>
    <definedName name="DB_Dashboard4Prod1">Dashboard!$E$23</definedName>
    <definedName name="DB_Dashboard5">Dashboard!$E$26</definedName>
    <definedName name="DB_Dashboard6Reg1">Dashboard!$E$29</definedName>
    <definedName name="DB_Dashboard7Reg1">Dashboard!$E$32</definedName>
    <definedName name="DB_Dashboard8Reg1">Dashboard!$E$35</definedName>
    <definedName name="DB_LargeWhiteSpace">Dashboard!$E$162</definedName>
    <definedName name="DB_LargeWhiteSpaceLength">Dashboard!$E$41</definedName>
    <definedName name="DB_SubWhiteSpace">Dashboard!$E$163</definedName>
    <definedName name="DB_SubWhiteSpaceLength">Dashboard!$E$42</definedName>
    <definedName name="DB_WhiteSpace">Dashboard!$E$161</definedName>
    <definedName name="DB_WhiteSpaceLength">Dashboard!$E$40</definedName>
    <definedName name="dec_End">Dec!$E$159</definedName>
    <definedName name="dec_FormulaReset">Dec!$K$18:$K$159</definedName>
    <definedName name="dec_Names">Dec!$J$18:$J$159</definedName>
    <definedName name="dec_Paste">Dec!$E$18:$I$18</definedName>
    <definedName name="dec_PasteY1">Dec!$P$18:$T$18</definedName>
    <definedName name="dec_PasteY2">Dec!$V$18:$Z$18</definedName>
    <definedName name="dec_PasteY3">Dec!$AB$18:$AF$18</definedName>
    <definedName name="dec_Round">Controls!$D$41</definedName>
    <definedName name="dec_TeamName">Controls!$D$37</definedName>
    <definedName name="dec_TeamNumber">Controls!$D$39</definedName>
    <definedName name="dec_ToolInputPrefix">Controls!$D$43</definedName>
    <definedName name="dec_ToolReset">Dec!$L$18:$L$159</definedName>
    <definedName name="dec_ToolResetR0">Dec!$M$18:$M$159</definedName>
    <definedName name="dec_ToolResetValues">Dec!$N$18:$N$159</definedName>
    <definedName name="decInputProd1R2RolePlayScore">Dec!$E$104:$I$104</definedName>
    <definedName name="decInputProd1Seg1CfCollab_R1">Dec!$E$29:$I$29</definedName>
    <definedName name="decInputProd1Seg1CfCollab_R2">Dec!$E$42:$I$42</definedName>
    <definedName name="decInputProd1Seg1PromotionAllocation_R1">Dec!$E$25:$I$25</definedName>
    <definedName name="decInputProd1Seg1PromotionAllocation_R2">Dec!$E$38:$I$38</definedName>
    <definedName name="decInputProd1Seg1PromotionPerc_R1">Dec!$E$28:$I$28</definedName>
    <definedName name="decInputProd1Seg1PromotionPerc_R2">Dec!$E$41:$I$41</definedName>
    <definedName name="decInputProd1Seg1RegTrainer_R1">Dec!$E$30:$I$30</definedName>
    <definedName name="decInputProd1Seg1RegTrainer_R2">Dec!$E$43:$I$43</definedName>
    <definedName name="decInputProd1Seg1Rep1Coaching_R1">Dec!$E$31:$I$31</definedName>
    <definedName name="decInputProd1Seg1Rep1Coaching_R2">Dec!$E$44:$I$44</definedName>
    <definedName name="decInputProd1Seg1Rep2Coaching_R1">Dec!$E$32:$I$32</definedName>
    <definedName name="decInputProd1Seg1Rep2Coaching_R2">Dec!$E$45:$I$45</definedName>
    <definedName name="decInputProd1Seg1Rep3Coaching_R1">Dec!$E$33:$I$33</definedName>
    <definedName name="decInputProd1Seg1Rep3Coaching_R2">Dec!$E$46:$I$46</definedName>
    <definedName name="decInputProd1Seg1SamplesPerc_R1">Dec!$E$26:$I$26</definedName>
    <definedName name="decInputProd1Seg1SamplesPerc_R2">Dec!$E$39:$I$39</definedName>
    <definedName name="decInputProd1Seg1SpeakersPerc_R1">Dec!$E$27:$I$27</definedName>
    <definedName name="decInputProd1Seg1SpeakersPerc_R2">Dec!$E$40:$I$40</definedName>
    <definedName name="decInputProd1Seg1Therapy1Rep1Weight_R1">Dec!$E$34:$I$34</definedName>
    <definedName name="decInputProd1Seg1Therapy1Rep1Weight_R2">Dec!$E$47:$I$47</definedName>
    <definedName name="decInputProd1Seg1Therapy1Rep2Weight_R1">Dec!$E$35:$I$35</definedName>
    <definedName name="decInputProd1Seg1Therapy1Rep2Weight_R2">Dec!$E$48:$I$48</definedName>
    <definedName name="decInputProd1Seg1Therapy1Rep3Weight_R1">Dec!$E$36:$I$36</definedName>
    <definedName name="decInputProd1Seg1Therapy1Rep3Weight_R2">Dec!$E$49:$I$49</definedName>
    <definedName name="decInputProd1Seg1Therapy1RepAWeight_R1">Dec!$E$34:$I$34</definedName>
    <definedName name="decInputProd1Seg1Therapy1RepAWeight_R2">Dec!$E$47:$I$47</definedName>
    <definedName name="decInputProd1Seg1Therapy1RepBWeight_R1">Dec!$E$35:$I$35</definedName>
    <definedName name="decInputProd1Seg1Therapy1RepBWeight_R2">Dec!$E$48:$I$48</definedName>
    <definedName name="decInputProd1Seg1Therapy1RepCWeight_R1">Dec!$E$36:$I$36</definedName>
    <definedName name="decInputProd1Seg1Therapy1RepCWeight_R2">Dec!$E$49:$I$49</definedName>
    <definedName name="decInputProd1Seg2CfCollab_R1">Dec!$E$56:$I$56</definedName>
    <definedName name="decInputProd1Seg2CfCollab_R2">Dec!$E$69:$I$69</definedName>
    <definedName name="decInputProd1Seg2PromotionAllocation_R1">Dec!$E$52:$I$52</definedName>
    <definedName name="decInputProd1Seg2PromotionAllocation_R2">Dec!$E$65:$I$65</definedName>
    <definedName name="decInputProd1Seg2PromotionPerc_R1">Dec!$E$55:$I$55</definedName>
    <definedName name="decInputProd1Seg2PromotionPerc_R2">Dec!$E$68:$I$68</definedName>
    <definedName name="decInputProd1Seg2RegTrainer_R1">Dec!$E$57:$I$57</definedName>
    <definedName name="decInputProd1Seg2RegTrainer_R2">Dec!$E$70:$I$70</definedName>
    <definedName name="decInputProd1Seg2Rep1Coaching_R1">Dec!$E$58:$I$58</definedName>
    <definedName name="decInputProd1Seg2Rep1Coaching_R2">Dec!$E$71:$I$71</definedName>
    <definedName name="decInputProd1Seg2Rep2Coaching_R1">Dec!$E$59:$I$59</definedName>
    <definedName name="decInputProd1Seg2Rep2Coaching_R2">Dec!$E$72:$I$72</definedName>
    <definedName name="decInputProd1Seg2Rep3Coaching_R1">Dec!$E$60:$I$60</definedName>
    <definedName name="decInputProd1Seg2Rep3Coaching_R2">Dec!$E$73:$I$73</definedName>
    <definedName name="decInputProd1Seg2SamplesPerc_R1">Dec!$E$53:$I$53</definedName>
    <definedName name="decInputProd1Seg2SamplesPerc_R2">Dec!$E$66:$I$66</definedName>
    <definedName name="decInputProd1Seg2SpeakersPerc_R1">Dec!$E$54:$I$54</definedName>
    <definedName name="decInputProd1Seg2SpeakersPerc_R2">Dec!$E$67:$I$67</definedName>
    <definedName name="decInputProd1Seg2Therapy1Rep1Weight_R1">Dec!$E$61:$I$61</definedName>
    <definedName name="decInputProd1Seg2Therapy1Rep1Weight_R2">Dec!$E$74:$I$74</definedName>
    <definedName name="decInputProd1Seg2Therapy1Rep2Weight_R1">Dec!$E$62:$I$62</definedName>
    <definedName name="decInputProd1Seg2Therapy1Rep2Weight_R2">Dec!$E$75:$I$75</definedName>
    <definedName name="decInputProd1Seg2Therapy1Rep3Weight_R1">Dec!$E$63:$I$63</definedName>
    <definedName name="decInputProd1Seg2Therapy1Rep3Weight_R2">Dec!$E$76:$I$76</definedName>
    <definedName name="decInputProd1Seg2Therapy1RepAWeight_R1">Dec!$E$61:$I$61</definedName>
    <definedName name="decInputProd1Seg2Therapy1RepAWeight_R2">Dec!$E$74:$I$74</definedName>
    <definedName name="decInputProd1Seg2Therapy1RepBWeight_R1">Dec!$E$62:$I$62</definedName>
    <definedName name="decInputProd1Seg2Therapy1RepBWeight_R2">Dec!$E$75:$I$75</definedName>
    <definedName name="decInputProd1Seg2Therapy1RepCWeight_R1">Dec!$E$63:$I$63</definedName>
    <definedName name="decInputProd1Seg2Therapy1RepCWeight_R2">Dec!$E$76:$I$76</definedName>
    <definedName name="decInputProd1Seg3CfCollab_R1">Dec!$E$83:$I$83</definedName>
    <definedName name="decInputProd1Seg3CfCollab_R2">Dec!$E$96:$I$96</definedName>
    <definedName name="decInputProd1Seg3PromotionAllocation_R1">Dec!$E$79:$I$79</definedName>
    <definedName name="decInputProd1Seg3PromotionAllocation_R2">Dec!$E$92:$I$92</definedName>
    <definedName name="decInputProd1Seg3PromotionPerc_R1">Dec!$E$82:$I$82</definedName>
    <definedName name="decInputProd1Seg3PromotionPerc_R2">Dec!$E$95:$I$95</definedName>
    <definedName name="decInputProd1Seg3RegTrainer_R1">Dec!$E$84:$I$84</definedName>
    <definedName name="decInputProd1Seg3RegTrainer_R2">Dec!$E$97:$I$97</definedName>
    <definedName name="decInputProd1Seg3Rep1Coaching_R1">Dec!$E$85:$I$85</definedName>
    <definedName name="decInputProd1Seg3Rep1Coaching_R2">Dec!$E$98:$I$98</definedName>
    <definedName name="decInputProd1Seg3Rep2Coaching_R1">Dec!$E$86:$I$86</definedName>
    <definedName name="decInputProd1Seg3Rep2Coaching_R2">Dec!$E$99:$I$99</definedName>
    <definedName name="decInputProd1Seg3Rep3Coaching_R1">Dec!$E$87:$I$87</definedName>
    <definedName name="decInputProd1Seg3Rep3Coaching_R2">Dec!$E$100:$I$100</definedName>
    <definedName name="decInputProd1Seg3SamplesPerc_R1">Dec!$E$80:$I$80</definedName>
    <definedName name="decInputProd1Seg3SamplesPerc_R2">Dec!$E$93:$I$93</definedName>
    <definedName name="decInputProd1Seg3SpeakersPerc_R1">Dec!$E$81:$I$81</definedName>
    <definedName name="decInputProd1Seg3SpeakersPerc_R2">Dec!$E$94:$I$94</definedName>
    <definedName name="decInputProd1Seg3Therapy1Rep1Weight_R1">Dec!$E$88:$I$88</definedName>
    <definedName name="decInputProd1Seg3Therapy1Rep1Weight_R2">Dec!$E$101:$I$101</definedName>
    <definedName name="decInputProd1Seg3Therapy1Rep2Weight_R1">Dec!$E$89:$I$89</definedName>
    <definedName name="decInputProd1Seg3Therapy1Rep2Weight_R2">Dec!$E$102:$I$102</definedName>
    <definedName name="decInputProd1Seg3Therapy1Rep3Weight_R1">Dec!$E$90:$I$90</definedName>
    <definedName name="decInputProd1Seg3Therapy1Rep3Weight_R2">Dec!$E$103:$I$103</definedName>
    <definedName name="decInputProd1Seg3Therapy1RepAWeight_R1">Dec!$E$88:$I$88</definedName>
    <definedName name="decInputProd1Seg3Therapy1RepAWeight_R2">Dec!$E$101:$I$101</definedName>
    <definedName name="decInputProd1Seg3Therapy1RepBWeight_R1">Dec!$E$89:$I$89</definedName>
    <definedName name="decInputProd1Seg3Therapy1RepBWeight_R2">Dec!$E$102:$I$102</definedName>
    <definedName name="decInputProd1Seg3Therapy1RepCWeight_R1">Dec!$E$90:$I$90</definedName>
    <definedName name="decInputProd1Seg3Therapy1RepCWeight_R2">Dec!$E$103:$I$103</definedName>
    <definedName name="decInputReg1Seg1CfCollab_R1">Dec!$E$112:$I$112</definedName>
    <definedName name="decInputReg1Seg1CfCollab_R2">Dec!$E$120:$I$120</definedName>
    <definedName name="decInputReg1Seg1PromotionAllocation_R1">Dec!$E$108:$I$108</definedName>
    <definedName name="decInputReg1Seg1PromotionAllocation_R2">Dec!$E$116:$I$116</definedName>
    <definedName name="decInputReg1Seg1PromotionPerc_R1">Dec!$E$111:$I$111</definedName>
    <definedName name="decInputReg1Seg1PromotionPerc_R2">Dec!$E$119:$I$119</definedName>
    <definedName name="decInputReg1Seg1RegTrainer_R1">Dec!$E$113:$I$113</definedName>
    <definedName name="decInputReg1Seg1RegTrainer_R2">Dec!$E$121:$I$121</definedName>
    <definedName name="decInputReg1Seg1Rep1Coaching_R1">Dec!$E$114:$I$114</definedName>
    <definedName name="decInputReg1Seg1Rep1Coaching_R2">Dec!$E$122:$I$122</definedName>
    <definedName name="decInputReg1Seg1SamplesPerc_R1">Dec!$E$109:$I$109</definedName>
    <definedName name="decInputReg1Seg1SamplesPerc_R2">Dec!$E$117:$I$117</definedName>
    <definedName name="decInputReg1Seg1SpeakersPerc_R1">Dec!$E$110:$I$110</definedName>
    <definedName name="decInputReg1Seg1SpeakersPerc_R2">Dec!$E$118:$I$118</definedName>
    <definedName name="decInputReg1Seg2CfCollab_R1">Dec!$E$129:$I$129</definedName>
    <definedName name="decInputReg1Seg2CfCollab_R2">Dec!$E$137:$I$137</definedName>
    <definedName name="decInputReg1Seg2PromotionAllocation_R1">Dec!$E$125:$I$125</definedName>
    <definedName name="decInputReg1Seg2PromotionAllocation_R2">Dec!$E$133:$I$133</definedName>
    <definedName name="decInputReg1Seg2PromotionPerc_R1">Dec!$E$128:$I$128</definedName>
    <definedName name="decInputReg1Seg2PromotionPerc_R2">Dec!$E$136:$I$136</definedName>
    <definedName name="decInputReg1Seg2RegTrainer_R1">Dec!$E$130:$I$130</definedName>
    <definedName name="decInputReg1Seg2RegTrainer_R2">Dec!$E$138:$I$138</definedName>
    <definedName name="decInputReg1Seg2Rep1Coaching_R1">Dec!$E$131:$I$131</definedName>
    <definedName name="decInputReg1Seg2Rep1Coaching_R2">Dec!$E$139:$I$139</definedName>
    <definedName name="decInputReg1Seg2SamplesPerc_R1">Dec!$E$126:$I$126</definedName>
    <definedName name="decInputReg1Seg2SamplesPerc_R2">Dec!$E$134:$I$134</definedName>
    <definedName name="decInputReg1Seg2SpeakersPerc_R1">Dec!$E$127:$I$127</definedName>
    <definedName name="decInputReg1Seg2SpeakersPerc_R2">Dec!$E$135:$I$135</definedName>
    <definedName name="decInputReg1Seg3CfCollab_R1">Dec!$E$146:$I$146</definedName>
    <definedName name="decInputReg1Seg3CfCollab_R2">Dec!$E$154:$I$154</definedName>
    <definedName name="decInputReg1Seg3PromotionAllocation_R1">Dec!$E$142:$I$142</definedName>
    <definedName name="decInputReg1Seg3PromotionAllocation_R2">Dec!$E$150:$I$150</definedName>
    <definedName name="decInputReg1Seg3PromotionPerc_R1">Dec!$E$145:$I$145</definedName>
    <definedName name="decInputReg1Seg3PromotionPerc_R2">Dec!$E$153:$I$153</definedName>
    <definedName name="decInputReg1Seg3RegTrainer_R1">Dec!$E$147:$I$147</definedName>
    <definedName name="decInputReg1Seg3RegTrainer_R2">Dec!$E$155:$I$155</definedName>
    <definedName name="decInputReg1Seg3Rep1Coaching_R1">Dec!$E$148:$I$148</definedName>
    <definedName name="decInputReg1Seg3Rep1Coaching_R2">Dec!$E$156:$I$156</definedName>
    <definedName name="decInputReg1Seg3SamplesPerc_R1">Dec!$E$143:$I$143</definedName>
    <definedName name="decInputReg1Seg3SamplesPerc_R2">Dec!$E$151:$I$151</definedName>
    <definedName name="decInputReg1Seg3SpeakersPerc_R1">Dec!$E$144:$I$144</definedName>
    <definedName name="decInputReg1Seg3SpeakersPerc_R2">Dec!$E$152:$I$152</definedName>
    <definedName name="decOutputProd1Seg1SamplesPerc_R1">Dec!$E$26:$I$26</definedName>
    <definedName name="decOutputProd1Seg1SamplesPerc_R2">Dec!$E$39:$I$39</definedName>
    <definedName name="decOutputProd1Seg2SamplesPerc_R1">Dec!$E$53:$I$53</definedName>
    <definedName name="decOutputProd1Seg2SamplesPerc_R2">Dec!$E$66:$I$66</definedName>
    <definedName name="decOutputProd1Seg3SamplesPerc_R1">Dec!$E$80:$I$80</definedName>
    <definedName name="decOutputProd1Seg3SamplesPerc_R2">Dec!$E$93:$I$93</definedName>
    <definedName name="decOutputReg1Seg1SamplesPerc_R1">Dec!$E$109:$I$109</definedName>
    <definedName name="decOutputReg1Seg1SamplesPerc_R2">Dec!$E$117:$I$117</definedName>
    <definedName name="decOutputReg1Seg2SamplesPerc_R1">Dec!$E$126:$I$126</definedName>
    <definedName name="decOutputReg1Seg2SamplesPerc_R2">Dec!$E$134:$I$134</definedName>
    <definedName name="decOutputReg1Seg3SamplesPerc_R1">Dec!$E$143:$I$143</definedName>
    <definedName name="decOutputReg1Seg3SamplesPerc_R2">Dec!$E$151:$I$151</definedName>
    <definedName name="decRound">Dec!$E$21:$I$21</definedName>
    <definedName name="decSimulationType">Dec!$E$14</definedName>
    <definedName name="decTeamName">Dec!$E$19:$I$19</definedName>
    <definedName name="decTeamNumber">Dec!$E$20:$I$20</definedName>
    <definedName name="ErrorMessage_Check">ErrorMessage!$D$34</definedName>
    <definedName name="ErrorMessage_LineBreak">ErrorMessage!$D$37</definedName>
    <definedName name="ErrorMessage_Message">ErrorMessage!$D$14</definedName>
    <definedName name="fbHideRange">Feedback!$E$1:$N$1</definedName>
    <definedName name="fbNumOfTeams">Feedback!$D$15</definedName>
    <definedName name="fbTSHideRange">FeedbackTS!$E$1:$N$1</definedName>
    <definedName name="feedback_FeedbackFileName">Controls!$D$7</definedName>
    <definedName name="feedback_FeedbackSheetName">Controls!$D$31</definedName>
    <definedName name="feedback_TimeSeriesFeedbackSheetName">Controls!$D$33</definedName>
    <definedName name="glossaryLanguage">Glossary!$E$14</definedName>
    <definedName name="hood_OnHoodCloseGoTo">Controls!$D$29</definedName>
    <definedName name="hood_ToolPrefix">Controls!$D$47</definedName>
    <definedName name="ImportExportCSV_BalSheetClosing">ImportExportCSV!$D$18</definedName>
    <definedName name="ImportExportCSV_BalSheetOnObal">ImportExportCSV!$D$14</definedName>
    <definedName name="ImportExportCSV_BalSheetOpening">ImportExportCSV!$D$16</definedName>
    <definedName name="M">calc!$N$2784</definedName>
    <definedName name="nmCOGS">Glossary!$D$72</definedName>
    <definedName name="nmComp1">Glossary!$D$80</definedName>
    <definedName name="nmComp2">Glossary!$D$81</definedName>
    <definedName name="nmForecast">Glossary!$D$64</definedName>
    <definedName name="nmGrossMargin">Glossary!$D$74</definedName>
    <definedName name="nmGrossProfit">Glossary!$D$73</definedName>
    <definedName name="nmInitiatives">Glossary!$D$68</definedName>
    <definedName name="nmMarketing">Glossary!$D$66</definedName>
    <definedName name="nmMillion">Glossary!$D$30</definedName>
    <definedName name="nmPayer1">Glossary!$D$76</definedName>
    <definedName name="nmPayer2">Glossary!$D$77</definedName>
    <definedName name="nmPayer3">Glossary!$D$78</definedName>
    <definedName name="nmPrice">Glossary!$D$65</definedName>
    <definedName name="nmProd1">Glossary!$D$37</definedName>
    <definedName name="nmProd1Rep1">Glossary!$D$41</definedName>
    <definedName name="nmProd1Rep2">Glossary!$D$42</definedName>
    <definedName name="nmProd1Rep3">Glossary!$D$43</definedName>
    <definedName name="nmProd1Seg1">Glossary!$D$38</definedName>
    <definedName name="nmProd1Seg1Rep1">Glossary!$D$41</definedName>
    <definedName name="nmProd1Seg1Rep2">Glossary!$D$42</definedName>
    <definedName name="nmProd1Seg1Rep3">Glossary!$D$43</definedName>
    <definedName name="nmProd1Seg2">Glossary!$D$39</definedName>
    <definedName name="nmProd1Seg2Rep1">Glossary!$D$49</definedName>
    <definedName name="nmProd1Seg2Rep2">Glossary!$D$50</definedName>
    <definedName name="nmProd1Seg2Rep3">Glossary!$D$51</definedName>
    <definedName name="nmProd1Seg3">Glossary!$D$40</definedName>
    <definedName name="nmProd1Seg3Rep1">Glossary!$D$57</definedName>
    <definedName name="nmProd1Seg3Rep2">Glossary!$D$58</definedName>
    <definedName name="nmProd1Seg3Rep3">Glossary!$D$59</definedName>
    <definedName name="nmProd2">Glossary!$D$45</definedName>
    <definedName name="nmProd2Rep1">Glossary!$D$49</definedName>
    <definedName name="nmProd2Rep2">Glossary!$D$50</definedName>
    <definedName name="nmProd2Rep3">Glossary!$D$51</definedName>
    <definedName name="nmProd2Seg1">Glossary!$D$46</definedName>
    <definedName name="nmProd2Seg2">Glossary!$D$47</definedName>
    <definedName name="nmProd2Seg3">Glossary!$D$48</definedName>
    <definedName name="nmProd3">Glossary!$D$53</definedName>
    <definedName name="nmProd3Rep1">Glossary!$D$57</definedName>
    <definedName name="nmProd3Rep2">Glossary!$D$58</definedName>
    <definedName name="nmProd3Rep3">Glossary!$D$59</definedName>
    <definedName name="nmProd3Seg1">Glossary!$D$54</definedName>
    <definedName name="nmProd3Seg2">Glossary!$D$55</definedName>
    <definedName name="nmProd3Seg3">Glossary!$D$56</definedName>
    <definedName name="nmProgramSubtitle">Glossary!$D$25</definedName>
    <definedName name="nmProgramTitle">Glossary!$D$24</definedName>
    <definedName name="nmReg1">Glossary!$D$32</definedName>
    <definedName name="nmReg1Seg1">Glossary!$D$33</definedName>
    <definedName name="nmReg1Seg2">Glossary!$D$34</definedName>
    <definedName name="nmReg1Seg3">Glossary!$D$35</definedName>
    <definedName name="nmRevenue">Glossary!$D$71</definedName>
    <definedName name="nmRound">Glossary!$D$28</definedName>
    <definedName name="nmTeamName">Glossary!$D$26</definedName>
    <definedName name="nmTeamNumber">Glossary!$D$27</definedName>
    <definedName name="nmTherapy1">Glossary!$D$61</definedName>
    <definedName name="nmTherapy2">Glossary!$D$62</definedName>
    <definedName name="obal_End">Obal!$E$430</definedName>
    <definedName name="obalESATProd1">Obal!$E$306:$I$306</definedName>
    <definedName name="obalESATReg1">Obal!$E$305:$I$305</definedName>
    <definedName name="obalESATReg2">Obal!$E$306:$I$306</definedName>
    <definedName name="obalInputProd1Seg1Therapy1Rep1Weight_R1">Obal!$E$400:$I$400</definedName>
    <definedName name="obalInputProd1Seg1Therapy1Rep1Weight_R2">Obal!$E$403:$I$403</definedName>
    <definedName name="obalInputProd1Seg1Therapy1Rep2Weight_R1">Obal!$E$401:$I$401</definedName>
    <definedName name="obalInputProd1Seg1Therapy1Rep2Weight_R2">Obal!$E$404:$I$404</definedName>
    <definedName name="obalInputProd1Seg1Therapy1Rep3Weight_R1">Obal!$E$402:$I$402</definedName>
    <definedName name="obalInputProd1Seg1Therapy1Rep3Weight_R2">Obal!$E$405:$I$405</definedName>
    <definedName name="obalInputProd1Seg1Therapy1RepAWeight_R1">Obal!$E$400:$I$400</definedName>
    <definedName name="obalInputProd1Seg1Therapy1RepAWeight_R2">Obal!$E$403:$I$403</definedName>
    <definedName name="obalInputProd1Seg1Therapy1RepBWeight_R1">Obal!$E$401:$I$401</definedName>
    <definedName name="obalInputProd1Seg1Therapy1RepBWeight_R2">Obal!$E$404:$I$404</definedName>
    <definedName name="obalInputProd1Seg1Therapy1RepCWeight_R1">Obal!$E$402:$I$402</definedName>
    <definedName name="obalInputProd1Seg1Therapy1RepCWeight_R2">Obal!$E$405:$I$405</definedName>
    <definedName name="obalInputProd1Seg2Therapy1Rep1Weight_R1">Obal!$E$406:$I$406</definedName>
    <definedName name="obalInputProd1Seg2Therapy1Rep1Weight_R2">Obal!$E$409:$I$409</definedName>
    <definedName name="obalInputProd1Seg2Therapy1Rep2Weight_R1">Obal!$E$407:$I$407</definedName>
    <definedName name="obalInputProd1Seg2Therapy1Rep2Weight_R2">Obal!$E$410:$I$410</definedName>
    <definedName name="obalInputProd1Seg2Therapy1Rep3Weight_R1">Obal!$E$408:$I$408</definedName>
    <definedName name="obalInputProd1Seg2Therapy1Rep3Weight_R2">Obal!$E$411:$I$411</definedName>
    <definedName name="obalInputProd1Seg2Therapy1RepAWeight_R1">Obal!$E$406:$I$406</definedName>
    <definedName name="obalInputProd1Seg2Therapy1RepAWeight_R2">Obal!$E$409:$I$409</definedName>
    <definedName name="obalInputProd1Seg2Therapy1RepBWeight_R1">Obal!$E$407:$I$407</definedName>
    <definedName name="obalInputProd1Seg2Therapy1RepBWeight_R2">Obal!$E$410:$I$410</definedName>
    <definedName name="obalInputProd1Seg2Therapy1RepCWeight_R1">Obal!$E$408:$I$408</definedName>
    <definedName name="obalInputProd1Seg2Therapy1RepCWeight_R2">Obal!$E$411:$I$411</definedName>
    <definedName name="obalInputProd1Seg3Therapy1Rep1Weight_R1">Obal!$E$412:$I$412</definedName>
    <definedName name="obalInputProd1Seg3Therapy1Rep1Weight_R2">Obal!$E$415:$I$415</definedName>
    <definedName name="obalInputProd1Seg3Therapy1Rep2Weight_R1">Obal!$E$413:$I$413</definedName>
    <definedName name="obalInputProd1Seg3Therapy1Rep2Weight_R2">Obal!$E$416:$I$416</definedName>
    <definedName name="obalInputProd1Seg3Therapy1Rep3Weight_R1">Obal!$E$414:$I$414</definedName>
    <definedName name="obalInputProd1Seg3Therapy1Rep3Weight_R2">Obal!$E$417:$I$417</definedName>
    <definedName name="obalInputProd1Seg3Therapy1RepAWeight_R1">Obal!$E$412:$I$412</definedName>
    <definedName name="obalInputProd1Seg3Therapy1RepAWeight_R2">Obal!$E$415:$I$415</definedName>
    <definedName name="obalInputProd1Seg3Therapy1RepBWeight_R1">Obal!$E$413:$I$413</definedName>
    <definedName name="obalInputProd1Seg3Therapy1RepBWeight_R2">Obal!$E$416:$I$416</definedName>
    <definedName name="obalInputProd1Seg3Therapy1RepCWeight_R1">Obal!$E$414:$I$414</definedName>
    <definedName name="obalInputProd1Seg3Therapy1RepCWeight_R2">Obal!$E$417:$I$417</definedName>
    <definedName name="obalOpEffProd1">Obal!$E$308:$I$308</definedName>
    <definedName name="obalOpEffReg1">Obal!$E$307:$I$307</definedName>
    <definedName name="obalProd1BudgetLeft">Obal!$E$362:$I$362</definedName>
    <definedName name="obalProd1BudgetLeftR2">Obal!$E$364:$I$364</definedName>
    <definedName name="obalProd1BudgetR1">Obal!$E$362:$I$362</definedName>
    <definedName name="obalProd1Comp1NewShare">Obal!$E$180:$I$180</definedName>
    <definedName name="obalProd1Comp1Payer1Share">Obal!$E$248:$I$248</definedName>
    <definedName name="obalProd1Comp1Payer1Status">Obal!$E$315:$I$315</definedName>
    <definedName name="obalProd1Comp1Payer2Share">Obal!$E$254:$I$254</definedName>
    <definedName name="obalProd1Comp1Payer2Status">Obal!$E$316:$I$316</definedName>
    <definedName name="obalProd1Comp1Payer3Share">Obal!$E$260:$I$260</definedName>
    <definedName name="obalProd1Comp1Payer3Status">Obal!$E$317:$I$317</definedName>
    <definedName name="obalProd1Comp1TotalShare">Obal!$E$174:$I$174</definedName>
    <definedName name="obalProd1Comp2NewShare">Obal!$E$192:$I$192</definedName>
    <definedName name="obalProd1Comp2Payer1Share">Obal!$E$267:$I$267</definedName>
    <definedName name="obalProd1Comp2Payer1Status">Obal!$E$319:$I$319</definedName>
    <definedName name="obalProd1Comp2Payer2Share">Obal!$E$273:$I$273</definedName>
    <definedName name="obalProd1Comp2Payer2Status">Obal!$E$320:$I$320</definedName>
    <definedName name="obalProd1Comp2Payer3Share">Obal!$E$279:$I$279</definedName>
    <definedName name="obalProd1Comp2Payer3Status">Obal!$E$321:$I$321</definedName>
    <definedName name="obalProd1Comp2TotalShare">Obal!$E$186:$I$186</definedName>
    <definedName name="obalProd1FTEsLeft">Obal!$E$367:$I$367</definedName>
    <definedName name="obalProd1NewShare">Obal!$E$167:$I$167</definedName>
    <definedName name="obalProd1NewVolume">Obal!$E$204:$I$204</definedName>
    <definedName name="obalProd1Payer1Share">Obal!$E$229:$I$229</definedName>
    <definedName name="obalProd1Payer1Status">Obal!$E$311:$I$311</definedName>
    <definedName name="obalProd1Payer1TotalVolume">Obal!$E$211:$I$211</definedName>
    <definedName name="obalProd1Payer1Volume">Obal!$E$286:$I$286</definedName>
    <definedName name="obalProd1Payer2Share">Obal!$E$235:$I$235</definedName>
    <definedName name="obalProd1Payer2Status">Obal!$E$312:$I$312</definedName>
    <definedName name="obalProd1Payer2TotalVolume">Obal!$E$217:$I$217</definedName>
    <definedName name="obalProd1Payer2Volume">Obal!$E$292:$I$292</definedName>
    <definedName name="obalProd1Payer3Share">Obal!$E$241:$I$241</definedName>
    <definedName name="obalProd1Payer3Status">Obal!$E$313:$I$313</definedName>
    <definedName name="obalProd1Payer3TotalVolume">Obal!$E$223:$I$223</definedName>
    <definedName name="obalProd1Payer3Volume">Obal!$E$298:$I$298</definedName>
    <definedName name="obalProd1SampleBudgetLeft">Obal!$E$358:$I$358</definedName>
    <definedName name="obalProd1SampleBudgetLeftR2">Obal!$E$359:$I$359</definedName>
    <definedName name="obalProd1Seg1Comp1NewShare">Obal!$E$181:$I$181</definedName>
    <definedName name="obalProd1Seg1Comp1Payer1Share">Obal!$E$249:$I$249</definedName>
    <definedName name="obalProd1Seg1Comp1Payer2Share">Obal!$E$255:$I$255</definedName>
    <definedName name="obalProd1Seg1Comp1Payer3Share">Obal!$E$261:$I$261</definedName>
    <definedName name="obalProd1Seg1Comp1TotalShare">Obal!$E$175:$I$175</definedName>
    <definedName name="obalProd1Seg1Comp2NewShare">Obal!$E$193:$I$193</definedName>
    <definedName name="obalProd1Seg1Comp2Payer1Share">Obal!$E$268:$I$268</definedName>
    <definedName name="obalProd1Seg1Comp2Payer2Share">Obal!$E$274:$I$274</definedName>
    <definedName name="obalProd1Seg1Comp2Payer3Share">Obal!$E$280:$I$280</definedName>
    <definedName name="obalProd1Seg1Comp2TotalShare">Obal!$E$187:$I$187</definedName>
    <definedName name="obalProd1Seg1NewShare">Obal!$E$168:$I$168</definedName>
    <definedName name="obalProd1Seg1NewVolume">Obal!$E$205:$I$205</definedName>
    <definedName name="obalProd1Seg1Payer1Share">Obal!$E$230:$I$230</definedName>
    <definedName name="obalProd1Seg1Payer1TotalVolume">Obal!$E$212:$I$212</definedName>
    <definedName name="obalProd1Seg1Payer1Volume">Obal!$E$287:$I$287</definedName>
    <definedName name="obalProd1Seg1Payer2Share">Obal!$E$236:$I$236</definedName>
    <definedName name="obalProd1Seg1Payer2TotalVolume">Obal!$E$218:$I$218</definedName>
    <definedName name="obalProd1Seg1Payer2Volume">Obal!$E$293:$I$293</definedName>
    <definedName name="obalProd1Seg1Payer3Share">Obal!$E$242:$I$242</definedName>
    <definedName name="obalProd1Seg1Payer3TotalVolume">Obal!$E$224:$I$224</definedName>
    <definedName name="obalProd1Seg1Payer3Volume">Obal!$E$299:$I$299</definedName>
    <definedName name="obalProd1Seg1PromotionAlloc">Obal!$E$373:$I$373</definedName>
    <definedName name="obalProd1Seg1PromotionAllocation">Obal!$E$370:$I$370</definedName>
    <definedName name="obalProd1Seg1Rep1Cap">Obal!$E$345:$I$345</definedName>
    <definedName name="obalProd1Seg1Rep1InternalTime">Obal!$E$418:$I$418</definedName>
    <definedName name="obalProd1Seg1Rep2Cap">Obal!$E$346:$I$346</definedName>
    <definedName name="obalProd1Seg1Rep2InternalTime">Obal!$E$419:$I$419</definedName>
    <definedName name="obalProd1Seg1Rep3Cap">Obal!$E$347:$I$347</definedName>
    <definedName name="obalProd1Seg1Rep3InternalTime">Obal!$E$420:$I$420</definedName>
    <definedName name="obalProd1Seg1SampleAlloc">Obal!$E$371:$I$371</definedName>
    <definedName name="obalProd1Seg1SpeakerAlloc">Obal!$E$372:$I$372</definedName>
    <definedName name="obalProd1Seg1TotalMarketVolume">Obal!$E$341:$I$341</definedName>
    <definedName name="obalProd1Seg1TotalPromotionAllocation">Obal!$E$394:$I$394</definedName>
    <definedName name="obalProd1Seg1TotalShare">Obal!$E$162:$I$162</definedName>
    <definedName name="obalProd1Seg1TotalVolume">Obal!$E$199:$I$199</definedName>
    <definedName name="obalProd1Seg2Comp1NewShare">Obal!$E$182:$I$182</definedName>
    <definedName name="obalProd1Seg2Comp1Payer1Share">Obal!$E$250:$I$250</definedName>
    <definedName name="obalProd1Seg2Comp1Payer2Share">Obal!$E$256:$I$256</definedName>
    <definedName name="obalProd1Seg2Comp1Payer3Share">Obal!$E$262:$I$262</definedName>
    <definedName name="obalProd1Seg2Comp1TotalShare">Obal!$E$176:$I$176</definedName>
    <definedName name="obalProd1Seg2Comp2NewShare">Obal!$E$194:$I$194</definedName>
    <definedName name="obalProd1Seg2Comp2Payer1Share">Obal!$E$269:$I$269</definedName>
    <definedName name="obalProd1Seg2Comp2Payer2Share">Obal!$E$275:$I$275</definedName>
    <definedName name="obalProd1Seg2Comp2Payer3Share">Obal!$E$281:$I$281</definedName>
    <definedName name="obalProd1Seg2Comp2TotalShare">Obal!$E$188:$I$188</definedName>
    <definedName name="obalProd1Seg2NewShare">Obal!$E$169:$I$169</definedName>
    <definedName name="obalProd1Seg2NewVolume">Obal!$E$206:$I$206</definedName>
    <definedName name="obalProd1Seg2Payer1Share">Obal!$E$231:$I$231</definedName>
    <definedName name="obalProd1Seg2Payer1TotalVolume">Obal!$E$213:$I$213</definedName>
    <definedName name="obalProd1Seg2Payer1Volume">Obal!$E$288:$I$288</definedName>
    <definedName name="obalProd1Seg2Payer2Share">Obal!$E$237:$I$237</definedName>
    <definedName name="obalProd1Seg2Payer2TotalVolume">Obal!$E$219:$I$219</definedName>
    <definedName name="obalProd1Seg2Payer2Volume">Obal!$E$294:$I$294</definedName>
    <definedName name="obalProd1Seg2Payer3Share">Obal!$E$243:$I$243</definedName>
    <definedName name="obalProd1Seg2Payer3TotalVolume">Obal!$E$225:$I$225</definedName>
    <definedName name="obalProd1Seg2Payer3Volume">Obal!$E$300:$I$300</definedName>
    <definedName name="obalProd1Seg2PromotionAlloc">Obal!$E$377:$I$377</definedName>
    <definedName name="obalProd1Seg2PromotionAllocation">Obal!$E$374:$I$374</definedName>
    <definedName name="obalProd1Seg2Rep1Cap">Obal!$E$348:$I$348</definedName>
    <definedName name="obalProd1Seg2Rep1InternalTime">Obal!$E$421:$I$421</definedName>
    <definedName name="obalProd1Seg2Rep2Cap">Obal!$E$349:$I$349</definedName>
    <definedName name="obalProd1Seg2Rep2InternalTime">Obal!$E$422:$I$422</definedName>
    <definedName name="obalProd1Seg2Rep3Cap">Obal!$E$350:$I$350</definedName>
    <definedName name="obalProd1Seg2Rep3InternalTime">Obal!$E$423:$I$423</definedName>
    <definedName name="obalProd1Seg2SampleAlloc">Obal!$E$375:$I$375</definedName>
    <definedName name="obalProd1Seg2SpeakerAlloc">Obal!$E$376:$I$376</definedName>
    <definedName name="obalProd1Seg2TotalMarketVolume">Obal!$E$342:$I$342</definedName>
    <definedName name="obalProd1Seg2TotalPromotionAllocation">Obal!$E$395:$I$395</definedName>
    <definedName name="obalProd1Seg2TotalShare">Obal!$E$163:$I$163</definedName>
    <definedName name="obalProd1Seg2TotalVolume">Obal!$E$200:$I$200</definedName>
    <definedName name="obalProd1Seg3Comp1NewShare">Obal!$E$183:$I$183</definedName>
    <definedName name="obalProd1Seg3Comp1Payer1Share">Obal!$E$251:$I$251</definedName>
    <definedName name="obalProd1Seg3Comp1Payer2Share">Obal!$E$257:$I$257</definedName>
    <definedName name="obalProd1Seg3Comp1Payer3Share">Obal!$E$263:$I$263</definedName>
    <definedName name="obalProd1Seg3Comp1TotalShare">Obal!$E$177:$I$177</definedName>
    <definedName name="obalProd1Seg3Comp2NewShare">Obal!$E$195:$I$195</definedName>
    <definedName name="obalProd1Seg3Comp2Payer1Share">Obal!$E$270:$I$270</definedName>
    <definedName name="obalProd1Seg3Comp2Payer2Share">Obal!$E$276:$I$276</definedName>
    <definedName name="obalProd1Seg3Comp2Payer3Share">Obal!$E$282:$I$282</definedName>
    <definedName name="obalProd1Seg3Comp2TotalShare">Obal!$E$189:$I$189</definedName>
    <definedName name="obalProd1Seg3NewShare">Obal!$E$170:$I$170</definedName>
    <definedName name="obalProd1Seg3NewVolume">Obal!$E$207:$I$207</definedName>
    <definedName name="obalProd1Seg3Payer1Share">Obal!$E$232:$I$232</definedName>
    <definedName name="obalProd1Seg3Payer1TotalVolume">Obal!$E$214:$I$214</definedName>
    <definedName name="obalProd1Seg3Payer1Volume">Obal!$E$289:$I$289</definedName>
    <definedName name="obalProd1Seg3Payer2Share">Obal!$E$238:$I$238</definedName>
    <definedName name="obalProd1Seg3Payer2TotalVolume">Obal!$E$220:$I$220</definedName>
    <definedName name="obalProd1Seg3Payer2Volume">Obal!$E$295:$I$295</definedName>
    <definedName name="obalProd1Seg3Payer3Share">Obal!$E$244:$I$244</definedName>
    <definedName name="obalProd1Seg3Payer3TotalVolume">Obal!$E$226:$I$226</definedName>
    <definedName name="obalProd1Seg3Payer3Volume">Obal!$E$301:$I$301</definedName>
    <definedName name="obalProd1Seg3PromotionAlloc">Obal!$E$381:$I$381</definedName>
    <definedName name="obalProd1Seg3PromotionAllocation">Obal!$E$378:$I$378</definedName>
    <definedName name="obalProd1Seg3Rep1Cap">Obal!$E$351:$I$351</definedName>
    <definedName name="obalProd1Seg3Rep1InternalTime">Obal!$E$424:$I$424</definedName>
    <definedName name="obalProd1Seg3Rep2Cap">Obal!$E$352:$I$352</definedName>
    <definedName name="obalProd1Seg3Rep2InternalTime">Obal!$E$425:$I$425</definedName>
    <definedName name="obalProd1Seg3Rep3Cap">Obal!$E$353:$I$353</definedName>
    <definedName name="obalProd1Seg3Rep3InternalTime">Obal!$E$426:$I$426</definedName>
    <definedName name="obalProd1Seg3SampleAlloc">Obal!$E$379:$I$379</definedName>
    <definedName name="obalProd1Seg3SpeakerAlloc">Obal!$E$380:$I$380</definedName>
    <definedName name="obalProd1Seg3TotalMarketVolume">Obal!$E$343:$I$343</definedName>
    <definedName name="obalProd1Seg3TotalPromotionAllocation">Obal!$E$396:$I$396</definedName>
    <definedName name="obalProd1Seg3TotalShare">Obal!$E$164:$I$164</definedName>
    <definedName name="obalProd1Seg3TotalVolume">Obal!$E$201:$I$201</definedName>
    <definedName name="obalProd1TotalMarketVolume">Obal!$E$340:$I$340</definedName>
    <definedName name="obalProd1TotalShare">Obal!$E$161:$I$161</definedName>
    <definedName name="obalProd1TotalVolume">Obal!$E$198:$I$198</definedName>
    <definedName name="obalReg1BudgetLeft">Obal!$E$363:$I$363</definedName>
    <definedName name="obalReg1BudgetLeftR2">Obal!$E$365:$I$365</definedName>
    <definedName name="obalReg1BudgetR1">Obal!$E$363:$I$363</definedName>
    <definedName name="obalReg1Comp1NewShare">Obal!$E$36:$I$36</definedName>
    <definedName name="obalReg1Comp1Payer1Share">Obal!$E$104:$I$104</definedName>
    <definedName name="obalReg1Comp1Payer1Status">Obal!$E$327:$I$327</definedName>
    <definedName name="obalReg1Comp1Payer2Share">Obal!$E$110:$I$110</definedName>
    <definedName name="obalReg1Comp1Payer2Status">Obal!$E$328:$I$328</definedName>
    <definedName name="obalReg1Comp1Payer3Share">Obal!$E$116:$I$116</definedName>
    <definedName name="obalReg1Comp1Payer3Status">Obal!$E$329:$I$329</definedName>
    <definedName name="obalReg1Comp1TotalShare">Obal!$E$30:$I$30</definedName>
    <definedName name="obalReg1Comp2NewShare">Obal!$E$48:$I$48</definedName>
    <definedName name="obalReg1Comp2Payer1Share">Obal!$E$123:$I$123</definedName>
    <definedName name="obalReg1Comp2Payer1Status">Obal!$E$331:$I$331</definedName>
    <definedName name="obalReg1Comp2Payer2Share">Obal!$E$129:$I$129</definedName>
    <definedName name="obalReg1Comp2Payer2Status">Obal!$E$332:$I$332</definedName>
    <definedName name="obalReg1Comp2Payer3Share">Obal!$E$135:$I$135</definedName>
    <definedName name="obalReg1Comp2Payer3Status">Obal!$E$333:$I$333</definedName>
    <definedName name="obalReg1Comp2TotalShare">Obal!$E$42:$I$42</definedName>
    <definedName name="obalReg1FTEsLeft">Obal!$E$368:$I$368</definedName>
    <definedName name="obalReg1NewShare">Obal!$E$23:$I$23</definedName>
    <definedName name="obalReg1NewVolume">Obal!$E$60:$I$60</definedName>
    <definedName name="obalReg1Payer1Share">Obal!$E$85:$I$85</definedName>
    <definedName name="obalReg1Payer1Status">Obal!$E$323:$I$323</definedName>
    <definedName name="obalReg1Payer1TotalVolume">Obal!$E$67:$I$67</definedName>
    <definedName name="obalReg1Payer1Volume">Obal!$E$142:$I$142</definedName>
    <definedName name="obalReg1Payer2Share">Obal!$E$91:$I$91</definedName>
    <definedName name="obalReg1Payer2Status">Obal!$E$324:$I$324</definedName>
    <definedName name="obalReg1Payer2TotalVolume">Obal!$E$73:$I$73</definedName>
    <definedName name="obalReg1Payer2Volume">Obal!$E$148:$I$148</definedName>
    <definedName name="obalReg1Payer3Share">Obal!$E$97:$I$97</definedName>
    <definedName name="obalReg1Payer3Status">Obal!$E$325:$I$325</definedName>
    <definedName name="obalReg1Payer3TotalVolume">Obal!$E$79:$I$79</definedName>
    <definedName name="obalReg1Payer3Volume">Obal!$E$154:$I$154</definedName>
    <definedName name="obalReg1SampleBudgetLeft">Obal!$E$360:$I$360</definedName>
    <definedName name="obalReg1SampleBudgetLeftR2">Obal!$E$361:$I$361</definedName>
    <definedName name="obalReg1Seg1Comp1NewShare">Obal!$E$37:$I$37</definedName>
    <definedName name="obalReg1Seg1Comp1Payer1Share">Obal!$E$105:$I$105</definedName>
    <definedName name="obalReg1Seg1Comp1Payer2Share">Obal!$E$111:$I$111</definedName>
    <definedName name="obalReg1Seg1Comp1Payer3Share">Obal!$E$117:$I$117</definedName>
    <definedName name="obalReg1Seg1Comp1TotalShare">Obal!$E$31:$I$31</definedName>
    <definedName name="obalReg1Seg1Comp2NewShare">Obal!$E$49:$I$49</definedName>
    <definedName name="obalReg1Seg1Comp2Payer1Share">Obal!$E$124:$I$124</definedName>
    <definedName name="obalReg1Seg1Comp2Payer2Share">Obal!$E$130:$I$130</definedName>
    <definedName name="obalReg1Seg1Comp2Payer3Share">Obal!$E$136:$I$136</definedName>
    <definedName name="obalReg1Seg1Comp2TotalShare">Obal!$E$43:$I$43</definedName>
    <definedName name="obalReg1Seg1NewShare">Obal!$E$24:$I$24</definedName>
    <definedName name="obalReg1Seg1NewVolume">Obal!$E$61:$I$61</definedName>
    <definedName name="obalReg1Seg1Payer1Share">Obal!$E$86:$I$86</definedName>
    <definedName name="obalReg1Seg1Payer1TotalVolume">Obal!$E$68:$I$68</definedName>
    <definedName name="obalReg1Seg1Payer1Volume">Obal!$E$143:$I$143</definedName>
    <definedName name="obalReg1Seg1Payer2Share">Obal!$E$92:$I$92</definedName>
    <definedName name="obalReg1Seg1Payer2TotalVolume">Obal!$E$74:$I$74</definedName>
    <definedName name="obalReg1Seg1Payer2Volume">Obal!$E$149:$I$149</definedName>
    <definedName name="obalReg1Seg1Payer3Share">Obal!$E$98:$I$98</definedName>
    <definedName name="obalReg1Seg1Payer3TotalVolume">Obal!$E$80:$I$80</definedName>
    <definedName name="obalReg1Seg1Payer3Volume">Obal!$E$155:$I$155</definedName>
    <definedName name="obalReg1Seg1PromotionAlloc">Obal!$E$385:$I$385</definedName>
    <definedName name="obalReg1Seg1PromotionAllocation">Obal!$E$382:$I$382</definedName>
    <definedName name="obalReg1Seg1Rep1Cap">Obal!$E$354:$I$354</definedName>
    <definedName name="obalReg1Seg1RepInternalTime">Obal!$E$427:$I$427</definedName>
    <definedName name="obalReg1Seg1SampleAlloc">Obal!$E$383:$I$383</definedName>
    <definedName name="obalReg1Seg1SpeakerAlloc">Obal!$E$384:$I$384</definedName>
    <definedName name="obalReg1Seg1TotalMarketVolume">Obal!$E$336:$I$336</definedName>
    <definedName name="obalReg1Seg1TotalPromotionAllocation">Obal!$E$397:$I$397</definedName>
    <definedName name="obalReg1Seg1TotalShare">Obal!$E$18:$I$18</definedName>
    <definedName name="obalReg1Seg1TotalVolume">Obal!$E$55:$I$55</definedName>
    <definedName name="obalReg1Seg2Comp1NewShare">Obal!$E$38:$I$38</definedName>
    <definedName name="obalReg1Seg2Comp1Payer1Share">Obal!$E$106:$I$106</definedName>
    <definedName name="obalReg1Seg2Comp1Payer2Share">Obal!$E$112:$I$112</definedName>
    <definedName name="obalReg1Seg2Comp1Payer3Share">Obal!$E$118:$I$118</definedName>
    <definedName name="obalReg1Seg2Comp1TotalShare">Obal!$E$32:$I$32</definedName>
    <definedName name="obalReg1Seg2Comp2NewShare">Obal!$E$50:$I$50</definedName>
    <definedName name="obalReg1Seg2Comp2Payer1Share">Obal!$E$125:$I$125</definedName>
    <definedName name="obalReg1Seg2Comp2Payer2Share">Obal!$E$131:$I$131</definedName>
    <definedName name="obalReg1Seg2Comp2Payer3Share">Obal!$E$137:$I$137</definedName>
    <definedName name="obalReg1Seg2Comp2TotalShare">Obal!$E$44:$I$44</definedName>
    <definedName name="obalReg1Seg2NewShare">Obal!$E$25:$I$25</definedName>
    <definedName name="obalReg1Seg2NewVolume">Obal!$E$62:$I$62</definedName>
    <definedName name="obalReg1Seg2Payer1Share">Obal!$E$87:$I$87</definedName>
    <definedName name="obalReg1Seg2Payer1TotalVolume">Obal!$E$69:$I$69</definedName>
    <definedName name="obalReg1Seg2Payer1Volume">Obal!$E$144:$I$144</definedName>
    <definedName name="obalReg1Seg2Payer2Share">Obal!$E$93:$I$93</definedName>
    <definedName name="obalReg1Seg2Payer2TotalVolume">Obal!$E$75:$I$75</definedName>
    <definedName name="obalReg1Seg2Payer2Volume">Obal!$E$150:$I$150</definedName>
    <definedName name="obalReg1Seg2Payer3Share">Obal!$E$99:$I$99</definedName>
    <definedName name="obalReg1Seg2Payer3TotalVolume">Obal!$E$81:$I$81</definedName>
    <definedName name="obalReg1Seg2Payer3Volume">Obal!$E$156:$I$156</definedName>
    <definedName name="obalReg1Seg2PromotionAlloc">Obal!$E$389:$I$389</definedName>
    <definedName name="obalReg1Seg2PromotionAllocation">Obal!$E$386:$I$386</definedName>
    <definedName name="obalReg1Seg2Rep1Cap">Obal!$E$355:$I$355</definedName>
    <definedName name="obalReg1Seg2RepInternalTime">Obal!$E$428:$I$428</definedName>
    <definedName name="obalReg1Seg2SampleAlloc">Obal!$E$387:$I$387</definedName>
    <definedName name="obalReg1Seg2SpeakerAlloc">Obal!$E$388:$I$388</definedName>
    <definedName name="obalReg1Seg2TotalMarketVolume">Obal!$E$337:$I$337</definedName>
    <definedName name="obalReg1Seg2TotalPromotionAllocation">Obal!$E$398:$I$398</definedName>
    <definedName name="obalReg1Seg2TotalShare">Obal!$E$19:$I$19</definedName>
    <definedName name="obalReg1Seg2TotalVolume">Obal!$E$56:$I$56</definedName>
    <definedName name="obalReg1Seg3Comp1NewShare">Obal!$E$39:$I$39</definedName>
    <definedName name="obalReg1Seg3Comp1Payer1Share">Obal!$E$107:$I$107</definedName>
    <definedName name="obalReg1Seg3Comp1Payer2Share">Obal!$E$113:$I$113</definedName>
    <definedName name="obalReg1Seg3Comp1Payer3Share">Obal!$E$119:$I$119</definedName>
    <definedName name="obalReg1Seg3Comp1TotalShare">Obal!$E$33:$I$33</definedName>
    <definedName name="obalReg1Seg3Comp2NewShare">Obal!$E$51:$I$51</definedName>
    <definedName name="obalReg1Seg3Comp2Payer1Share">Obal!$E$126:$I$126</definedName>
    <definedName name="obalReg1Seg3Comp2Payer2Share">Obal!$E$132:$I$132</definedName>
    <definedName name="obalReg1Seg3Comp2Payer3Share">Obal!$E$138:$I$138</definedName>
    <definedName name="obalReg1Seg3Comp2TotalShare">Obal!$E$45:$I$45</definedName>
    <definedName name="obalReg1Seg3NewShare">Obal!$E$26:$I$26</definedName>
    <definedName name="obalReg1Seg3NewVolume">Obal!$E$63:$I$63</definedName>
    <definedName name="obalReg1Seg3Payer1Share">Obal!$E$88:$I$88</definedName>
    <definedName name="obalReg1Seg3Payer1TotalVolume">Obal!$E$70:$I$70</definedName>
    <definedName name="obalReg1Seg3Payer1Volume">Obal!$E$145:$I$145</definedName>
    <definedName name="obalReg1Seg3Payer2Share">Obal!$E$94:$I$94</definedName>
    <definedName name="obalReg1Seg3Payer2TotalVolume">Obal!$E$76:$I$76</definedName>
    <definedName name="obalReg1Seg3Payer2Volume">Obal!$E$151:$I$151</definedName>
    <definedName name="obalReg1Seg3Payer3Share">Obal!$E$100:$I$100</definedName>
    <definedName name="obalReg1Seg3Payer3TotalVolume">Obal!$E$82:$I$82</definedName>
    <definedName name="obalReg1Seg3Payer3Volume">Obal!$E$157:$I$157</definedName>
    <definedName name="obalReg1Seg3PromotionAlloc">Obal!$E$393:$I$393</definedName>
    <definedName name="obalReg1Seg3PromotionAllocation">Obal!$E$390:$I$390</definedName>
    <definedName name="obalReg1Seg3Rep1Cap">Obal!$E$356:$I$356</definedName>
    <definedName name="obalReg1Seg3RepInternalTime">Obal!$E$429:$I$429</definedName>
    <definedName name="obalReg1Seg3SampleAlloc">Obal!$E$391:$I$391</definedName>
    <definedName name="obalReg1Seg3SpeakerAlloc">Obal!$E$392:$I$392</definedName>
    <definedName name="obalReg1Seg3TotalMarketVolume">Obal!$E$338:$I$338</definedName>
    <definedName name="obalReg1Seg3TotalPromotionAllocation">Obal!$E$399:$I$399</definedName>
    <definedName name="obalReg1Seg3TotalShare">Obal!$E$20:$I$20</definedName>
    <definedName name="obalReg1Seg3TotalVolume">Obal!$E$57:$I$57</definedName>
    <definedName name="obalReg1TotalMarketVolume">Obal!$E$335:$I$335</definedName>
    <definedName name="obalReg1TotalShare">Obal!$E$17:$I$17</definedName>
    <definedName name="obalReg1TotalVolume">Obal!$E$54:$I$54</definedName>
    <definedName name="PrintReports_Analysis_Active1">PrintReports!$C$65</definedName>
    <definedName name="PrintReports_Analysis_BW">PrintReports!$G$97</definedName>
    <definedName name="PrintReports_Analysis_Color">PrintReports!$G$95</definedName>
    <definedName name="PrintReports_Analysis_PageFit">PrintReports!$G$99</definedName>
    <definedName name="PrintReports_Analysis_Sheet1">PrintReports!$E$65</definedName>
    <definedName name="PrintReports_Annuals_Active1">PrintReports!$C$37</definedName>
    <definedName name="PrintReports_Annuals_Active10">PrintReports!$C$55</definedName>
    <definedName name="PrintReports_Annuals_Active2">PrintReports!$C$39</definedName>
    <definedName name="PrintReports_Annuals_Active3">PrintReports!$C$41</definedName>
    <definedName name="PrintReports_Annuals_Active4">PrintReports!$C$43</definedName>
    <definedName name="PrintReports_Annuals_Active5">PrintReports!$C$45</definedName>
    <definedName name="PrintReports_Annuals_Active6">PrintReports!$C$47</definedName>
    <definedName name="PrintReports_Annuals_Active7">PrintReports!$C$49</definedName>
    <definedName name="PrintReports_Annuals_Active8">PrintReports!$C$51</definedName>
    <definedName name="PrintReports_Annuals_Active9">PrintReports!$C$53</definedName>
    <definedName name="PrintReports_Annuals_BW">PrintReports!$C$97</definedName>
    <definedName name="PrintReports_Annuals_Color">PrintReports!$C$95</definedName>
    <definedName name="PrintReports_Annuals_PageFit">PrintReports!$C$99</definedName>
    <definedName name="PrintReports_Annuals_PageFit2">PrintReports!$C$101</definedName>
    <definedName name="PrintReports_Annuals_Range1">PrintReports!$G$37</definedName>
    <definedName name="PrintReports_Annuals_Range10">PrintReports!$G$55</definedName>
    <definedName name="PrintReports_Annuals_Range2">PrintReports!$G$39</definedName>
    <definedName name="PrintReports_Annuals_Range3">PrintReports!$G$41</definedName>
    <definedName name="PrintReports_Annuals_Range4">PrintReports!$G$43</definedName>
    <definedName name="PrintReports_Annuals_Range5">PrintReports!$G$45</definedName>
    <definedName name="PrintReports_Annuals_Range6">PrintReports!$G$47</definedName>
    <definedName name="PrintReports_Annuals_Range7">PrintReports!$G$49</definedName>
    <definedName name="PrintReports_Annuals_Range8">PrintReports!$G$51</definedName>
    <definedName name="PrintReports_Annuals_Range9">PrintReports!$G$53</definedName>
    <definedName name="PrintReports_Annuals_RangeType1">PrintReports!$I$37</definedName>
    <definedName name="PrintReports_Annuals_RangeType10">PrintReports!$I$55</definedName>
    <definedName name="PrintReports_Annuals_RangeType2">PrintReports!$I$39</definedName>
    <definedName name="PrintReports_Annuals_RangeType3">PrintReports!$I$41</definedName>
    <definedName name="PrintReports_Annuals_RangeType4">PrintReports!$I$43</definedName>
    <definedName name="PrintReports_Annuals_RangeType5">PrintReports!$I$45</definedName>
    <definedName name="PrintReports_Annuals_RangeType6">PrintReports!$I$47</definedName>
    <definedName name="PrintReports_Annuals_RangeType7">PrintReports!$I$49</definedName>
    <definedName name="PrintReports_Annuals_RangeType8">PrintReports!$I$51</definedName>
    <definedName name="PrintReports_Annuals_RangeType9">PrintReports!$I$53</definedName>
    <definedName name="PrintReports_Annuals_Screen1">PrintReports!$E$37</definedName>
    <definedName name="PrintReports_Annuals_Screen10">PrintReports!$E$55</definedName>
    <definedName name="PrintReports_Annuals_Screen2">PrintReports!$E$39</definedName>
    <definedName name="PrintReports_Annuals_Screen3">PrintReports!$E$41</definedName>
    <definedName name="PrintReports_Annuals_Screen4">PrintReports!$E$43</definedName>
    <definedName name="PrintReports_Annuals_Screen5">PrintReports!$E$45</definedName>
    <definedName name="PrintReports_Annuals_Screen6">PrintReports!$E$47</definedName>
    <definedName name="PrintReports_Annuals_Screen7">PrintReports!$E$49</definedName>
    <definedName name="PrintReports_Annuals_Screen8">PrintReports!$E$51</definedName>
    <definedName name="PrintReports_Annuals_Screen9">PrintReports!$E$53</definedName>
    <definedName name="PrintReports_AnnualsPages">PrintReports!$C$33</definedName>
    <definedName name="PrintReports_Competitor_Active1">PrintReports!$C$61</definedName>
    <definedName name="PrintReports_Competitor_BW">PrintReports!$E$97</definedName>
    <definedName name="PrintReports_Competitor_Color">PrintReports!$E$95</definedName>
    <definedName name="PrintReports_Competitor_Combine1">PrintReports!$E$61</definedName>
    <definedName name="PrintReports_Competitor_PageFit">PrintReports!$E$99</definedName>
    <definedName name="PrintReports_Competitor_Range1">PrintReports!$I$61</definedName>
    <definedName name="PrintReports_Competitor_Sheet1">PrintReports!$G$61</definedName>
    <definedName name="PrintReports_MktAnalysis_Active1">PrintReports!$C$72</definedName>
    <definedName name="PrintReports_MktAnalysis_Active2">PrintReports!$C$74</definedName>
    <definedName name="PrintReports_MktAnalysis_Active3">PrintReports!$C$76</definedName>
    <definedName name="PrintReports_MktAnalysis_Active4">PrintReports!$C$78</definedName>
    <definedName name="PrintReports_MktAnalysis_Active5">PrintReports!$C$80</definedName>
    <definedName name="PrintReports_MktAnalysis_Active6">PrintReports!$C$82</definedName>
    <definedName name="PrintReports_MktAnalysis_BW">PrintReports!$I$97</definedName>
    <definedName name="PrintReports_MktAnalysis_Color">PrintReports!$I$95</definedName>
    <definedName name="PrintReports_MktAnalysis_PageFit">PrintReports!$I$99</definedName>
    <definedName name="PrintReports_MktAnalysis_Range1">PrintReports!$G$72</definedName>
    <definedName name="PrintReports_MktAnalysis_Range2">PrintReports!$G$74</definedName>
    <definedName name="PrintReports_MktAnalysis_Range3">PrintReports!$G$76</definedName>
    <definedName name="PrintReports_MktAnalysis_Range4">PrintReports!$G$78</definedName>
    <definedName name="PrintReports_MktAnalysis_Range5">PrintReports!$G$80</definedName>
    <definedName name="PrintReports_MktAnalysis_Range6">PrintReports!$G$82</definedName>
    <definedName name="PrintReports_MktAnalysis_Sheet1">PrintReports!$E$72</definedName>
    <definedName name="PrintReports_MktAnalysis_Sheet2">PrintReports!$E$74</definedName>
    <definedName name="PrintReports_MktAnalysis_Sheet3">PrintReports!$E$76</definedName>
    <definedName name="PrintReports_MktAnalysis_Sheet4">PrintReports!$E$78</definedName>
    <definedName name="PrintReports_MktAnalysis_Sheet5">PrintReports!$E$80</definedName>
    <definedName name="PrintReports_MktAnalysis_Sheet6">PrintReports!$E$82</definedName>
    <definedName name="PrintReports_MktAnalysis_Title1">PrintReports!$I$72</definedName>
    <definedName name="PrintReports_MktAnalysis_Title2">PrintReports!$I$74</definedName>
    <definedName name="PrintReports_MktAnalysis_Title3">PrintReports!$I$76</definedName>
    <definedName name="PrintReports_MktAnalysis_Title4">PrintReports!$I$78</definedName>
    <definedName name="PrintReports_MktAnalysis_Title5">PrintReports!$I$80</definedName>
    <definedName name="PrintReports_MktAnalysis_Title6">PrintReports!$I$82</definedName>
    <definedName name="PrintReports_MktAnalysisPages">PrintReports!$C$68</definedName>
    <definedName name="PrintReports_NumTeams">PrintReports!$C$28</definedName>
    <definedName name="PrintReports_Orientation">PrintReports!$C$91</definedName>
    <definedName name="PrintReports_PaperSize">PrintReports!$C$89</definedName>
    <definedName name="PrintReports_Round">PrintReports!$C$30</definedName>
    <definedName name="Rep_A">Glossary!$D$42:$D$43</definedName>
    <definedName name="sim_OnResetGoTo">Controls!$D$25</definedName>
    <definedName name="simulation_Type">Controls!$D$9</definedName>
    <definedName name="Tier_2">Obal!$F$312:$F$313</definedName>
    <definedName name="tlInputCoachScoring">tlTerritory1R1!$Y$3</definedName>
    <definedName name="tlInputProd1R2RolePlayScore">tlTerritory1R1!$Y$3</definedName>
    <definedName name="tlInputProd1Seg1CfCollab_R1">tlTerritory1R1!$E$29</definedName>
    <definedName name="tlInputProd1Seg1CfCollab_R2">tlTerritory1R2!$E$29</definedName>
    <definedName name="tlInputProd1Seg1PrevPromotionAllocation_R1">tlTerritory1R1!$K$22</definedName>
    <definedName name="tlInputProd1Seg1PrevPromotionAllocation_R2">tlTerritory1R2!$K$22</definedName>
    <definedName name="tlInputProd1Seg1PrevPromotionAllocationTitle_R1">tlTerritory1R1!$I$18</definedName>
    <definedName name="tlInputProd1Seg1PrevPromotionAllocationTitle_R2">tlTerritory1R2!$I$18</definedName>
    <definedName name="tlInputProd1Seg1PromotionAllocation_R1">tlTerritory1R1!$E$21</definedName>
    <definedName name="tlInputProd1Seg1PromotionAllocation_R2">tlTerritory1R2!$E$21</definedName>
    <definedName name="tlInputProd1Seg1PromotionPerc_R1">tlTerritory1R1!$E$26</definedName>
    <definedName name="tlInputProd1Seg1PromotionPerc_R2">tlTerritory1R2!$E$26</definedName>
    <definedName name="tlInputProd1Seg1RegTrainer_R1">tlTerritory1R1!$E$38</definedName>
    <definedName name="tlInputProd1Seg1RegTrainer_R2">tlTerritory1R2!$E$38</definedName>
    <definedName name="tlInputProd1Seg1Rep1Coaching_R1">tlTerritory1R1!$E$34</definedName>
    <definedName name="tlInputProd1Seg1Rep1Coaching_R2">tlTerritory1R2!$E$34</definedName>
    <definedName name="tlInputProd1Seg1Rep2Coaching_R1">tlTerritory1R1!$G$34</definedName>
    <definedName name="tlInputProd1Seg1Rep2Coaching_R2">tlTerritory1R2!$G$34</definedName>
    <definedName name="tlInputProd1Seg1Rep3Coaching_R1">tlTerritory1R1!$I$34</definedName>
    <definedName name="tlInputProd1Seg1Rep3Coaching_R2">tlTerritory1R2!$I$34</definedName>
    <definedName name="tlInputProd1Seg1SamplesPerc_R1">tlTerritory1R1!$E$19</definedName>
    <definedName name="tlInputProd1Seg1SamplesPerc_R2">tlTerritory1R2!$E$19</definedName>
    <definedName name="tlInputProd1Seg1SpeakersPerc_R1">tlTerritory1R1!$E$24</definedName>
    <definedName name="tlInputProd1Seg1SpeakersPerc_R2">tlTerritory1R2!$E$24</definedName>
    <definedName name="tlInputProd1Seg1Therapy1Rep1Weight_R1">tlTerritory1R1!$E$41</definedName>
    <definedName name="tlInputProd1Seg1Therapy1Rep1Weight_R2">tlTerritory1R2!$E$41</definedName>
    <definedName name="tlInputProd1Seg1Therapy1Rep2Weight_R1">tlTerritory1R1!$G$41</definedName>
    <definedName name="tlInputProd1Seg1Therapy1Rep2Weight_R2">tlTerritory1R2!$G$41</definedName>
    <definedName name="tlInputProd1Seg1Therapy1Rep3Weight_R1">tlTerritory1R1!$I$41</definedName>
    <definedName name="tlInputProd1Seg1Therapy1Rep3Weight_R2">tlTerritory1R2!$I$41</definedName>
    <definedName name="tlInputProd1Seg2CfCollab_R1">tlTerritory2R1!$E$29</definedName>
    <definedName name="tlInputProd1Seg2CfCollab_R2">tlTerritory2R2!$E$29</definedName>
    <definedName name="tlInputProd1Seg2PrevPromotionAllocation_R1">tlTerritory2R1!$K$22</definedName>
    <definedName name="tlInputProd1Seg2PrevPromotionAllocation_R2">tlTerritory2R2!$K$22</definedName>
    <definedName name="tlInputProd1Seg2PrevPromotionAllocationTitle_R1">tlTerritory2R1!$I$18</definedName>
    <definedName name="tlInputProd1Seg2PrevPromotionAllocationTitle_R2">tlTerritory2R2!$I$18</definedName>
    <definedName name="tlInputProd1Seg2PromotionAllocation_R1">tlTerritory2R1!$E$21</definedName>
    <definedName name="tlInputProd1Seg2PromotionAllocation_R2">tlTerritory2R2!$E$21</definedName>
    <definedName name="tlInputProd1Seg2PromotionPerc_R1">tlTerritory2R1!$E$26</definedName>
    <definedName name="tlInputProd1Seg2PromotionPerc_R2">tlTerritory2R2!$E$26</definedName>
    <definedName name="tlInputProd1Seg2RegTrainer_R1">tlTerritory2R1!$E$38</definedName>
    <definedName name="tlInputProd1Seg2RegTrainer_R2">tlTerritory2R2!$E$38</definedName>
    <definedName name="tlInputProd1Seg2Rep1Coaching_R1">tlTerritory2R1!$E$34</definedName>
    <definedName name="tlInputProd1Seg2Rep1Coaching_R2">tlTerritory2R2!$E$34</definedName>
    <definedName name="tlInputProd1Seg2Rep2Coaching_R1">tlTerritory2R1!$G$34</definedName>
    <definedName name="tlInputProd1Seg2Rep2Coaching_R2">tlTerritory2R2!$G$34</definedName>
    <definedName name="tlInputProd1Seg2Rep3Coaching_R1">tlTerritory2R1!$I$34</definedName>
    <definedName name="tlInputProd1Seg2Rep3Coaching_R2">tlTerritory2R2!$I$34</definedName>
    <definedName name="tlInputProd1Seg2SamplesPerc_R1">tlTerritory2R1!$E$19</definedName>
    <definedName name="tlInputProd1Seg2SamplesPerc_R2">tlTerritory2R2!$E$19</definedName>
    <definedName name="tlInputProd1Seg2SpeakersPerc_R1">tlTerritory2R1!$E$24</definedName>
    <definedName name="tlInputProd1Seg2SpeakersPerc_R2">tlTerritory2R2!$E$24</definedName>
    <definedName name="tlInputProd1Seg2Therapy1Rep1Weight_R1">tlTerritory2R1!$E$41</definedName>
    <definedName name="tlInputProd1Seg2Therapy1Rep1Weight_R2">tlTerritory2R2!$E$41</definedName>
    <definedName name="tlInputProd1Seg2Therapy1Rep2Weight_R1">tlTerritory2R1!$G$41</definedName>
    <definedName name="tlInputProd1Seg2Therapy1Rep2Weight_R2">tlTerritory2R2!$G$41</definedName>
    <definedName name="tlInputProd1Seg2Therapy1Rep3Weight_R1">tlTerritory2R1!$I$41</definedName>
    <definedName name="tlInputProd1Seg2Therapy1Rep3Weight_R2">tlTerritory2R2!$I$41</definedName>
    <definedName name="tlInputProd1Seg3CfCollab_R1">tlTerritory3R1!$E$29</definedName>
    <definedName name="tlInputProd1Seg3CfCollab_R2">tlTerritory3R2!$E$29</definedName>
    <definedName name="tlInputProd1Seg3PrevPromotionAllocation_R1">tlTerritory3R1!$K$22</definedName>
    <definedName name="tlInputProd1Seg3PrevPromotionAllocation_R2">tlTerritory3R2!$K$22</definedName>
    <definedName name="tlInputProd1Seg3PrevPromotionAllocationTitle_R1">tlTerritory3R1!$I$18</definedName>
    <definedName name="tlInputProd1Seg3PrevPromotionAllocationTitle_R2">tlTerritory3R2!$I$18</definedName>
    <definedName name="tlInputProd1Seg3PromotionAllocation_R1">tlTerritory3R1!$E$21</definedName>
    <definedName name="tlInputProd1Seg3PromotionAllocation_R2">tlTerritory3R2!$E$21</definedName>
    <definedName name="tlInputProd1Seg3PromotionPerc_R1">tlTerritory3R1!$E$26</definedName>
    <definedName name="tlInputProd1Seg3PromotionPerc_R2">tlTerritory3R2!$E$26</definedName>
    <definedName name="tlInputProd1Seg3RegTrainer_R1">tlTerritory3R1!$E$38</definedName>
    <definedName name="tlInputProd1Seg3RegTrainer_R2">tlTerritory3R2!$E$38</definedName>
    <definedName name="tlInputProd1Seg3Rep1Coaching_R1">tlTerritory3R1!$E$34</definedName>
    <definedName name="tlInputProd1Seg3Rep1Coaching_R2">tlTerritory3R2!$E$34</definedName>
    <definedName name="tlInputProd1Seg3Rep2Coaching_R1">tlTerritory3R1!$G$34</definedName>
    <definedName name="tlInputProd1Seg3Rep2Coaching_R2">tlTerritory3R2!$G$34</definedName>
    <definedName name="tlInputProd1Seg3Rep3Coaching_R1">tlTerritory3R1!$I$34</definedName>
    <definedName name="tlInputProd1Seg3Rep3Coaching_R2">tlTerritory3R2!$I$34</definedName>
    <definedName name="tlInputProd1Seg3SamplesPerc_R1">tlTerritory3R1!$E$19</definedName>
    <definedName name="tlInputProd1Seg3SamplesPerc_R2">tlTerritory3R2!$E$19</definedName>
    <definedName name="tlInputProd1Seg3SpeakersPerc_R1">tlTerritory3R1!$E$24</definedName>
    <definedName name="tlInputProd1Seg3SpeakersPerc_R2">tlTerritory3R2!$E$24</definedName>
    <definedName name="tlInputProd1Seg3Therapy1Rep1Weight_R1">tlTerritory3R1!$E$41</definedName>
    <definedName name="tlInputProd1Seg3Therapy1Rep1Weight_R2">tlTerritory3R2!$E$41</definedName>
    <definedName name="tlInputProd1Seg3Therapy1Rep2Weight_R1">tlTerritory3R1!$G$41</definedName>
    <definedName name="tlInputProd1Seg3Therapy1Rep2Weight_R2">tlTerritory3R2!$G$41</definedName>
    <definedName name="tlInputProd1Seg3Therapy1Rep3Weight_R1">tlTerritory3R1!$I$41</definedName>
    <definedName name="tlInputProd1Seg3Therapy1Rep3Weight_R2">tlTerritory3R2!$I$41</definedName>
    <definedName name="tlInputReg1Seg1CfCollab_R1">tlDistrict1R1!$E$29</definedName>
    <definedName name="tlInputReg1Seg1CfCollab_R2">tlDistrict1R2!$E$29</definedName>
    <definedName name="tlInputReg1Seg1PrevPromotionAllocation_R1">tlDistrict1R1!$K$22</definedName>
    <definedName name="tlInputReg1Seg1PrevPromotionAllocation_R2">tlDistrict1R2!$K$22</definedName>
    <definedName name="tlInputReg1Seg1PromotionAllocation_R1">tlDistrict1R1!$E$21</definedName>
    <definedName name="tlInputReg1Seg1PromotionAllocation_R2">tlDistrict1R2!$E$21</definedName>
    <definedName name="tlInputReg1Seg1PromotionPerc_R1">tlDistrict1R1!$E$26</definedName>
    <definedName name="tlInputReg1Seg1PromotionPerc_R2">tlDistrict1R2!$E$26</definedName>
    <definedName name="tlInputReg1Seg1RegTrainer_R1">tlDistrict1R1!$E$37</definedName>
    <definedName name="tlInputReg1Seg1RegTrainer_R2">tlDistrict1R2!$E$37</definedName>
    <definedName name="tlInputReg1Seg1Rep1Coaching_R1">tlDistrict1R1!$E$34</definedName>
    <definedName name="tlInputReg1Seg1Rep1Coaching_R2">tlDistrict1R2!$E$34</definedName>
    <definedName name="tlInputReg1Seg1RepCCoaching_R1">tlDistrict1R1!$I$34</definedName>
    <definedName name="tlInputReg1Seg1RepCCoaching_R2">tlDistrict1R2!$I$34</definedName>
    <definedName name="tlInputReg1Seg1SamplesPerc_R1">tlDistrict1R1!$E$19</definedName>
    <definedName name="tlInputReg1Seg1SamplesPerc_R2">tlDistrict1R2!$E$19</definedName>
    <definedName name="tlInputReg1Seg1SpeakersPerc_R1">tlDistrict1R1!$E$24</definedName>
    <definedName name="tlInputReg1Seg1SpeakersPerc_R2">tlDistrict1R2!$E$24</definedName>
    <definedName name="tlInputReg1Seg2CfCollab_R1">tlDistrict2R1!$E$29</definedName>
    <definedName name="tlInputReg1Seg2CfCollab_R2">tlDistrict2R2!$E$29</definedName>
    <definedName name="tlInputReg1Seg2PrevPromotionAllocation_R1">tlDistrict2R1!$K$22</definedName>
    <definedName name="tlInputReg1Seg2PrevPromotionAllocation_R2">tlDistrict2R2!$K$22</definedName>
    <definedName name="tlInputReg1Seg2PrevPromotionAllocationTitle_R1">tlDistrict2R1!$I$18</definedName>
    <definedName name="tlInputReg1Seg2PrevPromotionAllocationTitle_R2">tlDistrict2R2!$I$18</definedName>
    <definedName name="tlInputReg1Seg2PromotionAllocation_R1">tlDistrict2R1!$E$21</definedName>
    <definedName name="tlInputReg1Seg2PromotionAllocation_R2">tlDistrict2R2!$E$21</definedName>
    <definedName name="tlInputReg1Seg2PromotionPerc_R1">tlDistrict2R1!$E$26</definedName>
    <definedName name="tlInputReg1Seg2PromotionPerc_R2">tlDistrict2R2!$E$26</definedName>
    <definedName name="tlInputReg1Seg2RegTrainer_R1">tlDistrict2R1!$E$37</definedName>
    <definedName name="tlInputReg1Seg2RegTrainer_R2">tlDistrict2R2!$E$37</definedName>
    <definedName name="tlInputReg1Seg2Rep1Coaching_R1">tlDistrict2R1!$E$34</definedName>
    <definedName name="tlInputReg1Seg2Rep1Coaching_R2">tlDistrict2R2!$E$34</definedName>
    <definedName name="tlInputReg1Seg2RepCCoaching_R1">tlDistrict2R1!$I$34</definedName>
    <definedName name="tlInputReg1Seg2RepCCoaching_R2">tlDistrict2R2!$I$34</definedName>
    <definedName name="tlInputReg1Seg2SamplesPerc_R1">tlDistrict2R1!$E$19</definedName>
    <definedName name="tlInputReg1Seg2SamplesPerc_R2">tlDistrict2R2!$E$19</definedName>
    <definedName name="tlInputReg1Seg2SpeakersPerc_R1">tlDistrict2R1!$E$24</definedName>
    <definedName name="tlInputReg1Seg2SpeakersPerc_R2">tlDistrict2R2!$E$24</definedName>
    <definedName name="tlInputReg1Seg3CfCollab_R1">tlDistrict3R1!$E$29</definedName>
    <definedName name="tlInputReg1Seg3CfCollab_R2">tlDistrict3R2!$E$29</definedName>
    <definedName name="tlInputReg1Seg3PrevPromotionAllocation_R1">tlDistrict3R1!$K$22</definedName>
    <definedName name="tlInputReg1Seg3PrevPromotionAllocation_R2">tlDistrict3R2!$K$22</definedName>
    <definedName name="tlInputReg1Seg3PrevPromotionAllocationTitle_R1">tlDistrict3R1!$I$18</definedName>
    <definedName name="tlInputReg1Seg3PrevPromotionAllocationTitle_R2">tlDistrict3R2!$I$18</definedName>
    <definedName name="tlInputReg1Seg3PromotionAllocation_R1">tlDistrict3R1!$E$21</definedName>
    <definedName name="tlInputReg1Seg3PromotionAllocation_R2">tlDistrict3R2!$E$21</definedName>
    <definedName name="tlInputReg1Seg3PromotionPerc_R1">tlDistrict3R1!$E$26</definedName>
    <definedName name="tlInputReg1Seg3PromotionPerc_R2">tlDistrict3R2!$E$26</definedName>
    <definedName name="tlInputReg1Seg3RegTrainer_R1">tlDistrict3R1!$E$37</definedName>
    <definedName name="tlInputReg1Seg3RegTrainer_R2">tlDistrict3R2!$E$37</definedName>
    <definedName name="tlInputReg1Seg3Rep1Coaching_R1">tlDistrict3R1!$E$34</definedName>
    <definedName name="tlInputReg1Seg3Rep1Coaching_R2">tlDistrict3R2!$E$34</definedName>
    <definedName name="tlInputReg1Seg3RepCCoaching_R1">tlDistrict3R1!$I$34</definedName>
    <definedName name="tlInputReg1Seg3RepCCoaching_R2">tlDistrict3R2!$I$34</definedName>
    <definedName name="tlInputReg1Seg3SamplesPerc_R1">tlDistrict3R1!$E$19</definedName>
    <definedName name="tlInputReg1Seg3SamplesPerc_R2">tlDistrict3R2!$E$19</definedName>
    <definedName name="tlInputReg1Seg3SpeakersPerc_R1">tlDistrict3R1!$E$24</definedName>
    <definedName name="tlInputReg1Seg3SpeakersPerc_R2">tlDistrict3R2!$E$24</definedName>
    <definedName name="tlInputTeamName">tlIntro!$C$15</definedName>
    <definedName name="tlInputTeamNumber">tlIntro!$C$18</definedName>
    <definedName name="tlIntroTeamName">tlIntro!$C$15</definedName>
    <definedName name="tlOuputProd1Seg3RepBCoachingFTEs_R2">tlTerritory3R2!$G$36</definedName>
    <definedName name="tlOutProd1Seg1AllocationTitle_R1">tlTerritory1R1!$C$21</definedName>
    <definedName name="tlOutProd1Seg1PromotionalStratTitle_R1">tlTerritory1R1!$C$17</definedName>
    <definedName name="tlOutProd1Seg1ShareCurrentTitle_R1">tlTerritory1R1!$Z$9</definedName>
    <definedName name="tlOutProd1Seg1SharePrevTitle_R1">tlTerritory1R1!$Y$9</definedName>
    <definedName name="tlOutProd1Seg1Title_R1">tlTerritory1R1!$C$6</definedName>
    <definedName name="tlOutProd1Seg1VolumeTitle_R1">tlTerritory1R1!$E$10</definedName>
    <definedName name="tlOutProd1Seg2AllocationTitle_R1">tlTerritory2R1!$C$21</definedName>
    <definedName name="tlOutProd1Seg2DetailTitle_R1">tlTerritory2R1!$K$10</definedName>
    <definedName name="tlOutProd1Seg2PromotionalStratTitle_R1">tlTerritory2R1!$C$17</definedName>
    <definedName name="tlOutProd1Seg2ShareCurrentTitle_R1">tlTerritory2R1!$Z$9</definedName>
    <definedName name="tlOutProd1Seg2Title_R1">tlTerritory2R1!$C$6</definedName>
    <definedName name="tlOutProd1Seg3AllocationTitle_R1">tlTerritory3R1!$C$21</definedName>
    <definedName name="tlOutProd1Seg3AllocationTitle_R2">tlTerritory2R2!$C$21</definedName>
    <definedName name="tlOutProd1Seg3DetailTitle_R2">tlTerritory2R2!$K$10</definedName>
    <definedName name="tlOutProd1Seg3PromotionalStratTitle_R2">tlTerritory2R2!$C$17</definedName>
    <definedName name="tlOutProd1Seg3ShareCurrentTitle_R1">tlTerritory3R1!$Z$9</definedName>
    <definedName name="tlOutProd1Seg3ShareCurrentTitle_R2">tlTerritory2R2!$Z$9</definedName>
    <definedName name="tlOutProd1Seg3SharePrevTitle_R1">tlTerritory3R1!$Y$9</definedName>
    <definedName name="tlOutProd1Seg3SharePrevTitle_R2">tlTerritory2R2!$Y$9</definedName>
    <definedName name="tlOutProd1Seg3Title_R2">tlTerritory2R2!$C$6</definedName>
    <definedName name="tlOutProd1Seg3VolumeTitle_R1">tlTerritory3R1!$E$10</definedName>
    <definedName name="tlOutProd1Seg3VolumeTitle_R2">tlTerritory2R2!$E$10</definedName>
    <definedName name="tlOutputProd1Comp1Payer1Tier_R1">tlPerfDashboardProd1R1!$O$32</definedName>
    <definedName name="tlOutputProd1Comp1Payer1Tier_R2">tlPerfDashboardProd1R2!$O$32</definedName>
    <definedName name="tlOutputProd1Comp1Payer1TRxShare_R1">tlPerfDashboardProd1R1!$P$32</definedName>
    <definedName name="tlOutputProd1Comp1Payer1TRxShare_R2">tlPerfDashboardProd1R2!$P$32</definedName>
    <definedName name="tlOutputProd1Comp1Payer1TRxShareChange_R1">tlPerfDashboardProd1R1!$Q$32</definedName>
    <definedName name="tlOutputProd1Comp1Payer1TRxShareChange_R2">tlPerfDashboardProd1R2!$Q$32</definedName>
    <definedName name="tlOutputProd1Comp1Payer1TRxVolume_R1">tlPerfDashboardProd1R1!$R$32</definedName>
    <definedName name="tlOutputProd1Comp1Payer1TRxVolume_R2">tlPerfDashboardProd1R2!$R$32</definedName>
    <definedName name="tlOutputProd1Comp1Payer1TRxVolumeChange_R1">tlPerfDashboardProd1R1!$S$32</definedName>
    <definedName name="tlOutputProd1Comp1Payer1TRxVolumeChange_R2">tlPerfDashboardProd1R2!$S$32</definedName>
    <definedName name="tlOutputProd1Comp1Payer2Tier_R1">tlPerfDashboardProd1R1!$O$34</definedName>
    <definedName name="tlOutputProd1Comp1Payer2Tier_R2">tlPerfDashboardProd1R2!$O$34</definedName>
    <definedName name="tlOutputProd1Comp1Payer2TRxShare_R1">tlPerfDashboardProd1R1!$P$34</definedName>
    <definedName name="tlOutputProd1Comp1Payer2TRxShare_R2">tlPerfDashboardProd1R2!$P$34</definedName>
    <definedName name="tlOutputProd1Comp1Payer2TRxShareChange_R1">tlPerfDashboardProd1R1!$Q$34</definedName>
    <definedName name="tlOutputProd1Comp1Payer2TRxShareChange_R2">tlPerfDashboardProd1R2!$Q$34</definedName>
    <definedName name="tlOutputProd1Comp1Payer2TRxVolume_R1">tlPerfDashboardProd1R1!$R$34</definedName>
    <definedName name="tlOutputProd1Comp1Payer2TRxVolume_R2">tlPerfDashboardProd1R2!$R$34</definedName>
    <definedName name="tlOutputProd1Comp1Payer2TRxVolumeChange_R1">tlPerfDashboardProd1R1!$S$34</definedName>
    <definedName name="tlOutputProd1Comp1Payer2TRxVolumeChange_R2">tlPerfDashboardProd1R2!$S$34</definedName>
    <definedName name="tlOutputProd1Comp1Payer3Tier_R1">tlPerfDashboardProd1R1!$O$33</definedName>
    <definedName name="tlOutputProd1Comp1Payer3Tier_R2">tlPerfDashboardProd1R2!$O$33</definedName>
    <definedName name="tlOutputProd1Comp1Payer3TRxShare_R1">tlPerfDashboardProd1R1!$P$33</definedName>
    <definedName name="tlOutputProd1Comp1Payer3TRxShare_R2">tlPerfDashboardProd1R2!$P$33</definedName>
    <definedName name="tlOutputProd1Comp1Payer3TRxShareChange_R1">tlPerfDashboardProd1R1!$Q$33</definedName>
    <definedName name="tlOutputProd1Comp1Payer3TRxShareChange_R2">tlPerfDashboardProd1R2!$Q$33</definedName>
    <definedName name="tlOutputProd1Comp1Payer3TRxVolume_R1">tlPerfDashboardProd1R1!$R$33</definedName>
    <definedName name="tlOutputProd1Comp1Payer3TRxVolume_R2">tlPerfDashboardProd1R2!$R$33</definedName>
    <definedName name="tlOutputProd1Comp1Payer3TRxVolumeChange_R1">tlPerfDashboardProd1R1!$S$33</definedName>
    <definedName name="tlOutputProd1Comp1Payer3TRxVolumeChange_R2">tlPerfDashboardProd1R2!$S$33</definedName>
    <definedName name="tlOutputProd1Comp1TotalPrevShare_R1">tlPerfDashboardProd1R1!$AB$21</definedName>
    <definedName name="tlOutputProd1Comp1TotalPrevShare_R2">tlPerfDashboardProd1R2!$AB$21</definedName>
    <definedName name="tlOutputProd1Comp1TotalPrevVol_R1">tlPerfDashboardProd1R1!$AD$21</definedName>
    <definedName name="tlOutputProd1Comp1TotalPrevVol_R2">tlPerfDashboardProd1R2!$AD$21</definedName>
    <definedName name="tlOutputProd1Comp1TRxShare_R1">tlPerfDashboardProd1R1!$O$21</definedName>
    <definedName name="tlOutputProd1Comp1TRxShare_R2">tlPerfDashboardProd1R2!$O$21</definedName>
    <definedName name="tlOutputProd1Comp1TRxShareChange_R1">tlPerfDashboardProd1R1!$P$21</definedName>
    <definedName name="tlOutputProd1Comp1TRxShareChange_R2">tlPerfDashboardProd1R2!$P$21</definedName>
    <definedName name="tlOutputProd1Comp1TRxVolume_R1">tlPerfDashboardProd1R1!$R$21</definedName>
    <definedName name="tlOutputProd1Comp1TRxVolume_R2">tlPerfDashboardProd1R2!$R$21</definedName>
    <definedName name="tlOutputProd1Comp1TRxVolumeChange_R1">tlPerfDashboardProd1R1!$S$21</definedName>
    <definedName name="tlOutputProd1Comp1TRxVolumeChange_R2">tlPerfDashboardProd1R2!$S$21</definedName>
    <definedName name="tlOutputProd1Comp2Payer1Tier_R1">tlPerfDashboardProd1R1!$U$32</definedName>
    <definedName name="tlOutputProd1Comp2Payer1Tier_R2">tlPerfDashboardProd1R2!$U$32</definedName>
    <definedName name="tlOutputProd1Comp2Payer1TRxShare_R1">tlPerfDashboardProd1R1!$V$32</definedName>
    <definedName name="tlOutputProd1Comp2Payer1TRxShare_R2">tlPerfDashboardProd1R2!$V$32</definedName>
    <definedName name="tlOutputProd1Comp2Payer1TRxShareChange_R1">tlPerfDashboardProd1R1!$W$32</definedName>
    <definedName name="tlOutputProd1Comp2Payer1TRxShareChange_R2">tlPerfDashboardProd1R2!$W$32</definedName>
    <definedName name="tlOutputProd1Comp2Payer1TRxVolume_R1">tlPerfDashboardProd1R1!$X$32</definedName>
    <definedName name="tlOutputProd1Comp2Payer1TRxVolume_R2">tlPerfDashboardProd1R2!$X$32</definedName>
    <definedName name="tlOutputProd1Comp2Payer1TRxVolumeChange_R1">tlPerfDashboardProd1R1!$Y$32</definedName>
    <definedName name="tlOutputProd1Comp2Payer1TRxVolumeChange_R2">tlPerfDashboardProd1R2!$Y$32</definedName>
    <definedName name="tlOutputProd1Comp2Payer2Tier_R1">tlPerfDashboardProd1R1!$U$34</definedName>
    <definedName name="tlOutputProd1Comp2Payer2Tier_R2">tlPerfDashboardProd1R2!$U$34</definedName>
    <definedName name="tlOutputProd1Comp2Payer2TRxShare_R1">tlPerfDashboardProd1R1!$V$34</definedName>
    <definedName name="tlOutputProd1Comp2Payer2TRxShare_R2">tlPerfDashboardProd1R2!$V$34</definedName>
    <definedName name="tlOutputProd1Comp2Payer2TRxShareChange_R1">tlPerfDashboardProd1R1!$W$34</definedName>
    <definedName name="tlOutputProd1Comp2Payer2TRxShareChange_R2">tlPerfDashboardProd1R2!$W$34</definedName>
    <definedName name="tlOutputProd1Comp2Payer2TRxVolume_R1">tlPerfDashboardProd1R1!$X$34</definedName>
    <definedName name="tlOutputProd1Comp2Payer2TRxVolume_R2">tlPerfDashboardProd1R2!$X$34</definedName>
    <definedName name="tlOutputProd1Comp2Payer2TRxVolumeChange_R1">tlPerfDashboardProd1R1!$Y$34</definedName>
    <definedName name="tlOutputProd1Comp2Payer2TRxVolumeChange_R2">tlPerfDashboardProd1R2!$Y$34</definedName>
    <definedName name="tlOutputProd1Comp2Payer3Tier_R1">tlPerfDashboardProd1R1!$U$33</definedName>
    <definedName name="tlOutputProd1Comp2Payer3Tier_R2">tlPerfDashboardProd1R2!$U$33</definedName>
    <definedName name="tlOutputProd1Comp2Payer3TRxShare_R1">tlPerfDashboardProd1R1!$V$33</definedName>
    <definedName name="tlOutputProd1Comp2Payer3TRxShare_R2">tlPerfDashboardProd1R2!$V$33</definedName>
    <definedName name="tlOutputProd1Comp2Payer3TRxShareChange_R1">tlPerfDashboardProd1R1!$W$33</definedName>
    <definedName name="tlOutputProd1Comp2Payer3TRxShareChange_R2">tlPerfDashboardProd1R2!$W$33</definedName>
    <definedName name="tlOutputProd1Comp2Payer3TRxVolume_R1">tlPerfDashboardProd1R1!$X$33</definedName>
    <definedName name="tlOutputProd1Comp2Payer3TRxVolume_R2">tlPerfDashboardProd1R2!$X$33</definedName>
    <definedName name="tlOutputProd1Comp2Payer3TRxVolumeChange_R1">tlPerfDashboardProd1R1!$Y$33</definedName>
    <definedName name="tlOutputProd1Comp2Payer3TRxVolumeChange_R2">tlPerfDashboardProd1R2!$Y$33</definedName>
    <definedName name="tlOutputProd1Comp2TotalPrevShare_R1">tlPerfDashboardProd1R1!$AC$21</definedName>
    <definedName name="tlOutputProd1Comp2TotalPrevShare_R2">tlPerfDashboardProd1R2!$AC$21</definedName>
    <definedName name="tlOutputProd1Comp2TotalPrevVol_R1">tlPerfDashboardProd1R1!$AE$21</definedName>
    <definedName name="tlOutputProd1Comp2TotalPrevVol_R2">tlPerfDashboardProd1R2!$AE$21</definedName>
    <definedName name="tlOutputProd1Comp2TRxShare_R1">tlPerfDashboardProd1R1!$U$21</definedName>
    <definedName name="tlOutputProd1Comp2TRxShare_R2">tlPerfDashboardProd1R2!$U$21</definedName>
    <definedName name="tlOutputProd1Comp2TRxShareChange_R1">tlPerfDashboardProd1R1!$V$21</definedName>
    <definedName name="tlOutputProd1Comp2TRxShareChange_R2">tlPerfDashboardProd1R2!$V$21</definedName>
    <definedName name="tlOutputProd1Comp2TRxVolume_R1">tlPerfDashboardProd1R1!$X$21</definedName>
    <definedName name="tlOutputProd1Comp2TRxVolume_R2">tlPerfDashboardProd1R2!$X$21</definedName>
    <definedName name="tlOutputProd1Comp2TRxVolumeChange_R1">tlPerfDashboardProd1R1!$Y$21</definedName>
    <definedName name="tlOutputProd1Comp2TRxVolumeChange_R2">tlPerfDashboardProd1R2!$Y$21</definedName>
    <definedName name="tlOutputProd1ESATDash">Dashboard!$F$61</definedName>
    <definedName name="tlOutputProd1ESATDashFormat">Dashboard!$G$61</definedName>
    <definedName name="tlOutputProd1FTEsLeftDash_R2">Dashboard!$F$88</definedName>
    <definedName name="tlOutputProd1FTEsLeftDashFormat_R2">Dashboard!$G$88</definedName>
    <definedName name="tlOutputProd1FTEsRemainingDash_R1">Dashboard!$F$74</definedName>
    <definedName name="tlOutputProd1FTEsRemainingDash_R2">Dashboard!$F$88</definedName>
    <definedName name="tlOutputProd1FTEsRemainingDashFormat_R1">Dashboard!$G$74</definedName>
    <definedName name="tlOutputProd1FTEsRemainingDashFormat_R2">Dashboard!$G$88</definedName>
    <definedName name="tlOutputProd1NewSharePrev_R1">tlPerfDashboardProd1R1!$AG$11</definedName>
    <definedName name="tlOutputProd1NewSharePrev_R2">tlPerfDashboardProd1R2!$AG$11</definedName>
    <definedName name="tlOutputProd1NEwVolumePrev_R1">tlPerfDashboardProd1R1!$AH$11</definedName>
    <definedName name="tlOutputProd1NEwVolumePrev_R2">tlPerfDashboardProd1R2!$AH$11</definedName>
    <definedName name="tlOutputProd1NRxShare_R1">tlPerfDashboardProd1R1!$L$11</definedName>
    <definedName name="tlOutputProd1NRxShare_R2">tlPerfDashboardProd1R2!$L$11</definedName>
    <definedName name="tlOutputProd1NRxShareChange_R1">tlPerfDashboardProd1R1!$M$11</definedName>
    <definedName name="tlOutputProd1NRxShareChange_R2">tlPerfDashboardProd1R2!$M$11</definedName>
    <definedName name="tlOutputProd1NRxShareDash">Dashboard!$F$47</definedName>
    <definedName name="tlOutputProd1NRxShareDashFormat">Dashboard!$G$47</definedName>
    <definedName name="tlOutputProd1NRxVolume_R1">tlPerfDashboardProd1R1!$O$11</definedName>
    <definedName name="tlOutputProd1NRxVolume_R2">tlPerfDashboardProd1R2!$O$11</definedName>
    <definedName name="tlOutputProd1NRxVolumeChange_R1">tlPerfDashboardProd1R1!$P$11</definedName>
    <definedName name="tlOutputProd1NRxVolumeChange_R2">tlPerfDashboardProd1R2!$P$11</definedName>
    <definedName name="tlOutputProd1OpEffDash">Dashboard!$F$60</definedName>
    <definedName name="tlOutputProd1OpEffDashFormat">Dashboard!$G$60</definedName>
    <definedName name="tlOutputProd1Payer1Tier_R1">tlPerfDashboardProd1R1!$I$32</definedName>
    <definedName name="tlOutputProd1Payer1Tier_R2">tlPerfDashboardProd1R2!$I$32</definedName>
    <definedName name="tlOutputProd1Payer1TRxContrib_R1">tlPerfDashboardProd1R1!$F$32</definedName>
    <definedName name="tlOutputProd1Payer1TRxContrib_R2">tlPerfDashboardProd1R2!$F$32</definedName>
    <definedName name="tlOutputProd1Payer1TRxShare_R1">tlPerfDashboardProd1R1!$J$32</definedName>
    <definedName name="tlOutputProd1Payer1TRxShare_R2">tlPerfDashboardProd1R2!$J$32</definedName>
    <definedName name="tlOutputProd1Payer1TRxShareChange_R1">tlPerfDashboardProd1R1!$K$32</definedName>
    <definedName name="tlOutputProd1Payer1TRxShareChange_R2">tlPerfDashboardProd1R2!$K$32</definedName>
    <definedName name="tlOutputProd1Payer1TRxTotalVolume_R1">tlPerfDashboardProd1R1!$E$32</definedName>
    <definedName name="tlOutputProd1Payer1TRxTotalVolume_R2">tlPerfDashboardProd1R2!$E$32</definedName>
    <definedName name="tlOutputProd1Payer1TRxVolume_R1">tlPerfDashboardProd1R1!$L$32</definedName>
    <definedName name="tlOutputProd1Payer1TRxVolume_R2">tlPerfDashboardProd1R2!$L$32</definedName>
    <definedName name="tlOutputProd1Payer1TRxVolumeChange_R1">tlPerfDashboardProd1R1!$M$32</definedName>
    <definedName name="tlOutputProd1Payer1TRxVolumeChange_R2">tlPerfDashboardProd1R2!$M$32</definedName>
    <definedName name="tlOutputProd1Payer2Tier_R1">tlPerfDashboardProd1R1!$I$34</definedName>
    <definedName name="tlOutputProd1Payer2Tier_R2">tlPerfDashboardProd1R2!$I$34</definedName>
    <definedName name="tlOutputProd1Payer2TRxContrib_R1">tlPerfDashboardProd1R1!$F$34</definedName>
    <definedName name="tlOutputProd1Payer2TRxContrib_R2">tlPerfDashboardProd1R2!$F$34</definedName>
    <definedName name="tlOutputProd1Payer2TRxShare_R1">tlPerfDashboardProd1R1!$J$34</definedName>
    <definedName name="tlOutputProd1Payer2TRxShare_R2">tlPerfDashboardProd1R2!$J$34</definedName>
    <definedName name="tlOutputProd1Payer2TRxShareChange_R1">tlPerfDashboardProd1R1!$K$34</definedName>
    <definedName name="tlOutputProd1Payer2TRxShareChange_R2">tlPerfDashboardProd1R2!$K$34</definedName>
    <definedName name="tlOutputProd1Payer2TRxTotalVolume_R1">tlPerfDashboardProd1R1!$E$34</definedName>
    <definedName name="tlOutputProd1Payer2TRxTotalVolume_R2">tlPerfDashboardProd1R2!$E$34</definedName>
    <definedName name="tlOutputProd1Payer2TRxVolume_R1">tlPerfDashboardProd1R1!$L$34</definedName>
    <definedName name="tlOutputProd1Payer2TRxVolume_R2">tlPerfDashboardProd1R2!$L$34</definedName>
    <definedName name="tlOutputProd1Payer2TRxVolumeChange_R1">tlPerfDashboardProd1R1!$M$34</definedName>
    <definedName name="tlOutputProd1Payer2TRxVolumeChange_R2">tlPerfDashboardProd1R2!$M$34</definedName>
    <definedName name="tlOutputProd1Payer3Tier_R1">tlPerfDashboardProd1R1!$I$33</definedName>
    <definedName name="tlOutputProd1Payer3Tier_R2">tlPerfDashboardProd1R2!$I$33</definedName>
    <definedName name="tlOutputProd1Payer3TRxContrib_R1">tlPerfDashboardProd1R1!$F$33</definedName>
    <definedName name="tlOutputProd1Payer3TRxContrib_R2">tlPerfDashboardProd1R2!$F$33</definedName>
    <definedName name="tlOutputProd1Payer3TRxShare_R1">tlPerfDashboardProd1R1!$J$33</definedName>
    <definedName name="tlOutputProd1Payer3TRxShare_R2">tlPerfDashboardProd1R2!$J$33</definedName>
    <definedName name="tlOutputProd1Payer3TRxShareChange_R1">tlPerfDashboardProd1R1!$K$33</definedName>
    <definedName name="tlOutputProd1Payer3TRxShareChange_R2">tlPerfDashboardProd1R2!$K$33</definedName>
    <definedName name="tlOutputProd1Payer3TRxTotalVolume_R1">tlPerfDashboardProd1R1!$E$33</definedName>
    <definedName name="tlOutputProd1Payer3TRxTotalVolume_R2">tlPerfDashboardProd1R2!$E$33</definedName>
    <definedName name="tlOutputProd1Payer3TRxVolume_R1">tlPerfDashboardProd1R1!$L$33</definedName>
    <definedName name="tlOutputProd1Payer3TRxVolume_R2">tlPerfDashboardProd1R2!$L$33</definedName>
    <definedName name="tlOutputProd1Payer3TRxVolumeChange_R1">tlPerfDashboardProd1R1!$M$33</definedName>
    <definedName name="tlOutputProd1Payer3TRxVolumeChange_R2">tlPerfDashboardProd1R2!$M$33</definedName>
    <definedName name="tlOutputProd1PrevVolume_R1">tlPerfDashboardProd1R1!$AA$21</definedName>
    <definedName name="tlOutputProd1PrevVolume_R2">tlPerfDashboardProd1R2!$AA$21</definedName>
    <definedName name="tlOutputProd1PromotionBudgetRemainingDash_R1">Dashboard!$F$76</definedName>
    <definedName name="tlOutputProd1PromotionBudgetRemainingDash_R2">Dashboard!$F$90</definedName>
    <definedName name="tlOutputProd1PromotionBudgetRemainingDashFormat_R1">Dashboard!$G$76</definedName>
    <definedName name="tlOutputProd1PromotionBudgetRemainingDashFormat_R2">Dashboard!$G$90</definedName>
    <definedName name="tlOutputProd1SampleBudgetRemainingDash_R1">Dashboard!$F$75</definedName>
    <definedName name="tlOutputProd1SampleBudgetRemainingDash_R2">Dashboard!$F$89</definedName>
    <definedName name="tlOutputProd1SampleBudgetRemainingDashFormat_R1">Dashboard!$G$75</definedName>
    <definedName name="tlOutputProd1SampleBudgetRemainingDashFormat_R2">Dashboard!$G$89</definedName>
    <definedName name="tlOutputProd1Seg1AllocationTitle_R2">tlTerritory1R2!$C$21</definedName>
    <definedName name="tlOutputProd1Seg1AllocPercSalesTitle_R1">tlTerritory1R1!$G$18</definedName>
    <definedName name="tlOutputProd1Seg1CfCollabCost_R1">tlTerritory1R1!$I$29</definedName>
    <definedName name="tlOutputProd1Seg1CfCollabCost_R2">tlTerritory1R2!$I$29</definedName>
    <definedName name="tlOutputProd1Seg1CfCollabFTEs_R1">tlTerritory1R1!$G$29</definedName>
    <definedName name="tlOutputProd1Seg1CfCollabFTEs_R2">tlTerritory1R2!$G$29</definedName>
    <definedName name="tlOutputProd1Seg1CfCollabTitle_R1">tlTerritory1R1!$C$29</definedName>
    <definedName name="tlOutputProd1Seg1CfCollabTitle_R2">tlTerritory1R2!$C$29</definedName>
    <definedName name="tlOutputProd1Seg1CfRepTime_R1">tlTerritory1R1!$K$29</definedName>
    <definedName name="tlOutputProd1Seg1CfRepTime_R2">tlTerritory1R2!$K$29</definedName>
    <definedName name="tlOutputProd1Seg1CoachingTitle_R1">tlTerritory1R1!$C$34</definedName>
    <definedName name="tlOutputProd1Seg1CoachingTitle_R2">tlTerritory1R2!$C$34</definedName>
    <definedName name="tlOutputProd1Seg1Comp1TotalPrevShare_R1">tlPerfDashboardProd1R1!$AB$22</definedName>
    <definedName name="tlOutputProd1Seg1Comp1TotalPrevShare_R2">tlPerfDashboardProd1R2!$AB$22</definedName>
    <definedName name="tlOutputProd1Seg1Comp1TotalPrevVol_R1">tlPerfDashboardProd1R1!$AD$22</definedName>
    <definedName name="tlOutputProd1Seg1Comp1TotalPrevVol_R2">tlPerfDashboardProd1R2!$AD$22</definedName>
    <definedName name="tlOutputProd1Seg1Comp1TRxShare_R1">tlPerfDashboardProd1R1!$O$22</definedName>
    <definedName name="tlOutputProd1Seg1Comp1TRxShare_R2">tlPerfDashboardProd1R2!$O$22</definedName>
    <definedName name="tlOutputProd1Seg1Comp1TRxShareChange_R1">tlPerfDashboardProd1R1!$P$22</definedName>
    <definedName name="tlOutputProd1Seg1Comp1TRxShareChange_R2">tlPerfDashboardProd1R2!$P$22</definedName>
    <definedName name="tlOutputProd1Seg1Comp1TRxVolume_R1">tlPerfDashboardProd1R1!$R$22</definedName>
    <definedName name="tlOutputProd1Seg1Comp1TRxVolume_R2">tlPerfDashboardProd1R2!$R$22</definedName>
    <definedName name="tlOutputProd1Seg1Comp1TRxVolumeChange_R1">tlPerfDashboardProd1R1!$S$22</definedName>
    <definedName name="tlOutputProd1Seg1Comp1TRxVolumeChange_R2">tlPerfDashboardProd1R2!$S$22</definedName>
    <definedName name="tlOutputProd1Seg1Comp2TotalPrevShare_R1">tlPerfDashboardProd1R1!$AC$22</definedName>
    <definedName name="tlOutputProd1Seg1Comp2TotalPrevShare_R2">tlPerfDashboardProd1R2!$AC$22</definedName>
    <definedName name="tlOutputProd1Seg1Comp2TotalPrevVol_R1">tlPerfDashboardProd1R1!$AE$22</definedName>
    <definedName name="tlOutputProd1Seg1Comp2TotalPrevVol_R2">tlPerfDashboardProd1R2!$AE$22</definedName>
    <definedName name="tlOutputProd1Seg1Comp2TRxShare_R1">tlPerfDashboardProd1R1!$U$22</definedName>
    <definedName name="tlOutputProd1Seg1Comp2TRxShare_R2">tlPerfDashboardProd1R2!$U$22</definedName>
    <definedName name="tlOutputProd1Seg1Comp2TRxShareChange_R1">tlPerfDashboardProd1R1!$V$22</definedName>
    <definedName name="tlOutputProd1Seg1Comp2TRxShareChange_R2">tlPerfDashboardProd1R2!$V$22</definedName>
    <definedName name="tlOutputProd1Seg1Comp2TRxVolume_R1">tlPerfDashboardProd1R1!$X$22</definedName>
    <definedName name="tlOutputProd1Seg1Comp2TRxVolume_R2">tlPerfDashboardProd1R2!$X$22</definedName>
    <definedName name="tlOutputProd1Seg1Comp2TRxVolumeChange_R1">tlPerfDashboardProd1R1!$Y$22</definedName>
    <definedName name="tlOutputProd1Seg1Comp2TRxVolumeChange_R2">tlPerfDashboardProd1R2!$Y$22</definedName>
    <definedName name="tlOutputProd1Seg1CurrentAllocationTitle_R1">tlTerritory1R1!$I$21</definedName>
    <definedName name="tlOutputProd1Seg1CurrentAllocationTitle_R2">tlTerritory1R2!$I$21</definedName>
    <definedName name="tlOutputProd1Seg1CurrentESAT_R1">tlTerritory1R1!$Y$34</definedName>
    <definedName name="tlOutputProd1Seg1CurrentESAT_R2">tlTerritory1R2!$Y$34</definedName>
    <definedName name="tlOutputProd1Seg1CurrentFinTitle_R1">tlTerritory1R1!$Y$17</definedName>
    <definedName name="tlOutputProd1Seg1CurrentFinTitle_R2">tlTerritory1R2!$Y$17</definedName>
    <definedName name="tlOutputProd1Seg1CurrentInternalCost_R1">tlTerritory1R1!$Y$24</definedName>
    <definedName name="tlOutputProd1Seg1CurrentInternalCost_R2">tlTerritory1R2!$Y$24</definedName>
    <definedName name="tlOutputProd1Seg1CurrentIntTitle_R1">tlTerritory1R1!$Y$33</definedName>
    <definedName name="tlOutputProd1Seg1CurrentIntTitle_R2">tlTerritory1R2!$Y$33</definedName>
    <definedName name="tlOutputProd1Seg1CurrentLunchMoneyCost_R1">tlTerritory1R1!$Y$23</definedName>
    <definedName name="tlOutputProd1Seg1CurrentLunchMoneyCost_R2">tlTerritory1R2!$Y$23</definedName>
    <definedName name="tlOutputProd1Seg1CurrentNetSales_R1">tlTerritory1R1!$Y$20</definedName>
    <definedName name="tlOutputProd1Seg1CurrentNetSales_R2">tlTerritory1R2!$Y$20</definedName>
    <definedName name="tlOutputProd1Seg1CurrentNRxShare_R1">tlTerritory1R1!$Z$11</definedName>
    <definedName name="tlOutputProd1Seg1CurrentNRxShare_R2">tlTerritory1R2!$Z$11</definedName>
    <definedName name="tlOutputProd1Seg1CurrentOE_R1">tlTerritory1R1!$Y$35</definedName>
    <definedName name="tlOutputProd1Seg1CurrentOE_R2">tlTerritory1R2!$Y$35</definedName>
    <definedName name="tlOutputProd1Seg1CurrentProfit_R1">tlTerritory1R1!$Y$25</definedName>
    <definedName name="tlOutputProd1Seg1CurrentProfit_R2">tlTerritory1R2!$Y$25</definedName>
    <definedName name="tlOutputProd1Seg1CurrentPromotionAllocation_R1">tlTerritory1R1!$I$22</definedName>
    <definedName name="tlOutputProd1Seg1CurrentPromotionAllocation_R2">tlTerritory1R2!$I$22</definedName>
    <definedName name="tlOutputProd1Seg1CurrentReimb_R1">tlTerritory1R1!$Y$19</definedName>
    <definedName name="tlOutputProd1Seg1CurrentReimb_R2">tlTerritory1R2!$Y$19</definedName>
    <definedName name="tlOutputProd1Seg1CurrentSales_R1">tlTerritory1R1!$Y$18</definedName>
    <definedName name="tlOutputProd1Seg1CurrentSales_R2">tlTerritory1R2!$Y$18</definedName>
    <definedName name="tlOutputProd1Seg1CurrentSampleCost_R1">tlTerritory1R1!$Y$21</definedName>
    <definedName name="tlOutputProd1Seg1CurrentSampleCost_R2">tlTerritory1R2!$Y$21</definedName>
    <definedName name="tlOutputProd1Seg1CurrentSpeakerCost_R1">tlTerritory1R1!$Y$22</definedName>
    <definedName name="tlOutputProd1Seg1CurrentSpeakerCost_R2">tlTerritory1R2!$Y$22</definedName>
    <definedName name="tlOutputProd1Seg1CurrentSpeakersCost_R1">tlTerritory1R1!$X$22</definedName>
    <definedName name="tlOutputProd1Seg1CurrentSpeakersCost_R2">tlTerritory1R2!$X$22</definedName>
    <definedName name="tlOutputProd1Seg1CurrentTRxShare_R1">tlTerritory1R1!$Z$10</definedName>
    <definedName name="tlOutputProd1Seg1CurrentTRxShare_R2">tlTerritory1R2!$Z$10</definedName>
    <definedName name="tlOutputProd1Seg1Dash1_R1">tlTerritory1R1!$T$2</definedName>
    <definedName name="tlOutputProd1Seg1Dash1_R2">tlTerritory1R2!$T$2</definedName>
    <definedName name="tlOutputProd1Seg1Dash2_R1">tlTerritory1R1!$T$3</definedName>
    <definedName name="tlOutputProd1Seg1Dash2_R2">tlTerritory1R2!$T$3</definedName>
    <definedName name="tlOutputProd1Seg1Dash3_R1">tlTerritory1R1!$T$4</definedName>
    <definedName name="tlOutputProd1Seg1Dash3_R2">tlTerritory1R2!$T$4</definedName>
    <definedName name="tlOutputProd1Seg1DetailTitle_R1">tlTerritory1R1!$K$10</definedName>
    <definedName name="tlOutputProd1Seg1DetailTitle_R2">tlTerritory1R2!$K$10</definedName>
    <definedName name="tlOutputProd1Seg1ESAT_R1">tlTerritory1R1!$X$34</definedName>
    <definedName name="tlOutputProd1Seg1ESAT_R2">tlTerritory1R2!$X$34</definedName>
    <definedName name="tlOutputProd1Seg1ESATTitle_R1">tlTerritory1R1!$W$34</definedName>
    <definedName name="tlOutputProd1Seg1ESATTitle_R2">tlTerritory1R2!$W$34</definedName>
    <definedName name="tlOutputProd1Seg1FieldTimeTitle_R1">tlTerritory1R1!$W$39</definedName>
    <definedName name="tlOutputProd1Seg1FieldTimeTitle_R2">tlTerritory1R2!$W$39</definedName>
    <definedName name="tlOutputProd1Seg1ForecastTitle">tlTerritory1R2!$C$9</definedName>
    <definedName name="tlOutputProd1Seg1ForecastTitle_R1">tlTerritory1R1!$C$9</definedName>
    <definedName name="tlOutputProd1Seg1ForecastTitle_R2">tlTerritory1R2!$C$9</definedName>
    <definedName name="tlOutputProd1Seg1FTEsTitle_R1">tlTerritory1R1!$C$36</definedName>
    <definedName name="tlOutputProd1Seg1FTEsTitle_R2">tlTerritory1R2!$C$36</definedName>
    <definedName name="tlOutputProd1Seg1GrowthTitle_R1">tlTerritory1R1!$G$10</definedName>
    <definedName name="tlOutputProd1Seg1GrowthTitle_R2">tlTerritory1R2!$G$10</definedName>
    <definedName name="tlOutputProd1Seg1InternalCostTitle_R1">tlTerritory1R1!$W$24</definedName>
    <definedName name="tlOutputProd1Seg1InternalCostTitle_R2">tlTerritory1R2!$W$24</definedName>
    <definedName name="tlOutputProd1Seg1InternalResCostTitle_R1">tlTerritory1R1!$I$28</definedName>
    <definedName name="tlOutputProd1Seg1InternalResCostTitle_R2">tlTerritory1R2!$I$28</definedName>
    <definedName name="tlOutputProd1Seg1InternalResFTEsTitle_R1">tlTerritory1R1!$G$28</definedName>
    <definedName name="tlOutputProd1Seg1InternalResFTEsTitle_R2">tlTerritory1R2!$G$28</definedName>
    <definedName name="tlOutputProd1Seg1InternalResRepTimeTitle_R1">tlTerritory1R1!$K$28</definedName>
    <definedName name="tlOutputProd1Seg1InternalResRepTimeTitle_R2">tlTerritory1R2!$K$28</definedName>
    <definedName name="tlOutputProd1Seg1InternalResTitle_R1">tlTerritory1R1!$C$28</definedName>
    <definedName name="tlOutputProd1Seg1InternalResTitle_R2">tlTerritory1R2!$C$28</definedName>
    <definedName name="tlOutputProd1Seg1IntTimeTitle_R1">tlTerritory1R1!$W$41</definedName>
    <definedName name="tlOutputProd1Seg1IntTimeTitle_R2">tlTerritory1R2!$W$41</definedName>
    <definedName name="tlOutputProd1Seg1LunchMoneyTitleCost_R1">tlTerritory1R1!$W$23</definedName>
    <definedName name="tlOutputProd1Seg1LunchMoneyTitleCost_R2">tlTerritory1R2!$W$23</definedName>
    <definedName name="tlOutputProd1Seg1NetSalesTitle_R1">tlTerritory1R1!$W$20</definedName>
    <definedName name="tlOutputProd1Seg1NetSalesTitle_R2">tlTerritory1R2!$W$20</definedName>
    <definedName name="tlOutputProd1Seg1NewSharePrev_R1">tlPerfDashboardProd1R1!$AG$12</definedName>
    <definedName name="tlOutputProd1Seg1NewSharePrev_R2">tlPerfDashboardProd1R2!$AG$12</definedName>
    <definedName name="tlOutputProd1Seg1NewVolumePrev_R1">tlPerfDashboardProd1R1!$AH$12</definedName>
    <definedName name="tlOutputProd1Seg1NewVolumePrev_R2">tlPerfDashboardProd1R2!$AH$12</definedName>
    <definedName name="tlOutputProd1Seg1NRxShare_R1">tlPerfDashboardProd1R1!$L$12</definedName>
    <definedName name="tlOutputProd1Seg1NRxShare_R2">tlPerfDashboardProd1R2!$L$12</definedName>
    <definedName name="tlOutputProd1Seg1NRxShareChange_R1">tlPerfDashboardProd1R1!$M$12</definedName>
    <definedName name="tlOutputProd1Seg1NRxShareChange_R2">tlPerfDashboardProd1R2!$M$12</definedName>
    <definedName name="tlOutputProd1Seg1NRxShareTitle_R1">tlTerritory1R1!$X$11</definedName>
    <definedName name="tlOutputProd1Seg1NRxShareTitle_R2">tlTerritory1R2!$X$11</definedName>
    <definedName name="tlOutputProd1Seg1NRxVolume_R1">tlPerfDashboardProd1R1!$O$12</definedName>
    <definedName name="tlOutputProd1Seg1NRxVolume_R2">tlPerfDashboardProd1R2!$O$12</definedName>
    <definedName name="tlOutputProd1Seg1NRxVolumeChange_R1">tlPerfDashboardProd1R1!$P$12</definedName>
    <definedName name="tlOutputProd1Seg1NRxVolumeChange_R2">tlPerfDashboardProd1R2!$P$12</definedName>
    <definedName name="tlOutputProd1Seg1OETitle_R1">tlTerritory1R1!$W$35</definedName>
    <definedName name="tlOutputProd1Seg1OETitle_R2">tlTerritory1R2!$W$35</definedName>
    <definedName name="tlOutputProd1Seg1Payer1Forecast_R1">tlTerritory1R1!$G$12</definedName>
    <definedName name="tlOutputProd1Seg1Payer1Forecast_R2">tlTerritory1R2!$G$12</definedName>
    <definedName name="tlOutputProd1Seg1Payer1Title_R1">tlTerritory1R1!$C$12</definedName>
    <definedName name="tlOutputProd1Seg1Payer1Title_R2">tlTerritory1R2!$C$12</definedName>
    <definedName name="tlOutputProd1Seg1Payer1Visits_R1">tlTerritory1R1!$K$12</definedName>
    <definedName name="tlOutputProd1Seg1Payer1Visits_R2">tlTerritory1R2!$K$12</definedName>
    <definedName name="tlOutputProd1Seg1Payer1Volume_R1">tlTerritory1R1!$E$12</definedName>
    <definedName name="tlOutputProd1Seg1Payer1Volume_R2">tlTerritory1R2!$E$12</definedName>
    <definedName name="tlOutputProd1Seg1Payer2Forecast_R1">tlTerritory1R1!$G$16</definedName>
    <definedName name="tlOutputProd1Seg1Payer2Forecast_R2">tlTerritory1R2!$G$16</definedName>
    <definedName name="tlOutputProd1Seg1Payer2Title_R1">tlTerritory1R1!$C$14</definedName>
    <definedName name="tlOutputProd1Seg1Payer2Title_R2">tlTerritory1R2!$C$14</definedName>
    <definedName name="tlOutputProd1Seg1Payer2Visits_R1">tlTerritory1R1!$K$14</definedName>
    <definedName name="tlOutputProd1Seg1Payer2Visits_R2">tlTerritory1R2!$K$14</definedName>
    <definedName name="tlOutputProd1Seg1Payer2Volume_R1">tlTerritory1R1!$E$16</definedName>
    <definedName name="tlOutputProd1Seg1Payer2Volume_R2">tlTerritory1R2!$E$16</definedName>
    <definedName name="tlOutputProd1Seg1Payer3Forecast_R1">tlTerritory1R1!$G$14</definedName>
    <definedName name="tlOutputProd1Seg1Payer3Forecast_R2">tlTerritory1R2!$G$14</definedName>
    <definedName name="tlOutputProd1Seg1Payer3Volume_R1">tlTerritory1R1!$E$14</definedName>
    <definedName name="tlOutputProd1Seg1Payer3Volume_R2">tlTerritory1R2!$E$14</definedName>
    <definedName name="tlOutputProd1Seg1PayerTitle_R1">tlTerritory1R1!$C$12</definedName>
    <definedName name="tlOutputProd1Seg1PayerTitle_R2">tlTerritory1R2!$C$12</definedName>
    <definedName name="tlOutputProd1Seg1PrevAllocationTitle_R1">tlTerritory1R1!$K$21</definedName>
    <definedName name="tlOutputProd1Seg1PrevAllocationTitle_R2">tlTerritory1R2!$K$21</definedName>
    <definedName name="tlOutputProd1Seg1PrevESAT_R1">tlTerritory1R1!$X$34</definedName>
    <definedName name="tlOutputProd1Seg1PrevESAT_R2">tlTerritory1R2!$X$34</definedName>
    <definedName name="tlOutputProd1Seg1PrevInternalCost_R1">tlTerritory1R1!$X$24</definedName>
    <definedName name="tlOutputProd1Seg1PrevInternalCost_R2">tlTerritory1R2!$X$24</definedName>
    <definedName name="tlOutputProd1Seg1PrevIntTitle_R1">tlTerritory1R1!$X$33</definedName>
    <definedName name="tlOutputProd1Seg1PrevIntTitle_R2">tlTerritory1R2!$X$33</definedName>
    <definedName name="tlOutputProd1Seg1PrevLunchMoneyCost_R1">tlTerritory1R1!$X$23</definedName>
    <definedName name="tlOutputProd1Seg1PrevLunchMoneyCost_R2">tlTerritory1R2!$X$23</definedName>
    <definedName name="tlOutputProd1Seg1PrevNetSales_R1">tlTerritory1R1!$X$20</definedName>
    <definedName name="tlOutputProd1Seg1PrevNetSales_R2">tlTerritory1R2!$X$20</definedName>
    <definedName name="tlOutputProd1Seg1PrevNRxShare_R1">tlTerritory1R1!$Y$11</definedName>
    <definedName name="tlOutputProd1Seg1PrevNRxShare_R2">tlTerritory1R2!$Y$11</definedName>
    <definedName name="tlOutputProd1Seg1PrevOE_R1">tlTerritory1R1!$X$35</definedName>
    <definedName name="tlOutputProd1Seg1PrevOE_R2">tlTerritory1R2!$X$35</definedName>
    <definedName name="tlOutputProd1Seg1PrevProfit_R1">tlTerritory1R1!$X$25</definedName>
    <definedName name="tlOutputProd1Seg1PrevProfit_R2">tlTerritory1R2!$X$25</definedName>
    <definedName name="tlOutputProd1Seg1PrevPromotionCost_R1">tlTerritory1R1!$K$26</definedName>
    <definedName name="tlOutputProd1Seg1PrevPromotionCost_R2">tlTerritory1R2!$K$26</definedName>
    <definedName name="tlOutputProd1Seg1PrevReimb_R1">tlTerritory1R1!$X$19</definedName>
    <definedName name="tlOutputProd1Seg1PrevReimb_R2">tlTerritory1R2!$X$19</definedName>
    <definedName name="tlOutputProd1Seg1PrevSales_R1">tlTerritory1R1!$X$18</definedName>
    <definedName name="tlOutputProd1Seg1PrevSales_R2">tlTerritory1R2!$X$18</definedName>
    <definedName name="tlOutputProd1Seg1PrevSampleCost_R1">tlTerritory1R1!$K$19</definedName>
    <definedName name="tlOutputProd1Seg1PrevSampleCost_R2">tlTerritory1R2!$K$19</definedName>
    <definedName name="tlOutputProd1Seg1PrevSamplesCost_R1">tlTerritory1R1!$X$21</definedName>
    <definedName name="tlOutputProd1Seg1PrevSamplesCost_R2">tlTerritory1R2!$X$21</definedName>
    <definedName name="tlOutputProd1Seg1PrevSpeakerCost_R1">tlTerritory1R1!$K$24</definedName>
    <definedName name="tlOutputProd1Seg1PrevSpeakerCost_R2">tlTerritory1R2!$K$24</definedName>
    <definedName name="tlOutputProd1Seg1PrevSpeakersCost_R1">tlTerritory1R1!$X$22</definedName>
    <definedName name="tlOutputProd1Seg1PrevSpeakersCost_R2">tlTerritory1R2!$X$22</definedName>
    <definedName name="tlOutputProd1Seg1PrevTRxShare_R1">tlTerritory1R1!$Y$10</definedName>
    <definedName name="tlOutputProd1Seg1PrevTRxShare_R2">tlTerritory1R2!$Y$10</definedName>
    <definedName name="tlOutputProd1Seg1PrevVolume_R1">tlPerfDashboardProd1R1!$AA$22</definedName>
    <definedName name="tlOutputProd1Seg1PrevVolume_R2">tlPerfDashboardProd1R2!$AA$22</definedName>
    <definedName name="tlOutputProd1Seg1ProfitTitle_R1">tlTerritory1R1!$W$25</definedName>
    <definedName name="tlOutputProd1Seg1ProfitTitle_R2">tlTerritory1R2!$W$25</definedName>
    <definedName name="tlOutputProd1Seg1ProgramTitle_R1">tlTerritory1R1!$C$3</definedName>
    <definedName name="tlOutputProd1Seg1ProgramTitle_R2">tlTerritory1R2!$C$3</definedName>
    <definedName name="tlOutputProd1Seg1PromotionCost_R1">tlTerritory1R1!$I$26</definedName>
    <definedName name="tlOutputProd1Seg1PromotionCost_R2">tlTerritory1R2!$I$26</definedName>
    <definedName name="tlOutputProd1Seg1PromotionPerc_R1">tlTerritory1R1!$E$26</definedName>
    <definedName name="tlOutputProd1Seg1PromotionPerc_R2">tlTerritory1R2!$E$26</definedName>
    <definedName name="tlOutputProd1Seg1PromotionTitle_R1">tlTerritory1R1!$C$26</definedName>
    <definedName name="tlOutputProd1Seg1PromotionTitle_R2">tlTerritory1R2!$C$26</definedName>
    <definedName name="tlOutputProd1Seg1RegTrainer_R1">tlTerritory1R1!$E$38</definedName>
    <definedName name="tlOutputProd1Seg1RegTrainer_R2">tlTerritory1R2!$E$38</definedName>
    <definedName name="tlOutputProd1Seg1RegTrainerCost_R1">tlTerritory1R1!$I$31</definedName>
    <definedName name="tlOutputProd1Seg1RegTrainerCost_R2">tlTerritory1R2!$I$31</definedName>
    <definedName name="tlOutputProd1Seg1RegTrainerFTEs_R1">tlTerritory1R1!$G$38</definedName>
    <definedName name="tlOutputProd1Seg1RegTrainerFTEs_R2">tlTerritory1R2!$G$38</definedName>
    <definedName name="tlOutputProd1Seg1RegTrainerRepTime_R1">tlTerritory1R1!$K$31</definedName>
    <definedName name="tlOutputProd1Seg1RegTrainerRepTime_R2">tlTerritory1R2!$K$31</definedName>
    <definedName name="tlOutputProd1Seg1RegTrainerTitle_R1">tlTerritory1R1!$C$38</definedName>
    <definedName name="tlOutputProd1Seg1RegTrainerTitle_R2">tlTerritory1R2!$C$38</definedName>
    <definedName name="tlOutputProd1Seg1ReimbTitle_R1">tlTerritory1R1!$W$19</definedName>
    <definedName name="tlOutputProd1Seg1ReimbTitle_R2">tlTerritory1R2!$W$19</definedName>
    <definedName name="tlOutputProd1Seg1Rep1CoachingFTEs_R1">tlTerritory1R1!$E$36</definedName>
    <definedName name="tlOutputProd1Seg1Rep1CoachingFTEs_R2">tlTerritory1R2!$E$36</definedName>
    <definedName name="tlOutputProd1Seg1Rep1ExtTime_R1">tlTerritory1R1!$X$39</definedName>
    <definedName name="tlOutputProd1Seg1Rep1ExtTime_R2">tlTerritory1R2!$X$39</definedName>
    <definedName name="tlOutputProd1Seg1Rep1IntTime_R1">tlTerritory1R1!$X$41</definedName>
    <definedName name="tlOutputProd1Seg1Rep1IntTime_R2">tlTerritory1R2!$X$41</definedName>
    <definedName name="tlOutputProd1Seg1Rep1Title_R1">tlTerritory1R1!$E$33</definedName>
    <definedName name="tlOutputProd1Seg1Rep1Title_R2">tlTerritory1R2!$E$33</definedName>
    <definedName name="tlOutputProd1Seg1Rep2CoachingFTEs_R1">tlTerritory1R1!$G$36</definedName>
    <definedName name="tlOutputProd1Seg1Rep2CoachingFTEs_R2">tlTerritory1R2!$G$36</definedName>
    <definedName name="tlOutputProd1Seg1Rep2ExtTime_R1">tlTerritory1R1!$Y$39</definedName>
    <definedName name="tlOutputProd1Seg1Rep2ExtTime_R2">tlTerritory1R2!$Y$39</definedName>
    <definedName name="tlOutputProd1Seg1Rep2IntTime_R1">tlTerritory1R1!$Y$41</definedName>
    <definedName name="tlOutputProd1Seg1Rep2IntTime_R2">tlTerritory1R2!$Y$41</definedName>
    <definedName name="tlOutputProd1Seg1Rep2Title_R1">tlTerritory1R1!$G$33</definedName>
    <definedName name="tlOutputProd1Seg1Rep2Title_R2">tlTerritory1R2!$G$33</definedName>
    <definedName name="tlOutputProd1Seg1Rep3CoachingFTEs_R1">tlTerritory1R1!$I$36</definedName>
    <definedName name="tlOutputProd1Seg1Rep3CoachingFTEs_R2">tlTerritory1R2!$I$36</definedName>
    <definedName name="tlOutputProd1Seg1Rep3ExtTime_R1">tlTerritory1R1!$Z$39</definedName>
    <definedName name="tlOutputProd1Seg1Rep3ExtTime_R2">tlTerritory1R2!$Z$39</definedName>
    <definedName name="tlOutputProd1Seg1Rep3IntTime_R1">tlTerritory1R1!$Z$41</definedName>
    <definedName name="tlOutputProd1Seg1Rep3IntTime_R2">tlTerritory1R2!$Z$41</definedName>
    <definedName name="tlOutputProd1Seg1Rep3Title_R1">tlTerritory1R1!$I$33</definedName>
    <definedName name="tlOutputProd1Seg1Rep3Title_R2">tlTerritory1R2!$I$33</definedName>
    <definedName name="tlOutputProd1Seg1RepMgmtTitle_R1">tlTerritory1R1!$C$33</definedName>
    <definedName name="tlOutputProd1Seg1RepMgmtTitle_R2">tlTerritory1R2!$C$33</definedName>
    <definedName name="tlOutputProd1Seg1ResourceAllocTitle_R1">tlTerritory1R1!$C$18</definedName>
    <definedName name="tlOutputProd1Seg1SalesTitle_R1">tlTerritory1R1!$W$18</definedName>
    <definedName name="tlOutputProd1Seg1SalesTitle_R2">tlTerritory1R2!$W$18</definedName>
    <definedName name="tlOutputProd1Seg1SampleCost_R1">tlTerritory1R1!$I$19</definedName>
    <definedName name="tlOutputProd1Seg1SampleCost_R2">tlTerritory1R2!$I$19</definedName>
    <definedName name="tlOutputProd1Seg1Samples_R1">tlTerritory1R1!$G$19</definedName>
    <definedName name="tlOutputProd1Seg1Samples_R2">tlTerritory1R2!$G$19</definedName>
    <definedName name="tlOutputProd1Seg1SamplesCostTitle_R1">tlTerritory1R1!$W$21</definedName>
    <definedName name="tlOutputProd1Seg1SamplesCostTitle_R2">tlTerritory1R2!$W$21</definedName>
    <definedName name="tlOutputProd1Seg1SamplesPerc_R1">tlTerritory1R1!$E$19</definedName>
    <definedName name="tlOutputProd1Seg1SamplesPerc_R2">tlTerritory1R2!$E$19</definedName>
    <definedName name="tlOutputProd1Seg1SampleTitle_R1">tlTerritory1R1!$C$19</definedName>
    <definedName name="tlOutputProd1Seg1SampleTitle_R2">tlTerritory1R2!$C$19</definedName>
    <definedName name="tlOutputProd1Seg1ShareCurrentTitle_R2">tlTerritory1R2!$Z$9</definedName>
    <definedName name="tlOutputProd1Seg1SharePrevTitle_R2">tlTerritory1R2!$Y$9</definedName>
    <definedName name="tlOutputProd1Seg1SpeakerCost_R1">tlTerritory1R1!$I$24</definedName>
    <definedName name="tlOutputProd1Seg1SpeakerCost_R2">tlTerritory1R2!$I$24</definedName>
    <definedName name="tlOutputProd1Seg1SpeakersPerc_R1">tlTerritory1R1!$E$24</definedName>
    <definedName name="tlOutputProd1Seg1SpeakersPerc_R2">tlTerritory1R2!$E$24</definedName>
    <definedName name="tlOutputProd1Seg1SpeakersTitleCost_R1">tlTerritory1R1!$W$22</definedName>
    <definedName name="tlOutputProd1Seg1SpeakersTitleCost_R2">tlTerritory1R2!$W$22</definedName>
    <definedName name="tlOutputProd1Seg1SpeakerTitle_R1">tlTerritory1R1!$C$24</definedName>
    <definedName name="tlOutputProd1Seg1SpeakerTitle_R2">tlTerritory1R2!$C$24</definedName>
    <definedName name="tlOutputProd1Seg1Therapy1PrevWeightTitle_R1">tlTerritory1R1!$C$42</definedName>
    <definedName name="tlOutputProd1Seg1Therapy1PrevWeightTitle_R2">tlTerritory1R2!$C$42</definedName>
    <definedName name="tlOutputProd1Seg1Therapy1Rep1PrevWeight_R1">tlTerritory1R1!$E$42</definedName>
    <definedName name="tlOutputProd1Seg1Therapy1Rep1PrevWeight_R2">tlTerritory1R2!$E$42</definedName>
    <definedName name="tlOutputProd1Seg1Therapy1Rep1Weight_R1">tlTerritory1R1!$E$41</definedName>
    <definedName name="tlOutputProd1Seg1Therapy1Rep2PrevWeight_R1">tlTerritory1R1!$G$42</definedName>
    <definedName name="tlOutputProd1Seg1Therapy1Rep2PrevWeight_R2">tlTerritory1R2!$G$42</definedName>
    <definedName name="tlOutputProd1Seg1Therapy1Rep2Weight_R1">tlTerritory1R1!$G$41</definedName>
    <definedName name="tlOutputProd1Seg1Therapy1Rep2Weight_R2">tlTerritory1R2!$G$41</definedName>
    <definedName name="tlOutputProd1Seg1Therapy1Rep3PrevWeight_R1">tlTerritory1R1!$I$42</definedName>
    <definedName name="tlOutputProd1Seg1Therapy1Rep3PrevWeight_R2">tlTerritory1R2!$I$42</definedName>
    <definedName name="tlOutputProd1Seg1Therapy1Rep3Weight_R1">tlTerritory1R1!$I$41</definedName>
    <definedName name="tlOutputProd1Seg1Therapy1Rep3Weight_R2">tlTerritory1R2!$I$41</definedName>
    <definedName name="tlOutputProd1Seg1Therapy1Title_R1">tlTerritory1R1!$C$41</definedName>
    <definedName name="tlOutputProd1Seg1Therapy1Title_R2">tlTerritory1R2!$C$41</definedName>
    <definedName name="tlOutputProd1Seg1Title_R1">tlTerritory1R1!$C$8</definedName>
    <definedName name="tlOutputProd1Seg1Title_R2">tlTerritory1R2!$C$8</definedName>
    <definedName name="tlOutputProd1Seg1TotalMarketVolume_R1">tlPerfDashboardProd1R1!$E$22</definedName>
    <definedName name="tlOutputProd1Seg1TotalMarketVolume_R2">tlPerfDashboardProd1R2!$E$22</definedName>
    <definedName name="tlOutputProd1Seg1TotalMarketVolumeChange_R1">tlPerfDashboardProd1R1!$F$22</definedName>
    <definedName name="tlOutputProd1Seg1TotalMarketVolumeChange_R2">tlPerfDashboardProd1R2!$F$22</definedName>
    <definedName name="tlOutputProd1Seg1TotalSharePrev_R1">tlPerfDashboardProd1R1!$AC$12</definedName>
    <definedName name="tlOutputProd1Seg1TotalSharePrev_R2">tlPerfDashboardProd1R2!$AC$12</definedName>
    <definedName name="tlOutputProd1Seg1TotalVolumePrev_R1">tlPerfDashboardProd1R1!$AD$12</definedName>
    <definedName name="tlOutputProd1Seg1TotalVolumePrev_R2">tlPerfDashboardProd1R2!$AD$12</definedName>
    <definedName name="tlOutputProd1Seg1TRxShare_R1">tlPerfDashboardProd1R1!$E$12</definedName>
    <definedName name="tlOutputProd1Seg1TRxShare_R2">tlPerfDashboardProd1R2!$E$12</definedName>
    <definedName name="tlOutputProd1Seg1TRxShareChange_R1">tlPerfDashboardProd1R1!$F$12</definedName>
    <definedName name="tlOutputProd1Seg1TRxShareChange_R2">tlPerfDashboardProd1R2!$F$12</definedName>
    <definedName name="tlOutputProd1Seg1TRxShareChangeCompView_R1">tlPerfDashboardProd1R1!$J$22</definedName>
    <definedName name="tlOutputProd1Seg1TRxShareChangeCompView_R2">tlPerfDashboardProd1R2!$J$22</definedName>
    <definedName name="tlOutputProd1Seg1TRxShareChangeR1">tlPerfDashboardProd1R1!$F$12</definedName>
    <definedName name="tlOutputProd1Seg1TRxShareCompView_R1">tlPerfDashboardProd1R1!$I$22</definedName>
    <definedName name="tlOutputProd1Seg1TRxShareCompView_R2">tlPerfDashboardProd1R2!$I$22</definedName>
    <definedName name="tlOutputProd1Seg1TRxShareTitle_R1">tlTerritory1R1!$X$10</definedName>
    <definedName name="tlOutputProd1Seg1TRxShareTitle_R2">tlTerritory1R2!$X$10</definedName>
    <definedName name="tlOutputProd1Seg1TRxVolume_R1">tlPerfDashboardProd1R1!$I$12</definedName>
    <definedName name="tlOutputProd1Seg1TRxVolume_R2">tlPerfDashboardProd1R2!$I$12</definedName>
    <definedName name="tlOutputProd1Seg1TRxVolumeChange_R1">tlPerfDashboardProd1R1!$J$12</definedName>
    <definedName name="tlOutputProd1Seg1TRxVolumeChange_R2">tlPerfDashboardProd1R2!$J$12</definedName>
    <definedName name="tlOutputProd1Seg1TRxVolumeChangeCompView_R1">tlPerfDashboardProd1R1!$M$22</definedName>
    <definedName name="tlOutputProd1Seg1TRxVolumeChangeCompView_R2">tlPerfDashboardProd1R2!$M$22</definedName>
    <definedName name="tlOutputProd1Seg1TRxVolumeCompView_R1">tlPerfDashboardProd1R1!$L$22</definedName>
    <definedName name="tlOutputProd1Seg1TRxVolumeCompView_R2">tlPerfDashboardProd1R2!$L$22</definedName>
    <definedName name="tlOutputProd1Seg1VolumeTitle_R1">tlTerritory1R1!$E$10</definedName>
    <definedName name="tlOutputProd1Seg1VolumeTitle_R2">tlTerritory1R2!$E$10</definedName>
    <definedName name="tlOutputProd1Seg2AllocPercSalesTitle_R1">tlTerritory2R1!$G$18</definedName>
    <definedName name="tlOutputProd1Seg2CfCollabCost_R1">tlTerritory2R1!$I$29</definedName>
    <definedName name="tlOutputProd1Seg2CfCollabCost_R2">tlTerritory2R2!$I$29</definedName>
    <definedName name="tlOutputProd1Seg2CfCollabFTEs_R1">tlTerritory2R1!$G$29</definedName>
    <definedName name="tlOutputProd1Seg2CfCollabFTEs_R2">tlTerritory2R2!$G$29</definedName>
    <definedName name="tlOutputProd1Seg2CfCollabTitle_R1">tlTerritory2R1!$C$29</definedName>
    <definedName name="tlOutputProd1Seg2CfCollabTitle_R2">tlTerritory2R2!$C$29</definedName>
    <definedName name="tlOutputProd1Seg2CfRepTime_R1">tlTerritory2R1!$K$29</definedName>
    <definedName name="tlOutputProd1Seg2CfRepTime_R2">tlTerritory2R2!$K$29</definedName>
    <definedName name="tlOutputProd1Seg2CoachingTitle_R1">tlTerritory2R1!$C$34</definedName>
    <definedName name="tlOutputProd1Seg2CoachingTitle_R2">tlTerritory2R2!$C$34</definedName>
    <definedName name="tlOutputProd1Seg2Comp1TotalPrevShare_R1">tlPerfDashboardProd1R1!$AB$23</definedName>
    <definedName name="tlOutputProd1Seg2Comp1TotalPrevShare_R2">tlPerfDashboardProd1R2!$AB$23</definedName>
    <definedName name="tlOutputProd1Seg2Comp1TotalPrevVol_R1">tlPerfDashboardProd1R1!$AD$23</definedName>
    <definedName name="tlOutputProd1Seg2Comp1TotalPrevVol_R2">tlPerfDashboardProd1R2!$AD$23</definedName>
    <definedName name="tlOutputProd1Seg2Comp1TRxShare_R1">tlPerfDashboardProd1R1!$O$23</definedName>
    <definedName name="tlOutputProd1Seg2Comp1TRxShare_R2">tlPerfDashboardProd1R2!$O$23</definedName>
    <definedName name="tlOutputProd1Seg2Comp1TRxShareChange_R1">tlPerfDashboardProd1R1!$P$23</definedName>
    <definedName name="tlOutputProd1Seg2Comp1TRxShareChange_R2">tlPerfDashboardProd1R2!$P$23</definedName>
    <definedName name="tlOutputProd1Seg2Comp1TRxVolume_R1">tlPerfDashboardProd1R1!$R$23</definedName>
    <definedName name="tlOutputProd1Seg2Comp1TRxVolume_R2">tlPerfDashboardProd1R2!$R$23</definedName>
    <definedName name="tlOutputProd1Seg2Comp1TRxVolumeChange_R1">tlPerfDashboardProd1R1!$S$23</definedName>
    <definedName name="tlOutputProd1Seg2Comp1TRxVolumeChange_R2">tlPerfDashboardProd1R2!$S$23</definedName>
    <definedName name="tlOutputProd1Seg2Comp2TotalPrevShare_R1">tlPerfDashboardProd1R1!$AC$23</definedName>
    <definedName name="tlOutputProd1Seg2Comp2TotalPrevShare_R2">tlPerfDashboardProd1R2!$AC$23</definedName>
    <definedName name="tlOutputProd1Seg2Comp2TotalPrevVol_R1">tlPerfDashboardProd1R1!$AE$23</definedName>
    <definedName name="tlOutputProd1Seg2Comp2TotalPrevVol_R2">tlPerfDashboardProd1R2!$AE$23</definedName>
    <definedName name="tlOutputProd1Seg2Comp2TRxShare_R1">tlPerfDashboardProd1R1!$U$23</definedName>
    <definedName name="tlOutputProd1Seg2Comp2TRxShare_R2">tlPerfDashboardProd1R2!$U$23</definedName>
    <definedName name="tlOutputProd1Seg2Comp2TRxShareChange_R1">tlPerfDashboardProd1R1!$V$23</definedName>
    <definedName name="tlOutputProd1Seg2Comp2TRxShareChange_R2">tlPerfDashboardProd1R2!$V$23</definedName>
    <definedName name="tlOutputProd1Seg2Comp2TRxVolume_R1">tlPerfDashboardProd1R1!$X$23</definedName>
    <definedName name="tlOutputProd1Seg2Comp2TRxVolume_R2">tlPerfDashboardProd1R2!$X$23</definedName>
    <definedName name="tlOutputProd1Seg2Comp2TRxVolumeChange_R1">tlPerfDashboardProd1R1!$Y$23</definedName>
    <definedName name="tlOutputProd1Seg2Comp2TRxVolumeChange_R2">tlPerfDashboardProd1R2!$Y$23</definedName>
    <definedName name="tlOutputProd1Seg2CurrentAllocationTitle_R1">tlTerritory2R1!$I$21</definedName>
    <definedName name="tlOutputProd1Seg2CurrentAllocationTitle_R2">tlTerritory2R2!$I$21</definedName>
    <definedName name="tlOutputProd1Seg2CurrentESAT_R1">tlTerritory2R1!$Y$34</definedName>
    <definedName name="tlOutputProd1Seg2CurrentESAT_R2">tlTerritory2R2!$Y$34</definedName>
    <definedName name="tlOutputProd1Seg2CurrentFinTitle_R1">tlTerritory2R1!$Y$17</definedName>
    <definedName name="tlOutputProd1Seg2CurrentFinTitle_R2">tlTerritory2R2!$Y$17</definedName>
    <definedName name="tlOutputProd1Seg2CurrentInternalCost_R1">tlTerritory2R1!$Y$24</definedName>
    <definedName name="tlOutputProd1Seg2CurrentInternalCost_R2">tlTerritory2R2!$Y$24</definedName>
    <definedName name="tlOutputProd1Seg2CurrentIntTitle_R1">tlTerritory2R1!$Y$33</definedName>
    <definedName name="tlOutputProd1Seg2CurrentIntTitle_R2">tlTerritory2R2!$Y$33</definedName>
    <definedName name="tlOutputProd1Seg2CurrentLunchMoneyCost_R1">tlTerritory2R1!$Y$23</definedName>
    <definedName name="tlOutputProd1Seg2CurrentLunchMoneyCost_R2">tlTerritory2R2!$Y$23</definedName>
    <definedName name="tlOutputProd1Seg2CurrentNetSales_R1">tlTerritory2R1!$Y$20</definedName>
    <definedName name="tlOutputProd1Seg2CurrentNetSales_R2">tlTerritory2R2!$Y$20</definedName>
    <definedName name="tlOutputProd1Seg2CurrentNRxShare_R1">tlTerritory2R1!$Z$11</definedName>
    <definedName name="tlOutputProd1Seg2CurrentNRxShare_R2">tlTerritory2R2!$Z$11</definedName>
    <definedName name="tlOutputProd1Seg2CurrentOE_R1">tlTerritory2R1!$Y$35</definedName>
    <definedName name="tlOutputProd1Seg2CurrentOE_R2">tlTerritory2R2!$Y$35</definedName>
    <definedName name="tlOutputProd1Seg2CurrentProfit_R1">tlTerritory2R1!$Y$25</definedName>
    <definedName name="tlOutputProd1Seg2CurrentProfit_R2">tlTerritory2R2!$Y$25</definedName>
    <definedName name="tlOutputProd1Seg2CurrentPromotionAllocation_R1">tlTerritory2R1!$I$22</definedName>
    <definedName name="tlOutputProd1Seg2CurrentPromotionAllocation_R2">tlTerritory2R2!$I$22</definedName>
    <definedName name="tlOutputProd1Seg2CurrentReimb_R1">tlTerritory2R1!$Y$19</definedName>
    <definedName name="tlOutputProd1Seg2CurrentReimb_R2">tlTerritory2R2!$Y$19</definedName>
    <definedName name="tlOutputProd1Seg2CurrentSales_R1">tlTerritory2R1!$Y$18</definedName>
    <definedName name="tlOutputProd1Seg2CurrentSales_R2">tlTerritory2R2!$Y$18</definedName>
    <definedName name="tlOutputProd1Seg2CurrentSampleCost_R1">tlTerritory2R1!$Y$21</definedName>
    <definedName name="tlOutputProd1Seg2CurrentSampleCost_R2">tlTerritory2R2!$Y$21</definedName>
    <definedName name="tlOutputProd1Seg2CurrentSpeakerCost_R1">tlTerritory2R1!$Y$22</definedName>
    <definedName name="tlOutputProd1Seg2CurrentSpeakerCost_R2">tlTerritory2R2!$Y$22</definedName>
    <definedName name="tlOutputProd1Seg2CurrentSpeakersCost_R1">tlTerritory2R1!$X$22</definedName>
    <definedName name="tlOutputProd1Seg2CurrentSpeakersCost_R2">tlTerritory2R2!$X$22</definedName>
    <definedName name="tlOutputProd1Seg2CurrentTRxShare_R1">tlTerritory2R1!$Z$10</definedName>
    <definedName name="tlOutputProd1Seg2CurrentTRxShare_R2">tlTerritory2R2!$Z$10</definedName>
    <definedName name="tlOutputProd1Seg2Dash1_R1">tlTerritory2R1!$T$2</definedName>
    <definedName name="tlOutputProd1Seg2Dash1_R2">tlTerritory2R2!$T$2</definedName>
    <definedName name="tlOutputProd1Seg2Dash2_R1">tlTerritory2R1!$T$3</definedName>
    <definedName name="tlOutputProd1Seg2Dash2_R2">tlTerritory2R2!$T$3</definedName>
    <definedName name="tlOutputProd1Seg2Dash3_R1">tlTerritory2R1!$T$4</definedName>
    <definedName name="tlOutputProd1Seg2Dash3_R2">tlTerritory2R2!$T$4</definedName>
    <definedName name="tlOutputProd1Seg2ESAT_R1">tlTerritory2R1!$X$34</definedName>
    <definedName name="tlOutputProd1Seg2ESAT_R2">tlTerritory2R2!$X$34</definedName>
    <definedName name="tlOutputProd1Seg2ESATTitle_R1">tlTerritory2R1!$W$34</definedName>
    <definedName name="tlOutputProd1Seg2ESATTitle_R2">tlTerritory2R2!$W$34</definedName>
    <definedName name="tlOutputProd1Seg2FieldTimeTitle_R1">tlTerritory2R1!$W$39</definedName>
    <definedName name="tlOutputProd1Seg2FieldTimeTitle_R2">tlTerritory2R2!$W$39</definedName>
    <definedName name="tlOutputProd1Seg2ForecastTitle">tlTerritory2R2!$C$9</definedName>
    <definedName name="tlOutputProd1Seg2ForecastTitle_R1">tlTerritory2R1!$C$9</definedName>
    <definedName name="tlOutputProd1Seg2ForecastTitle_R2">tlTerritory2R2!$C$9</definedName>
    <definedName name="tlOutputProd1Seg2FTEsTitle_R1">tlTerritory2R1!$C$36</definedName>
    <definedName name="tlOutputProd1Seg2FTEsTitle_R2">tlTerritory2R2!$C$36</definedName>
    <definedName name="tlOutputProd1Seg2GrowthTitle_R1">tlTerritory2R1!$G$10</definedName>
    <definedName name="tlOutputProd1Seg2GrowthTitle_R2">tlTerritory2R2!$G$10</definedName>
    <definedName name="tlOutputProd1Seg2InternalCostTitle_R1">tlTerritory2R1!$W$24</definedName>
    <definedName name="tlOutputProd1Seg2InternalCostTitle_R2">tlTerritory2R2!$W$24</definedName>
    <definedName name="tlOutputProd1Seg2InternalResCostTitle_R1">tlTerritory2R1!$I$28</definedName>
    <definedName name="tlOutputProd1Seg2InternalResCostTitle_R2">tlTerritory2R2!$I$28</definedName>
    <definedName name="tlOutputProd1Seg2InternalResFTEsTitle_R1">tlTerritory2R1!$G$28</definedName>
    <definedName name="tlOutputProd1Seg2InternalResFTEsTitle_R2">tlTerritory2R2!$G$28</definedName>
    <definedName name="tlOutputProd1Seg2InternalResRepTimeTitle_R1">tlTerritory2R1!$K$28</definedName>
    <definedName name="tlOutputProd1Seg2InternalResRepTimeTitle_R2">tlTerritory2R2!$K$28</definedName>
    <definedName name="tlOutputProd1Seg2InternalResTitle_R1">tlTerritory2R1!$C$28</definedName>
    <definedName name="tlOutputProd1Seg2InternalResTitle_R2">tlTerritory2R2!$C$28</definedName>
    <definedName name="tlOutputProd1Seg2IntTimeTitle_R1">tlTerritory2R1!$W$41</definedName>
    <definedName name="tlOutputProd1Seg2IntTimeTitle_R2">tlTerritory2R2!$W$41</definedName>
    <definedName name="tlOutputProd1Seg2LunchMoneyTitleCost_R1">tlTerritory2R1!$W$23</definedName>
    <definedName name="tlOutputProd1Seg2LunchMoneyTitleCost_R2">tlTerritory2R2!$W$23</definedName>
    <definedName name="tlOutputProd1Seg2NetSalesTitle_R1">tlTerritory2R1!$W$20</definedName>
    <definedName name="tlOutputProd1Seg2NetSalesTitle_R2">tlTerritory2R2!$W$20</definedName>
    <definedName name="tlOutputProd1Seg2NewSharePrev_R1">tlPerfDashboardProd1R1!$AG$13</definedName>
    <definedName name="tlOutputProd1Seg2NewSharePrev_R2">tlPerfDashboardProd1R2!$AG$13</definedName>
    <definedName name="tlOutputProd1Seg2NewVolumePrev_R1">tlPerfDashboardProd1R1!$AH$13</definedName>
    <definedName name="tlOutputProd1Seg2NewVolumePrev_R2">tlPerfDashboardProd1R2!$AH$13</definedName>
    <definedName name="tlOutputProd1Seg2NRxShare_R1">tlPerfDashboardProd1R1!$L$13</definedName>
    <definedName name="tlOutputProd1Seg2NRxShare_R2">tlPerfDashboardProd1R2!$L$13</definedName>
    <definedName name="tlOutputProd1Seg2NRxShareChange_R1">tlPerfDashboardProd1R1!$M$13</definedName>
    <definedName name="tlOutputProd1Seg2NRxShareChange_R2">tlPerfDashboardProd1R2!$M$13</definedName>
    <definedName name="tlOutputProd1Seg2NRxShareTitle_R1">tlTerritory2R1!$X$11</definedName>
    <definedName name="tlOutputProd1Seg2NRxShareTitle_R2">tlTerritory2R2!$X$11</definedName>
    <definedName name="tlOutputProd1Seg2NRxVolume_R1">tlPerfDashboardProd1R1!$O$13</definedName>
    <definedName name="tlOutputProd1Seg2NRxVolume_R2">tlPerfDashboardProd1R2!$O$13</definedName>
    <definedName name="tlOutputProd1Seg2NRxVolumeChange_R1">tlPerfDashboardProd1R1!$P$13</definedName>
    <definedName name="tlOutputProd1Seg2NRxVolumeChange_R2">tlPerfDashboardProd1R2!$P$13</definedName>
    <definedName name="tlOutputProd1Seg2OETitle_R1">tlTerritory2R1!$W$35</definedName>
    <definedName name="tlOutputProd1Seg2OETitle_R2">tlTerritory2R2!$W$35</definedName>
    <definedName name="tlOutputProd1Seg2Payer1Forecast_R1">tlTerritory2R1!$G$12</definedName>
    <definedName name="tlOutputProd1Seg2Payer1Forecast_R2">tlTerritory2R2!$G$12</definedName>
    <definedName name="tlOutputProd1Seg2Payer1Title_R1">tlTerritory2R1!$C$12</definedName>
    <definedName name="tlOutputProd1Seg2Payer1Title_R2">tlTerritory2R2!$C$12</definedName>
    <definedName name="tlOutputProd1Seg2Payer1Visits_R1">tlTerritory2R1!$K$12</definedName>
    <definedName name="tlOutputProd1Seg2Payer1Visits_R2">tlTerritory2R2!$K$12</definedName>
    <definedName name="tlOutputProd1Seg2Payer1Volume_R1">tlTerritory2R1!$E$12</definedName>
    <definedName name="tlOutputProd1Seg2Payer1Volume_R2">tlTerritory2R2!$E$12</definedName>
    <definedName name="tlOutputProd1Seg2Payer2Forecast_R1">tlTerritory2R1!$G$16</definedName>
    <definedName name="tlOutputProd1Seg2Payer2Forecast_R2">tlTerritory2R2!$G$16</definedName>
    <definedName name="tlOutputProd1Seg2Payer2Title_R1">tlTerritory2R1!$C$14</definedName>
    <definedName name="tlOutputProd1Seg2Payer2Title_R2">tlTerritory2R2!$C$14</definedName>
    <definedName name="tlOutputProd1Seg2Payer2Visits_R1">tlTerritory2R1!$K$14</definedName>
    <definedName name="tlOutputProd1Seg2Payer2Visits_R2">tlTerritory2R2!$K$14</definedName>
    <definedName name="tlOutputProd1Seg2Payer2Volume_R1">tlTerritory2R1!$E$16</definedName>
    <definedName name="tlOutputProd1Seg2Payer2Volume_R2">tlTerritory2R2!$E$16</definedName>
    <definedName name="tlOutputProd1Seg2Payer3Forecast_R1">tlTerritory2R1!$G$14</definedName>
    <definedName name="tlOutputProd1Seg2Payer3Forecast_R2">tlTerritory2R2!$G$14</definedName>
    <definedName name="tlOutputProd1Seg2Payer3Volume_R1">tlTerritory2R1!$E$14</definedName>
    <definedName name="tlOutputProd1Seg2Payer3Volume_R2">tlTerritory2R2!$E$14</definedName>
    <definedName name="tlOutputProd1Seg2PayerTitle_R1">tlTerritory2R1!$C$12</definedName>
    <definedName name="tlOutputProd1Seg2PayerTitle_R2">tlTerritory2R2!$C$12</definedName>
    <definedName name="tlOutputProd1Seg2PrevAllocationTitle_R1">tlTerritory2R1!$K$21</definedName>
    <definedName name="tlOutputProd1Seg2PrevAllocationTitle_R2">tlTerritory2R2!$K$21</definedName>
    <definedName name="tlOutputProd1Seg2PrevESAT_R1">tlTerritory2R1!$X$34</definedName>
    <definedName name="tlOutputProd1Seg2PrevESAT_R2">tlTerritory2R2!$X$34</definedName>
    <definedName name="tlOutputProd1Seg2PrevInternalCost_R1">tlTerritory2R1!$X$24</definedName>
    <definedName name="tlOutputProd1Seg2PrevInternalCost_R2">tlTerritory2R2!$X$24</definedName>
    <definedName name="tlOutputProd1Seg2PrevIntTitle_R1">tlTerritory2R1!$X$33</definedName>
    <definedName name="tlOutputProd1Seg2PrevIntTitle_R2">tlTerritory2R2!$X$33</definedName>
    <definedName name="tlOutputProd1Seg2PrevLunchMoneyCost_R1">tlTerritory2R1!$X$23</definedName>
    <definedName name="tlOutputProd1Seg2PrevLunchMoneyCost_R2">tlTerritory2R2!$X$23</definedName>
    <definedName name="tlOutputProd1Seg2PrevNetSales_R1">tlTerritory2R1!$X$20</definedName>
    <definedName name="tlOutputProd1Seg2PrevNetSales_R2">tlTerritory2R2!$X$20</definedName>
    <definedName name="tlOutputProd1Seg2PrevNRxShare_R1">tlTerritory2R1!$Y$11</definedName>
    <definedName name="tlOutputProd1Seg2PrevNRxShare_R2">tlTerritory2R2!$Y$11</definedName>
    <definedName name="tlOutputProd1Seg2PrevOE_R1">tlTerritory2R1!$X$35</definedName>
    <definedName name="tlOutputProd1Seg2PrevOE_R2">tlTerritory2R2!$X$35</definedName>
    <definedName name="tlOutputProd1Seg2PrevProfit_R1">tlTerritory2R1!$X$25</definedName>
    <definedName name="tlOutputProd1Seg2PrevProfit_R2">tlTerritory2R2!$X$25</definedName>
    <definedName name="tlOutputProd1Seg2PrevPromotionCost_R1">tlTerritory2R1!$K$26</definedName>
    <definedName name="tlOutputProd1Seg2PrevPromotionCost_R2">tlTerritory2R2!$K$26</definedName>
    <definedName name="tlOutputProd1Seg2PrevReimb_R1">tlTerritory2R1!$X$19</definedName>
    <definedName name="tlOutputProd1Seg2PrevReimb_R2">tlTerritory2R2!$X$19</definedName>
    <definedName name="tlOutputProd1Seg2PrevSales_R1">tlTerritory2R1!$X$18</definedName>
    <definedName name="tlOutputProd1Seg2PrevSales_R2">tlTerritory2R2!$X$18</definedName>
    <definedName name="tlOutputProd1Seg2PrevSampleCost_R1">tlTerritory2R1!$K$19</definedName>
    <definedName name="tlOutputProd1Seg2PrevSampleCost_R2">tlTerritory2R2!$K$19</definedName>
    <definedName name="tlOutputProd1Seg2PrevSamplesCost_R1">tlTerritory2R1!$X$21</definedName>
    <definedName name="tlOutputProd1Seg2PrevSamplesCost_R2">tlTerritory2R2!$X$21</definedName>
    <definedName name="tlOutputProd1Seg2PrevSpeakerCost_R1">tlTerritory2R1!$K$24</definedName>
    <definedName name="tlOutputProd1Seg2PrevSpeakerCost_R2">tlTerritory2R2!$K$24</definedName>
    <definedName name="tlOutputProd1Seg2PrevSpeakersCost_R1">tlTerritory2R1!$X$22</definedName>
    <definedName name="tlOutputProd1Seg2PrevSpeakersCost_R2">tlTerritory2R2!$X$22</definedName>
    <definedName name="tlOutputProd1Seg2PrevTRxShare_R1">tlTerritory2R1!$Y$10</definedName>
    <definedName name="tlOutputProd1Seg2PrevTRxShare_R2">tlTerritory2R2!$Y$10</definedName>
    <definedName name="tlOutputProd1Seg2PrevVolume_R1">tlPerfDashboardProd1R1!$AA$23</definedName>
    <definedName name="tlOutputProd1Seg2PrevVolume_R2">tlPerfDashboardProd1R2!$AA$23</definedName>
    <definedName name="tlOutputProd1Seg2ProfitTitle_R1">tlTerritory2R1!$W$25</definedName>
    <definedName name="tlOutputProd1Seg2ProfitTitle_R2">tlTerritory2R2!$W$25</definedName>
    <definedName name="tlOutputProd1Seg2ProgramTitle_R1">tlTerritory2R1!$C$3</definedName>
    <definedName name="tlOutputProd1Seg2ProgramTitle_R2">tlTerritory2R2!$C$3</definedName>
    <definedName name="tlOutputProd1Seg2PromotionCost_R1">tlTerritory2R1!$I$26</definedName>
    <definedName name="tlOutputProd1Seg2PromotionCost_R2">tlTerritory2R2!$I$26</definedName>
    <definedName name="tlOutputProd1Seg2PromotionPerc_R1">tlTerritory2R1!$E$26</definedName>
    <definedName name="tlOutputProd1Seg2PromotionPerc_R2">tlTerritory2R2!$E$26</definedName>
    <definedName name="tlOutputProd1Seg2PromotionTitle_R1">tlTerritory2R1!$C$26</definedName>
    <definedName name="tlOutputProd1Seg2PromotionTitle_R2">tlTerritory2R2!$C$26</definedName>
    <definedName name="tlOutputProd1Seg2RegTrainer_R1">tlTerritory2R1!$E$38</definedName>
    <definedName name="tlOutputProd1Seg2RegTrainer_R2">tlTerritory2R2!$E$38</definedName>
    <definedName name="tlOutputProd1Seg2RegTrainerCost_R1">tlTerritory2R1!$I$31</definedName>
    <definedName name="tlOutputProd1Seg2RegTrainerCost_R2">tlTerritory2R2!$I$31</definedName>
    <definedName name="tlOutputProd1Seg2RegTrainerFTEs_R1">tlTerritory2R1!$G$38</definedName>
    <definedName name="tlOutputProd1Seg2RegTrainerFTEs_R2">tlTerritory2R2!$G$38</definedName>
    <definedName name="tlOutputProd1Seg2RegTrainerRepTime_R1">tlTerritory2R1!$K$31</definedName>
    <definedName name="tlOutputProd1Seg2RegTrainerRepTime_R2">tlTerritory2R2!$K$31</definedName>
    <definedName name="tlOutputProd1Seg2RegTrainerTitle_R1">tlTerritory2R1!$C$38</definedName>
    <definedName name="tlOutputProd1Seg2RegTrainerTitle_R2">tlTerritory2R2!$C$38</definedName>
    <definedName name="tlOutputProd1Seg2ReimbTitle_R1">tlTerritory2R1!$W$19</definedName>
    <definedName name="tlOutputProd1Seg2ReimbTitle_R2">tlTerritory2R2!$W$19</definedName>
    <definedName name="tlOutputProd1Seg2Rep1CoachingFTEs_R1">tlTerritory2R1!$E$36</definedName>
    <definedName name="tlOutputProd1Seg2Rep1CoachingFTEs_R2">tlTerritory2R2!$E$36</definedName>
    <definedName name="tlOutputProd1Seg2Rep1ExtTime_R1">tlTerritory2R1!$X$39</definedName>
    <definedName name="tlOutputProd1Seg2Rep1ExtTime_R2">tlTerritory2R2!$X$39</definedName>
    <definedName name="tlOutputProd1Seg2Rep1IntTime_R1">tlTerritory2R1!$X$41</definedName>
    <definedName name="tlOutputProd1Seg2Rep1IntTime_R2">tlTerritory2R2!$X$41</definedName>
    <definedName name="tlOutputProd1Seg2Rep1Title_R1">tlTerritory2R1!$E$33</definedName>
    <definedName name="tlOutputProd1Seg2Rep1Title_R2">tlTerritory2R2!$E$33</definedName>
    <definedName name="tlOutputProd1Seg2Rep2CoachingFTEs_R1">tlTerritory2R1!$G$36</definedName>
    <definedName name="tlOutputProd1Seg2Rep2CoachingFTEs_R2">tlTerritory2R2!$G$36</definedName>
    <definedName name="tlOutputProd1Seg2Rep2ExtTime_R1">tlTerritory2R1!$Y$39</definedName>
    <definedName name="tlOutputProd1Seg2Rep2ExtTime_R2">tlTerritory2R2!$Y$39</definedName>
    <definedName name="tlOutputProd1Seg2Rep2IntTime_R1">tlTerritory2R1!$Y$41</definedName>
    <definedName name="tlOutputProd1Seg2Rep2IntTime_R2">tlTerritory2R2!$Y$41</definedName>
    <definedName name="tlOutputProd1Seg2Rep2Title_R1">tlTerritory2R1!$G$33</definedName>
    <definedName name="tlOutputProd1Seg2Rep2Title_R2">tlTerritory2R2!$G$33</definedName>
    <definedName name="tlOutputProd1Seg2Rep3CoachingFTEs_R1">tlTerritory2R1!$I$36</definedName>
    <definedName name="tlOutputProd1Seg2Rep3CoachingFTEs_R2">tlTerritory2R2!$I$36</definedName>
    <definedName name="tlOutputProd1Seg2Rep3ExtTime_R1">tlTerritory2R1!$Z$39</definedName>
    <definedName name="tlOutputProd1Seg2Rep3ExtTime_R2">tlTerritory2R2!$Z$39</definedName>
    <definedName name="tlOutputProd1Seg2Rep3IntTime_R1">tlTerritory2R1!$Z$41</definedName>
    <definedName name="tlOutputProd1Seg2Rep3IntTime_R2">tlTerritory2R2!$Z$41</definedName>
    <definedName name="tlOutputProd1Seg2Rep3Title_R1">tlTerritory2R1!$I$33</definedName>
    <definedName name="tlOutputProd1Seg2Rep3Title_R2">tlTerritory2R2!$I$33</definedName>
    <definedName name="tlOutputProd1Seg2RepMgmtTitle_R1">tlTerritory2R1!$C$33</definedName>
    <definedName name="tlOutputProd1Seg2RepMgmtTitle_R2">tlTerritory2R2!$C$33</definedName>
    <definedName name="tlOutputProd1Seg2SalesTitle_R1">tlTerritory2R1!$W$18</definedName>
    <definedName name="tlOutputProd1Seg2SalesTitle_R2">tlTerritory2R2!$W$18</definedName>
    <definedName name="tlOutputProd1Seg2SampleCost_R1">tlTerritory2R1!$I$19</definedName>
    <definedName name="tlOutputProd1Seg2SampleCost_R2">tlTerritory2R2!$I$19</definedName>
    <definedName name="tlOutputProd1Seg2Samples_R1">tlTerritory2R1!$G$19</definedName>
    <definedName name="tlOutputProd1Seg2Samples_R2">tlTerritory2R2!$G$19</definedName>
    <definedName name="tlOutputProd1Seg2SamplesCostTitle_R1">tlTerritory2R1!$W$21</definedName>
    <definedName name="tlOutputProd1Seg2SamplesCostTitle_R2">tlTerritory2R2!$W$21</definedName>
    <definedName name="tlOutputProd1Seg2SamplesPerc_R1">tlTerritory2R1!$E$19</definedName>
    <definedName name="tlOutputProd1Seg2SamplesPerc_R2">tlTerritory2R2!$E$19</definedName>
    <definedName name="tlOutputProd1Seg2SampleTitle_R1">tlTerritory2R1!$C$19</definedName>
    <definedName name="tlOutputProd1Seg2SampleTitle_R2">tlTerritory2R2!$C$19</definedName>
    <definedName name="tlOutputProd1Seg2SharePrevTitle_R1">tlTerritory2R1!$Y$9</definedName>
    <definedName name="tlOutputProd1Seg2SpeakerCost_R1">tlTerritory2R1!$I$24</definedName>
    <definedName name="tlOutputProd1Seg2SpeakerCost_R2">tlTerritory2R2!$I$24</definedName>
    <definedName name="tlOutputProd1Seg2SpeakersPerc_R1">tlTerritory2R1!$E$24</definedName>
    <definedName name="tlOutputProd1Seg2SpeakersPerc_R2">tlTerritory2R2!$E$24</definedName>
    <definedName name="tlOutputProd1Seg2SpeakersTitleCost_R1">tlTerritory2R1!$W$22</definedName>
    <definedName name="tlOutputProd1Seg2SpeakersTitleCost_R2">tlTerritory2R2!$W$22</definedName>
    <definedName name="tlOutputProd1Seg2SpeakerTitle_R1">tlTerritory2R1!$C$24</definedName>
    <definedName name="tlOutputProd1Seg2SpeakerTitle_R2">tlTerritory2R2!$C$24</definedName>
    <definedName name="tlOutputProd1Seg2Therapy1PrevWeightTitle_R1">tlTerritory2R1!$C$42</definedName>
    <definedName name="tlOutputProd1Seg2Therapy1PrevWeightTitle_R2">tlTerritory2R2!$C$42</definedName>
    <definedName name="tlOutputProd1Seg2Therapy1Rep1PrevWeight_R1">tlTerritory2R1!$E$42</definedName>
    <definedName name="tlOutputProd1Seg2Therapy1Rep1PrevWeight_R2">tlTerritory2R2!$E$42</definedName>
    <definedName name="tlOutputProd1Seg2Therapy1Rep1Weight_R1">tlTerritory2R1!$E$41</definedName>
    <definedName name="tlOutputProd1Seg2Therapy1Rep1Weight_R2">tlTerritory2R2!$E$41</definedName>
    <definedName name="tlOutputProd1Seg2Therapy1Rep2PrevWeight_R1">tlTerritory2R1!$G$42</definedName>
    <definedName name="tlOutputProd1Seg2Therapy1Rep2PrevWeight_R2">tlTerritory2R2!$G$42</definedName>
    <definedName name="tlOutputProd1Seg2Therapy1Rep2Weight_R1">tlTerritory2R1!$G$41</definedName>
    <definedName name="tlOutputProd1Seg2Therapy1Rep2Weight_R2">tlTerritory2R2!$G$41</definedName>
    <definedName name="tlOutputProd1Seg2Therapy1Rep3PrevWeight_R1">tlTerritory2R1!$I$42</definedName>
    <definedName name="tlOutputProd1Seg2Therapy1Rep3PrevWeight_R2">tlTerritory2R2!$I$42</definedName>
    <definedName name="tlOutputProd1Seg2Therapy1Rep3Weight_R1">tlTerritory2R1!$I$41</definedName>
    <definedName name="tlOutputProd1Seg2Therapy1Rep3Weight_R2">tlTerritory2R2!$I$41</definedName>
    <definedName name="tlOutputProd1Seg2Therapy1Title_R1">tlTerritory2R1!$C$41</definedName>
    <definedName name="tlOutputProd1Seg2Therapy1Title_R2">tlTerritory2R2!$C$41</definedName>
    <definedName name="tlOutputProd1Seg2Title_R1">tlTerritory2R1!$C$8</definedName>
    <definedName name="tlOutputProd1Seg2Title_R2">tlTerritory2R2!$C$8</definedName>
    <definedName name="tlOutputProd1Seg2TotalMarketVolume_R1">tlPerfDashboardProd1R1!$E$23</definedName>
    <definedName name="tlOutputProd1Seg2TotalMarketVolume_R2">tlPerfDashboardProd1R2!$E$23</definedName>
    <definedName name="tlOutputProd1Seg2TotalMarketVolumeChange_R1">tlPerfDashboardProd1R1!$F$23</definedName>
    <definedName name="tlOutputProd1Seg2TotalMarketVolumeChange_R2">tlPerfDashboardProd1R2!$F$23</definedName>
    <definedName name="tlOutputProd1Seg2TotalSharePrev_R1">tlPerfDashboardProd1R1!$AC$13</definedName>
    <definedName name="tlOutputProd1Seg2TotalSharePrev_R2">tlPerfDashboardProd1R2!$AC$13</definedName>
    <definedName name="tlOutputProd1Seg2TotalVolumePrev_R1">tlPerfDashboardProd1R1!$AD$13</definedName>
    <definedName name="tlOutputProd1Seg2TotalVolumePrev_R2">tlPerfDashboardProd1R2!$AD$13</definedName>
    <definedName name="tlOutputProd1Seg2TRxShare_R1">tlPerfDashboardProd1R1!$E$13</definedName>
    <definedName name="tlOutputProd1Seg2TRxShare_R2">tlPerfDashboardProd1R2!$E$13</definedName>
    <definedName name="tlOutputProd1Seg2TRxShareChange_R1">tlPerfDashboardProd1R1!$F$13</definedName>
    <definedName name="tlOutputProd1Seg2TRxShareChange_R2">tlPerfDashboardProd1R2!$F$13</definedName>
    <definedName name="tlOutputProd1Seg2TRxShareChangeCompView_R1">tlPerfDashboardProd1R1!$J$23</definedName>
    <definedName name="tlOutputProd1Seg2TRxShareChangeCompView_R2">tlPerfDashboardProd1R2!$J$23</definedName>
    <definedName name="tlOutputProd1Seg2TRxShareCompView_R1">tlPerfDashboardProd1R1!$I$23</definedName>
    <definedName name="tlOutputProd1Seg2TRxShareCompView_R2">tlPerfDashboardProd1R2!$I$23</definedName>
    <definedName name="tlOutputProd1Seg2TRxShareTitle_R1">tlTerritory2R1!$X$10</definedName>
    <definedName name="tlOutputProd1Seg2TRxShareTitle_R2">tlTerritory2R2!$X$10</definedName>
    <definedName name="tlOutputProd1Seg2TRxVolume_R1">tlPerfDashboardProd1R1!$I$13</definedName>
    <definedName name="tlOutputProd1Seg2TRxVolume_R2">tlPerfDashboardProd1R2!$I$13</definedName>
    <definedName name="tlOutputProd1Seg2TRxVolumeChange_R1">tlPerfDashboardProd1R1!$J$13</definedName>
    <definedName name="tlOutputProd1Seg2TRxVolumeChange_R2">tlPerfDashboardProd1R2!$J$13</definedName>
    <definedName name="tlOutputProd1Seg2TRxVolumeChangeCompView_R1">tlPerfDashboardProd1R1!$M$23</definedName>
    <definedName name="tlOutputProd1Seg2TRxVolumeChangeCompView_R2">tlPerfDashboardProd1R2!$M$23</definedName>
    <definedName name="tlOutputProd1Seg2TRxVolumeCompView_R1">tlPerfDashboardProd1R1!$L$23</definedName>
    <definedName name="tlOutputProd1Seg2TRxVolumeCompView_R2">tlPerfDashboardProd1R2!$L$23</definedName>
    <definedName name="tlOutputProd1Seg2VolumeTitle_R1">tlTerritory2R1!$E$10</definedName>
    <definedName name="tlOutputProd1Seg3AllocPercSalesTitle_R1">tlTerritory3R1!$G$18</definedName>
    <definedName name="tlOutputProd1Seg3AllocPercSalesTitle_R2">tlTerritory3R2!$G$18</definedName>
    <definedName name="tlOutputProd1Seg3CfCollabCost_R1">tlTerritory3R1!$I$29</definedName>
    <definedName name="tlOutputProd1Seg3CfCollabCost_R2">tlTerritory3R2!$I$29</definedName>
    <definedName name="tlOutputProd1Seg3CfCollabFTEs_R1">tlTerritory3R1!$G$29</definedName>
    <definedName name="tlOutputProd1Seg3CfCollabFTEs_R2">tlTerritory3R2!$G$29</definedName>
    <definedName name="tlOutputProd1Seg3CfCollabTitle_R1">tlTerritory3R1!$C$29</definedName>
    <definedName name="tlOutputProd1Seg3CfCollabTitle_R2">tlTerritory3R2!$C$29</definedName>
    <definedName name="tlOutputProd1Seg3CfRepTime_R1">tlTerritory3R1!$K$29</definedName>
    <definedName name="tlOutputProd1Seg3CfRepTime_R2">tlTerritory3R2!$K$29</definedName>
    <definedName name="tlOutputProd1Seg3CoachingTitle_R1">tlTerritory3R1!$C$34</definedName>
    <definedName name="tlOutputProd1Seg3CoachingTitle_R2">tlTerritory3R2!$C$34</definedName>
    <definedName name="tlOutputProd1Seg3Comp1TotalPrevShare_R1">tlPerfDashboardProd1R1!$AB$24</definedName>
    <definedName name="tlOutputProd1Seg3Comp1TotalPrevShare_R2">tlPerfDashboardProd1R2!$AB$24</definedName>
    <definedName name="tlOutputProd1Seg3Comp1TotalPrevVol_R1">tlPerfDashboardProd1R1!$AD$24</definedName>
    <definedName name="tlOutputProd1Seg3Comp1TotalPrevVol_R2">tlPerfDashboardProd1R2!$AD$24</definedName>
    <definedName name="tlOutputProd1Seg3Comp1TRxShare_R1">tlPerfDashboardProd1R1!$O$24</definedName>
    <definedName name="tlOutputProd1Seg3Comp1TRxShare_R2">tlPerfDashboardProd1R2!$O$24</definedName>
    <definedName name="tlOutputProd1Seg3Comp1TRxShareChange_R1">tlPerfDashboardProd1R1!$P$24</definedName>
    <definedName name="tlOutputProd1Seg3Comp1TRxShareChange_R2">tlPerfDashboardProd1R2!$P$24</definedName>
    <definedName name="tlOutputProd1Seg3Comp1TRxVolume_R1">tlPerfDashboardProd1R1!$R$24</definedName>
    <definedName name="tlOutputProd1Seg3Comp1TRxVolume_R2">tlPerfDashboardProd1R2!$R$24</definedName>
    <definedName name="tlOutputProd1Seg3Comp1TRxVolumeChange_R1">tlPerfDashboardProd1R1!$S$24</definedName>
    <definedName name="tlOutputProd1Seg3Comp1TRxVolumeChange_R2">tlPerfDashboardProd1R2!$S$24</definedName>
    <definedName name="tlOutputProd1Seg3Comp2TotalPrevShare_R1">tlPerfDashboardProd1R1!$AC$24</definedName>
    <definedName name="tlOutputProd1Seg3Comp2TotalPrevShare_R2">tlPerfDashboardProd1R2!$AC$24</definedName>
    <definedName name="tlOutputProd1Seg3Comp2TotalPrevVol_R1">tlPerfDashboardProd1R1!$AE$24</definedName>
    <definedName name="tlOutputProd1Seg3Comp2TotalPrevVol_R2">tlPerfDashboardProd1R2!$AE$24</definedName>
    <definedName name="tlOutputProd1Seg3Comp2TRxShare_R1">tlPerfDashboardProd1R1!$U$24</definedName>
    <definedName name="tlOutputProd1Seg3Comp2TRxShare_R2">tlPerfDashboardProd1R2!$U$24</definedName>
    <definedName name="tlOutputProd1Seg3Comp2TRxShareChange_R1">tlPerfDashboardProd1R1!$V$24</definedName>
    <definedName name="tlOutputProd1Seg3Comp2TRxShareChange_R2">tlPerfDashboardProd1R2!$V$24</definedName>
    <definedName name="tlOutputProd1Seg3Comp2TRxVolume_R1">tlPerfDashboardProd1R1!$X$24</definedName>
    <definedName name="tlOutputProd1Seg3Comp2TRxVolume_R2">tlPerfDashboardProd1R2!$X$24</definedName>
    <definedName name="tlOutputProd1Seg3Comp2TRxVolumeChange_R1">tlPerfDashboardProd1R1!$Y$24</definedName>
    <definedName name="tlOutputProd1Seg3Comp2TRxVolumeChange_R2">tlPerfDashboardProd1R2!$Y$24</definedName>
    <definedName name="tlOutputProd1Seg3CurrentAllocationTitle_R1">tlTerritory3R1!$I$21</definedName>
    <definedName name="tlOutputProd1Seg3CurrentAllocationTitle_R2">tlTerritory3R2!$I$21</definedName>
    <definedName name="tlOutputProd1Seg3CurrentESAT_R1">tlTerritory3R1!$Y$34</definedName>
    <definedName name="tlOutputProd1Seg3CurrentESAT_R2">tlTerritory3R2!$Y$34</definedName>
    <definedName name="tlOutputProd1Seg3CurrentFinTitle_R1">tlTerritory3R1!$Y$17</definedName>
    <definedName name="tlOutputProd1Seg3CurrentFinTitle_R2">tlTerritory3R2!$Y$17</definedName>
    <definedName name="tlOutputProd1Seg3CurrentInternalCost_R1">tlTerritory3R1!$Y$24</definedName>
    <definedName name="tlOutputProd1Seg3CurrentInternalCost_R2">tlTerritory3R2!$Y$24</definedName>
    <definedName name="tlOutputProd1Seg3CurrentIntTitle_R1">tlTerritory3R1!$Y$33</definedName>
    <definedName name="tlOutputProd1Seg3CurrentIntTitle_R2">tlTerritory3R2!$Y$33</definedName>
    <definedName name="tlOutputProd1Seg3CurrentLunchMoneyCost_R1">tlTerritory3R1!$Y$23</definedName>
    <definedName name="tlOutputProd1Seg3CurrentLunchMoneyCost_R2">tlTerritory3R2!$Y$23</definedName>
    <definedName name="tlOutputProd1Seg3CurrentNetSales_R1">tlTerritory3R1!$Y$20</definedName>
    <definedName name="tlOutputProd1Seg3CurrentNetSales_R2">tlTerritory3R2!$Y$20</definedName>
    <definedName name="tlOutputProd1Seg3CurrentNRxShare_R1">tlTerritory3R1!$Z$11</definedName>
    <definedName name="tlOutputProd1Seg3CurrentNRxShare_R2">tlTerritory3R2!$Z$11</definedName>
    <definedName name="tlOutputProd1Seg3CurrentOE_R1">tlTerritory3R1!$Y$35</definedName>
    <definedName name="tlOutputProd1Seg3CurrentOE_R2">tlTerritory3R2!$Y$35</definedName>
    <definedName name="tlOutputProd1Seg3CurrentProfit_R1">tlTerritory3R1!$Y$25</definedName>
    <definedName name="tlOutputProd1Seg3CurrentProfit_R2">tlTerritory3R2!$Y$25</definedName>
    <definedName name="tlOutputProd1Seg3CurrentPromotionAllocation_R1">tlTerritory3R1!$I$22</definedName>
    <definedName name="tlOutputProd1Seg3CurrentPromotionAllocation_R2">tlTerritory3R2!$I$22</definedName>
    <definedName name="tlOutputProd1Seg3CurrentReimb_R1">tlTerritory3R1!$Y$19</definedName>
    <definedName name="tlOutputProd1Seg3CurrentReimb_R2">tlTerritory3R2!$Y$19</definedName>
    <definedName name="tlOutputProd1Seg3CurrentSales_R1">tlTerritory3R1!$Y$18</definedName>
    <definedName name="tlOutputProd1Seg3CurrentSales_R2">tlTerritory3R2!$Y$18</definedName>
    <definedName name="tlOutputProd1Seg3CurrentSampleCost_R1">tlTerritory3R1!$Y$21</definedName>
    <definedName name="tlOutputProd1Seg3CurrentSampleCost_R2">tlTerritory3R2!$Y$21</definedName>
    <definedName name="tlOutputProd1Seg3CurrentSpeakerCost_R1">tlTerritory3R1!$Y$22</definedName>
    <definedName name="tlOutputProd1Seg3CurrentSpeakerCost_R2">tlTerritory3R2!$Y$22</definedName>
    <definedName name="tlOutputProd1Seg3CurrentSpeakersCost_R1">tlTerritory3R1!$X$22</definedName>
    <definedName name="tlOutputProd1Seg3CurrentSpeakersCost_R2">tlTerritory3R2!$X$22</definedName>
    <definedName name="tlOutputProd1Seg3CurrentTRxShare_R1">tlTerritory3R1!$Z$10</definedName>
    <definedName name="tlOutputProd1Seg3CurrentTRxShare_R2">tlTerritory3R2!$Z$10</definedName>
    <definedName name="tlOutputProd1Seg3Dash1_R1">tlTerritory3R1!$T$2</definedName>
    <definedName name="tlOutputProd1Seg3Dash1_R2">tlTerritory3R2!$T$2</definedName>
    <definedName name="tlOutputProd1Seg3Dash2_R1">tlTerritory3R1!$T$3</definedName>
    <definedName name="tlOutputProd1Seg3Dash2_R2">tlTerritory3R2!$T$3</definedName>
    <definedName name="tlOutputProd1Seg3Dash3_R1">tlTerritory3R1!$T$4</definedName>
    <definedName name="tlOutputProd1Seg3Dash3_R2">tlTerritory3R2!$T$4</definedName>
    <definedName name="tlOutputProd1Seg3DetailTitle_R1">tlTerritory3R1!$K$10</definedName>
    <definedName name="tlOutputProd1Seg3ESAT_R1">tlTerritory3R1!$X$34</definedName>
    <definedName name="tlOutputProd1Seg3ESAT_R2">tlTerritory3R2!$X$34</definedName>
    <definedName name="tlOutputProd1Seg3ESATTitle_R1">tlTerritory3R1!$W$34</definedName>
    <definedName name="tlOutputProd1Seg3ESATTitle_R2">tlTerritory3R2!$W$34</definedName>
    <definedName name="tlOutputProd1Seg3FieldTimeTitle_R1">tlTerritory3R1!$W$39</definedName>
    <definedName name="tlOutputProd1Seg3FieldTimeTitle_R2">tlTerritory3R2!$W$39</definedName>
    <definedName name="tlOutputProd1Seg3ForecastTitle">tlTerritory3R2!$C$9</definedName>
    <definedName name="tlOutputProd1Seg3ForecastTitle_R1">tlTerritory3R1!$C$9</definedName>
    <definedName name="tlOutputProd1Seg3ForecastTitle_R2">tlTerritory3R2!$C$9</definedName>
    <definedName name="tlOutputProd1Seg3FTEsTitle_R1">tlTerritory3R1!$C$36</definedName>
    <definedName name="tlOutputProd1Seg3FTEsTitle_R2">tlTerritory3R2!$C$36</definedName>
    <definedName name="tlOutputProd1Seg3GrowthTitle_R1">tlTerritory3R1!$G$10</definedName>
    <definedName name="tlOutputProd1Seg3GrowthTitle_R2">tlTerritory3R2!$G$10</definedName>
    <definedName name="tlOutputProd1Seg3InternalCostTitle_R1">tlTerritory3R1!$W$24</definedName>
    <definedName name="tlOutputProd1Seg3InternalCostTitle_R2">tlTerritory3R2!$W$24</definedName>
    <definedName name="tlOutputProd1Seg3InternalResCostTitle_R1">tlTerritory3R1!$I$28</definedName>
    <definedName name="tlOutputProd1Seg3InternalResCostTitle_R2">tlTerritory3R2!$I$28</definedName>
    <definedName name="tlOutputProd1Seg3InternalResFTEsTitle_R1">tlTerritory3R1!$G$28</definedName>
    <definedName name="tlOutputProd1Seg3InternalResFTEsTitle_R2">tlTerritory3R2!$G$28</definedName>
    <definedName name="tlOutputProd1Seg3InternalResRepTimeTitle_R1">tlTerritory3R1!$K$28</definedName>
    <definedName name="tlOutputProd1Seg3InternalResRepTimeTitle_R2">tlTerritory3R2!$K$28</definedName>
    <definedName name="tlOutputProd1Seg3InternalResTitle_R1">tlTerritory3R1!$C$28</definedName>
    <definedName name="tlOutputProd1Seg3InternalResTitle_R2">tlTerritory3R2!$C$28</definedName>
    <definedName name="tlOutputProd1Seg3IntTimeTitle_R1">tlTerritory3R1!$W$41</definedName>
    <definedName name="tlOutputProd1Seg3IntTimeTitle_R2">tlTerritory3R2!$W$41</definedName>
    <definedName name="tlOutputProd1Seg3LunchMoneyTitleCost_R1">tlTerritory3R1!$W$23</definedName>
    <definedName name="tlOutputProd1Seg3LunchMoneyTitleCost_R2">tlTerritory3R2!$W$23</definedName>
    <definedName name="tlOutputProd1Seg3NetSalesTitle_R1">tlTerritory3R1!$W$20</definedName>
    <definedName name="tlOutputProd1Seg3NetSalesTitle_R2">tlTerritory3R2!$W$20</definedName>
    <definedName name="tlOutputProd1Seg3NEwSharePrev_R1">tlPerfDashboardProd1R1!$AG$14</definedName>
    <definedName name="tlOutputProd1Seg3NEwSharePrev_R2">tlPerfDashboardProd1R2!$AG$14</definedName>
    <definedName name="tlOutputProd1Seg3NewVolumePrev_R1">tlPerfDashboardProd1R1!$AH$14</definedName>
    <definedName name="tlOutputProd1Seg3NewVolumePrev_R2">tlPerfDashboardProd1R2!$AH$14</definedName>
    <definedName name="tlOutputProd1Seg3NRxShare_R1">tlPerfDashboardProd1R1!$L$14</definedName>
    <definedName name="tlOutputProd1Seg3NRxShare_R2">tlPerfDashboardProd1R2!$L$14</definedName>
    <definedName name="tlOutputProd1Seg3NRxShareChange_R1">tlPerfDashboardProd1R1!$M$14</definedName>
    <definedName name="tlOutputProd1Seg3NRxShareChange_R2">tlPerfDashboardProd1R2!$M$14</definedName>
    <definedName name="tlOutputProd1Seg3NRxShareTitle_R1">tlTerritory3R1!$X$11</definedName>
    <definedName name="tlOutputProd1Seg3NRxShareTitle_R2">tlTerritory3R2!$X$11</definedName>
    <definedName name="tlOutputProd1Seg3NRxVolume_R1">tlPerfDashboardProd1R1!$O$14</definedName>
    <definedName name="tlOutputProd1Seg3NRxVolume_R2">tlPerfDashboardProd1R2!$O$14</definedName>
    <definedName name="tlOutputProd1Seg3NRxVolumeChange_R1">tlPerfDashboardProd1R1!$P$14</definedName>
    <definedName name="tlOutputProd1Seg3NRxVolumeChange_R2">tlPerfDashboardProd1R2!$P$14</definedName>
    <definedName name="tlOutputProd1Seg3OETitle_R1">tlTerritory3R1!$W$35</definedName>
    <definedName name="tlOutputProd1Seg3OETitle_R2">tlTerritory3R2!$W$35</definedName>
    <definedName name="tlOutputProd1Seg3Payer1Forecast_R1">tlTerritory3R1!$G$12</definedName>
    <definedName name="tlOutputProd1Seg3Payer1Forecast_R2">tlTerritory3R2!$G$12</definedName>
    <definedName name="tlOutputProd1Seg3Payer1Title_R1">tlTerritory3R1!$C$12</definedName>
    <definedName name="tlOutputProd1Seg3Payer1Title_R2">tlTerritory3R2!$C$12</definedName>
    <definedName name="tlOutputProd1Seg3Payer1Visits_R1">tlTerritory3R1!$K$12</definedName>
    <definedName name="tlOutputProd1Seg3Payer1Visits_R2">tlTerritory3R2!$K$12</definedName>
    <definedName name="tlOutputProd1Seg3Payer1Volume_R1">tlTerritory3R1!$E$12</definedName>
    <definedName name="tlOutputProd1Seg3Payer1Volume_R2">tlTerritory3R2!$E$12</definedName>
    <definedName name="tlOutputProd1Seg3Payer2Forecast_R1">tlTerritory3R1!$G$16</definedName>
    <definedName name="tlOutputProd1Seg3Payer2Forecast_R2">tlTerritory3R2!$G$16</definedName>
    <definedName name="tlOutputProd1Seg3Payer2Title_R1">tlTerritory3R1!$C$14</definedName>
    <definedName name="tlOutputProd1Seg3Payer2Title_R2">tlTerritory3R2!$C$14</definedName>
    <definedName name="tlOutputProd1Seg3Payer2Visits_R1">tlTerritory3R1!$K$14</definedName>
    <definedName name="tlOutputProd1Seg3Payer2Visits_R2">tlTerritory3R2!$K$14</definedName>
    <definedName name="tlOutputProd1Seg3Payer2Volume_R1">tlTerritory3R1!$E$16</definedName>
    <definedName name="tlOutputProd1Seg3Payer2Volume_R2">tlTerritory3R2!$E$16</definedName>
    <definedName name="tlOutputProd1Seg3Payer3Forecast_R1">tlTerritory3R1!$G$14</definedName>
    <definedName name="tlOutputProd1Seg3Payer3Forecast_R2">tlTerritory3R2!$G$14</definedName>
    <definedName name="tlOutputProd1Seg3Payer3Volume_R1">tlTerritory3R1!$E$14</definedName>
    <definedName name="tlOutputProd1Seg3Payer3Volume_R2">tlTerritory3R2!$E$14</definedName>
    <definedName name="tlOutputProd1Seg3PayerTitle_R1">tlTerritory3R1!$C$12</definedName>
    <definedName name="tlOutputProd1Seg3PayerTitle_R2">tlTerritory3R2!$C$12</definedName>
    <definedName name="tlOutputProd1Seg3PrevAllocationTitle_R1">tlTerritory3R1!$K$21</definedName>
    <definedName name="tlOutputProd1Seg3PrevAllocationTitle_R2">tlTerritory3R2!$K$21</definedName>
    <definedName name="tlOutputProd1Seg3PrevESAT_R1">tlTerritory3R1!$X$34</definedName>
    <definedName name="tlOutputProd1Seg3PrevESAT_R2">tlTerritory3R2!$X$34</definedName>
    <definedName name="tlOutputProd1Seg3PrevInternalCost_R1">tlTerritory3R1!$X$24</definedName>
    <definedName name="tlOutputProd1Seg3PrevInternalCost_R2">tlTerritory3R2!$X$24</definedName>
    <definedName name="tlOutputProd1Seg3PrevIntTitle_R1">tlTerritory3R1!$X$33</definedName>
    <definedName name="tlOutputProd1Seg3PrevIntTitle_R2">tlTerritory3R2!$X$33</definedName>
    <definedName name="tlOutputProd1Seg3PrevLunchMoneyCost_R1">tlTerritory3R1!$X$23</definedName>
    <definedName name="tlOutputProd1Seg3PrevLunchMoneyCost_R2">tlTerritory3R2!$X$23</definedName>
    <definedName name="tlOutputProd1Seg3PrevNetSales_R1">tlTerritory3R1!$X$20</definedName>
    <definedName name="tlOutputProd1Seg3PrevNetSales_R2">tlTerritory3R2!$X$20</definedName>
    <definedName name="tlOutputProd1Seg3PrevNRxShare_R1">tlTerritory3R1!$Y$11</definedName>
    <definedName name="tlOutputProd1Seg3PrevNRxShare_R2">tlTerritory3R2!$Y$11</definedName>
    <definedName name="tlOutputProd1Seg3PrevOE_R1">tlTerritory3R1!$X$35</definedName>
    <definedName name="tlOutputProd1Seg3PrevOE_R2">tlTerritory3R2!$X$35</definedName>
    <definedName name="tlOutputProd1Seg3PrevProfit_R1">tlTerritory3R1!$X$25</definedName>
    <definedName name="tlOutputProd1Seg3PrevProfit_R2">tlTerritory3R2!$X$25</definedName>
    <definedName name="tlOutputProd1Seg3PrevPromotionCost_R1">tlTerritory3R1!$K$26</definedName>
    <definedName name="tlOutputProd1Seg3PrevPromotionCost_R2">tlTerritory3R2!$K$26</definedName>
    <definedName name="tlOutputProd1Seg3PrevReimb_R1">tlTerritory3R1!$X$19</definedName>
    <definedName name="tlOutputProd1Seg3PrevReimb_R2">tlTerritory3R2!$X$19</definedName>
    <definedName name="tlOutputProd1Seg3PrevSales_R1">tlTerritory3R1!$X$18</definedName>
    <definedName name="tlOutputProd1Seg3PrevSales_R2">tlTerritory3R2!$X$18</definedName>
    <definedName name="tlOutputProd1Seg3PrevSampleCost_R1">tlTerritory3R1!$K$19</definedName>
    <definedName name="tlOutputProd1Seg3PrevSampleCost_R2">tlTerritory3R2!$K$19</definedName>
    <definedName name="tlOutputProd1Seg3PrevSamplesCost_R1">tlTerritory3R1!$X$21</definedName>
    <definedName name="tlOutputProd1Seg3PrevSamplesCost_R2">tlTerritory3R2!$X$21</definedName>
    <definedName name="tlOutputProd1Seg3PrevSpeakerCost_R1">tlTerritory3R1!$K$24</definedName>
    <definedName name="tlOutputProd1Seg3PrevSpeakerCost_R2">tlTerritory3R2!$K$24</definedName>
    <definedName name="tlOutputProd1Seg3PrevSpeakersCost_R1">tlTerritory3R1!$X$22</definedName>
    <definedName name="tlOutputProd1Seg3PrevSpeakersCost_R2">tlTerritory3R2!$X$22</definedName>
    <definedName name="tlOutputProd1Seg3PrevTRxShare_R1">tlTerritory3R1!$Y$10</definedName>
    <definedName name="tlOutputProd1Seg3PrevTRxShare_R2">tlTerritory3R2!$Y$10</definedName>
    <definedName name="tlOutputProd1Seg3PrevVolume_R1">tlPerfDashboardProd1R1!$AA$24</definedName>
    <definedName name="tlOutputProd1Seg3PrevVolume_R2">tlPerfDashboardProd1R2!$AA$24</definedName>
    <definedName name="tlOutputProd1Seg3ProfitTitle_R1">tlTerritory3R1!$W$25</definedName>
    <definedName name="tlOutputProd1Seg3ProfitTitle_R2">tlTerritory3R2!$W$25</definedName>
    <definedName name="tlOutputProd1Seg3ProgramTitle_R1">tlTerritory3R1!$C$3</definedName>
    <definedName name="tlOutputProd1Seg3ProgramTitle_R2">tlTerritory3R2!$C$3</definedName>
    <definedName name="tlOutputProd1Seg3PromotionalStratTitle_R1">tlTerritory3R1!$C$17</definedName>
    <definedName name="tlOutputProd1Seg3PromotionCost_R1">tlTerritory3R1!$I$26</definedName>
    <definedName name="tlOutputProd1Seg3PromotionCost_R2">tlTerritory3R2!$I$26</definedName>
    <definedName name="tlOutputProd1Seg3PromotionPerc_R1">tlTerritory3R1!$E$26</definedName>
    <definedName name="tlOutputProd1Seg3PromotionPerc_R2">tlTerritory3R2!$E$26</definedName>
    <definedName name="tlOutputProd1Seg3PromotionTitle_R1">tlTerritory3R1!$C$26</definedName>
    <definedName name="tlOutputProd1Seg3PromotionTitle_R2">tlTerritory3R2!$C$26</definedName>
    <definedName name="tlOutputProd1Seg3RegTrainer_R1">tlTerritory3R1!$E$38</definedName>
    <definedName name="tlOutputProd1Seg3RegTrainer_R2">tlTerritory3R2!$E$38</definedName>
    <definedName name="tlOutputProd1Seg3RegTrainerCost_R1">tlTerritory3R1!$I$31</definedName>
    <definedName name="tlOutputProd1Seg3RegTrainerCost_R2">tlTerritory3R2!$I$31</definedName>
    <definedName name="tlOutputProd1Seg3RegTrainerFTEs_R1">tlTerritory3R1!$G$38</definedName>
    <definedName name="tlOutputProd1Seg3RegTrainerFTEs_R2">tlTerritory3R2!$G$38</definedName>
    <definedName name="tlOutputProd1Seg3RegTrainerRepTime_R1">tlTerritory3R1!$K$31</definedName>
    <definedName name="tlOutputProd1Seg3RegTrainerRepTime_R2">tlTerritory3R2!$K$31</definedName>
    <definedName name="tlOutputProd1Seg3RegTrainerTitle_R1">tlTerritory3R1!$C$38</definedName>
    <definedName name="tlOutputProd1Seg3RegTrainerTitle_R2">tlTerritory3R2!$C$38</definedName>
    <definedName name="tlOutputProd1Seg3ReimbTitle_R1">tlTerritory3R1!$W$19</definedName>
    <definedName name="tlOutputProd1Seg3ReimbTitle_R2">tlTerritory3R2!$W$19</definedName>
    <definedName name="tlOutputProd1Seg3Rep1CoachingFTEs_R1">tlTerritory3R1!$E$36</definedName>
    <definedName name="tlOutputProd1Seg3Rep1CoachingFTEs_R2">tlTerritory3R2!$E$36</definedName>
    <definedName name="tlOutputProd1Seg3Rep1ExtTime_R1">tlTerritory3R1!$X$39</definedName>
    <definedName name="tlOutputProd1Seg3Rep1ExtTime_R2">tlTerritory3R2!$X$39</definedName>
    <definedName name="tlOutputProd1Seg3Rep1IntTime_R1">tlTerritory3R1!$X$41</definedName>
    <definedName name="tlOutputProd1Seg3Rep1IntTime_R2">tlTerritory3R2!$X$41</definedName>
    <definedName name="tlOutputProd1Seg3Rep1Title_R1">tlTerritory3R1!$E$33</definedName>
    <definedName name="tlOutputProd1Seg3Rep1Title_R2">tlTerritory3R2!$E$33</definedName>
    <definedName name="tlOutputProd1Seg3Rep2CoachingFTEs_R1">tlTerritory3R1!$G$36</definedName>
    <definedName name="tlOutputProd1Seg3Rep2ExtTime_R1">tlTerritory3R1!$Y$39</definedName>
    <definedName name="tlOutputProd1Seg3Rep2ExtTime_R2">tlTerritory3R2!$Y$39</definedName>
    <definedName name="tlOutputProd1Seg3Rep2IntTime_R1">tlTerritory3R1!$Y$41</definedName>
    <definedName name="tlOutputProd1Seg3Rep2IntTime_R2">tlTerritory3R2!$Y$41</definedName>
    <definedName name="tlOutputProd1Seg3Rep2Title_R1">tlTerritory3R1!$G$33</definedName>
    <definedName name="tlOutputProd1Seg3Rep2Title_R2">tlTerritory3R2!$G$33</definedName>
    <definedName name="tlOutputProd1Seg3Rep3CoachingFTEs_R1">tlTerritory3R1!$I$36</definedName>
    <definedName name="tlOutputProd1Seg3Rep3CoachingFTEs_R2">tlTerritory3R2!$I$36</definedName>
    <definedName name="tlOutputProd1Seg3Rep3ExtTime_R1">tlTerritory3R1!$Z$39</definedName>
    <definedName name="tlOutputProd1Seg3Rep3ExtTime_R2">tlTerritory3R2!$Z$39</definedName>
    <definedName name="tlOutputProd1Seg3Rep3IntTime_R1">tlTerritory3R1!$Z$41</definedName>
    <definedName name="tlOutputProd1Seg3Rep3IntTime_R2">tlTerritory3R2!$Z$41</definedName>
    <definedName name="tlOutputProd1Seg3Rep3Title_R1">tlTerritory3R1!$I$33</definedName>
    <definedName name="tlOutputProd1Seg3Rep3Title_R2">tlTerritory3R2!$I$33</definedName>
    <definedName name="tlOutputProd1Seg3RepMgmtTitle_R1">tlTerritory3R1!$C$33</definedName>
    <definedName name="tlOutputProd1Seg3RepMgmtTitle_R2">tlTerritory3R2!$C$33</definedName>
    <definedName name="tlOutputProd1Seg3SalesTitle_R1">tlTerritory3R1!$W$18</definedName>
    <definedName name="tlOutputProd1Seg3SalesTitle_R2">tlTerritory3R2!$W$18</definedName>
    <definedName name="tlOutputProd1Seg3SampleCost_R1">tlTerritory3R1!$I$19</definedName>
    <definedName name="tlOutputProd1Seg3SampleCost_R2">tlTerritory3R2!$I$19</definedName>
    <definedName name="tlOutputProd1Seg3Samples_R1">tlTerritory3R1!$G$19</definedName>
    <definedName name="tlOutputProd1Seg3Samples_R2">tlTerritory3R2!$G$19</definedName>
    <definedName name="tlOutputProd1Seg3SamplesCostTitle_R1">tlTerritory3R1!$W$21</definedName>
    <definedName name="tlOutputProd1Seg3SamplesCostTitle_R2">tlTerritory3R2!$W$21</definedName>
    <definedName name="tlOutputProd1Seg3SamplesPerc_R1">tlTerritory3R1!$E$19</definedName>
    <definedName name="tlOutputProd1Seg3SamplesPerc_R2">tlTerritory3R2!$E$19</definedName>
    <definedName name="tlOutputProd1Seg3SampleTitle_R1">tlTerritory3R1!$C$19</definedName>
    <definedName name="tlOutputProd1Seg3SampleTitle_R2">tlTerritory3R2!$C$19</definedName>
    <definedName name="tlOutputProd1Seg3SpeakerCost_R1">tlTerritory3R1!$I$24</definedName>
    <definedName name="tlOutputProd1Seg3SpeakerCost_R2">tlTerritory3R2!$I$24</definedName>
    <definedName name="tlOutputProd1Seg3SpeakersPerc_R1">tlTerritory3R1!$E$24</definedName>
    <definedName name="tlOutputProd1Seg3SpeakersPerc_R2">tlTerritory3R2!$E$24</definedName>
    <definedName name="tlOutputProd1Seg3SpeakersTitleCost_R1">tlTerritory3R1!$W$22</definedName>
    <definedName name="tlOutputProd1Seg3SpeakersTitleCost_R2">tlTerritory3R2!$W$22</definedName>
    <definedName name="tlOutputProd1Seg3SpeakerTitle_R1">tlTerritory3R1!$C$24</definedName>
    <definedName name="tlOutputProd1Seg3SpeakerTitle_R2">tlTerritory3R2!$C$24</definedName>
    <definedName name="tlOutputProd1Seg3Therapy1PrevWeightTitle_R1">tlTerritory3R1!$C$42</definedName>
    <definedName name="tlOutputProd1Seg3Therapy1PrevWeightTitle_R2">tlTerritory3R2!$C$42</definedName>
    <definedName name="tlOutputProd1Seg3Therapy1Rep1PrevWeight_R1">tlTerritory3R1!$E$42</definedName>
    <definedName name="tlOutputProd1Seg3Therapy1Rep1PrevWeight_R2">tlTerritory3R2!$E$42</definedName>
    <definedName name="tlOutputProd1Seg3Therapy1Rep1Weight_R1">tlTerritory3R1!$E$41</definedName>
    <definedName name="tlOutputProd1Seg3Therapy1Rep1Weight_R2">tlTerritory3R2!$E$41</definedName>
    <definedName name="tlOutputProd1Seg3Therapy1Rep2PrevWeight_R1">tlTerritory3R1!$G$42</definedName>
    <definedName name="tlOutputProd1Seg3Therapy1Rep2PrevWeight_R2">tlTerritory3R2!$G$42</definedName>
    <definedName name="tlOutputProd1Seg3Therapy1Rep2Weight_R1">tlTerritory3R1!$G$41</definedName>
    <definedName name="tlOutputProd1Seg3Therapy1Rep2Weight_R2">tlTerritory3R2!$G$41</definedName>
    <definedName name="tlOutputProd1Seg3Therapy1Rep3PrevWeight_R1">tlTerritory3R1!$I$42</definedName>
    <definedName name="tlOutputProd1Seg3Therapy1Rep3PrevWeight_R2">tlTerritory3R2!$I$42</definedName>
    <definedName name="tlOutputProd1Seg3Therapy1Rep3Weight_R1">tlTerritory3R1!$I$41</definedName>
    <definedName name="tlOutputProd1Seg3Therapy1Rep3Weight_R2">tlTerritory3R2!$I$41</definedName>
    <definedName name="tlOutputProd1Seg3Therapy1Title_R1">tlTerritory3R1!$C$41</definedName>
    <definedName name="tlOutputProd1Seg3Therapy1Title_R2">tlTerritory3R2!$C$41</definedName>
    <definedName name="tlOutputProd1Seg3Title_R1">tlTerritory3R1!$C$8</definedName>
    <definedName name="tlOutputProd1Seg3Title_R2">tlTerritory3R2!$C$8</definedName>
    <definedName name="tlOutputProd1Seg3TotalMarketVolume_R1">tlPerfDashboardProd1R1!$E$24</definedName>
    <definedName name="tlOutputProd1Seg3TotalMarketVolume_R2">tlPerfDashboardProd1R2!$E$24</definedName>
    <definedName name="tlOutputProd1Seg3TotalMarketVolumeChange_R1">tlPerfDashboardProd1R1!$F$24</definedName>
    <definedName name="tlOutputProd1Seg3TotalMarketVolumeChange_R2">tlPerfDashboardProd1R2!$F$24</definedName>
    <definedName name="tlOutputProd1Seg3TotalSharePrev_R1">tlPerfDashboardProd1R1!$AC$14</definedName>
    <definedName name="tlOutputProd1Seg3TotalSharePrev_R2">tlPerfDashboardProd1R2!$AC$14</definedName>
    <definedName name="tlOutputProd1Seg3TotalVolumePrev_R1">tlPerfDashboardProd1R1!$AD$14</definedName>
    <definedName name="tlOutputProd1Seg3TotalVolumePrev_R2">tlPerfDashboardProd1R2!$AD$14</definedName>
    <definedName name="tlOutputProd1Seg3TRxShare_R1">tlPerfDashboardProd1R1!$E$14</definedName>
    <definedName name="tlOutputProd1Seg3TRxShare_R2">tlPerfDashboardProd1R2!$E$14</definedName>
    <definedName name="tlOutputProd1Seg3TRxShareChange_R1">tlPerfDashboardProd1R1!$F$14</definedName>
    <definedName name="tlOutputProd1Seg3TRxShareChange_R2">tlPerfDashboardProd1R2!$F$14</definedName>
    <definedName name="tlOutputProd1Seg3TRxShareChangeCompView_R1">tlPerfDashboardProd1R1!$J$24</definedName>
    <definedName name="tlOutputProd1Seg3TRxShareChangeCompView_R2">tlPerfDashboardProd1R2!$J$24</definedName>
    <definedName name="tlOutputProd1Seg3TRxShareCompView_R1">tlPerfDashboardProd1R1!$I$24</definedName>
    <definedName name="tlOutputProd1Seg3TRxShareCompView_R2">tlPerfDashboardProd1R2!$I$24</definedName>
    <definedName name="tlOutputProd1Seg3TRxShareTitle_R1">tlTerritory3R1!$X$10</definedName>
    <definedName name="tlOutputProd1Seg3TRxShareTitle_R2">tlTerritory3R2!$X$10</definedName>
    <definedName name="tlOutputProd1Seg3TRxVolume_R1">tlPerfDashboardProd1R1!$I$14</definedName>
    <definedName name="tlOutputProd1Seg3TRxVolume_R2">tlPerfDashboardProd1R2!$I$14</definedName>
    <definedName name="tlOutputProd1Seg3TRxVolumeChange_R1">tlPerfDashboardProd1R1!$J$14</definedName>
    <definedName name="tlOutputProd1Seg3TRxVolumeChange_R2">tlPerfDashboardProd1R2!$J$14</definedName>
    <definedName name="tlOutputProd1Seg3TRxVolumeChangeCompView_R1">tlPerfDashboardProd1R1!$M$24</definedName>
    <definedName name="tlOutputProd1Seg3TRxVolumeChangeCompView_R2">tlPerfDashboardProd1R2!$M$24</definedName>
    <definedName name="tlOutputProd1Seg3TRxVolumeCompView_R1">tlPerfDashboardProd1R1!$L$24</definedName>
    <definedName name="tlOutputProd1Seg3TRxVolumeCompView_R2">tlPerfDashboardProd1R2!$L$24</definedName>
    <definedName name="tlOutputProd1Title_R2">tlTerritory1R2!$C$6</definedName>
    <definedName name="tlOutputProd1TotalMarketVolume_R1">tlPerfDashboardProd1R1!$E$21</definedName>
    <definedName name="tlOutputProd1TotalMarketVolume_R2">tlPerfDashboardProd1R2!$E$21</definedName>
    <definedName name="tlOutputProd1TotalMarketVolumeChange_R1">tlPerfDashboardProd1R1!$F$21</definedName>
    <definedName name="tlOutputProd1TotalMarketVolumeChange_R2">tlPerfDashboardProd1R2!$F$21</definedName>
    <definedName name="tlOutputProd1TotalSharePrev_R1">tlPerfDashboardProd1R1!$AC$11</definedName>
    <definedName name="tlOutputProd1TotalSharePrev_R2">tlPerfDashboardProd1R2!$AC$11</definedName>
    <definedName name="tlOutputProd1TotalVolumePrev_R1">tlPerfDashboardProd1R1!$AD$11</definedName>
    <definedName name="tlOutputProd1TotalVolumePrev_R2">tlPerfDashboardProd1R2!$AD$11</definedName>
    <definedName name="tlOutputProd1TRxShare_R1">tlPerfDashboardProd1R1!$E$11</definedName>
    <definedName name="tlOutputProd1TRxShare_R2">tlPerfDashboardProd1R2!$E$11</definedName>
    <definedName name="tlOutputProd1TRxShareChange_R1">tlPerfDashboardProd1R1!$F$11</definedName>
    <definedName name="tlOutputProd1TRxShareChange_R2">tlPerfDashboardProd1R2!$F$11</definedName>
    <definedName name="tlOutputProd1TRxShareChangeCompView_R1">tlPerfDashboardProd1R1!$J$21</definedName>
    <definedName name="tlOutputProd1TRxShareChangeCompView_R2">tlPerfDashboardProd1R2!$J$21</definedName>
    <definedName name="tlOutputProd1TRxShareChangeR1">tlPerfDashboardProd1R1!$F$11</definedName>
    <definedName name="tlOutputProd1TRxShareCompView_R1">tlPerfDashboardProd1R1!$I$21</definedName>
    <definedName name="tlOutputProd1TRxShareCompView_R2">tlPerfDashboardProd1R2!$I$21</definedName>
    <definedName name="tlOutputProd1TRxShareDash">Dashboard!$F$46</definedName>
    <definedName name="tlOutputProd1TRxShareDashFormat">Dashboard!$G$46</definedName>
    <definedName name="tlOutputProd1TRxVolDash">Dashboard!$F$48</definedName>
    <definedName name="tlOutputProd1TRxVolDashFormat">Dashboard!$G$48</definedName>
    <definedName name="tlOutputProd1TRxVolume_R1">tlPerfDashboardProd1R1!$I$11</definedName>
    <definedName name="tlOutputProd1TRxVolume_R2">tlPerfDashboardProd1R2!$I$11</definedName>
    <definedName name="tlOutputProd1TRxVolumeChange_R1">tlPerfDashboardProd1R1!$J$11</definedName>
    <definedName name="tlOutputProd1TRxVolumeChange_R2">tlPerfDashboardProd1R2!$J$11</definedName>
    <definedName name="tlOutputProd1TRxVolumeChangeCompView_R1">tlPerfDashboardProd1R1!$M$21</definedName>
    <definedName name="tlOutputProd1TRxVolumeChangeCompView_R2">tlPerfDashboardProd1R2!$M$21</definedName>
    <definedName name="tlOutputProd1TRxVolumeCompView_R1">tlPerfDashboardProd1R1!$L$21</definedName>
    <definedName name="tlOutputProd1TRxVolumeCompView_R2">tlPerfDashboardProd1R2!$L$21</definedName>
    <definedName name="tlOutputPromotionalStratTitle_R2">tlTerritory1R2!$C$17</definedName>
    <definedName name="tlOutputReg1Comp1Payer1Tier_R1">tlPerfDashboardReg1R1!$O$32</definedName>
    <definedName name="tlOutputReg1Comp1Payer1Tier_R2">tlPerfDashboardReg1R2!$O$32</definedName>
    <definedName name="tlOutputReg1Comp1Payer1TRxShare_R1">tlPerfDashboardReg1R1!$P$32</definedName>
    <definedName name="tlOutputReg1Comp1Payer1TRxShare_R2">tlPerfDashboardReg1R2!$P$32</definedName>
    <definedName name="tlOutputReg1Comp1Payer1TRxShareChange_R1">tlPerfDashboardReg1R1!$Q$32</definedName>
    <definedName name="tlOutputReg1Comp1Payer1TRxShareChange_R2">tlPerfDashboardReg1R2!$Q$32</definedName>
    <definedName name="tlOutputReg1Comp1Payer1TRxVolume_R1">tlPerfDashboardReg1R1!$R$32</definedName>
    <definedName name="tlOutputReg1Comp1Payer1TRxVolume_R2">tlPerfDashboardReg1R2!$R$32</definedName>
    <definedName name="tlOutputReg1Comp1Payer1TRxVolumeChange_R1">tlPerfDashboardReg1R1!$S$32</definedName>
    <definedName name="tlOutputReg1Comp1Payer1TRxVolumeChange_R2">tlPerfDashboardReg1R2!$S$32</definedName>
    <definedName name="tlOutputReg1Comp1Payer2Tier_R1">tlPerfDashboardReg1R1!$O$34</definedName>
    <definedName name="tlOutputReg1Comp1Payer2Tier_R2">tlPerfDashboardReg1R2!$O$34</definedName>
    <definedName name="tlOutputReg1Comp1Payer2TRxShare_R1">tlPerfDashboardReg1R1!$P$34</definedName>
    <definedName name="tlOutputReg1Comp1Payer2TRxShare_R2">tlPerfDashboardReg1R2!$P$34</definedName>
    <definedName name="tlOutputReg1Comp1Payer2TRxShareChange_R1">tlPerfDashboardReg1R1!$Q$34</definedName>
    <definedName name="tlOutputReg1Comp1Payer2TRxShareChange_R2">tlPerfDashboardReg1R2!$Q$34</definedName>
    <definedName name="tlOutputReg1Comp1Payer2TRxVolume_R1">tlPerfDashboardReg1R1!$R$34</definedName>
    <definedName name="tlOutputReg1Comp1Payer2TRxVolume_R2">tlPerfDashboardReg1R2!$R$34</definedName>
    <definedName name="tlOutputReg1Comp1Payer2TRxVolumeChange_R1">tlPerfDashboardReg1R1!$S$34</definedName>
    <definedName name="tlOutputReg1Comp1Payer2TRxVolumeChange_R2">tlPerfDashboardReg1R2!$S$34</definedName>
    <definedName name="tlOutputReg1Comp1Payer3Tier_R1">tlPerfDashboardReg1R1!$O$33</definedName>
    <definedName name="tlOutputReg1Comp1Payer3Tier_R2">tlPerfDashboardReg1R2!$O$33</definedName>
    <definedName name="tlOutputReg1Comp1Payer3TRxShare_R1">tlPerfDashboardReg1R1!$P$33</definedName>
    <definedName name="tlOutputReg1Comp1Payer3TRxShare_R2">tlPerfDashboardReg1R2!$P$33</definedName>
    <definedName name="tlOutputReg1Comp1Payer3TRxShareChange_R1">tlPerfDashboardReg1R1!$Q$33</definedName>
    <definedName name="tlOutputReg1Comp1Payer3TRxShareChange_R2">tlPerfDashboardReg1R2!$Q$33</definedName>
    <definedName name="tlOutputReg1Comp1Payer3TRxVolume_R1">tlPerfDashboardReg1R1!$R$33</definedName>
    <definedName name="tlOutputReg1Comp1Payer3TRxVolume_R2">tlPerfDashboardReg1R2!$R$33</definedName>
    <definedName name="tlOutputReg1Comp1Payer3TRxVolumeChange_R1">tlPerfDashboardReg1R1!$S$33</definedName>
    <definedName name="tlOutputReg1Comp1Payer3TRxVolumeChange_R2">tlPerfDashboardReg1R2!$S$33</definedName>
    <definedName name="tlOutputReg1Comp1TotalPrevShare_R1">tlPerfDashboardReg1R1!$AB$21</definedName>
    <definedName name="tlOutputReg1Comp1TotalPrevShare_R2">tlPerfDashboardReg1R2!$AB$21</definedName>
    <definedName name="tlOutputReg1Comp1TotalPrevVol_R1">tlPerfDashboardReg1R1!$AD$21</definedName>
    <definedName name="tlOutputReg1Comp1TotalPrevVol_R2">tlPerfDashboardReg1R2!$AD$21</definedName>
    <definedName name="tlOutputReg1Comp1TRxShare_R1">tlPerfDashboardReg1R1!$O$21</definedName>
    <definedName name="tlOutputReg1Comp1TRxShare_R2">tlPerfDashboardReg1R2!$O$21</definedName>
    <definedName name="tlOutputReg1Comp1TRxShareChange_R1">tlPerfDashboardReg1R1!$P$21</definedName>
    <definedName name="tlOutputReg1Comp1TRxShareChange_R2">tlPerfDashboardReg1R2!$P$21</definedName>
    <definedName name="tlOutputReg1Comp1TRxVolume_R1">tlPerfDashboardReg1R1!$R$21</definedName>
    <definedName name="tlOutputReg1Comp1TRxVolume_R2">tlPerfDashboardReg1R2!$R$21</definedName>
    <definedName name="tlOutputReg1Comp1TRxVolumeChange_R1">tlPerfDashboardReg1R1!$S$21</definedName>
    <definedName name="tlOutputReg1Comp1TRxVolumeChange_R2">tlPerfDashboardReg1R2!$S$21</definedName>
    <definedName name="tlOutputReg1Comp2Payer1Tier_R1">tlPerfDashboardReg1R1!$U$32</definedName>
    <definedName name="tlOutputReg1Comp2Payer1Tier_R2">tlPerfDashboardReg1R2!$U$32</definedName>
    <definedName name="tlOutputReg1Comp2Payer1TRxShare_R1">tlPerfDashboardReg1R1!$V$32</definedName>
    <definedName name="tlOutputReg1Comp2Payer1TRxShare_R2">tlPerfDashboardReg1R2!$V$32</definedName>
    <definedName name="tlOutputReg1Comp2Payer1TRxShareChange_R1">tlPerfDashboardReg1R1!$W$32</definedName>
    <definedName name="tlOutputReg1Comp2Payer1TRxShareChange_R2">tlPerfDashboardReg1R2!$W$32</definedName>
    <definedName name="tlOutputReg1Comp2Payer1TRxVolume_R1">tlPerfDashboardReg1R1!$X$32</definedName>
    <definedName name="tlOutputReg1Comp2Payer1TRxVolume_R2">tlPerfDashboardReg1R2!$X$32</definedName>
    <definedName name="tlOutputReg1Comp2Payer1TRxVolumeChange_R1">tlPerfDashboardReg1R1!$Y$32</definedName>
    <definedName name="tlOutputReg1Comp2Payer1TRxVolumeChange_R2">tlPerfDashboardReg1R2!$Y$32</definedName>
    <definedName name="tlOutputReg1Comp2Payer2Tier_R1">tlPerfDashboardReg1R1!$U$34</definedName>
    <definedName name="tlOutputReg1Comp2Payer2Tier_R2">tlPerfDashboardReg1R2!$U$34</definedName>
    <definedName name="tlOutputReg1Comp2Payer2TRxShare_R1">tlPerfDashboardReg1R1!$V$34</definedName>
    <definedName name="tlOutputReg1Comp2Payer2TRxShare_R2">tlPerfDashboardReg1R2!$V$34</definedName>
    <definedName name="tlOutputReg1Comp2Payer2TRxShareChange_R1">tlPerfDashboardReg1R1!$W$34</definedName>
    <definedName name="tlOutputReg1Comp2Payer2TRxShareChange_R2">tlPerfDashboardReg1R2!$W$34</definedName>
    <definedName name="tlOutputReg1Comp2Payer2TRxVolume_R1">tlPerfDashboardReg1R1!$X$34</definedName>
    <definedName name="tlOutputReg1Comp2Payer2TRxVolume_R2">tlPerfDashboardReg1R2!$X$34</definedName>
    <definedName name="tlOutputReg1Comp2Payer2TRxVolumeChange_R1">tlPerfDashboardReg1R1!$Y$34</definedName>
    <definedName name="tlOutputReg1Comp2Payer2TRxVolumeChange_R2">tlPerfDashboardReg1R2!$Y$34</definedName>
    <definedName name="tlOutputReg1Comp2Payer3Tier_R1">tlPerfDashboardReg1R1!$U$33</definedName>
    <definedName name="tlOutputReg1Comp2Payer3Tier_R2">tlPerfDashboardReg1R2!$U$33</definedName>
    <definedName name="tlOutputReg1Comp2Payer3TRxShare_R1">tlPerfDashboardReg1R1!$V$33</definedName>
    <definedName name="tlOutputReg1Comp2Payer3TRxShare_R2">tlPerfDashboardReg1R2!$V$33</definedName>
    <definedName name="tlOutputReg1Comp2Payer3TRxShareChange_R1">tlPerfDashboardReg1R1!$W$33</definedName>
    <definedName name="tlOutputReg1Comp2Payer3TRxShareChange_R2">tlPerfDashboardReg1R2!$W$33</definedName>
    <definedName name="tlOutputReg1Comp2Payer3TRxVolume_R1">tlPerfDashboardReg1R1!$X$33</definedName>
    <definedName name="tlOutputReg1Comp2Payer3TRxVolume_R2">tlPerfDashboardReg1R2!$X$33</definedName>
    <definedName name="tlOutputReg1Comp2Payer3TRxVolumeChange_R1">tlPerfDashboardReg1R1!$Y$33</definedName>
    <definedName name="tlOutputReg1Comp2Payer3TRxVolumeChange_R2">tlPerfDashboardReg1R2!$Y$33</definedName>
    <definedName name="tlOutputReg1Comp2TotalPrevShare_R1">tlPerfDashboardReg1R1!$AC$21</definedName>
    <definedName name="tlOutputReg1Comp2TotalPrevShare_R2">tlPerfDashboardReg1R2!$AC$21</definedName>
    <definedName name="tlOutputReg1Comp2TotalPrevVol_R1">tlPerfDashboardReg1R1!$AE$21</definedName>
    <definedName name="tlOutputReg1Comp2TotalPrevVol_R2">tlPerfDashboardReg1R2!$AE$21</definedName>
    <definedName name="tlOutputReg1Comp2TRxShare_R1">tlPerfDashboardReg1R1!$U$21</definedName>
    <definedName name="tlOutputReg1Comp2TRxShare_R2">tlPerfDashboardReg1R2!$U$21</definedName>
    <definedName name="tlOutputReg1Comp2TRxShareChange_R1">tlPerfDashboardReg1R1!$V$21</definedName>
    <definedName name="tlOutputReg1Comp2TRxShareChange_R2">tlPerfDashboardReg1R2!$V$21</definedName>
    <definedName name="tlOutputReg1Comp2TRxVolume_R1">tlPerfDashboardReg1R1!$X$21</definedName>
    <definedName name="tlOutputReg1Comp2TRxVolume_R2">tlPerfDashboardReg1R2!$X$21</definedName>
    <definedName name="tlOutputReg1Comp2TRxVolumeChange_R1">tlPerfDashboardReg1R1!$Y$21</definedName>
    <definedName name="tlOutputReg1Comp2TRxVolumeChange_R2">tlPerfDashboardReg1R2!$Y$21</definedName>
    <definedName name="tlOutputReg1ESATDash">Dashboard!$F$117</definedName>
    <definedName name="tlOutputReg1ESATDashFormat">Dashboard!$G$117</definedName>
    <definedName name="tlOutputReg1FTEsLeftDash_R1">Dashboard!$F$130</definedName>
    <definedName name="tlOutputReg1FTEsLeftDash_R2">Dashboard!$F$144</definedName>
    <definedName name="tlOutputReg1FTEsLeftDashFormat_R1">Dashboard!$G$130</definedName>
    <definedName name="tlOutputReg1FTEsLeftDashFormat_R2">Dashboard!$G$144</definedName>
    <definedName name="tlOutputReg1FTEsRemainingDash_R1">Dashboard!$F$130</definedName>
    <definedName name="tlOutputReg1FTEsRemainingDash_R2">Dashboard!$F$144</definedName>
    <definedName name="tlOutputReg1FTEsRemainingDashFormat_R1">Dashboard!$G$130</definedName>
    <definedName name="tlOutputReg1FTEsRemainingDashFormat_R2">Dashboard!$G$144</definedName>
    <definedName name="tlOutputReg1NewSharePrev_R1">tlPerfDashboardReg1R1!$AG$11</definedName>
    <definedName name="tlOutputReg1NewSharePrev_R2">tlPerfDashboardReg1R2!$AG$11</definedName>
    <definedName name="tlOutputReg1NEwVolumePrev_R1">tlPerfDashboardReg1R1!$AH$11</definedName>
    <definedName name="tlOutputReg1NEwVolumePrev_R2">tlPerfDashboardReg1R2!$AH$11</definedName>
    <definedName name="tlOutputReg1NRxShare_R1">tlPerfDashboardReg1R1!$L$11</definedName>
    <definedName name="tlOutputReg1NRxShare_R2">tlPerfDashboardReg1R2!$L$11</definedName>
    <definedName name="tlOutputReg1NRxShareChange_R1">tlPerfDashboardReg1R1!$M$11</definedName>
    <definedName name="tlOutputReg1NRxShareChange_R2">tlPerfDashboardReg1R2!$M$11</definedName>
    <definedName name="tlOutputReg1NRxShareDash">Dashboard!$F$103</definedName>
    <definedName name="tlOutputReg1NRxShareDashFormat">Dashboard!$G$103</definedName>
    <definedName name="tlOutputReg1NRxVolume_R1">tlPerfDashboardReg1R1!$O$11</definedName>
    <definedName name="tlOutputReg1NRxVolume_R2">tlPerfDashboardReg1R2!$O$11</definedName>
    <definedName name="tlOutputReg1NRxVolumeChange_R1">tlPerfDashboardReg1R1!$P$11</definedName>
    <definedName name="tlOutputReg1NRxVolumeChange_R2">tlPerfDashboardReg1R2!$P$11</definedName>
    <definedName name="tlOutputReg1OpEffDash">Dashboard!$F$116</definedName>
    <definedName name="tlOutputReg1OpEffDashFormat">Dashboard!$G$116</definedName>
    <definedName name="tlOutputReg1Payer1Comp1Tier_R2">tlPerfDashboardReg1R2!$O$32</definedName>
    <definedName name="tlOutputReg1Payer1Comp1TierStatus_R1">tlPerfDashboardReg1R1!$O$32</definedName>
    <definedName name="tlOutputReg1Payer1Comp1TierStatus_R2">tlPerfDashboardReg1R2!$O$32</definedName>
    <definedName name="tlOutputReg1Payer1Comp2Tier_R1">tlPerfDashboardReg1R1!$U$32</definedName>
    <definedName name="tlOutputReg1Payer1Comp2Tier_R2">tlPerfDashboardReg1R2!$U$32</definedName>
    <definedName name="tlOutputReg1Payer1Comp2TierStatus_R1">tlPerfDashboardReg1R1!$U$32</definedName>
    <definedName name="tlOutputReg1Payer1Comp2TierStatus_R2">tlPerfDashboardReg1R2!$U$32</definedName>
    <definedName name="tlOutputReg1Payer1Tier_R1">tlPerfDashboardReg1R1!$I$32</definedName>
    <definedName name="tlOutputReg1Payer1Tier_R2">tlPerfDashboardReg1R2!$I$32</definedName>
    <definedName name="tlOutputReg1Payer1TierStatus_R1">tlPerfDashboardReg1R1!$I$32</definedName>
    <definedName name="tlOutputReg1Payer1TierStatus_R2">tlPerfDashboardReg1R2!$I$32</definedName>
    <definedName name="tlOutputReg1Payer1TRxContrib_R1">tlPerfDashboardReg1R1!$F$32</definedName>
    <definedName name="tlOutputReg1Payer1TRxContrib_R2">tlPerfDashboardReg1R2!$F$32</definedName>
    <definedName name="tlOutputReg1Payer1TRxShare_R1">tlPerfDashboardReg1R1!$J$32</definedName>
    <definedName name="tlOutputReg1Payer1TRxShare_R2">tlPerfDashboardReg1R2!$J$32</definedName>
    <definedName name="tlOutputReg1Payer1TRxShareChange_R1">tlPerfDashboardReg1R1!$K$32</definedName>
    <definedName name="tlOutputReg1Payer1TRxShareChange_R2">tlPerfDashboardReg1R2!$K$32</definedName>
    <definedName name="tlOutputReg1Payer1TRxTotalVolume_R1">tlPerfDashboardReg1R1!$E$32</definedName>
    <definedName name="tlOutputReg1Payer1TRxTotalVolume_R2">tlPerfDashboardReg1R2!$E$32</definedName>
    <definedName name="tlOutputReg1Payer1TRxVolume_R1">tlPerfDashboardReg1R1!$L$32</definedName>
    <definedName name="tlOutputReg1Payer1TRxVolume_R2">tlPerfDashboardReg1R2!$L$32</definedName>
    <definedName name="tlOutputReg1Payer1TRxVolumeChange_R1">tlPerfDashboardReg1R1!$M$32</definedName>
    <definedName name="tlOutputReg1Payer1TRxVolumeChange_R2">tlPerfDashboardReg1R2!$M$32</definedName>
    <definedName name="tlOutputReg1Payer2Comp1Tier_R1">tlPerfDashboardReg1R1!$O$34</definedName>
    <definedName name="tlOutputReg1Payer2Comp1Tier_R2">tlPerfDashboardReg1R2!$O$34</definedName>
    <definedName name="tlOutputReg1Payer2Comp1TierStatus_R1">tlPerfDashboardReg1R1!$O$34</definedName>
    <definedName name="tlOutputReg1Payer2Comp1TierStatus_R2">tlPerfDashboardReg1R2!$O$34</definedName>
    <definedName name="tlOutputReg1Payer2Comp2Tier_R1">tlPerfDashboardReg1R1!$U$34</definedName>
    <definedName name="tlOutputReg1Payer2Comp2Tier_R2">tlPerfDashboardReg1R2!$U$34</definedName>
    <definedName name="tlOutputReg1Payer2Comp2TierStatus_R2">tlPerfDashboardReg1R2!$U$34</definedName>
    <definedName name="tlOutputReg1Payer2Tier_R1">tlPerfDashboardReg1R1!$I$34</definedName>
    <definedName name="tlOutputReg1Payer2Tier_R2">tlPerfDashboardReg1R2!$I$34</definedName>
    <definedName name="tlOutputReg1Payer2TierStatus_R1">tlPerfDashboardReg1R1!$I$34</definedName>
    <definedName name="tlOutputReg1Payer2TierStatus_R2">tlPerfDashboardReg1R2!$I$34</definedName>
    <definedName name="tlOutputReg1Payer2TRxContrib_R1">tlPerfDashboardReg1R1!$F$34</definedName>
    <definedName name="tlOutputReg1Payer2TRxContrib_R2">tlPerfDashboardReg1R2!$F$34</definedName>
    <definedName name="tlOutputReg1Payer2TRxShare_R1">tlPerfDashboardReg1R1!$J$34</definedName>
    <definedName name="tlOutputReg1Payer2TRxShare_R2">tlPerfDashboardReg1R2!$J$34</definedName>
    <definedName name="tlOutputReg1Payer2TRxShareChange_R1">tlPerfDashboardReg1R1!$K$34</definedName>
    <definedName name="tlOutputReg1Payer2TRxShareChange_R2">tlPerfDashboardReg1R2!$K$34</definedName>
    <definedName name="tlOutputReg1Payer2TRxTotalVolume_R1">tlPerfDashboardReg1R1!$E$34</definedName>
    <definedName name="tlOutputReg1Payer2TRxTotalVolume_R2">tlPerfDashboardReg1R2!$E$34</definedName>
    <definedName name="tlOutputReg1Payer2TRxVolume_R1">tlPerfDashboardReg1R1!$L$34</definedName>
    <definedName name="tlOutputReg1Payer2TRxVolume_R2">tlPerfDashboardReg1R2!$L$34</definedName>
    <definedName name="tlOutputReg1Payer2TRxVolumeChange_R1">tlPerfDashboardReg1R1!$M$34</definedName>
    <definedName name="tlOutputReg1Payer2TRxVolumeChange_R2">tlPerfDashboardReg1R2!$M$34</definedName>
    <definedName name="tlOutputReg1Payer3Comp1Tier_R1">tlPerfDashboardReg1R1!$O$33</definedName>
    <definedName name="tlOutputReg1Payer3Comp1Tier_R2">tlPerfDashboardReg1R2!$O$33</definedName>
    <definedName name="tlOutputReg1Payer3Comp1TierStatus_R1">tlPerfDashboardReg1R1!$O$33</definedName>
    <definedName name="tlOutputReg1Payer3Comp1TierStatus_R2">tlPerfDashboardReg1R2!$O$33</definedName>
    <definedName name="tlOutputReg1Payer3Comp2Tier_R1">tlPerfDashboardReg1R1!$U$33</definedName>
    <definedName name="tlOutputReg1Payer3Comp2Tier_R2">tlPerfDashboardReg1R2!$U$33</definedName>
    <definedName name="tlOutputReg1Payer3Comp2TierStatus_R2">tlPerfDashboardReg1R2!$U$33</definedName>
    <definedName name="tlOutputReg1Payer3Tier_R1">tlPerfDashboardReg1R1!$I$33</definedName>
    <definedName name="tlOutputReg1Payer3Tier_R2">tlPerfDashboardReg1R2!$I$33</definedName>
    <definedName name="tlOutputReg1Payer3TierStatus_R1">tlPerfDashboardReg1R1!$I$33</definedName>
    <definedName name="tlOutputReg1Payer3TierStatus_R2">tlPerfDashboardReg1R2!$I$33</definedName>
    <definedName name="tlOutputReg1Payer3TRxContrib_R1">tlPerfDashboardReg1R1!$F$33</definedName>
    <definedName name="tlOutputReg1Payer3TRxContrib_R2">tlPerfDashboardReg1R2!$F$33</definedName>
    <definedName name="tlOutputReg1Payer3TRxShare_R1">tlPerfDashboardReg1R1!$J$33</definedName>
    <definedName name="tlOutputReg1Payer3TRxShare_R2">tlPerfDashboardReg1R2!$J$33</definedName>
    <definedName name="tlOutputReg1Payer3TRxShareChange_R1">tlPerfDashboardReg1R1!$K$33</definedName>
    <definedName name="tlOutputReg1Payer3TRxShareChange_R2">tlPerfDashboardReg1R2!$K$33</definedName>
    <definedName name="tlOutputReg1Payer3TRxTotalVolume_R1">tlPerfDashboardReg1R1!$E$33</definedName>
    <definedName name="tlOutputReg1Payer3TRxTotalVolume_R2">tlPerfDashboardReg1R2!$E$33</definedName>
    <definedName name="tlOutputReg1Payer3TRxVolume_R1">tlPerfDashboardReg1R1!$L$33</definedName>
    <definedName name="tlOutputReg1Payer3TRxVolume_R2">tlPerfDashboardReg1R2!$L$33</definedName>
    <definedName name="tlOutputReg1Payer3TRxVolumeChange_R1">tlPerfDashboardReg1R1!$M$33</definedName>
    <definedName name="tlOutputReg1Payer3TRxVolumeChange_R2">tlPerfDashboardReg1R2!$M$33</definedName>
    <definedName name="tlOutputReg1PrevVolume_R1">tlPerfDashboardReg1R1!$AA$21</definedName>
    <definedName name="tlOutputReg1PrevVolume_R2">tlPerfDashboardReg1R2!$AA$21</definedName>
    <definedName name="tlOutputReg1PromotionBudgetRemainingDash_R1">Dashboard!$F$132</definedName>
    <definedName name="tlOutputReg1PromotionBudgetRemainingDash_R2">Dashboard!$F$146</definedName>
    <definedName name="tlOutputReg1PromotionBudgetRemainingDashFormat_R1">Dashboard!$G$132</definedName>
    <definedName name="tlOutputReg1PromotionBudgetRemainingDashFormat_R2">Dashboard!$G$146</definedName>
    <definedName name="tlOutputReg1SampleBudgetRemainingDash_R1">Dashboard!$F$131</definedName>
    <definedName name="tlOutputReg1SampleBudgetRemainingDash_R2">Dashboard!$F$145</definedName>
    <definedName name="tlOutputReg1SampleBudgetRemainingDashFormat_R1">Dashboard!$G$131</definedName>
    <definedName name="tlOutputReg1SampleBudgetRemainingDashFormat_R2">Dashboard!$G$145</definedName>
    <definedName name="tlOutputReg1Seg1AllocPercSalesTitle_R1">tlDistrict1R1!$G$18</definedName>
    <definedName name="tlOutputReg1Seg1CfCollabCost_R1">tlDistrict1R1!$I$29</definedName>
    <definedName name="tlOutputReg1Seg1CfCollabCost_R2">tlDistrict1R2!$I$29</definedName>
    <definedName name="tlOutputReg1Seg1CfCollabFTEs_R1">tlDistrict1R1!$G$29</definedName>
    <definedName name="tlOutputReg1Seg1CfCollabFTEs_R2">tlDistrict1R2!$G$29</definedName>
    <definedName name="tlOutputReg1Seg1CfCollabTitle_R1">tlDistrict1R1!$C$29</definedName>
    <definedName name="tlOutputReg1Seg1CfCollabTitle_R2">tlDistrict1R2!$C$29</definedName>
    <definedName name="tlOutputReg1Seg1CfRepTime_R1">tlDistrict1R1!$K$29</definedName>
    <definedName name="tlOutputReg1Seg1CfRepTime_R2">tlDistrict1R2!$K$29</definedName>
    <definedName name="tlOutputReg1Seg1CoachingTitle_R1">tlDistrict1R1!$C$34</definedName>
    <definedName name="tlOutputReg1Seg1CoachingTitle_R2">tlDistrict1R2!$C$34</definedName>
    <definedName name="tlOutputReg1Seg1Comp1TotalPrevShare_R1">tlPerfDashboardReg1R1!$AB$22</definedName>
    <definedName name="tlOutputReg1Seg1Comp1TotalPrevShare_R2">tlPerfDashboardReg1R2!$AB$22</definedName>
    <definedName name="tlOutputReg1Seg1Comp1TotalPrevVol_R1">tlPerfDashboardReg1R1!$AD$22</definedName>
    <definedName name="tlOutputReg1Seg1Comp1TotalPrevVol_R2">tlPerfDashboardReg1R2!$AD$22</definedName>
    <definedName name="tlOutputReg1Seg1Comp1TRxShare_R1">tlPerfDashboardReg1R1!$O$22</definedName>
    <definedName name="tlOutputReg1Seg1Comp1TRxShare_R2">tlPerfDashboardReg1R2!$O$22</definedName>
    <definedName name="tlOutputReg1Seg1Comp1TRxShareChange_R1">tlPerfDashboardReg1R1!$P$22</definedName>
    <definedName name="tlOutputReg1Seg1Comp1TRxShareChange_R2">tlPerfDashboardReg1R2!$P$22</definedName>
    <definedName name="tlOutputReg1Seg1Comp1TRxVolume_R1">tlPerfDashboardReg1R1!$R$22</definedName>
    <definedName name="tlOutputReg1Seg1Comp1TRxVolume_R2">tlPerfDashboardReg1R2!$R$22</definedName>
    <definedName name="tlOutputReg1Seg1Comp1TRxVolumeChange_R1">tlPerfDashboardReg1R1!$S$22</definedName>
    <definedName name="tlOutputReg1Seg1Comp1TRxVolumeChange_R2">tlPerfDashboardReg1R2!$S$22</definedName>
    <definedName name="tlOutputReg1Seg1Comp2TotalPrevShare_R1">tlPerfDashboardReg1R1!$AC$22</definedName>
    <definedName name="tlOutputReg1Seg1Comp2TotalPrevShare_R2">tlPerfDashboardReg1R2!$AC$22</definedName>
    <definedName name="tlOutputReg1Seg1Comp2TotalPrevVol_R1">tlPerfDashboardReg1R1!$AE$22</definedName>
    <definedName name="tlOutputReg1Seg1Comp2TotalPrevVol_R2">tlPerfDashboardReg1R2!$AE$22</definedName>
    <definedName name="tlOutputReg1Seg1Comp2TRxShare_R1">tlPerfDashboardReg1R1!$U$22</definedName>
    <definedName name="tlOutputReg1Seg1Comp2TRxShare_R2">tlPerfDashboardReg1R2!$U$22</definedName>
    <definedName name="tlOutputReg1Seg1Comp2TRxShareChange_R1">tlPerfDashboardReg1R1!$V$22</definedName>
    <definedName name="tlOutputReg1Seg1Comp2TRxShareChange_R2">tlPerfDashboardReg1R2!$V$22</definedName>
    <definedName name="tlOutputReg1Seg1Comp2TRxVolume_R1">tlPerfDashboardReg1R1!$X$22</definedName>
    <definedName name="tlOutputReg1Seg1Comp2TRxVolume_R2">tlPerfDashboardReg1R2!$X$22</definedName>
    <definedName name="tlOutputReg1Seg1Comp2TRxVolumeChange_R1">tlPerfDashboardReg1R1!$Y$22</definedName>
    <definedName name="tlOutputReg1Seg1Comp2TRxVolumeChange_R2">tlPerfDashboardReg1R2!$Y$22</definedName>
    <definedName name="tlOutputReg1Seg1CurrentAllocationTitle_R1">tlDistrict1R1!$I$18</definedName>
    <definedName name="tlOutputReg1Seg1CurrentAllocationTitle_R2">tlDistrict1R2!$I$21</definedName>
    <definedName name="tlOutputReg1Seg1CurrentESAT_R1">tlDistrict1R1!$Y$34</definedName>
    <definedName name="tlOutputReg1Seg1CurrentESAT_R2">tlDistrict1R2!$Y$34</definedName>
    <definedName name="tlOutputReg1Seg1CurrentFinTitle_R1">tlDistrict1R1!$Y$17</definedName>
    <definedName name="tlOutputReg1Seg1CurrentFinTitle_R2">tlDistrict1R2!$Y$17</definedName>
    <definedName name="tlOutputReg1Seg1CurrentInternalCost_R1">tlDistrict1R1!$Y$24</definedName>
    <definedName name="tlOutputReg1Seg1CurrentInternalCost_R2">tlDistrict1R2!$Y$24</definedName>
    <definedName name="tlOutputReg1Seg1CurrentIntTitle_R1">tlDistrict1R1!$Y$33</definedName>
    <definedName name="tlOutputReg1Seg1CurrentIntTitle_R2">tlDistrict1R2!$Y$33</definedName>
    <definedName name="tlOutputReg1Seg1CurrentLunchMoneyCost_R1">tlDistrict1R1!$Y$23</definedName>
    <definedName name="tlOutputReg1Seg1CurrentLunchMoneyCost_R2">tlDistrict1R2!$Y$23</definedName>
    <definedName name="tlOutputReg1Seg1CurrentNetSales_R1">tlDistrict1R1!$Y$20</definedName>
    <definedName name="tlOutputReg1Seg1CurrentNetSales_R2">tlDistrict1R2!$Y$20</definedName>
    <definedName name="tlOutputReg1Seg1CurrentNRxShare_R1">tlDistrict1R1!$Z$11</definedName>
    <definedName name="tlOutputReg1Seg1CurrentNRxShare_R2">tlDistrict1R2!$Z$11</definedName>
    <definedName name="tlOutputReg1Seg1CurrentOE_R1">tlDistrict1R1!$Y$35</definedName>
    <definedName name="tlOutputReg1Seg1CurrentOE_R2">tlDistrict1R2!$Y$35</definedName>
    <definedName name="tlOutputReg1Seg1CurrentProfit_R1">tlDistrict1R1!$Y$25</definedName>
    <definedName name="tlOutputReg1Seg1CurrentProfit_R2">tlDistrict1R2!$Y$25</definedName>
    <definedName name="tlOutputReg1Seg1CurrentPromotionAllocation_R1">tlDistrict1R1!$I$22</definedName>
    <definedName name="tlOutputReg1Seg1CurrentPromotionAllocation_R2">tlDistrict1R2!$I$22</definedName>
    <definedName name="tlOutputReg1Seg1CurrentReimb_R1">tlDistrict1R1!$Y$19</definedName>
    <definedName name="tlOutputReg1Seg1CurrentReimb_R2">tlDistrict1R2!$Y$19</definedName>
    <definedName name="tlOutputReg1Seg1CurrentSales_R1">tlDistrict1R1!$Y$18</definedName>
    <definedName name="tlOutputReg1Seg1CurrentSales_R2">tlDistrict1R2!$Y$18</definedName>
    <definedName name="tlOutputReg1Seg1CurrentSampleCost_R1">tlDistrict1R1!$Y$21</definedName>
    <definedName name="tlOutputReg1Seg1CurrentSampleCost_R2">tlDistrict1R2!$Y$21</definedName>
    <definedName name="tlOutputReg1Seg1CurrentSpeakerCost_R1">tlDistrict1R1!$Y$22</definedName>
    <definedName name="tlOutputReg1Seg1CurrentSpeakerCost_R2">tlDistrict1R2!$Y$22</definedName>
    <definedName name="tlOutputReg1Seg1CurrentSpeakersCost_R1">tlDistrict1R1!$X$22</definedName>
    <definedName name="tlOutputReg1Seg1CurrentSpeakersCost_R2">tlDistrict1R2!$X$22</definedName>
    <definedName name="tlOutputReg1Seg1CurrentTRxShare_R1">tlDistrict1R1!$Z$10</definedName>
    <definedName name="tlOutputReg1Seg1CurrentTRxShare_R2">tlDistrict1R2!$Z$10</definedName>
    <definedName name="tlOutputReg1Seg1Dash1_R1">tlDistrict1R1!$T$2</definedName>
    <definedName name="tlOutputReg1Seg1Dash1_R2">tlDistrict1R2!$T$2</definedName>
    <definedName name="tlOutputReg1Seg1Dash2_R1">tlDistrict1R1!$T$3</definedName>
    <definedName name="tlOutputReg1Seg1Dash2_R2">tlDistrict1R2!$T$3</definedName>
    <definedName name="tlOutputReg1Seg1Dash3_R1">tlDistrict1R1!$T$4</definedName>
    <definedName name="tlOutputReg1Seg1Dash3_R2">tlDistrict1R2!$T$4</definedName>
    <definedName name="tlOutputReg1Seg1ESAT_R1">tlDistrict1R1!$X$34</definedName>
    <definedName name="tlOutputReg1Seg1ESAT_R2">tlDistrict1R2!$X$34</definedName>
    <definedName name="tlOutputReg1Seg1ESATTitle_R1">tlDistrict1R1!$W$34</definedName>
    <definedName name="tlOutputReg1Seg1ESATTitle_R2">tlDistrict1R2!$W$34</definedName>
    <definedName name="tlOutputReg1Seg1FieldTimeTitle_R1">tlDistrict1R1!$W$38</definedName>
    <definedName name="tlOutputReg1Seg1FieldTimeTitle_R2">tlDistrict1R2!$W$38</definedName>
    <definedName name="tlOutputReg1Seg1ForecastTitle">tlDistrict1R2!$C$9</definedName>
    <definedName name="tlOutputReg1Seg1ForecastTitle_R1">tlDistrict1R1!$C$9</definedName>
    <definedName name="tlOutputReg1Seg1ForecastTitle_R2">tlDistrict1R2!$C$9</definedName>
    <definedName name="tlOutputReg1Seg1FTEsTitle_R1">tlDistrict1R1!$G$33</definedName>
    <definedName name="tlOutputReg1Seg1FTEsTitle_R2">tlDistrict1R2!$C$36</definedName>
    <definedName name="tlOutputReg1Seg1GrowthTitle_R1">tlDistrict1R1!$G$10</definedName>
    <definedName name="tlOutputReg1Seg1GrowthTitle_R2">tlDistrict1R2!$G$10</definedName>
    <definedName name="tlOutputReg1Seg1InternalCostTitle_R1">tlDistrict1R1!$W$24</definedName>
    <definedName name="tlOutputReg1Seg1InternalCostTitle_R2">tlDistrict1R2!$W$24</definedName>
    <definedName name="tlOutputReg1Seg1InternalResCostTitle_R1">tlDistrict1R1!$I$28</definedName>
    <definedName name="tlOutputReg1Seg1InternalResCostTitle_R2">tlDistrict1R2!$I$28</definedName>
    <definedName name="tlOutputReg1Seg1InternalResFTEsTitle_R1">tlDistrict1R1!$G$28</definedName>
    <definedName name="tlOutputReg1Seg1InternalResFTEsTitle_R2">tlDistrict1R2!$G$28</definedName>
    <definedName name="tlOutputReg1Seg1InternalResRepTimeTitle_R1">tlDistrict1R1!$K$28</definedName>
    <definedName name="tlOutputReg1Seg1InternalResRepTimeTitle_R2">tlDistrict1R2!$K$28</definedName>
    <definedName name="tlOutputReg1Seg1InternalResTitle_R1">tlDistrict1R1!$C$28</definedName>
    <definedName name="tlOutputReg1Seg1InternalResTitle_R2">tlDistrict1R2!$C$28</definedName>
    <definedName name="tlOutputReg1Seg1IntTimeTitle_R1">tlDistrict1R1!$W$40</definedName>
    <definedName name="tlOutputReg1Seg1IntTimeTitle_R2">tlDistrict1R2!$W$40</definedName>
    <definedName name="tlOutputReg1Seg1LunchMoneyTitleCost_R1">tlDistrict1R1!$W$23</definedName>
    <definedName name="tlOutputReg1Seg1LunchMoneyTitleCost_R2">tlDistrict1R2!$W$23</definedName>
    <definedName name="tlOutputReg1Seg1NetSalesTitle_R1">tlDistrict1R1!$W$20</definedName>
    <definedName name="tlOutputReg1Seg1NetSalesTitle_R2">tlDistrict1R2!$W$20</definedName>
    <definedName name="tlOutputReg1Seg1NewSharePrev_R1">tlPerfDashboardReg1R1!$AG$12</definedName>
    <definedName name="tlOutputReg1Seg1NewSharePrev_R2">tlPerfDashboardReg1R2!$AG$12</definedName>
    <definedName name="tlOutputReg1Seg1NewVolumePrev_R1">tlPerfDashboardReg1R1!$AH$12</definedName>
    <definedName name="tlOutputReg1Seg1NewVolumePrev_R2">tlPerfDashboardReg1R2!$AH$12</definedName>
    <definedName name="tlOutputReg1Seg1NRxShare_R1">tlPerfDashboardReg1R1!$L$12</definedName>
    <definedName name="tlOutputReg1Seg1NRxShare_R2">tlPerfDashboardReg1R2!$L$12</definedName>
    <definedName name="tlOutputReg1Seg1NRxShareChange_R1">tlPerfDashboardReg1R1!$M$12</definedName>
    <definedName name="tlOutputReg1Seg1NRxShareChange_R2">tlPerfDashboardReg1R2!$M$12</definedName>
    <definedName name="tlOutputReg1Seg1NRxShareTitle_R1">tlDistrict1R1!$X$11</definedName>
    <definedName name="tlOutputReg1Seg1NRxShareTitle_R2">tlDistrict1R2!$X$11</definedName>
    <definedName name="tlOutputReg1Seg1NRxVolume_R1">tlPerfDashboardReg1R1!$O$12</definedName>
    <definedName name="tlOutputReg1Seg1NRxVolume_R2">tlPerfDashboardReg1R2!$O$12</definedName>
    <definedName name="tlOutputReg1Seg1NRxVolumeChange_R1">tlPerfDashboardReg1R1!$P$12</definedName>
    <definedName name="tlOutputReg1Seg1NRxVolumeChange_R2">tlPerfDashboardReg1R2!$P$12</definedName>
    <definedName name="tlOutputReg1Seg1OETitle_R1">tlDistrict1R1!$W$35</definedName>
    <definedName name="tlOutputReg1Seg1OETitle_R2">tlDistrict1R2!$W$35</definedName>
    <definedName name="tlOutputReg1Seg1Payer1Forecast_R1">tlDistrict1R1!$G$12</definedName>
    <definedName name="tlOutputReg1Seg1Payer1Forecast_R2">tlDistrict1R2!$G$12</definedName>
    <definedName name="tlOutputReg1Seg1Payer1Title_R1">tlDistrict1R1!$C$12</definedName>
    <definedName name="tlOutputReg1Seg1Payer1Title_R2">tlDistrict1R2!$C$12</definedName>
    <definedName name="tlOutputReg1Seg1Payer1Visits_R1">tlDistrict1R1!$I$12</definedName>
    <definedName name="tlOutputReg1Seg1Payer1Visits_R2">tlDistrict1R2!$I$12</definedName>
    <definedName name="tlOutputReg1Seg1Payer1Volume_R1">tlDistrict1R1!$E$12</definedName>
    <definedName name="tlOutputReg1Seg1Payer1Volume_R2">tlDistrict1R2!$E$12</definedName>
    <definedName name="tlOutputReg1Seg1Payer2Forecast_R1">tlDistrict1R1!$G$16</definedName>
    <definedName name="tlOutputReg1Seg1Payer2Forecast_R2">tlDistrict1R2!$G$16</definedName>
    <definedName name="tlOutputReg1Seg1Payer2Title_R1">tlDistrict1R1!$C$14</definedName>
    <definedName name="tlOutputReg1Seg1Payer2Title_R2">tlDistrict1R2!$C$14</definedName>
    <definedName name="tlOutputReg1Seg1Payer2Visits_R1">tlDistrict1R1!$I$14</definedName>
    <definedName name="tlOutputReg1Seg1Payer2Visits_R2">tlDistrict1R2!$I$14</definedName>
    <definedName name="tlOutputReg1Seg1Payer2Volume_R1">tlDistrict1R1!$E$16</definedName>
    <definedName name="tlOutputReg1Seg1Payer2Volume_R2">tlDistrict1R2!$E$16</definedName>
    <definedName name="tlOutputReg1Seg1Payer3Forecast_R1">tlDistrict1R1!$G$14</definedName>
    <definedName name="tlOutputReg1Seg1Payer3Forecast_R2">tlDistrict1R2!$G$14</definedName>
    <definedName name="tlOutputReg1Seg1Payer3Volume_R1">tlDistrict1R1!$E$14</definedName>
    <definedName name="tlOutputReg1Seg1Payer3Volume_R2">tlDistrict1R2!$E$14</definedName>
    <definedName name="tlOutputReg1Seg1PayerTitle_R1">tlDistrict1R1!$C$12</definedName>
    <definedName name="tlOutputReg1Seg1PayerTitle_R2">tlDistrict1R2!$C$12</definedName>
    <definedName name="tlOutputReg1Seg1PrevAllocationTitle_R1">tlDistrict1R1!$K$18</definedName>
    <definedName name="tlOutputReg1Seg1PrevAllocationTitle_R2">tlDistrict1R2!$K$21</definedName>
    <definedName name="tlOutputReg1Seg1PrevESAT_R1">tlDistrict1R1!$X$34</definedName>
    <definedName name="tlOutputReg1Seg1PrevESAT_R2">tlDistrict1R2!$X$34</definedName>
    <definedName name="tlOutputReg1Seg1PrevInternalCost_R1">tlDistrict1R1!$X$24</definedName>
    <definedName name="tlOutputReg1Seg1PrevInternalCost_R2">tlDistrict1R2!$X$24</definedName>
    <definedName name="tlOutputReg1Seg1PrevIntTitle_R1">tlDistrict1R1!$X$33</definedName>
    <definedName name="tlOutputReg1Seg1PrevIntTitle_R2">tlDistrict1R2!$X$33</definedName>
    <definedName name="tlOutputReg1Seg1PrevLunchMoneyCost_R1">tlDistrict1R1!$X$23</definedName>
    <definedName name="tlOutputReg1Seg1PrevLunchMoneyCost_R2">tlDistrict1R2!$X$23</definedName>
    <definedName name="tlOutputReg1Seg1PrevNetSales_R1">tlDistrict1R1!$X$20</definedName>
    <definedName name="tlOutputReg1Seg1PrevNetSales_R2">tlDistrict1R2!$X$20</definedName>
    <definedName name="tlOutputReg1Seg1PrevNRxShare_R1">tlDistrict1R1!$Y$11</definedName>
    <definedName name="tlOutputReg1Seg1PrevNRxShare_R2">tlDistrict1R2!$Y$11</definedName>
    <definedName name="tlOutputReg1Seg1PrevOE_R1">tlDistrict1R1!$X$35</definedName>
    <definedName name="tlOutputReg1Seg1PrevOE_R2">tlDistrict1R2!$X$35</definedName>
    <definedName name="tlOutputReg1Seg1PrevProfit_R1">tlDistrict1R1!$X$25</definedName>
    <definedName name="tlOutputReg1Seg1PrevProfit_R2">tlDistrict1R2!$X$25</definedName>
    <definedName name="tlOutputReg1Seg1PrevPromotionCost_R1">tlDistrict1R1!$K$26</definedName>
    <definedName name="tlOutputReg1Seg1PrevPromotionCost_R2">tlDistrict1R2!$K$26</definedName>
    <definedName name="tlOutputReg1Seg1PrevReimb_R1">tlDistrict1R1!$X$19</definedName>
    <definedName name="tlOutputReg1Seg1PrevReimb_R2">tlDistrict1R2!$X$19</definedName>
    <definedName name="tlOutputReg1Seg1PrevSales_R1">tlDistrict1R1!$X$18</definedName>
    <definedName name="tlOutputReg1Seg1PrevSales_R2">tlDistrict1R2!$X$18</definedName>
    <definedName name="tlOutputReg1Seg1PrevSampleCost_R1">tlDistrict1R1!$K$19</definedName>
    <definedName name="tlOutputReg1Seg1PrevSampleCost_R2">tlDistrict1R2!$K$19</definedName>
    <definedName name="tlOutputReg1Seg1PrevSamplesCost_R1">tlDistrict1R1!$X$21</definedName>
    <definedName name="tlOutputReg1Seg1PrevSamplesCost_R2">tlDistrict1R2!$X$21</definedName>
    <definedName name="tlOutputReg1Seg1PrevSpeakerCost_R1">tlDistrict1R1!$K$24</definedName>
    <definedName name="tlOutputReg1Seg1PrevSpeakerCost_R2">tlDistrict1R2!$K$24</definedName>
    <definedName name="tlOutputReg1Seg1PrevSpeakersCost_R1">tlDistrict1R1!$X$22</definedName>
    <definedName name="tlOutputReg1Seg1PrevSpeakersCost_R2">tlDistrict1R2!$X$22</definedName>
    <definedName name="tlOutputReg1Seg1PrevTRxShare_R1">tlDistrict1R1!$Y$10</definedName>
    <definedName name="tlOutputReg1Seg1PrevTRxShare_R2">tlDistrict1R2!$Y$10</definedName>
    <definedName name="tlOutputReg1Seg1PrevVolume_R1">tlPerfDashboardReg1R1!$AA$22</definedName>
    <definedName name="tlOutputReg1Seg1PrevVolume_R2">tlPerfDashboardReg1R2!$AA$22</definedName>
    <definedName name="tlOutputReg1Seg1ProfitTitle_R1">tlDistrict1R1!$W$25</definedName>
    <definedName name="tlOutputReg1Seg1ProfitTitle_R2">tlDistrict1R2!$W$25</definedName>
    <definedName name="tlOutputReg1Seg1ProgramTitle_R1">tlDistrict1R1!$C$3</definedName>
    <definedName name="tlOutputReg1Seg1ProgramTitle_R2">tlDistrict1R2!$C$3</definedName>
    <definedName name="tlOutputReg1Seg1PromotionCost_R1">tlDistrict1R1!$I$26</definedName>
    <definedName name="tlOutputReg1Seg1PromotionCost_R2">tlDistrict1R2!$I$26</definedName>
    <definedName name="tlOutputReg1Seg1PromotionPerc_R1">tlDistrict1R1!$E$26</definedName>
    <definedName name="tlOutputReg1Seg1PromotionPerc_R2">tlDistrict1R2!$E$26</definedName>
    <definedName name="tlOutputReg1Seg1PromotionTitle_R1">tlDistrict1R1!$C$26</definedName>
    <definedName name="tlOutputReg1Seg1PromotionTitle_R2">tlDistrict1R2!$C$26</definedName>
    <definedName name="tlOutputReg1Seg1RegTrainer_R1">tlDistrict1R1!$E$37</definedName>
    <definedName name="tlOutputReg1Seg1RegTrainer_R2">tlDistrict1R2!$E$37</definedName>
    <definedName name="tlOutputReg1Seg1RegTrainerCost_R1">tlDistrict1R1!$I$31</definedName>
    <definedName name="tlOutputReg1Seg1RegTrainerCost_R2">tlDistrict1R2!$I$31</definedName>
    <definedName name="tlOutputReg1Seg1RegTrainerFTEs_R1">tlDistrict1R1!$G$37</definedName>
    <definedName name="tlOutputReg1Seg1RegTrainerFTEs_R2">tlDistrict1R2!$G$37</definedName>
    <definedName name="tlOutputReg1Seg1RegTrainerRepTime_R1">tlDistrict1R1!$K$31</definedName>
    <definedName name="tlOutputReg1Seg1RegTrainerRepTime_R2">tlDistrict1R2!$K$31</definedName>
    <definedName name="tlOutputReg1Seg1RegTrainerTitle_R1">tlDistrict1R1!$C$37</definedName>
    <definedName name="tlOutputReg1Seg1RegTrainerTitle_R2">tlDistrict1R2!$C$37</definedName>
    <definedName name="tlOutputReg1Seg1ReimbTitle_R1">tlDistrict1R1!$W$19</definedName>
    <definedName name="tlOutputReg1Seg1ReimbTitle_R2">tlDistrict1R2!$W$19</definedName>
    <definedName name="tlOutputReg1Seg1Rep1CoachingFTEs_R1">tlDistrict1R1!$G$34</definedName>
    <definedName name="tlOutputReg1Seg1Rep1CoachingFTEs_R2">tlDistrict1R2!$G$34</definedName>
    <definedName name="tlOutputReg1Seg1Rep1ExtTime_R1">tlDistrict1R1!$X$38</definedName>
    <definedName name="tlOutputReg1Seg1Rep1ExtTime_R2">tlDistrict1R2!$X$38</definedName>
    <definedName name="tlOutputReg1Seg1Rep1IntTime_R1">tlDistrict1R1!$X$40</definedName>
    <definedName name="tlOutputReg1Seg1Rep1IntTime_R2">tlDistrict1R2!$X$40</definedName>
    <definedName name="tlOutputReg1Seg1Rep1Title_R1">tlDistrict1R1!$E$33</definedName>
    <definedName name="tlOutputReg1Seg1Rep1Title_R2">tlDistrict1R2!$E$33</definedName>
    <definedName name="tlOutputReg1Seg1Rep2ExtTime_R1">tlDistrict1R1!$Y$38</definedName>
    <definedName name="tlOutputReg1Seg1Rep2ExtTime_R2">tlDistrict1R2!$Y$38</definedName>
    <definedName name="tlOutputReg1Seg1Rep2IntTime_R1">tlDistrict1R1!$Y$40</definedName>
    <definedName name="tlOutputReg1Seg1Rep2IntTime_R2">tlDistrict1R2!$Y$40</definedName>
    <definedName name="tlOutputReg1Seg1Rep3ExtTime_R1">tlDistrict1R1!$Z$38</definedName>
    <definedName name="tlOutputReg1Seg1Rep3ExtTime_R2">tlDistrict1R2!$Z$38</definedName>
    <definedName name="tlOutputReg1Seg1Rep3IntTime_R1">tlDistrict1R1!$Z$40</definedName>
    <definedName name="tlOutputReg1Seg1Rep3IntTime_R2">tlDistrict1R2!$Z$40</definedName>
    <definedName name="tlOutputReg1Seg1Rep3Title_R1">tlDistrict1R1!$I$33</definedName>
    <definedName name="tlOutputReg1Seg1Rep3Title_R2">tlDistrict1R2!$I$33</definedName>
    <definedName name="tlOutputReg1Seg1RepBExtTime_R2">tlDistrict1R2!$Y$38</definedName>
    <definedName name="tlOutputReg1Seg1RepBIntTime_R2">tlDistrict1R2!$Y$40</definedName>
    <definedName name="tlOutputReg1Seg1RepBTitle_R2">tlDistrict1R2!$G$33</definedName>
    <definedName name="tlOutputReg1Seg1RepMgmtTitle_R1">tlDistrict1R1!$C$33</definedName>
    <definedName name="tlOutputReg1Seg1RepMgmtTitle_R2">tlDistrict1R2!$C$33</definedName>
    <definedName name="tlOutputReg1Seg1ResourceAllocTitle_R1">tlDistrict1R1!$C$18</definedName>
    <definedName name="tlOutputReg1Seg1SalesTitle_R1">tlDistrict1R1!$W$18</definedName>
    <definedName name="tlOutputReg1Seg1SalesTitle_R2">tlDistrict1R2!$W$18</definedName>
    <definedName name="tlOutputReg1Seg1SampleCost_R1">tlDistrict1R1!$I$19</definedName>
    <definedName name="tlOutputReg1Seg1SampleCost_R2">tlDistrict1R2!$I$19</definedName>
    <definedName name="tlOutputReg1Seg1Samples_R1">tlDistrict1R1!$G$19</definedName>
    <definedName name="tlOutputReg1Seg1Samples_R2">tlDistrict1R2!$G$19</definedName>
    <definedName name="tlOutputReg1Seg1SamplesCostTitle_R1">tlDistrict1R1!$W$21</definedName>
    <definedName name="tlOutputReg1Seg1SamplesCostTitle_R2">tlDistrict1R2!$W$21</definedName>
    <definedName name="tlOutputReg1Seg1SamplesPerc_R1">tlDistrict1R1!$E$19</definedName>
    <definedName name="tlOutputReg1Seg1SamplesPerc_R2">tlDistrict1R2!$E$19</definedName>
    <definedName name="tlOutputReg1Seg1SampleTitle_R1">tlDistrict1R1!$C$19</definedName>
    <definedName name="tlOutputReg1Seg1SampleTitle_R2">tlDistrict1R2!$C$19</definedName>
    <definedName name="tlOutputReg1Seg1SpeakerCost_R1">tlDistrict1R1!$I$24</definedName>
    <definedName name="tlOutputReg1Seg1SpeakerCost_R2">tlDistrict1R2!$I$24</definedName>
    <definedName name="tlOutputReg1Seg1SpeakersPerc_R2">tlDistrict1R2!$E$24</definedName>
    <definedName name="tlOutputReg1Seg1SpeakersTitleCost_R1">tlDistrict1R1!$W$22</definedName>
    <definedName name="tlOutputReg1Seg1SpeakersTitleCost_R2">tlDistrict1R2!$W$22</definedName>
    <definedName name="tlOutputReg1Seg1SpeakerTitle_R1">tlDistrict1R1!$C$24</definedName>
    <definedName name="tlOutputReg1Seg1SpeakerTitle_R2">tlDistrict1R2!$C$24</definedName>
    <definedName name="tlOutputReg1Seg1Therapy1PrevWeightTitle_R1">tlDistrict1R1!$C$40</definedName>
    <definedName name="tlOutputReg1Seg1Therapy1PrevWeightTitle_R2">tlDistrict1R2!$C$40</definedName>
    <definedName name="tlOutputReg1Seg1Therapy1RepAPrevWeight_R1">tlDistrict1R1!$E$40</definedName>
    <definedName name="tlOutputReg1Seg1Therapy1RepAWeight_R1">tlDistrict1R1!$E$38</definedName>
    <definedName name="tlOutputReg1Seg1Therapy1RepBPrevWeight_R1">tlDistrict1R1!$G$40</definedName>
    <definedName name="tlOutputReg1Seg1Therapy1RepBWeight_R1">tlDistrict1R1!$G$38</definedName>
    <definedName name="tlOutputReg1Seg1Therapy1RepCPrevWeight_R1">tlDistrict1R1!$I$40</definedName>
    <definedName name="tlOutputReg1Seg1Therapy1RepCWeight_R1">tlDistrict1R1!$I$38</definedName>
    <definedName name="tlOutputReg1Seg1Therapy1Title_R1">tlDistrict1R1!$C$38</definedName>
    <definedName name="tlOutputReg1Seg1Therapy1Title_R2">tlDistrict1R2!$C$38</definedName>
    <definedName name="tlOutputReg1Seg1Title_R1">tlDistrict1R1!$C$8</definedName>
    <definedName name="tlOutputReg1Seg1Title_R2">tlDistrict1R2!$C$8</definedName>
    <definedName name="tlOutputReg1Seg1TotalMarketVolume_R1">tlPerfDashboardReg1R1!$E$22</definedName>
    <definedName name="tlOutputReg1Seg1TotalMarketVolume_R2">tlPerfDashboardReg1R2!$E$22</definedName>
    <definedName name="tlOutputReg1Seg1TotalMarketVolumeChange_R1">tlPerfDashboardReg1R1!$F$22</definedName>
    <definedName name="tlOutputReg1Seg1TotalMarketVolumeChange_R2">tlPerfDashboardReg1R2!$F$22</definedName>
    <definedName name="tlOutputReg1Seg1TotalSharePrev_R1">tlPerfDashboardReg1R1!$AC$12</definedName>
    <definedName name="tlOutputReg1Seg1TotalSharePrev_R2">tlPerfDashboardReg1R2!$AC$12</definedName>
    <definedName name="tlOutputReg1Seg1TotalVolumePrev_R1">tlPerfDashboardReg1R1!$AD$12</definedName>
    <definedName name="tlOutputReg1Seg1TotalVolumePrev_R2">tlPerfDashboardReg1R2!$AD$12</definedName>
    <definedName name="tlOutputReg1Seg1TRxShare_R1">tlPerfDashboardReg1R1!$E$12</definedName>
    <definedName name="tlOutputReg1Seg1TRxShare_R2">tlPerfDashboardReg1R2!$E$12</definedName>
    <definedName name="tlOutputReg1Seg1TRxShareChange_R1">tlPerfDashboardReg1R1!$F$12</definedName>
    <definedName name="tlOutputReg1Seg1TRxShareChange_R2">tlPerfDashboardReg1R2!$F$12</definedName>
    <definedName name="tlOutputReg1Seg1TRxShareChangeCompView_R1">tlPerfDashboardReg1R1!$J$22</definedName>
    <definedName name="tlOutputReg1Seg1TRxShareChangeCompView_R2">tlPerfDashboardReg1R2!$J$22</definedName>
    <definedName name="tlOutputReg1Seg1TRxShareChangeR1">tlPerfDashboardReg1R1!$F$12</definedName>
    <definedName name="tlOutputReg1Seg1TRxShareCompView_R1">tlPerfDashboardReg1R1!$I$22</definedName>
    <definedName name="tlOutputReg1Seg1TRxShareCompView_R2">tlPerfDashboardReg1R2!$I$22</definedName>
    <definedName name="tlOutputReg1Seg1TRxShareTitle_R1">tlDistrict1R1!$X$10</definedName>
    <definedName name="tlOutputReg1Seg1TRxShareTitle_R2">tlDistrict1R2!$X$10</definedName>
    <definedName name="tlOutputReg1Seg1TRxVolume_R1">tlPerfDashboardReg1R1!$I$12</definedName>
    <definedName name="tlOutputReg1Seg1TRxVolume_R2">tlPerfDashboardReg1R2!$I$12</definedName>
    <definedName name="tlOutputReg1Seg1TRxVolumeChange_R1">tlPerfDashboardReg1R1!$J$12</definedName>
    <definedName name="tlOutputReg1Seg1TRxVolumeChange_R2">tlPerfDashboardReg1R2!$J$12</definedName>
    <definedName name="tlOutputReg1Seg1TRxVolumeChangeCompView_R1">tlPerfDashboardReg1R1!$M$22</definedName>
    <definedName name="tlOutputReg1Seg1TRxVolumeChangeCompView_R2">tlPerfDashboardReg1R2!$M$22</definedName>
    <definedName name="tlOutputReg1Seg1TRxVolumeCompView_R1">tlPerfDashboardReg1R1!$L$22</definedName>
    <definedName name="tlOutputReg1Seg1TRxVolumeCompView_R2">tlPerfDashboardReg1R2!$L$22</definedName>
    <definedName name="tlOutputReg1Seg2AllocPercSalesTitle_R1">tlDistrict2R1!$G$18</definedName>
    <definedName name="tlOutputReg1Seg2AllocPercSalesTitle_R2">tlDistrict2R2!$G$18</definedName>
    <definedName name="tlOutputReg1Seg2CfCollabCost_R1">tlDistrict2R1!$I$29</definedName>
    <definedName name="tlOutputReg1Seg2CfCollabCost_R2">tlDistrict2R2!$I$29</definedName>
    <definedName name="tlOutputReg1Seg2CfCollabFTEs_R1">tlDistrict2R1!$G$29</definedName>
    <definedName name="tlOutputReg1Seg2CfCollabFTEs_R2">tlDistrict2R2!$G$29</definedName>
    <definedName name="tlOutputReg1Seg2CfCollabTitle_R1">tlDistrict2R1!$C$29</definedName>
    <definedName name="tlOutputReg1Seg2CfCollabTitle_R2">tlDistrict2R2!$C$29</definedName>
    <definedName name="tlOutputReg1Seg2CfRepTime_R1">tlDistrict2R1!$K$29</definedName>
    <definedName name="tlOutputReg1Seg2CfRepTime_R2">tlDistrict2R2!$K$29</definedName>
    <definedName name="tlOutputReg1Seg2CoachingTitle_R1">tlDistrict2R1!$C$34</definedName>
    <definedName name="tlOutputReg1Seg2CoachingTitle_R2">tlDistrict2R2!$C$34</definedName>
    <definedName name="tlOutputReg1Seg2Comp1TotalPrevShare_R1">tlPerfDashboardReg1R1!$AB$23</definedName>
    <definedName name="tlOutputReg1Seg2Comp1TotalPrevShare_R2">tlPerfDashboardReg1R2!$AB$23</definedName>
    <definedName name="tlOutputReg1Seg2Comp1TotalPrevVol_R1">tlPerfDashboardReg1R1!$AD$23</definedName>
    <definedName name="tlOutputReg1Seg2Comp1TotalPrevVol_R2">tlPerfDashboardReg1R2!$AD$23</definedName>
    <definedName name="tlOutputReg1Seg2Comp1TRxShare_R1">tlPerfDashboardReg1R1!$O$23</definedName>
    <definedName name="tlOutputReg1Seg2Comp1TRxShare_R2">tlPerfDashboardReg1R2!$O$23</definedName>
    <definedName name="tlOutputReg1Seg2Comp1TRxShareChange_R1">tlPerfDashboardReg1R1!$P$23</definedName>
    <definedName name="tlOutputReg1Seg2Comp1TRxShareChange_R2">tlPerfDashboardReg1R2!$P$23</definedName>
    <definedName name="tlOutputReg1Seg2Comp1TRxVolume_R1">tlPerfDashboardReg1R1!$R$23</definedName>
    <definedName name="tlOutputReg1Seg2Comp1TRxVolume_R2">tlPerfDashboardReg1R2!$R$23</definedName>
    <definedName name="tlOutputReg1Seg2Comp1TRxVolumeChange_R1">tlPerfDashboardReg1R1!$S$23</definedName>
    <definedName name="tlOutputReg1Seg2Comp1TRxVolumeChange_R2">tlPerfDashboardReg1R2!$S$23</definedName>
    <definedName name="tlOutputReg1Seg2Comp2TotalPrevShare_R1">tlPerfDashboardReg1R1!$AC$23</definedName>
    <definedName name="tlOutputReg1Seg2Comp2TotalPrevShare_R2">tlPerfDashboardReg1R2!$AC$23</definedName>
    <definedName name="tlOutputReg1Seg2Comp2TotalPrevVol_R1">tlPerfDashboardReg1R1!$AE$23</definedName>
    <definedName name="tlOutputReg1Seg2Comp2TotalPrevVol_R2">tlPerfDashboardReg1R2!$AE$23</definedName>
    <definedName name="tlOutputReg1Seg2Comp2TRxShare_R1">tlPerfDashboardReg1R1!$U$23</definedName>
    <definedName name="tlOutputReg1Seg2Comp2TRxShare_R2">tlPerfDashboardReg1R2!$U$23</definedName>
    <definedName name="tlOutputReg1Seg2Comp2TRxShareChange_R1">tlPerfDashboardReg1R1!$V$23</definedName>
    <definedName name="tlOutputReg1Seg2Comp2TRxShareChange_R2">tlPerfDashboardReg1R2!$V$23</definedName>
    <definedName name="tlOutputReg1Seg2Comp2TRxVolume_R1">tlPerfDashboardReg1R1!$X$23</definedName>
    <definedName name="tlOutputReg1Seg2Comp2TRxVolume_R2">tlPerfDashboardReg1R2!$X$23</definedName>
    <definedName name="tlOutputReg1Seg2Comp2TRxVolumeChange_R1">tlPerfDashboardReg1R1!$Y$23</definedName>
    <definedName name="tlOutputReg1Seg2Comp2TRxVolumeChange_R2">tlPerfDashboardReg1R2!$Y$23</definedName>
    <definedName name="tlOutputReg1Seg2CurrentAllocationTitle_R1">tlDistrict2R1!$I$21</definedName>
    <definedName name="tlOutputReg1Seg2CurrentAllocationTitle_R2">tlDistrict2R2!$I$21</definedName>
    <definedName name="tlOutputReg1Seg2CurrentESAT_R1">tlDistrict2R1!$Y$34</definedName>
    <definedName name="tlOutputReg1Seg2CurrentESAT_R2">tlDistrict2R2!$Y$34</definedName>
    <definedName name="tlOutputReg1Seg2CurrentFinTitle_R1">tlDistrict2R1!$Y$17</definedName>
    <definedName name="tlOutputReg1Seg2CurrentFinTitle_R2">tlDistrict2R2!$Y$17</definedName>
    <definedName name="tlOutputReg1Seg2CurrentInternalCost_R1">tlDistrict2R1!$Y$24</definedName>
    <definedName name="tlOutputReg1Seg2CurrentInternalCost_R2">tlDistrict2R2!$Y$24</definedName>
    <definedName name="tlOutputReg1Seg2CurrentIntTitle_R1">tlDistrict2R1!$Y$33</definedName>
    <definedName name="tlOutputReg1Seg2CurrentIntTitle_R2">tlDistrict2R2!$Y$33</definedName>
    <definedName name="tlOutputReg1Seg2CurrentLunchMoneyCost_R1">tlDistrict2R1!$Y$23</definedName>
    <definedName name="tlOutputReg1Seg2CurrentLunchMoneyCost_R2">tlDistrict2R2!$Y$23</definedName>
    <definedName name="tlOutputReg1Seg2CurrentNetSales_R1">tlDistrict2R1!$Y$20</definedName>
    <definedName name="tlOutputReg1Seg2CurrentNetSales_R2">tlDistrict2R2!$Y$20</definedName>
    <definedName name="tlOutputReg1Seg2CurrentNRxShare_R1">tlDistrict2R1!$Z$11</definedName>
    <definedName name="tlOutputReg1Seg2CurrentNRxShare_R2">tlDistrict2R2!$Z$11</definedName>
    <definedName name="tlOutputReg1Seg2CurrentOE_R1">tlDistrict2R1!$Y$35</definedName>
    <definedName name="tlOutputReg1Seg2CurrentOE_R2">tlDistrict2R2!$Y$35</definedName>
    <definedName name="tlOutputReg1Seg2CurrentProfit_R1">tlDistrict2R1!$Y$25</definedName>
    <definedName name="tlOutputReg1Seg2CurrentProfit_R2">tlDistrict2R2!$Y$25</definedName>
    <definedName name="tlOutputReg1Seg2CurrentPromotionAllocation_R1">tlDistrict2R1!$I$22</definedName>
    <definedName name="tlOutputReg1Seg2CurrentPromotionAllocation_R2">tlDistrict2R2!$I$22</definedName>
    <definedName name="tlOutputReg1Seg2CurrentReimb_R1">tlDistrict2R1!$Y$19</definedName>
    <definedName name="tlOutputReg1Seg2CurrentReimb_R2">tlDistrict2R2!$Y$19</definedName>
    <definedName name="tlOutputReg1Seg2CurrentSales_R1">tlDistrict2R1!$Y$18</definedName>
    <definedName name="tlOutputReg1Seg2CurrentSales_R2">tlDistrict2R2!$Y$18</definedName>
    <definedName name="tlOutputReg1Seg2CurrentSampleCost_R1">tlDistrict2R1!$Y$21</definedName>
    <definedName name="tlOutputReg1Seg2CurrentSampleCost_R2">tlDistrict2R2!$Y$21</definedName>
    <definedName name="tlOutputReg1Seg2CurrentSpeakerCost_R1">tlDistrict2R1!$Y$22</definedName>
    <definedName name="tlOutputReg1Seg2CurrentSpeakerCost_R2">tlDistrict2R2!$Y$22</definedName>
    <definedName name="tlOutputReg1Seg2CurrentSpeakersCost_R1">tlDistrict2R1!$X$22</definedName>
    <definedName name="tlOutputReg1Seg2CurrentSpeakersCost_R2">tlDistrict2R2!$X$22</definedName>
    <definedName name="tlOutputReg1Seg2CurrentTRxShare_R1">tlDistrict2R1!$Z$10</definedName>
    <definedName name="tlOutputReg1Seg2CurrentTRxShare_R2">tlDistrict2R2!$Z$10</definedName>
    <definedName name="tlOutputReg1Seg2Dash1_R1">tlDistrict2R1!$T$2</definedName>
    <definedName name="tlOutputReg1Seg2Dash1_R2">tlDistrict2R2!$T$2</definedName>
    <definedName name="tlOutputReg1Seg2Dash2_R1">tlDistrict2R1!$T$3</definedName>
    <definedName name="tlOutputReg1Seg2Dash2_R2">tlDistrict2R2!$T$3</definedName>
    <definedName name="tlOutputReg1Seg2Dash3_R1">tlDistrict2R1!$T$4</definedName>
    <definedName name="tlOutputReg1Seg2Dash3_R2">tlDistrict2R2!$T$4</definedName>
    <definedName name="tlOutputReg1Seg2ESAT_R1">tlDistrict2R1!$X$34</definedName>
    <definedName name="tlOutputReg1Seg2ESAT_R2">tlDistrict2R2!$X$34</definedName>
    <definedName name="tlOutputReg1Seg2ESATTitle_R1">tlDistrict2R1!$W$34</definedName>
    <definedName name="tlOutputReg1Seg2ESATTitle_R2">tlDistrict2R2!$W$34</definedName>
    <definedName name="tlOutputReg1Seg2FieldTimeTitle_R1">tlDistrict2R1!$W$38</definedName>
    <definedName name="tlOutputReg1Seg2FieldTimeTitle_R2">tlDistrict2R2!$W$38</definedName>
    <definedName name="tlOutputReg1Seg2ForecastTitle">tlDistrict2R2!$C$9</definedName>
    <definedName name="tlOutputReg1Seg2ForecastTitle_R1">tlDistrict2R1!$C$9</definedName>
    <definedName name="tlOutputReg1Seg2ForecastTitle_R2">tlDistrict2R2!$C$9</definedName>
    <definedName name="tlOutputReg1Seg2FTEsTitle_R1">tlDistrict2R1!$C$36</definedName>
    <definedName name="tlOutputReg1Seg2FTEsTitle_R2">tlDistrict2R2!$C$36</definedName>
    <definedName name="tlOutputReg1Seg2GrowthTitle_R1">tlDistrict2R1!$G$10</definedName>
    <definedName name="tlOutputReg1Seg2GrowthTitle_R2">tlDistrict2R2!$G$10</definedName>
    <definedName name="tlOutputReg1Seg2InternalCostTitle_R1">tlDistrict2R1!$W$24</definedName>
    <definedName name="tlOutputReg1Seg2InternalCostTitle_R2">tlDistrict2R2!$W$24</definedName>
    <definedName name="tlOutputReg1Seg2InternalResCostTitle_R1">tlDistrict2R1!$I$28</definedName>
    <definedName name="tlOutputReg1Seg2InternalResCostTitle_R2">tlDistrict2R2!$I$28</definedName>
    <definedName name="tlOutputReg1Seg2InternalResFTEsTitle_R1">tlDistrict2R1!$G$28</definedName>
    <definedName name="tlOutputReg1Seg2InternalResFTEsTitle_R2">tlDistrict2R2!$G$28</definedName>
    <definedName name="tlOutputReg1Seg2InternalResRepTimeTitle_R1">tlDistrict2R1!$K$28</definedName>
    <definedName name="tlOutputReg1Seg2InternalResRepTimeTitle_R2">tlDistrict2R2!$K$28</definedName>
    <definedName name="tlOutputReg1Seg2InternalResTitle_R1">tlDistrict2R1!$C$28</definedName>
    <definedName name="tlOutputReg1Seg2InternalResTitle_R2">tlDistrict2R2!$C$28</definedName>
    <definedName name="tlOutputReg1Seg2IntTimeTitle_R1">tlDistrict2R1!$W$40</definedName>
    <definedName name="tlOutputReg1Seg2IntTimeTitle_R2">tlDistrict2R2!$W$40</definedName>
    <definedName name="tlOutputReg1Seg2LunchMoneyTitleCost_R1">tlDistrict2R1!$W$23</definedName>
    <definedName name="tlOutputReg1Seg2LunchMoneyTitleCost_R2">tlDistrict2R2!$W$23</definedName>
    <definedName name="tlOutputReg1Seg2NetSalesTitle_R1">tlDistrict2R1!$W$20</definedName>
    <definedName name="tlOutputReg1Seg2NetSalesTitle_R2">tlDistrict2R2!$W$20</definedName>
    <definedName name="tlOutputReg1Seg2NewSharePrev_R1">tlPerfDashboardReg1R1!$AG$13</definedName>
    <definedName name="tlOutputReg1Seg2NewSharePrev_R2">tlPerfDashboardReg1R2!$AG$13</definedName>
    <definedName name="tlOutputReg1Seg2NewVolumePrev_R1">tlPerfDashboardReg1R1!$AH$13</definedName>
    <definedName name="tlOutputReg1Seg2NewVolumePrev_R2">tlPerfDashboardReg1R2!$AH$13</definedName>
    <definedName name="tlOutputReg1Seg2NRxShare_R1">tlPerfDashboardReg1R1!$L$13</definedName>
    <definedName name="tlOutputReg1Seg2NRxShare_R2">tlPerfDashboardReg1R2!$L$13</definedName>
    <definedName name="tlOutputReg1Seg2NRxShareChange_R1">tlPerfDashboardReg1R1!$M$13</definedName>
    <definedName name="tlOutputReg1Seg2NRxShareChange_R2">tlPerfDashboardReg1R2!$M$13</definedName>
    <definedName name="tlOutputReg1Seg2NRxShareTitle_R1">tlDistrict2R1!$X$11</definedName>
    <definedName name="tlOutputReg1Seg2NRxShareTitle_R2">tlDistrict2R2!$X$11</definedName>
    <definedName name="tlOutputReg1Seg2NRxVolume_R1">tlPerfDashboardReg1R1!$O$13</definedName>
    <definedName name="tlOutputReg1Seg2NRxVolume_R2">tlPerfDashboardReg1R2!$O$13</definedName>
    <definedName name="tlOutputReg1Seg2NRxVolumeChange_R1">tlPerfDashboardReg1R1!$P$13</definedName>
    <definedName name="tlOutputReg1Seg2NRxVolumeChange_R2">tlPerfDashboardReg1R2!$P$13</definedName>
    <definedName name="tlOutputReg1Seg2OETitle_R1">tlDistrict2R1!$W$35</definedName>
    <definedName name="tlOutputReg1Seg2OETitle_R2">tlDistrict2R2!$W$35</definedName>
    <definedName name="tlOutputReg1Seg2Payer1Forecast_R1">tlDistrict2R1!$G$12</definedName>
    <definedName name="tlOutputReg1Seg2Payer1Forecast_R2">tlDistrict2R2!$G$12</definedName>
    <definedName name="tlOutputReg1Seg2Payer1Title_R1">tlDistrict2R1!$C$12</definedName>
    <definedName name="tlOutputReg1Seg2Payer1Title_R2">tlDistrict2R2!$C$12</definedName>
    <definedName name="tlOutputReg1Seg2Payer1Visits_R1">tlDistrict2R1!$I$12</definedName>
    <definedName name="tlOutputReg1Seg2Payer1Visits_R2">tlDistrict2R2!$I$12</definedName>
    <definedName name="tlOutputReg1Seg2Payer1Volume_R1">tlDistrict2R1!$E$12</definedName>
    <definedName name="tlOutputReg1Seg2Payer1Volume_R2">tlDistrict2R2!$E$12</definedName>
    <definedName name="tlOutputReg1Seg2Payer2Forecast_R1">tlDistrict2R1!$G$16</definedName>
    <definedName name="tlOutputReg1Seg2Payer2Forecast_R2">tlDistrict2R2!$G$16</definedName>
    <definedName name="tlOutputReg1Seg2Payer2Title_R1">tlDistrict2R1!$C$14</definedName>
    <definedName name="tlOutputReg1Seg2Payer2Title_R2">tlDistrict2R2!$C$14</definedName>
    <definedName name="tlOutputReg1Seg2Payer2Visits_R1">tlDistrict2R1!$I$14</definedName>
    <definedName name="tlOutputReg1Seg2Payer2Visits_R2">tlDistrict2R2!$I$14</definedName>
    <definedName name="tlOutputReg1Seg2Payer2Volume_R1">tlDistrict2R1!$E$16</definedName>
    <definedName name="tlOutputReg1Seg2Payer2Volume_R2">tlDistrict2R2!$E$16</definedName>
    <definedName name="tlOutputReg1Seg2Payer3Forecast_R1">tlDistrict2R1!$G$14</definedName>
    <definedName name="tlOutputReg1Seg2Payer3Forecast_R2">tlDistrict2R2!$G$14</definedName>
    <definedName name="tlOutputReg1Seg2Payer3Volume_R1">tlDistrict2R1!$E$14</definedName>
    <definedName name="tlOutputReg1Seg2Payer3Volume_R2">tlDistrict2R2!$E$14</definedName>
    <definedName name="tlOutputReg1Seg2PayerTitle_R1">tlDistrict2R1!$C$12</definedName>
    <definedName name="tlOutputReg1Seg2PayerTitle_R2">tlDistrict2R2!$C$12</definedName>
    <definedName name="tlOutputReg1Seg2PrevAllocationTitle_R1">tlDistrict2R1!$K$21</definedName>
    <definedName name="tlOutputReg1Seg2PrevAllocationTitle_R2">tlDistrict2R2!$K$21</definedName>
    <definedName name="tlOutputReg1Seg2PrevESAT_R1">tlDistrict2R1!$X$34</definedName>
    <definedName name="tlOutputReg1Seg2PrevESAT_R2">tlDistrict2R2!$X$34</definedName>
    <definedName name="tlOutputReg1Seg2PrevInternalCost_R1">tlDistrict2R1!$X$24</definedName>
    <definedName name="tlOutputReg1Seg2PrevInternalCost_R2">tlDistrict2R2!$X$24</definedName>
    <definedName name="tlOutputReg1Seg2PrevIntTitle_R1">tlDistrict2R1!$X$33</definedName>
    <definedName name="tlOutputReg1Seg2PrevIntTitle_R2">tlDistrict2R2!$X$33</definedName>
    <definedName name="tlOutputReg1Seg2PrevLunchMoneyCost_R1">tlDistrict2R1!$X$23</definedName>
    <definedName name="tlOutputReg1Seg2PrevLunchMoneyCost_R2">tlDistrict2R2!$X$23</definedName>
    <definedName name="tlOutputReg1Seg2PrevNetSales_R1">tlDistrict2R1!$X$20</definedName>
    <definedName name="tlOutputReg1Seg2PrevNetSales_R2">tlDistrict2R2!$X$20</definedName>
    <definedName name="tlOutputReg1Seg2PrevNRxShare_R1">tlDistrict2R1!$Y$11</definedName>
    <definedName name="tlOutputReg1Seg2PrevNRxShare_R2">tlDistrict2R2!$Y$11</definedName>
    <definedName name="tlOutputReg1Seg2PrevOE_R1">tlDistrict2R1!$X$35</definedName>
    <definedName name="tlOutputReg1Seg2PrevOE_R2">tlDistrict2R2!$X$35</definedName>
    <definedName name="tlOutputReg1Seg2PrevProfit_R1">tlDistrict2R1!$X$25</definedName>
    <definedName name="tlOutputReg1Seg2PrevProfit_R2">tlDistrict2R2!$X$25</definedName>
    <definedName name="tlOutputReg1Seg2PrevPromotionCost_R1">tlDistrict2R1!$K$26</definedName>
    <definedName name="tlOutputReg1Seg2PrevPromotionCost_R2">tlDistrict2R2!$K$26</definedName>
    <definedName name="tlOutputReg1Seg2PrevReimb_R1">tlDistrict2R1!$X$19</definedName>
    <definedName name="tlOutputReg1Seg2PrevReimb_R2">tlDistrict2R2!$X$19</definedName>
    <definedName name="tlOutputReg1Seg2PrevSales_R1">tlDistrict2R1!$X$18</definedName>
    <definedName name="tlOutputReg1Seg2PrevSales_R2">tlDistrict2R2!$X$18</definedName>
    <definedName name="tlOutputReg1Seg2PrevSampleCost_R1">tlDistrict2R1!$K$19</definedName>
    <definedName name="tlOutputReg1Seg2PrevSampleCost_R2">tlDistrict2R2!$K$19</definedName>
    <definedName name="tlOutputReg1Seg2PrevSamplesCost_R1">tlDistrict2R1!$X$21</definedName>
    <definedName name="tlOutputReg1Seg2PrevSamplesCost_R2">tlDistrict2R2!$X$21</definedName>
    <definedName name="tlOutputReg1Seg2PrevSpeakerCost_R1">tlDistrict2R1!$K$24</definedName>
    <definedName name="tlOutputReg1Seg2PrevSpeakerCost_R2">tlDistrict2R2!$K$24</definedName>
    <definedName name="tlOutputReg1Seg2PrevSpeakersCost_R1">tlDistrict2R1!$X$22</definedName>
    <definedName name="tlOutputReg1Seg2PrevSpeakersCost_R2">tlDistrict2R2!$X$22</definedName>
    <definedName name="tlOutputReg1Seg2PrevTRxShare_R1">tlDistrict2R1!$Y$10</definedName>
    <definedName name="tlOutputReg1Seg2PrevTRxShare_R2">tlDistrict2R2!$Y$10</definedName>
    <definedName name="tlOutputReg1Seg2PrevVolume_R1">tlPerfDashboardReg1R1!$AA$23</definedName>
    <definedName name="tlOutputReg1Seg2PrevVolume_R2">tlPerfDashboardReg1R2!$AA$23</definedName>
    <definedName name="tlOutputReg1Seg2ProfitTitle_R1">tlDistrict2R1!$W$25</definedName>
    <definedName name="tlOutputReg1Seg2ProfitTitle_R2">tlDistrict2R2!$W$25</definedName>
    <definedName name="tlOutputReg1Seg2ProgramTitle_R1">tlDistrict2R1!$C$3</definedName>
    <definedName name="tlOutputReg1Seg2ProgramTitle_R2">tlDistrict2R2!$C$3</definedName>
    <definedName name="tlOutputReg1Seg2PromotionCost_R1">tlDistrict2R1!$I$26</definedName>
    <definedName name="tlOutputReg1Seg2PromotionCost_R2">tlDistrict2R2!$I$26</definedName>
    <definedName name="tlOutputReg1Seg2PromotionPerc_R1">tlDistrict2R1!$E$26</definedName>
    <definedName name="tlOutputReg1Seg2PromotionPerc_R2">tlDistrict2R2!$E$26</definedName>
    <definedName name="tlOutputReg1Seg2PromotionTitle_R1">tlDistrict2R1!$C$26</definedName>
    <definedName name="tlOutputReg1Seg2PromotionTitle_R2">tlDistrict2R2!$C$26</definedName>
    <definedName name="tlOutputReg1Seg2RegTrainer_R1">tlDistrict2R1!$E$37</definedName>
    <definedName name="tlOutputReg1Seg2RegTrainer_R2">tlDistrict2R2!$E$37</definedName>
    <definedName name="tlOutputReg1Seg2RegTrainerCost_R1">tlDistrict2R1!$I$31</definedName>
    <definedName name="tlOutputReg1Seg2RegTrainerCost_R2">tlDistrict2R2!$I$31</definedName>
    <definedName name="tlOutputReg1Seg2RegTrainerFTEs_R1">tlDistrict2R1!$G$37</definedName>
    <definedName name="tlOutputReg1Seg2RegTrainerFTEs_R2">tlDistrict2R2!$G$37</definedName>
    <definedName name="tlOutputReg1Seg2RegTrainerRepTime_R1">tlDistrict2R1!$K$31</definedName>
    <definedName name="tlOutputReg1Seg2RegTrainerRepTime_R2">tlDistrict2R2!$K$31</definedName>
    <definedName name="tlOutputReg1Seg2RegTrainerTitle_R1">tlDistrict2R1!$C$37</definedName>
    <definedName name="tlOutputReg1Seg2RegTrainerTitle_R2">tlDistrict2R2!$C$37</definedName>
    <definedName name="tlOutputReg1Seg2ReimbTitle_R1">tlDistrict2R1!$W$19</definedName>
    <definedName name="tlOutputReg1Seg2ReimbTitle_R2">tlDistrict2R2!$W$19</definedName>
    <definedName name="tlOutputReg1Seg2Rep1CoachingFTEs_R1">tlDistrict2R1!$G$34</definedName>
    <definedName name="tlOutputReg1Seg2Rep1CoachingFTEs_R2">tlDistrict2R2!$G$34</definedName>
    <definedName name="tlOutputReg1Seg2Rep1ExtTime_R1">tlDistrict2R1!$X$38</definedName>
    <definedName name="tlOutputReg1Seg2Rep1ExtTime_R2">tlDistrict2R2!$X$38</definedName>
    <definedName name="tlOutputReg1Seg2Rep1IntTime_R1">tlDistrict2R1!$X$40</definedName>
    <definedName name="tlOutputReg1Seg2Rep1IntTime_R2">tlDistrict2R2!$X$40</definedName>
    <definedName name="tlOutputReg1Seg2Rep1Title_R1">tlDistrict2R1!$E$33</definedName>
    <definedName name="tlOutputReg1Seg2Rep1Title_R2">tlDistrict2R2!$E$33</definedName>
    <definedName name="tlOutputReg1Seg2Rep2ExtTime_R1">tlDistrict2R1!$Y$38</definedName>
    <definedName name="tlOutputReg1Seg2Rep2ExtTime_R2">tlDistrict2R2!$Y$38</definedName>
    <definedName name="tlOutputReg1Seg2Rep2IntTime_R1">tlDistrict2R1!$Y$40</definedName>
    <definedName name="tlOutputReg1Seg2Rep2IntTime_R2">tlDistrict2R2!$Y$40</definedName>
    <definedName name="tlOutputReg1Seg2Rep2Title_R1">tlDistrict2R1!$G$33</definedName>
    <definedName name="tlOutputReg1Seg2Rep2Title_R2">tlDistrict2R2!$G$33</definedName>
    <definedName name="tlOutputReg1Seg2Rep3ExtTime_R1">tlDistrict2R1!$Z$38</definedName>
    <definedName name="tlOutputReg1Seg2Rep3ExtTime_R2">tlDistrict2R2!$Z$38</definedName>
    <definedName name="tlOutputReg1Seg2Rep3IntTime_R1">tlDistrict2R1!$Z$40</definedName>
    <definedName name="tlOutputReg1Seg2Rep3IntTime_R2">tlDistrict2R2!$Z$40</definedName>
    <definedName name="tlOutputReg1Seg2Rep3Title_R1">tlDistrict2R1!$I$33</definedName>
    <definedName name="tlOutputReg1Seg2Rep3Title_R2">tlDistrict2R2!$I$33</definedName>
    <definedName name="tlOutputReg1Seg2RepMgmtTitle_R1">tlDistrict2R1!$C$33</definedName>
    <definedName name="tlOutputReg1Seg2RepMgmtTitle_R2">tlDistrict2R2!$C$33</definedName>
    <definedName name="tlOutputReg1Seg2SalesTitle_R1">tlDistrict2R1!$W$18</definedName>
    <definedName name="tlOutputReg1Seg2SalesTitle_R2">tlDistrict2R2!$W$18</definedName>
    <definedName name="tlOutputReg1Seg2SampleCost_R1">tlDistrict2R1!$I$19</definedName>
    <definedName name="tlOutputReg1Seg2SampleCost_R2">tlDistrict2R2!$I$19</definedName>
    <definedName name="tlOutputReg1Seg2Samples_R1">tlDistrict2R1!$G$19</definedName>
    <definedName name="tlOutputReg1Seg2Samples_R2">tlDistrict2R2!$G$19</definedName>
    <definedName name="tlOutputReg1Seg2SamplesCostTitle_R1">tlDistrict2R1!$W$21</definedName>
    <definedName name="tlOutputReg1Seg2SamplesCostTitle_R2">tlDistrict2R2!$W$21</definedName>
    <definedName name="tlOutputReg1Seg2SamplesPerc_R1">tlDistrict2R1!$E$19</definedName>
    <definedName name="tlOutputReg1Seg2SamplesPerc_R2">tlDistrict2R2!$E$19</definedName>
    <definedName name="tlOutputReg1Seg2SampleTitle_R1">tlDistrict2R1!$C$19</definedName>
    <definedName name="tlOutputReg1Seg2SampleTitle_R2">tlDistrict2R2!$C$19</definedName>
    <definedName name="tlOutputReg1Seg2SpeakerCost_R1">tlDistrict2R1!$I$24</definedName>
    <definedName name="tlOutputReg1Seg2SpeakerCost_R2">tlDistrict2R2!$I$24</definedName>
    <definedName name="tlOutputReg1Seg2SpeakersPerc_R1">tlDistrict2R1!$E$24</definedName>
    <definedName name="tlOutputReg1Seg2SpeakersPerc_R2">tlDistrict2R2!$E$24</definedName>
    <definedName name="tlOutputReg1Seg2SpeakersTitleCost_R1">tlDistrict2R1!$W$22</definedName>
    <definedName name="tlOutputReg1Seg2SpeakersTitleCost_R2">tlDistrict2R2!$W$22</definedName>
    <definedName name="tlOutputReg1Seg2SpeakerTitle_R1">tlDistrict2R1!$C$24</definedName>
    <definedName name="tlOutputReg1Seg2SpeakerTitle_R2">tlDistrict2R2!$C$24</definedName>
    <definedName name="tlOutputReg1Seg2Therapy1PrevWeightTitle_R1">tlDistrict2R1!$C$40</definedName>
    <definedName name="tlOutputReg1Seg2Therapy1PrevWeightTitle_R2">tlDistrict2R2!$C$40</definedName>
    <definedName name="tlOutputReg1Seg2Therapy1Title_R1">tlDistrict2R1!$C$38</definedName>
    <definedName name="tlOutputReg1Seg2Therapy1Title_R2">tlDistrict2R2!$C$38</definedName>
    <definedName name="tlOutputReg1Seg2Title_R1">tlDistrict2R1!$C$8</definedName>
    <definedName name="tlOutputReg1Seg2Title_R2">tlDistrict2R2!$B$3</definedName>
    <definedName name="tlOutputReg1Seg2TotalMarketVolume_R1">tlPerfDashboardReg1R1!$E$23</definedName>
    <definedName name="tlOutputReg1Seg2TotalMarketVolume_R2">tlPerfDashboardReg1R2!$E$23</definedName>
    <definedName name="tlOutputReg1Seg2TotalMarketVolumeChange_R1">tlPerfDashboardReg1R1!$F$23</definedName>
    <definedName name="tlOutputReg1Seg2TotalMarketVolumeChange_R2">tlPerfDashboardReg1R2!$F$23</definedName>
    <definedName name="tlOutputReg1Seg2TotalSharePrev_R1">tlPerfDashboardReg1R1!$AC$13</definedName>
    <definedName name="tlOutputReg1Seg2TotalSharePrev_R2">tlPerfDashboardReg1R2!$AC$13</definedName>
    <definedName name="tlOutputReg1Seg2TotalVolumePrev_R1">tlPerfDashboardReg1R1!$AD$13</definedName>
    <definedName name="tlOutputReg1Seg2TotalVolumePrev_R2">tlPerfDashboardReg1R2!$AD$13</definedName>
    <definedName name="tlOutputReg1Seg2TRxShare_R1">tlPerfDashboardReg1R1!$E$13</definedName>
    <definedName name="tlOutputReg1Seg2TRxShare_R2">tlPerfDashboardReg1R2!$E$13</definedName>
    <definedName name="tlOutputReg1Seg2TRxShareChange_R1">tlPerfDashboardReg1R1!$F$13</definedName>
    <definedName name="tlOutputReg1Seg2TRxShareChange_R2">tlPerfDashboardReg1R2!$F$13</definedName>
    <definedName name="tlOutputReg1Seg2TRxShareChangeCompView_R1">tlPerfDashboardReg1R1!$J$23</definedName>
    <definedName name="tlOutputReg1Seg2TRxShareChangeCompView_R2">tlPerfDashboardReg1R2!$J$23</definedName>
    <definedName name="tlOutputReg1Seg2TRxShareCompView_R1">tlPerfDashboardReg1R1!$I$23</definedName>
    <definedName name="tlOutputReg1Seg2TRxShareCompView_R2">tlPerfDashboardReg1R2!$I$23</definedName>
    <definedName name="tlOutputReg1Seg2TRxShareTitle_R1">tlDistrict2R1!$X$10</definedName>
    <definedName name="tlOutputReg1Seg2TRxShareTitle_R2">tlDistrict2R2!$X$10</definedName>
    <definedName name="tlOutputReg1Seg2TRxVolume_R1">tlPerfDashboardReg1R1!$I$13</definedName>
    <definedName name="tlOutputReg1Seg2TRxVolume_R2">tlPerfDashboardReg1R2!$I$13</definedName>
    <definedName name="tlOutputReg1Seg2TRxVolumeChange_R1">tlPerfDashboardReg1R1!$J$13</definedName>
    <definedName name="tlOutputReg1Seg2TRxVolumeChange_R2">tlPerfDashboardReg1R2!$J$13</definedName>
    <definedName name="tlOutputReg1Seg2TRxVolumeChangeCompView_R1">tlPerfDashboardReg1R1!$M$23</definedName>
    <definedName name="tlOutputReg1Seg2TRxVolumeChangeCompView_R2">tlPerfDashboardReg1R2!$M$23</definedName>
    <definedName name="tlOutputReg1Seg2TRxVolumeCompView_R1">tlPerfDashboardReg1R1!$L$23</definedName>
    <definedName name="tlOutputReg1Seg2TRxVolumeCompView_R2">tlPerfDashboardReg1R2!$L$23</definedName>
    <definedName name="tlOutputReg1Seg3AllocPercSalesTitle_R1">tlDistrict3R1!$G$18</definedName>
    <definedName name="tlOutputReg1Seg3AllocPercSalesTitle_R2">tlDistrict3R2!$G$18</definedName>
    <definedName name="tlOutputReg1Seg3CfCollabCost_R1">tlDistrict3R1!$I$29</definedName>
    <definedName name="tlOutputReg1Seg3CfCollabCost_R2">tlDistrict3R2!$I$29</definedName>
    <definedName name="tlOutputReg1Seg3CfCollabFTEs_R1">tlDistrict3R1!$G$29</definedName>
    <definedName name="tlOutputReg1Seg3CfCollabFTEs_R2">tlDistrict3R2!$G$29</definedName>
    <definedName name="tlOutputReg1Seg3CfCollabTitle_R1">tlDistrict3R1!$C$29</definedName>
    <definedName name="tlOutputReg1Seg3CfCollabTitle_R2">tlDistrict3R2!$C$29</definedName>
    <definedName name="tlOutputReg1Seg3CfRepTime_R1">tlDistrict3R1!$K$29</definedName>
    <definedName name="tlOutputReg1Seg3CfRepTime_R2">tlDistrict3R2!$K$29</definedName>
    <definedName name="tlOutputReg1Seg3CoachingTitle_R1">tlDistrict3R1!$C$34</definedName>
    <definedName name="tlOutputReg1Seg3CoachingTitle_R2">tlDistrict3R2!$C$34</definedName>
    <definedName name="tlOutputReg1Seg3Comp1TotalPrevShare_R1">tlPerfDashboardReg1R1!$AB$24</definedName>
    <definedName name="tlOutputReg1Seg3Comp1TotalPrevShare_R2">tlPerfDashboardReg1R2!$AB$24</definedName>
    <definedName name="tlOutputReg1Seg3Comp1TotalPrevVol_R1">tlPerfDashboardReg1R1!$AD$24</definedName>
    <definedName name="tlOutputReg1Seg3Comp1TotalPrevVol_R2">tlPerfDashboardReg1R2!$AD$24</definedName>
    <definedName name="tlOutputReg1Seg3Comp1TRxShare_R1">tlPerfDashboardReg1R1!$O$24</definedName>
    <definedName name="tlOutputReg1Seg3Comp1TRxShare_R2">tlPerfDashboardReg1R2!$O$24</definedName>
    <definedName name="tlOutputReg1Seg3Comp1TRxShareChange_R1">tlPerfDashboardReg1R1!$P$24</definedName>
    <definedName name="tlOutputReg1Seg3Comp1TRxShareChange_R2">tlPerfDashboardReg1R2!$P$24</definedName>
    <definedName name="tlOutputReg1Seg3Comp1TRxVolume_R1">tlPerfDashboardReg1R1!$R$24</definedName>
    <definedName name="tlOutputReg1Seg3Comp1TRxVolume_R2">tlPerfDashboardReg1R2!$R$24</definedName>
    <definedName name="tlOutputReg1Seg3Comp1TRxVolumeChange_R1">tlPerfDashboardReg1R1!$S$24</definedName>
    <definedName name="tlOutputReg1Seg3Comp1TRxVolumeChange_R2">tlPerfDashboardReg1R2!$S$24</definedName>
    <definedName name="tlOutputReg1Seg3Comp2TotalPrevShare_R1">tlPerfDashboardReg1R1!$AC$24</definedName>
    <definedName name="tlOutputReg1Seg3Comp2TotalPrevShare_R2">tlPerfDashboardReg1R2!$AC$24</definedName>
    <definedName name="tlOutputReg1Seg3Comp2TotalPrevVol_R1">tlPerfDashboardReg1R1!$AE$24</definedName>
    <definedName name="tlOutputReg1Seg3Comp2TotalPrevVol_R2">tlPerfDashboardReg1R2!$AE$24</definedName>
    <definedName name="tlOutputReg1Seg3Comp2TRxShare_R1">tlPerfDashboardReg1R1!$U$24</definedName>
    <definedName name="tlOutputReg1Seg3Comp2TRxShare_R2">tlPerfDashboardReg1R2!$U$24</definedName>
    <definedName name="tlOutputReg1Seg3Comp2TRxShareChange_R1">tlPerfDashboardReg1R1!$V$24</definedName>
    <definedName name="tlOutputReg1Seg3Comp2TRxShareChange_R2">tlPerfDashboardReg1R2!$V$24</definedName>
    <definedName name="tlOutputReg1Seg3Comp2TRxVolume_R1">tlPerfDashboardReg1R1!$X$24</definedName>
    <definedName name="tlOutputReg1Seg3Comp2TRxVolume_R2">tlPerfDashboardReg1R2!$X$24</definedName>
    <definedName name="tlOutputReg1Seg3Comp2TRxVolumeChange_R1">tlPerfDashboardReg1R1!$Y$24</definedName>
    <definedName name="tlOutputReg1Seg3Comp2TRxVolumeChange_R2">tlPerfDashboardReg1R2!$Y$24</definedName>
    <definedName name="tlOutputReg1Seg3CurrentAllocationTitle_R1">tlDistrict3R1!$I$21</definedName>
    <definedName name="tlOutputReg1Seg3CurrentAllocationTitle_R2">tlDistrict3R2!$I$21</definedName>
    <definedName name="tlOutputReg1Seg3CurrentESAT_R1">tlDistrict3R1!$Y$34</definedName>
    <definedName name="tlOutputReg1Seg3CurrentESAT_R2">tlDistrict3R2!$Y$34</definedName>
    <definedName name="tlOutputReg1Seg3CurrentFinTitle_R1">tlDistrict3R1!$Y$17</definedName>
    <definedName name="tlOutputReg1Seg3CurrentFinTitle_R2">tlDistrict3R2!$Y$17</definedName>
    <definedName name="tlOutputReg1Seg3CurrentInternalCost_R1">tlDistrict3R1!$Y$24</definedName>
    <definedName name="tlOutputReg1Seg3CurrentInternalCost_R2">tlDistrict3R2!$Y$24</definedName>
    <definedName name="tlOutputReg1Seg3CurrentIntTitle_R1">tlDistrict3R1!$Y$33</definedName>
    <definedName name="tlOutputReg1Seg3CurrentIntTitle_R2">tlDistrict3R2!$Y$33</definedName>
    <definedName name="tlOutputReg1Seg3CurrentLunchMoneyCost_R1">tlDistrict3R1!$Y$23</definedName>
    <definedName name="tlOutputReg1Seg3CurrentLunchMoneyCost_R2">tlDistrict3R2!$Y$23</definedName>
    <definedName name="tlOutputReg1Seg3CurrentNetSales_R1">tlDistrict3R1!$Y$20</definedName>
    <definedName name="tlOutputReg1Seg3CurrentNetSales_R2">tlDistrict3R2!$Y$20</definedName>
    <definedName name="tlOutputReg1Seg3CurrentNRxShare_R1">tlDistrict3R1!$Z$11</definedName>
    <definedName name="tlOutputReg1Seg3CurrentNRxShare_R2">tlDistrict3R2!$Z$11</definedName>
    <definedName name="tlOutputReg1Seg3CurrentOE_R1">tlDistrict3R1!$Y$35</definedName>
    <definedName name="tlOutputReg1Seg3CurrentOE_R2">tlDistrict3R2!$Y$35</definedName>
    <definedName name="tlOutputReg1Seg3CurrentProfit_R1">tlDistrict3R1!$Y$25</definedName>
    <definedName name="tlOutputReg1Seg3CurrentProfit_R2">tlDistrict3R2!$Y$25</definedName>
    <definedName name="tlOutputReg1Seg3CurrentPromotionAllocation_R1">tlDistrict3R1!$I$22</definedName>
    <definedName name="tlOutputReg1Seg3CurrentPromotionAllocation_R2">tlDistrict3R2!$I$22</definedName>
    <definedName name="tlOutputReg1Seg3CurrentReimb_R1">tlDistrict3R1!$Y$19</definedName>
    <definedName name="tlOutputReg1Seg3CurrentReimb_R2">tlDistrict3R2!$Y$19</definedName>
    <definedName name="tlOutputReg1Seg3CurrentSales_R1">tlDistrict3R1!$Y$18</definedName>
    <definedName name="tlOutputReg1Seg3CurrentSales_R2">tlDistrict3R2!$Y$18</definedName>
    <definedName name="tlOutputReg1Seg3CurrentSampleCost_R1">tlDistrict3R1!$Y$21</definedName>
    <definedName name="tlOutputReg1Seg3CurrentSampleCost_R2">tlDistrict3R2!$Y$21</definedName>
    <definedName name="tlOutputReg1Seg3CurrentSpeakerCost_R1">tlDistrict3R1!$Y$22</definedName>
    <definedName name="tlOutputReg1Seg3CurrentSpeakerCost_R2">tlDistrict3R2!$Y$22</definedName>
    <definedName name="tlOutputReg1Seg3CurrentSpeakersCost_R1">tlDistrict3R1!$X$22</definedName>
    <definedName name="tlOutputReg1Seg3CurrentSpeakersCost_R2">tlDistrict3R2!$X$22</definedName>
    <definedName name="tlOutputReg1Seg3CurrentTRxShare_R1">tlDistrict3R1!$Z$10</definedName>
    <definedName name="tlOutputReg1Seg3CurrentTRxShare_R2">tlDistrict3R2!$Z$10</definedName>
    <definedName name="tlOutputReg1Seg3Dash1_R1">tlDistrict3R1!$T$2</definedName>
    <definedName name="tlOutputReg1Seg3Dash1_R2">tlDistrict3R2!$T$2</definedName>
    <definedName name="tlOutputReg1Seg3Dash2_R1">tlDistrict3R1!$T$3</definedName>
    <definedName name="tlOutputReg1Seg3Dash2_R2">tlDistrict3R2!$T$3</definedName>
    <definedName name="tlOutputReg1Seg3Dash3_R1">tlDistrict3R1!$T$4</definedName>
    <definedName name="tlOutputReg1Seg3Dash3_R2">tlDistrict3R2!$T$4</definedName>
    <definedName name="tlOutputReg1Seg3ESAT_R1">tlDistrict3R1!$X$34</definedName>
    <definedName name="tlOutputReg1Seg3ESAT_R2">tlDistrict3R2!$X$34</definedName>
    <definedName name="tlOutputReg1Seg3ESATTitle_R1">tlDistrict3R1!$W$34</definedName>
    <definedName name="tlOutputReg1Seg3ESATTitle_R2">tlDistrict3R2!$W$34</definedName>
    <definedName name="tlOutputReg1Seg3FieldTimeTitle_R1">tlDistrict3R1!$W$38</definedName>
    <definedName name="tlOutputReg1Seg3FieldTimeTitle_R2">tlDistrict3R2!$W$38</definedName>
    <definedName name="tlOutputReg1Seg3ForecastTitle">tlDistrict3R2!$C$9</definedName>
    <definedName name="tlOutputReg1Seg3ForecastTitle_R1">tlDistrict3R1!$C$9</definedName>
    <definedName name="tlOutputReg1Seg3ForecastTitle_R2">tlDistrict3R2!$C$9</definedName>
    <definedName name="tlOutputReg1Seg3FTEsTitle_R1">tlDistrict3R1!$G$33</definedName>
    <definedName name="tlOutputReg1Seg3FTEsTitle_R2">tlDistrict3R2!$C$36</definedName>
    <definedName name="tlOutputReg1Seg3GrowthTitle_R1">tlDistrict3R1!$G$10</definedName>
    <definedName name="tlOutputReg1Seg3GrowthTitle_R2">tlDistrict3R2!$G$10</definedName>
    <definedName name="tlOutputReg1Seg3InternalCostTitle_R1">tlDistrict3R1!$W$24</definedName>
    <definedName name="tlOutputReg1Seg3InternalCostTitle_R2">tlDistrict3R2!$W$24</definedName>
    <definedName name="tlOutputReg1Seg3InternalResCostTitle_R1">tlDistrict3R1!$I$28</definedName>
    <definedName name="tlOutputReg1Seg3InternalResCostTitle_R2">tlDistrict3R2!$I$28</definedName>
    <definedName name="tlOutputReg1Seg3InternalResFTEsTitle_R1">tlDistrict3R1!$G$28</definedName>
    <definedName name="tlOutputReg1Seg3InternalResFTEsTitle_R2">tlDistrict3R2!$G$28</definedName>
    <definedName name="tlOutputReg1Seg3InternalResRepTimeTitle_R1">tlDistrict3R1!$K$28</definedName>
    <definedName name="tlOutputReg1Seg3InternalResRepTimeTitle_R2">tlDistrict3R2!$K$28</definedName>
    <definedName name="tlOutputReg1Seg3InternalResTitle_R1">tlDistrict3R1!$C$28</definedName>
    <definedName name="tlOutputReg1Seg3InternalResTitle_R2">tlDistrict3R2!$C$28</definedName>
    <definedName name="tlOutputReg1Seg3IntTimeTitle_R1">tlDistrict3R1!$W$40</definedName>
    <definedName name="tlOutputReg1Seg3IntTimeTitle_R2">tlDistrict3R2!$W$40</definedName>
    <definedName name="tlOutputReg1Seg3LunchMoneyTitleCost_R1">tlDistrict3R1!$W$23</definedName>
    <definedName name="tlOutputReg1Seg3LunchMoneyTitleCost_R2">tlDistrict3R2!$W$23</definedName>
    <definedName name="tlOutputReg1Seg3NetSalesTitle_R1">tlDistrict3R1!$W$20</definedName>
    <definedName name="tlOutputReg1Seg3NetSalesTitle_R2">tlDistrict3R2!$W$20</definedName>
    <definedName name="tlOutputReg1Seg3NEwSharePrev_R1">tlPerfDashboardReg1R1!$AG$14</definedName>
    <definedName name="tlOutputReg1Seg3NEwSharePrev_R2">tlPerfDashboardReg1R2!$AG$14</definedName>
    <definedName name="tlOutputReg1Seg3NewVolumePrev_R1">tlPerfDashboardReg1R1!$AH$14</definedName>
    <definedName name="tlOutputReg1Seg3NewVolumePrev_R2">tlPerfDashboardReg1R2!$AH$14</definedName>
    <definedName name="tlOutputReg1Seg3NRxShare_R1">tlPerfDashboardReg1R1!$L$14</definedName>
    <definedName name="tlOutputReg1Seg3NRxShare_R2">tlPerfDashboardReg1R2!$L$14</definedName>
    <definedName name="tlOutputReg1Seg3NRxShareChange_R1">tlPerfDashboardReg1R1!$M$14</definedName>
    <definedName name="tlOutputReg1Seg3NRxShareChange_R2">tlPerfDashboardReg1R2!$M$14</definedName>
    <definedName name="tlOutputReg1Seg3NRxShareTitle_R1">tlDistrict3R1!$X$11</definedName>
    <definedName name="tlOutputReg1Seg3NRxShareTitle_R2">tlDistrict3R2!$X$11</definedName>
    <definedName name="tlOutputReg1Seg3NRxVolume_R1">tlPerfDashboardReg1R1!$O$14</definedName>
    <definedName name="tlOutputReg1Seg3NRxVolume_R2">tlPerfDashboardReg1R2!$O$14</definedName>
    <definedName name="tlOutputReg1Seg3NRxVolumeChange_R1">tlPerfDashboardReg1R1!$P$14</definedName>
    <definedName name="tlOutputReg1Seg3NRxVolumeChange_R2">tlPerfDashboardReg1R2!$P$14</definedName>
    <definedName name="tlOutputReg1Seg3OETitle_R1">tlDistrict3R1!$W$35</definedName>
    <definedName name="tlOutputReg1Seg3OETitle_R2">tlDistrict3R2!$W$35</definedName>
    <definedName name="tlOutputReg1Seg3Payer1Forecast_R1">tlDistrict3R1!$G$12</definedName>
    <definedName name="tlOutputReg1Seg3Payer1Forecast_R2">tlDistrict3R2!$G$12</definedName>
    <definedName name="tlOutputReg1Seg3Payer1Title_R1">tlDistrict3R1!$C$12</definedName>
    <definedName name="tlOutputReg1Seg3Payer1Title_R2">tlDistrict3R2!$C$12</definedName>
    <definedName name="tlOutputReg1Seg3Payer1Visits_R1">tlDistrict3R1!$I$12</definedName>
    <definedName name="tlOutputReg1Seg3Payer1Visits_R2">tlDistrict3R2!$I$12</definedName>
    <definedName name="tlOutputReg1Seg3Payer1Volume_R1">tlDistrict3R1!$E$12</definedName>
    <definedName name="tlOutputReg1Seg3Payer1Volume_R2">tlDistrict3R2!$E$12</definedName>
    <definedName name="tlOutputReg1Seg3Payer2Forecast_R1">tlDistrict3R1!$G$16</definedName>
    <definedName name="tlOutputReg1Seg3Payer2Forecast_R2">tlDistrict3R2!$G$16</definedName>
    <definedName name="tlOutputReg1Seg3Payer2Title_R1">tlDistrict3R1!$C$14</definedName>
    <definedName name="tlOutputReg1Seg3Payer2Title_R2">tlDistrict3R2!$C$14</definedName>
    <definedName name="tlOutputReg1Seg3Payer2Visits_R1">tlDistrict3R1!$I$14</definedName>
    <definedName name="tlOutputReg1Seg3Payer2Visits_R2">tlDistrict3R2!$I$14</definedName>
    <definedName name="tlOutputReg1Seg3Payer2Volume_R1">tlDistrict3R1!$E$16</definedName>
    <definedName name="tlOutputReg1Seg3Payer2Volume_R2">tlDistrict3R2!$E$16</definedName>
    <definedName name="tlOutputReg1Seg3Payer3Forecast_R1">tlDistrict3R1!$G$14</definedName>
    <definedName name="tlOutputReg1Seg3Payer3Forecast_R2">tlDistrict3R2!$G$14</definedName>
    <definedName name="tlOutputReg1Seg3Payer3Volume_R1">tlDistrict3R1!$E$14</definedName>
    <definedName name="tlOutputReg1Seg3Payer3Volume_R2">tlDistrict3R2!$E$14</definedName>
    <definedName name="tlOutputReg1Seg3PayerTitle_R1">tlDistrict3R1!$C$12</definedName>
    <definedName name="tlOutputReg1Seg3PayerTitle_R2">tlDistrict3R2!$C$12</definedName>
    <definedName name="tlOutputReg1Seg3PrevAllocationTitle_R1">tlDistrict3R1!$K$21</definedName>
    <definedName name="tlOutputReg1Seg3PrevAllocationTitle_R2">tlDistrict3R2!$K$21</definedName>
    <definedName name="tlOutputReg1Seg3PrevESAT_R1">tlDistrict3R1!$X$34</definedName>
    <definedName name="tlOutputReg1Seg3PrevESAT_R2">tlDistrict3R2!$X$34</definedName>
    <definedName name="tlOutputReg1Seg3PrevInternalCost_R1">tlDistrict3R1!$X$24</definedName>
    <definedName name="tlOutputReg1Seg3PrevInternalCost_R2">tlDistrict3R2!$X$24</definedName>
    <definedName name="tlOutputReg1Seg3PrevIntTitle_R1">tlDistrict3R1!$X$33</definedName>
    <definedName name="tlOutputReg1Seg3PrevIntTitle_R2">tlDistrict3R2!$X$33</definedName>
    <definedName name="tlOutputReg1Seg3PrevLunchMoneyCost_R1">tlDistrict3R1!$X$23</definedName>
    <definedName name="tlOutputReg1Seg3PrevLunchMoneyCost_R2">tlDistrict3R2!$X$23</definedName>
    <definedName name="tlOutputReg1Seg3PrevNetSales_R1">tlDistrict3R1!$X$20</definedName>
    <definedName name="tlOutputReg1Seg3PrevNetSales_R2">tlDistrict3R2!$X$20</definedName>
    <definedName name="tlOutputReg1Seg3PrevNRxShare_R1">tlDistrict3R1!$Y$11</definedName>
    <definedName name="tlOutputReg1Seg3PrevNRxShare_R2">tlDistrict3R2!$Y$11</definedName>
    <definedName name="tlOutputReg1Seg3PrevOE_R1">tlDistrict3R1!$X$35</definedName>
    <definedName name="tlOutputReg1Seg3PrevOE_R2">tlDistrict3R2!$X$35</definedName>
    <definedName name="tlOutputReg1Seg3PrevProfit_R1">tlDistrict3R1!$X$25</definedName>
    <definedName name="tlOutputReg1Seg3PrevProfit_R2">tlDistrict3R2!$X$25</definedName>
    <definedName name="tlOutputReg1Seg3PrevPromotionAllocation_R1">tlDistrict3R1!$K$22</definedName>
    <definedName name="tlOutputReg1Seg3PrevPromotionCost_R1">tlDistrict3R1!$K$26</definedName>
    <definedName name="tlOutputReg1Seg3PrevPromotionCost_R2">tlDistrict3R2!$K$26</definedName>
    <definedName name="tlOutputReg1Seg3PrevReimb_R1">tlDistrict3R1!$X$19</definedName>
    <definedName name="tlOutputReg1Seg3PrevReimb_R2">tlDistrict3R2!$X$19</definedName>
    <definedName name="tlOutputReg1Seg3PrevSales_R1">tlDistrict3R1!$X$18</definedName>
    <definedName name="tlOutputReg1Seg3PrevSales_R2">tlDistrict3R2!$X$18</definedName>
    <definedName name="tlOutputReg1Seg3PrevSampleCost_R1">tlDistrict3R1!$K$19</definedName>
    <definedName name="tlOutputReg1Seg3PrevSampleCost_R2">tlDistrict3R2!$K$19</definedName>
    <definedName name="tlOutputReg1Seg3PrevSamplesCost_R1">tlDistrict3R1!$X$21</definedName>
    <definedName name="tlOutputReg1Seg3PrevSamplesCost_R2">tlDistrict3R2!$X$21</definedName>
    <definedName name="tlOutputReg1Seg3PrevSpeakerCost_R1">tlDistrict3R1!$K$24</definedName>
    <definedName name="tlOutputReg1Seg3PrevSpeakerCost_R2">tlDistrict3R2!$K$24</definedName>
    <definedName name="tlOutputReg1Seg3PrevSpeakersCost_R1">tlDistrict3R1!$X$22</definedName>
    <definedName name="tlOutputReg1Seg3PrevSpeakersCost_R2">tlDistrict3R2!$X$22</definedName>
    <definedName name="tlOutputReg1Seg3PrevTRxShare_R1">tlDistrict3R1!$Y$10</definedName>
    <definedName name="tlOutputReg1Seg3PrevTRxShare_R2">tlDistrict3R2!$Y$10</definedName>
    <definedName name="tlOutputReg1Seg3PrevVolume_R1">tlPerfDashboardReg1R1!$AA$24</definedName>
    <definedName name="tlOutputReg1Seg3PrevVolume_R2">tlPerfDashboardReg1R2!$AA$24</definedName>
    <definedName name="tlOutputReg1Seg3ProfitTitle_R1">tlDistrict3R1!$W$25</definedName>
    <definedName name="tlOutputReg1Seg3ProfitTitle_R2">tlDistrict3R2!$W$25</definedName>
    <definedName name="tlOutputReg1Seg3ProgramTitle_R1">tlDistrict3R1!$C$3</definedName>
    <definedName name="tlOutputReg1Seg3ProgramTitle_R2">tlDistrict3R2!$C$3</definedName>
    <definedName name="tlOutputReg1Seg3PromotionCost_R1">tlDistrict3R1!$I$26</definedName>
    <definedName name="tlOutputReg1Seg3PromotionCost_R2">tlDistrict3R2!$I$26</definedName>
    <definedName name="tlOutputReg1Seg3PromotionPerc_R1">tlDistrict3R1!$E$26</definedName>
    <definedName name="tlOutputReg1Seg3PromotionPerc_R2">tlDistrict3R2!$E$26</definedName>
    <definedName name="tlOutputReg1Seg3PromotionTitle_R1">tlDistrict3R1!$C$26</definedName>
    <definedName name="tlOutputReg1Seg3PromotionTitle_R2">tlDistrict3R2!$C$26</definedName>
    <definedName name="tlOutputReg1Seg3RegTrainer_R1">tlDistrict3R1!$E$37</definedName>
    <definedName name="tlOutputReg1Seg3RegTrainer_R2">tlDistrict3R2!$E$37</definedName>
    <definedName name="tlOutputReg1Seg3RegTrainerCost_R1">tlDistrict3R1!$I$31</definedName>
    <definedName name="tlOutputReg1Seg3RegTrainerCost_R2">tlDistrict3R2!$I$31</definedName>
    <definedName name="tlOutputReg1Seg3RegTrainerFTEs_R1">tlDistrict3R1!$G$37</definedName>
    <definedName name="tlOutputReg1Seg3RegTrainerFTEs_R2">tlDistrict3R2!$G$37</definedName>
    <definedName name="tlOutputReg1Seg3RegTrainerRepTime_R1">tlDistrict3R1!$K$31</definedName>
    <definedName name="tlOutputReg1Seg3RegTrainerRepTime_R2">tlDistrict3R2!$K$31</definedName>
    <definedName name="tlOutputReg1Seg3RegTrainerTitle_R1">tlDistrict3R1!$C$37</definedName>
    <definedName name="tlOutputReg1Seg3RegTrainerTitle_R2">tlDistrict3R2!$C$37</definedName>
    <definedName name="tlOutputReg1Seg3ReimbTitle_R1">tlDistrict3R1!$W$19</definedName>
    <definedName name="tlOutputReg1Seg3ReimbTitle_R2">tlDistrict3R2!$W$19</definedName>
    <definedName name="tlOutputReg1Seg3Rep1CoachingFTEs_R1">tlDistrict3R1!$G$34</definedName>
    <definedName name="tlOutputReg1Seg3Rep1CoachingFTEs_R2">tlDistrict3R2!$G$34</definedName>
    <definedName name="tlOutputReg1Seg3Rep1ExtTime_R1">tlDistrict3R1!$X$38</definedName>
    <definedName name="tlOutputReg1Seg3Rep1ExtTime_R2">tlDistrict3R2!$X$38</definedName>
    <definedName name="tlOutputReg1Seg3Rep1IntTime_R1">tlDistrict3R1!$X$40</definedName>
    <definedName name="tlOutputReg1Seg3Rep1IntTime_R2">tlDistrict3R2!$X$40</definedName>
    <definedName name="tlOutputReg1Seg3Rep1Title_R1">tlDistrict3R1!$E$33</definedName>
    <definedName name="tlOutputReg1Seg3Rep1Title_R2">tlDistrict3R2!$E$33</definedName>
    <definedName name="tlOutputReg1Seg3Rep2ExtTime_R1">tlDistrict3R1!$Y$38</definedName>
    <definedName name="tlOutputReg1Seg3Rep2ExtTime_R2">tlDistrict3R2!$Y$38</definedName>
    <definedName name="tlOutputReg1Seg3Rep2IntTime_R1">tlDistrict3R1!$Y$40</definedName>
    <definedName name="tlOutputReg1Seg3Rep2IntTime_R2">tlDistrict3R2!$Y$40</definedName>
    <definedName name="tlOutputReg1Seg3Rep2Title_R2">tlDistrict3R2!$G$33</definedName>
    <definedName name="tlOutputReg1Seg3Rep3ExtTime_R1">tlDistrict3R1!$Z$38</definedName>
    <definedName name="tlOutputReg1Seg3Rep3ExtTime_R2">tlDistrict3R2!$Z$38</definedName>
    <definedName name="tlOutputReg1Seg3Rep3IntTime_R1">tlDistrict3R1!$Z$40</definedName>
    <definedName name="tlOutputReg1Seg3Rep3IntTime_R2">tlDistrict3R2!$Z$40</definedName>
    <definedName name="tlOutputReg1Seg3Rep3Title_R1">tlDistrict3R1!$I$33</definedName>
    <definedName name="tlOutputReg1Seg3Rep3Title_R2">tlDistrict3R2!$I$33</definedName>
    <definedName name="tlOutputReg1Seg3RepMgmtTitle_R1">tlDistrict3R1!$C$33</definedName>
    <definedName name="tlOutputReg1Seg3RepMgmtTitle_R2">tlDistrict3R2!$C$33</definedName>
    <definedName name="tlOutputReg1Seg3SalesTitle_R1">tlDistrict3R1!$W$18</definedName>
    <definedName name="tlOutputReg1Seg3SalesTitle_R2">tlDistrict3R2!$W$18</definedName>
    <definedName name="tlOutputReg1Seg3SampleCost_R1">tlDistrict3R1!$I$19</definedName>
    <definedName name="tlOutputReg1Seg3SampleCost_R2">tlDistrict3R2!$I$19</definedName>
    <definedName name="tlOutputReg1Seg3Samples_R1">tlDistrict3R1!$G$19</definedName>
    <definedName name="tlOutputReg1Seg3Samples_R2">tlDistrict3R2!$G$19</definedName>
    <definedName name="tlOutputReg1Seg3SamplesCostTitle_R1">tlDistrict3R1!$W$21</definedName>
    <definedName name="tlOutputReg1Seg3SamplesCostTitle_R2">tlDistrict3R2!$W$21</definedName>
    <definedName name="tlOutputReg1Seg3SamplesPerc_R1">tlDistrict3R1!$E$19</definedName>
    <definedName name="tlOutputReg1Seg3SamplesPerc_R2">tlDistrict3R2!$E$19</definedName>
    <definedName name="tlOutputReg1Seg3SampleTitle_R1">tlDistrict3R1!$C$19</definedName>
    <definedName name="tlOutputReg1Seg3SampleTitle_R2">tlDistrict3R2!$C$19</definedName>
    <definedName name="tlOutputReg1Seg3SpeakerCost_R1">tlDistrict3R1!$I$24</definedName>
    <definedName name="tlOutputReg1Seg3SpeakerCost_R2">tlDistrict3R2!$I$24</definedName>
    <definedName name="tlOutputReg1Seg3SpeakersPerc_R1">tlDistrict3R1!$E$24</definedName>
    <definedName name="tlOutputReg1Seg3SpeakersPerc_R2">tlDistrict3R2!$E$24</definedName>
    <definedName name="tlOutputReg1Seg3SpeakersTitleCost_R1">tlDistrict3R1!$W$22</definedName>
    <definedName name="tlOutputReg1Seg3SpeakersTitleCost_R2">tlDistrict3R2!$W$22</definedName>
    <definedName name="tlOutputReg1Seg3SpeakerTitle_R1">tlDistrict3R1!$C$24</definedName>
    <definedName name="tlOutputReg1Seg3SpeakerTitle_R2">tlDistrict3R2!$C$24</definedName>
    <definedName name="tlOutputReg1Seg3Therapy1PrevWeightTitle_R1">tlDistrict3R1!$C$40</definedName>
    <definedName name="tlOutputReg1Seg3Therapy1PrevWeightTitle_R2">tlDistrict3R2!$C$40</definedName>
    <definedName name="tlOutputReg1Seg3Therapy1Title_R1">tlDistrict3R1!$C$38</definedName>
    <definedName name="tlOutputReg1Seg3Therapy1Title_R2">tlDistrict3R2!$C$38</definedName>
    <definedName name="tlOutputReg1Seg3Title_R1">tlDistrict3R1!$C$8</definedName>
    <definedName name="tlOutputReg1Seg3Title_R2">tlDistrict3R2!$C$8</definedName>
    <definedName name="tlOutputReg1Seg3TotalMarketVolume_R1">tlPerfDashboardReg1R1!$E$24</definedName>
    <definedName name="tlOutputReg1Seg3TotalMarketVolume_R2">tlPerfDashboardReg1R2!$E$24</definedName>
    <definedName name="tlOutputReg1Seg3TotalMarketVolumeChange_R1">tlPerfDashboardReg1R1!$F$24</definedName>
    <definedName name="tlOutputReg1Seg3TotalMarketVolumeChange_R2">tlPerfDashboardReg1R2!$F$24</definedName>
    <definedName name="tlOutputReg1Seg3TotalSharePrev_R1">tlPerfDashboardReg1R1!$AC$14</definedName>
    <definedName name="tlOutputReg1Seg3TotalSharePrev_R2">tlPerfDashboardReg1R2!$AC$14</definedName>
    <definedName name="tlOutputReg1Seg3TotalVolumePrev_R1">tlPerfDashboardReg1R1!$AD$14</definedName>
    <definedName name="tlOutputReg1Seg3TRxShare_R1">tlPerfDashboardReg1R1!$E$14</definedName>
    <definedName name="tlOutputReg1Seg3TRxShare_R2">tlPerfDashboardReg1R2!$E$14</definedName>
    <definedName name="tlOutputReg1Seg3TRxShareChange_R1">tlPerfDashboardReg1R1!$F$14</definedName>
    <definedName name="tlOutputReg1Seg3TRxShareChange_R2">tlPerfDashboardReg1R2!$F$14</definedName>
    <definedName name="tlOutputReg1Seg3TRxShareChangeCompView_R1">tlPerfDashboardReg1R1!$J$24</definedName>
    <definedName name="tlOutputReg1Seg3TRxShareChangeCompView_R2">tlPerfDashboardReg1R2!$J$24</definedName>
    <definedName name="tlOutputReg1Seg3TRxShareCompView_R1">tlPerfDashboardReg1R1!$I$24</definedName>
    <definedName name="tlOutputReg1Seg3TRxShareCompView_R2">tlPerfDashboardReg1R2!$I$24</definedName>
    <definedName name="tlOutputReg1Seg3TRxShareTitle_R1">tlDistrict3R1!$X$10</definedName>
    <definedName name="tlOutputReg1Seg3TRxShareTitle_R2">tlDistrict3R2!$X$10</definedName>
    <definedName name="tlOutputReg1Seg3TRxVolume_R1">tlPerfDashboardReg1R1!$I$14</definedName>
    <definedName name="tlOutputReg1Seg3TRxVolume_R2">tlPerfDashboardReg1R2!$I$14</definedName>
    <definedName name="tlOutputReg1Seg3TRxVolumeChange_R1">tlPerfDashboardReg1R1!$J$14</definedName>
    <definedName name="tlOutputReg1Seg3TRxVolumeChange_R2">tlPerfDashboardReg1R2!$J$14</definedName>
    <definedName name="tlOutputReg1Seg3TRxVolumeChangeCompView_R1">tlPerfDashboardReg1R1!$M$24</definedName>
    <definedName name="tlOutputReg1Seg3TRxVolumeChangeCompView_R2">tlPerfDashboardReg1R2!$M$24</definedName>
    <definedName name="tlOutputReg1Seg3TRxVolumeCompView_R1">tlPerfDashboardReg1R1!$L$24</definedName>
    <definedName name="tlOutputReg1Seg3TRxVolumeCompView_R2">tlPerfDashboardReg1R2!$L$24</definedName>
    <definedName name="tlOutputReg1TotalMarketVolume_R1">tlPerfDashboardReg1R1!$E$21</definedName>
    <definedName name="tlOutputReg1TotalMarketVolume_R2">tlPerfDashboardReg1R2!$E$21</definedName>
    <definedName name="tlOutputReg1TotalMarketVolumeChange_R1">tlPerfDashboardReg1R1!$F$21</definedName>
    <definedName name="tlOutputReg1TotalMarketVolumeChange_R2">tlPerfDashboardReg1R2!$F$21</definedName>
    <definedName name="tlOutputReg1TotalSharePrev_R1">tlPerfDashboardReg1R1!$AC$11</definedName>
    <definedName name="tlOutputReg1TotalSharePrev_R2">tlPerfDashboardReg1R2!$AC$11</definedName>
    <definedName name="tlOutputReg1TotalVolumePrev_R1">tlPerfDashboardReg1R1!$AD$11</definedName>
    <definedName name="tlOutputReg1TotalVolumePrev_R2">tlPerfDashboardReg1R2!$AD$11</definedName>
    <definedName name="tlOutputReg1TRxShare_R1">tlPerfDashboardReg1R1!$E$11</definedName>
    <definedName name="tlOutputReg1TRxShare_R2">tlPerfDashboardReg1R2!$E$11</definedName>
    <definedName name="tlOutputReg1TRxShareChange_R1">tlPerfDashboardReg1R1!$F$11</definedName>
    <definedName name="tlOutputReg1TRxShareChange_R2">tlPerfDashboardReg1R2!$F$11</definedName>
    <definedName name="tlOutputReg1TRxShareChangeCompView_R1">tlPerfDashboardReg1R1!$J$21</definedName>
    <definedName name="tlOutputReg1TRxShareChangeCompView_R2">tlPerfDashboardReg1R2!$J$21</definedName>
    <definedName name="tlOutputReg1TRxShareChangeR1">tlPerfDashboardReg1R1!$F$11</definedName>
    <definedName name="tlOutputReg1TRxShareCompView_R1">tlPerfDashboardReg1R1!$I$21</definedName>
    <definedName name="tlOutputReg1TRxShareCompView_R2">tlPerfDashboardReg1R2!$I$21</definedName>
    <definedName name="tlOutputReg1TRxShareDash">Dashboard!$F$102</definedName>
    <definedName name="tlOutputReg1TRxShareDashFormat">Dashboard!$G$102</definedName>
    <definedName name="tlOutputReg1TRxVolDash">Dashboard!$F$104</definedName>
    <definedName name="tlOutputReg1TRxVolDashFormat">Dashboard!$G$104</definedName>
    <definedName name="tlOutputReg1TRxVolume_R1">tlPerfDashboardReg1R1!$I$11</definedName>
    <definedName name="tlOutputReg1TRxVolume_R2">tlPerfDashboardReg1R2!$I$11</definedName>
    <definedName name="tlOutputReg1TRxVolumeChange_R1">tlPerfDashboardReg1R1!$J$11</definedName>
    <definedName name="tlOutputReg1TRxVolumeChange_R2">tlPerfDashboardReg1R2!$J$11</definedName>
    <definedName name="tlOutputReg1TRxVolumeChangeCompView_R1">tlPerfDashboardReg1R1!$M$21</definedName>
    <definedName name="tlOutputReg1TRxVolumeChangeCompView_R2">tlPerfDashboardReg1R2!$M$21</definedName>
    <definedName name="tlOutputReg1TRxVolumeCompView_R1">tlPerfDashboardReg1R1!$L$21</definedName>
    <definedName name="tlOutputReg1TRxVolumeCompView_R2">tlPerfDashboardReg1R2!$L$21</definedName>
    <definedName name="tlOutputSeg1TotalSharePrev_R1">tlPerfDashboardReg1R1!$AC$13</definedName>
    <definedName name="tlOutputSeg2NewVolumePrev_R1">tlPerfDashboardReg1R1!$AH$13</definedName>
    <definedName name="tlOutputSeg2TotalVolumePrev_R1">tlPerfDashboardReg1R1!$AD$13</definedName>
    <definedName name="tlOutputxxDashboard1">Dashboard!$E$14</definedName>
    <definedName name="tlOutputxxDashboard2">Dashboard!$E$17</definedName>
    <definedName name="tlOutputxxDashboard3">Dashboard!$E$20</definedName>
    <definedName name="tlOutputxxDashboard4">Dashboard!$E$23</definedName>
    <definedName name="tlTeamNumber">tlIntro!$C$18</definedName>
    <definedName name="tlTeamRound">tlIntro!$E$18</definedName>
    <definedName name="vbaPopupMenu1ItemNumber">PopUp!$E$47</definedName>
    <definedName name="vbaPopupMenu1ListFaceID">PopUp!$L$22:$L$39</definedName>
    <definedName name="vbaPopupMenu1ListLevel">PopUp!$E$22:$E$39</definedName>
    <definedName name="vbaPopupMenu1ListMacro">PopUp!$K$22:$K$39</definedName>
    <definedName name="vbaPopupMenu1ListTitle">PopUp!$F$22:$F$39</definedName>
    <definedName name="vbaPopupMenu1Lvl1ItemNumber">PopUp!$E$45</definedName>
    <definedName name="vbaPopupMenu1Lvl2ItemNumber">PopUp!$E$46</definedName>
    <definedName name="vbaPopupMenuActive">PopUp!$E$17</definedName>
    <definedName name="vbaPopupMenuName">PopUp!$E$16</definedName>
    <definedName name="xxBagWeightProductThresh">calc!$N$1891</definedName>
    <definedName name="xxCoachInput">tlTerritory1R1!$X$3</definedName>
    <definedName name="xxDashESATProd1_R1">Dashboard!$J$60</definedName>
    <definedName name="xxDashESATProd1_R2">Dashboard!$K$60</definedName>
    <definedName name="xxDashESATReg1_R1">Dashboard!$J$116</definedName>
    <definedName name="xxDashESATReg1_R2">Dashboard!$K$116</definedName>
    <definedName name="xxDashESATReg11R1">Dashboard!$J$116</definedName>
    <definedName name="xxDashOpEffProd1_R1">Dashboard!$J$61</definedName>
    <definedName name="xxDashOpEffProd1_R2">Dashboard!$K$61</definedName>
    <definedName name="xxDashOpEffReg1_R1">Dashboard!$J$117</definedName>
    <definedName name="xxDashOpEffReg1_R2">Dashboard!$K$117</definedName>
    <definedName name="xxDashProd1NewShare_R1">Dashboard!$J$47</definedName>
    <definedName name="xxDashProd1NewShare_R2">Dashboard!$K$47</definedName>
    <definedName name="xxDashProd1TotalShare_R1">Dashboard!$J$46</definedName>
    <definedName name="xxDashProd1TotalShare_R2">Dashboard!$K$46</definedName>
    <definedName name="xxDashProd1TotalVolume_R1">Dashboard!$J$48</definedName>
    <definedName name="xxDashProd1TotalVolume_R2">Dashboard!$K$48</definedName>
    <definedName name="xxDashReg1NewShare_R1">Dashboard!$J$103</definedName>
    <definedName name="xxDashReg1NewShare_R2">Dashboard!$K$103</definedName>
    <definedName name="xxDashReg1TotalShare_R1">Dashboard!$J$102</definedName>
    <definedName name="xxDashReg1TotalShare_R2">Dashboard!$K$102</definedName>
    <definedName name="xxDashReg1TotalVolume_R1">Dashboard!$J$104</definedName>
    <definedName name="xxDashReg1TotalVolume_R2">Dashboard!$K$104</definedName>
    <definedName name="xxIndexTeam">Controls!$D$21</definedName>
    <definedName name="xxNumOfTeams">Controls!$D$13</definedName>
    <definedName name="xxPromotionThreshold">Controls!$D$56</definedName>
    <definedName name="xxPromotionThreshold_R1">Controls!$D$56</definedName>
    <definedName name="xxPromotionThreshold_R2">Controls!$D$58</definedName>
    <definedName name="xxRBD1DBM2">Controls!$D$50</definedName>
    <definedName name="xxRDB1DBM2">Controls!$D$50</definedName>
    <definedName name="xxRepCapMax">calc!$N$2542</definedName>
    <definedName name="xxRepMaxImpact">calc!$M$2784</definedName>
    <definedName name="xxRepThreshold">calc!$M$2775</definedName>
    <definedName name="xxRepThresholdBagWeight">calc!$N$2682</definedName>
    <definedName name="xxResetTeam">ModuleClearDecisions!$D$8</definedName>
    <definedName name="xxRolePlayScore">Controls!$D$52</definedName>
    <definedName name="xxRound">Controls!$D$17</definedName>
    <definedName name="xxSamplesThreshold">Controls!$D$55</definedName>
    <definedName name="xxSamplesThreshold_R1">Controls!$D$55</definedName>
    <definedName name="xxSamplesThreshold_R2">Controls!$D$57</definedName>
    <definedName name="xxSim0Tool1">Controls!$D$19</definedName>
    <definedName name="xxToolPrefix">Controls!$D$27</definedName>
  </definedNames>
  <calcPr calcId="171027"/>
</workbook>
</file>

<file path=xl/calcChain.xml><?xml version="1.0" encoding="utf-8"?>
<calcChain xmlns="http://schemas.openxmlformats.org/spreadsheetml/2006/main">
  <c r="E2684" i="67" l="1"/>
  <c r="I1910" i="67" l="1"/>
  <c r="H1910" i="67"/>
  <c r="G1910" i="67"/>
  <c r="F1910" i="67"/>
  <c r="E1910" i="67"/>
  <c r="I1909" i="67"/>
  <c r="H1909" i="67"/>
  <c r="G1909" i="67"/>
  <c r="F1909" i="67"/>
  <c r="E1909" i="67"/>
  <c r="I1908" i="67"/>
  <c r="H1908" i="67"/>
  <c r="G1908" i="67"/>
  <c r="F1908" i="67"/>
  <c r="E1908" i="67"/>
  <c r="F60" i="45"/>
  <c r="I24" i="70" l="1"/>
  <c r="I24" i="69"/>
  <c r="I23" i="69"/>
  <c r="I1869" i="67" l="1"/>
  <c r="H1869" i="67"/>
  <c r="G1869" i="67"/>
  <c r="F1869" i="67"/>
  <c r="E1869" i="67"/>
  <c r="C1869" i="67"/>
  <c r="I1868" i="67"/>
  <c r="H1868" i="67"/>
  <c r="G1868" i="67"/>
  <c r="F1868" i="67"/>
  <c r="E1868" i="67"/>
  <c r="C1868" i="67"/>
  <c r="I1867" i="67"/>
  <c r="H1867" i="67"/>
  <c r="G1867" i="67"/>
  <c r="F1867" i="67"/>
  <c r="E1867" i="67"/>
  <c r="C1867" i="67"/>
  <c r="I1866" i="67"/>
  <c r="H1866" i="67"/>
  <c r="G1866" i="67"/>
  <c r="F1866" i="67"/>
  <c r="E1866" i="67"/>
  <c r="C1866" i="67"/>
  <c r="I1865" i="67"/>
  <c r="H1865" i="67"/>
  <c r="G1865" i="67"/>
  <c r="F1865" i="67"/>
  <c r="E1865" i="67"/>
  <c r="C1865" i="67"/>
  <c r="I1864" i="67"/>
  <c r="H1864" i="67"/>
  <c r="G1864" i="67"/>
  <c r="F1864" i="67"/>
  <c r="E1864" i="67"/>
  <c r="C1864" i="67"/>
  <c r="I1855" i="67"/>
  <c r="H1855" i="67"/>
  <c r="G1855" i="67"/>
  <c r="F1855" i="67"/>
  <c r="E1855" i="67"/>
  <c r="C1855" i="67"/>
  <c r="I1854" i="67"/>
  <c r="H1854" i="67"/>
  <c r="G1854" i="67"/>
  <c r="F1854" i="67"/>
  <c r="E1854" i="67"/>
  <c r="C1854" i="67"/>
  <c r="I1853" i="67"/>
  <c r="H1853" i="67"/>
  <c r="G1853" i="67"/>
  <c r="F1853" i="67"/>
  <c r="E1853" i="67"/>
  <c r="C1853" i="67"/>
  <c r="I1852" i="67"/>
  <c r="H1852" i="67"/>
  <c r="G1852" i="67"/>
  <c r="F1852" i="67"/>
  <c r="E1852" i="67"/>
  <c r="C1852" i="67"/>
  <c r="I1851" i="67"/>
  <c r="H1851" i="67"/>
  <c r="G1851" i="67"/>
  <c r="F1851" i="67"/>
  <c r="E1851" i="67"/>
  <c r="C1851" i="67"/>
  <c r="I1850" i="67"/>
  <c r="H1850" i="67"/>
  <c r="G1850" i="67"/>
  <c r="F1850" i="67"/>
  <c r="E1850" i="67"/>
  <c r="C1850" i="67"/>
  <c r="I1832" i="67"/>
  <c r="H1832" i="67"/>
  <c r="G1832" i="67"/>
  <c r="F1832" i="67"/>
  <c r="E1832" i="67"/>
  <c r="I1831" i="67"/>
  <c r="H1831" i="67"/>
  <c r="G1831" i="67"/>
  <c r="F1831" i="67"/>
  <c r="E1831" i="67"/>
  <c r="I1830" i="67"/>
  <c r="H1830" i="67"/>
  <c r="G1830" i="67"/>
  <c r="F1830" i="67"/>
  <c r="E1830" i="67"/>
  <c r="I1829" i="67"/>
  <c r="H1829" i="67"/>
  <c r="G1829" i="67"/>
  <c r="F1829" i="67"/>
  <c r="E1829" i="67"/>
  <c r="I1828" i="67"/>
  <c r="H1828" i="67"/>
  <c r="G1828" i="67"/>
  <c r="F1828" i="67"/>
  <c r="E1828" i="67"/>
  <c r="I1827" i="67"/>
  <c r="H1827" i="67"/>
  <c r="G1827" i="67"/>
  <c r="F1827" i="67"/>
  <c r="E1827" i="67"/>
  <c r="I1809" i="67"/>
  <c r="H1809" i="67"/>
  <c r="G1809" i="67"/>
  <c r="F1809" i="67"/>
  <c r="E1809" i="67"/>
  <c r="I1808" i="67"/>
  <c r="H1808" i="67"/>
  <c r="G1808" i="67"/>
  <c r="F1808" i="67"/>
  <c r="E1808" i="67"/>
  <c r="I1812" i="67"/>
  <c r="H1812" i="67"/>
  <c r="G1812" i="67"/>
  <c r="F1812" i="67"/>
  <c r="E1812" i="67"/>
  <c r="I1811" i="67"/>
  <c r="H1811" i="67"/>
  <c r="G1811" i="67"/>
  <c r="F1811" i="67"/>
  <c r="E1811" i="67"/>
  <c r="I1810" i="67"/>
  <c r="H1810" i="67"/>
  <c r="G1810" i="67"/>
  <c r="F1810" i="67"/>
  <c r="E1810" i="67"/>
  <c r="I1807" i="67"/>
  <c r="H1807" i="67"/>
  <c r="G1807" i="67"/>
  <c r="F1807" i="67"/>
  <c r="E1807" i="67"/>
  <c r="I1919" i="67" l="1"/>
  <c r="H1919" i="67"/>
  <c r="G1919" i="67"/>
  <c r="F1919" i="67"/>
  <c r="E1919" i="67"/>
  <c r="I1918" i="67"/>
  <c r="H1918" i="67"/>
  <c r="G1918" i="67"/>
  <c r="F1918" i="67"/>
  <c r="E1918" i="67"/>
  <c r="I1917" i="67"/>
  <c r="H1917" i="67"/>
  <c r="G1917" i="67"/>
  <c r="F1917" i="67"/>
  <c r="E1917" i="67"/>
  <c r="I1916" i="67"/>
  <c r="H1916" i="67"/>
  <c r="G1916" i="67"/>
  <c r="F1916" i="67"/>
  <c r="E1916" i="67"/>
  <c r="I1915" i="67"/>
  <c r="H1915" i="67"/>
  <c r="G1915" i="67"/>
  <c r="F1915" i="67"/>
  <c r="E1915" i="67"/>
  <c r="I1914" i="67"/>
  <c r="H1914" i="67"/>
  <c r="G1914" i="67"/>
  <c r="F1914" i="67"/>
  <c r="E1914" i="67"/>
  <c r="C1919" i="67"/>
  <c r="C1918" i="67"/>
  <c r="C1917" i="67"/>
  <c r="C1916" i="67"/>
  <c r="C1915" i="67"/>
  <c r="C1914" i="67"/>
  <c r="C1913" i="67"/>
  <c r="C1912" i="67"/>
  <c r="C1911" i="67"/>
  <c r="I1899" i="67"/>
  <c r="H1899" i="67"/>
  <c r="G1899" i="67"/>
  <c r="F1899" i="67"/>
  <c r="E1899" i="67"/>
  <c r="C1899" i="67"/>
  <c r="I1898" i="67"/>
  <c r="H1898" i="67"/>
  <c r="G1898" i="67"/>
  <c r="F1898" i="67"/>
  <c r="E1898" i="67"/>
  <c r="C1898" i="67"/>
  <c r="I1897" i="67"/>
  <c r="H1897" i="67"/>
  <c r="G1897" i="67"/>
  <c r="F1897" i="67"/>
  <c r="E1897" i="67"/>
  <c r="C1897" i="67"/>
  <c r="I1896" i="67"/>
  <c r="H1896" i="67"/>
  <c r="G1896" i="67"/>
  <c r="F1896" i="67"/>
  <c r="E1896" i="67"/>
  <c r="C1896" i="67"/>
  <c r="I1895" i="67"/>
  <c r="H1895" i="67"/>
  <c r="G1895" i="67"/>
  <c r="F1895" i="67"/>
  <c r="E1895" i="67"/>
  <c r="C1895" i="67"/>
  <c r="I1894" i="67"/>
  <c r="H1894" i="67"/>
  <c r="G1894" i="67"/>
  <c r="F1894" i="67"/>
  <c r="E1894" i="67"/>
  <c r="C1894" i="67"/>
  <c r="I1892" i="67"/>
  <c r="H1892" i="67"/>
  <c r="G1892" i="67"/>
  <c r="F1892" i="67"/>
  <c r="E1892" i="67"/>
  <c r="C1892" i="67"/>
  <c r="I1893" i="67"/>
  <c r="H1893" i="67"/>
  <c r="G1893" i="67"/>
  <c r="F1893" i="67"/>
  <c r="E1893" i="67"/>
  <c r="C1893" i="67"/>
  <c r="I1891" i="67"/>
  <c r="H1891" i="67"/>
  <c r="G1891" i="67"/>
  <c r="F1891" i="67"/>
  <c r="E1891" i="67"/>
  <c r="V16" i="51"/>
  <c r="E2113" i="67" l="1"/>
  <c r="I2113" i="67"/>
  <c r="H2113" i="67"/>
  <c r="G2113" i="67"/>
  <c r="F2113" i="67"/>
  <c r="L91" i="32"/>
  <c r="L85" i="32"/>
  <c r="C743" i="65"/>
  <c r="F367" i="65"/>
  <c r="E367" i="65"/>
  <c r="D367" i="65"/>
  <c r="C367" i="65"/>
  <c r="F361" i="65"/>
  <c r="E361" i="65"/>
  <c r="D361" i="65"/>
  <c r="C361" i="65"/>
  <c r="F355" i="65"/>
  <c r="E355" i="65"/>
  <c r="D355" i="65"/>
  <c r="C355" i="65"/>
  <c r="F755" i="65"/>
  <c r="E755" i="65"/>
  <c r="D755" i="65"/>
  <c r="C755" i="65"/>
  <c r="F749" i="65"/>
  <c r="E749" i="65"/>
  <c r="D749" i="65"/>
  <c r="C749" i="65"/>
  <c r="F743" i="65"/>
  <c r="E743" i="65"/>
  <c r="D743" i="65"/>
  <c r="D510" i="65"/>
  <c r="L135" i="32" l="1"/>
  <c r="L129" i="32"/>
  <c r="L116" i="32"/>
  <c r="L123" i="32"/>
  <c r="L110" i="32"/>
  <c r="L104" i="32"/>
  <c r="L97" i="32"/>
  <c r="L51" i="32"/>
  <c r="L50" i="32"/>
  <c r="L49" i="32"/>
  <c r="L48" i="32"/>
  <c r="L45" i="32"/>
  <c r="L44" i="32"/>
  <c r="L43" i="32"/>
  <c r="L42" i="32"/>
  <c r="L39" i="32"/>
  <c r="L38" i="32"/>
  <c r="L37" i="32"/>
  <c r="L36" i="32"/>
  <c r="L33" i="32"/>
  <c r="L32" i="32"/>
  <c r="L31" i="32"/>
  <c r="L30" i="32"/>
  <c r="F835" i="65"/>
  <c r="E835" i="65"/>
  <c r="D835" i="65"/>
  <c r="C835" i="65"/>
  <c r="F833" i="65"/>
  <c r="E833" i="65"/>
  <c r="D833" i="65"/>
  <c r="C833" i="65"/>
  <c r="B833" i="65"/>
  <c r="F832" i="65"/>
  <c r="E832" i="65"/>
  <c r="D832" i="65"/>
  <c r="C832" i="65"/>
  <c r="B832" i="65"/>
  <c r="F831" i="65"/>
  <c r="E831" i="65"/>
  <c r="D831" i="65"/>
  <c r="C831" i="65"/>
  <c r="B831" i="65"/>
  <c r="F828" i="65"/>
  <c r="E828" i="65"/>
  <c r="D828" i="65"/>
  <c r="C828" i="65"/>
  <c r="F826" i="65"/>
  <c r="E826" i="65"/>
  <c r="D826" i="65"/>
  <c r="C826" i="65"/>
  <c r="B826" i="65"/>
  <c r="F825" i="65"/>
  <c r="E825" i="65"/>
  <c r="D825" i="65"/>
  <c r="C825" i="65"/>
  <c r="B825" i="65"/>
  <c r="F824" i="65"/>
  <c r="E824" i="65"/>
  <c r="D824" i="65"/>
  <c r="C824" i="65"/>
  <c r="B824" i="65"/>
  <c r="B830" i="65"/>
  <c r="B823" i="65"/>
  <c r="L195" i="32"/>
  <c r="L194" i="32"/>
  <c r="L193" i="32"/>
  <c r="L192" i="32"/>
  <c r="L189" i="32"/>
  <c r="L188" i="32"/>
  <c r="L187" i="32"/>
  <c r="L186" i="32"/>
  <c r="L183" i="32"/>
  <c r="L182" i="32"/>
  <c r="L181" i="32"/>
  <c r="L180" i="32"/>
  <c r="L177" i="32"/>
  <c r="L176" i="32"/>
  <c r="L175" i="32"/>
  <c r="L174" i="32"/>
  <c r="F821" i="65"/>
  <c r="E821" i="65"/>
  <c r="D821" i="65"/>
  <c r="C821" i="65"/>
  <c r="F819" i="65"/>
  <c r="E819" i="65"/>
  <c r="D819" i="65"/>
  <c r="C819" i="65"/>
  <c r="F818" i="65"/>
  <c r="E818" i="65"/>
  <c r="D818" i="65"/>
  <c r="C818" i="65"/>
  <c r="F817" i="65"/>
  <c r="E817" i="65"/>
  <c r="D817" i="65"/>
  <c r="C817" i="65"/>
  <c r="B816" i="65"/>
  <c r="B819" i="65"/>
  <c r="B818" i="65"/>
  <c r="B817" i="65"/>
  <c r="B809" i="65"/>
  <c r="F814" i="65"/>
  <c r="E814" i="65"/>
  <c r="D814" i="65"/>
  <c r="C814" i="65"/>
  <c r="F812" i="65"/>
  <c r="E812" i="65"/>
  <c r="D812" i="65"/>
  <c r="C812" i="65"/>
  <c r="F811" i="65"/>
  <c r="E811" i="65"/>
  <c r="D811" i="65"/>
  <c r="C811" i="65"/>
  <c r="F810" i="65"/>
  <c r="E810" i="65"/>
  <c r="D810" i="65"/>
  <c r="C810" i="65"/>
  <c r="B812" i="65"/>
  <c r="B811" i="65"/>
  <c r="B810" i="65"/>
  <c r="L365" i="32" l="1"/>
  <c r="L364" i="32"/>
  <c r="C1891" i="67" l="1"/>
  <c r="C2676" i="67"/>
  <c r="C2675" i="67"/>
  <c r="C2674" i="67"/>
  <c r="C2673" i="67"/>
  <c r="C2672" i="67"/>
  <c r="C2671" i="67"/>
  <c r="C2670" i="67"/>
  <c r="C2669" i="67"/>
  <c r="C2668" i="67"/>
  <c r="G146" i="45" l="1"/>
  <c r="G145" i="45"/>
  <c r="G132" i="45"/>
  <c r="G131" i="45"/>
  <c r="G90" i="45"/>
  <c r="G89" i="45"/>
  <c r="G76" i="45"/>
  <c r="I2856" i="67"/>
  <c r="H2856" i="67"/>
  <c r="G2856" i="67"/>
  <c r="F2856" i="67"/>
  <c r="E2856" i="67"/>
  <c r="E49" i="43"/>
  <c r="D572" i="65"/>
  <c r="C572" i="65"/>
  <c r="F568" i="65"/>
  <c r="E568" i="65"/>
  <c r="D568" i="65"/>
  <c r="C568" i="65"/>
  <c r="F538" i="65"/>
  <c r="E538" i="65"/>
  <c r="F534" i="65"/>
  <c r="E534" i="65"/>
  <c r="F530" i="65"/>
  <c r="E530" i="65"/>
  <c r="F498" i="65"/>
  <c r="E498" i="65"/>
  <c r="D498" i="65"/>
  <c r="C498" i="65"/>
  <c r="F494" i="65"/>
  <c r="E494" i="65"/>
  <c r="D494" i="65"/>
  <c r="C494" i="65"/>
  <c r="F490" i="65"/>
  <c r="E490" i="65"/>
  <c r="D490" i="65"/>
  <c r="C490" i="65"/>
  <c r="F188" i="65"/>
  <c r="E188" i="65"/>
  <c r="D188" i="65"/>
  <c r="C188" i="65"/>
  <c r="F184" i="65"/>
  <c r="E184" i="65"/>
  <c r="D184" i="65"/>
  <c r="C184" i="65"/>
  <c r="F180" i="65"/>
  <c r="E180" i="65"/>
  <c r="D180" i="65"/>
  <c r="C180" i="65"/>
  <c r="F147" i="65"/>
  <c r="E147" i="65"/>
  <c r="D147" i="65"/>
  <c r="C147" i="65"/>
  <c r="F143" i="65"/>
  <c r="E143" i="65"/>
  <c r="D143" i="65"/>
  <c r="C143" i="65"/>
  <c r="F139" i="65"/>
  <c r="E139" i="65"/>
  <c r="D139" i="65"/>
  <c r="C139" i="65"/>
  <c r="F107" i="65"/>
  <c r="E107" i="65"/>
  <c r="D107" i="65"/>
  <c r="C107" i="65"/>
  <c r="F103" i="65"/>
  <c r="E103" i="65"/>
  <c r="D103" i="65"/>
  <c r="C103" i="65"/>
  <c r="F99" i="65"/>
  <c r="E99" i="65"/>
  <c r="D99" i="65"/>
  <c r="C99" i="65"/>
  <c r="F576" i="65"/>
  <c r="E576" i="65"/>
  <c r="D576" i="65"/>
  <c r="C576" i="65"/>
  <c r="F572" i="65"/>
  <c r="E572" i="65"/>
  <c r="C3156" i="67"/>
  <c r="C3155" i="67"/>
  <c r="C3154" i="67"/>
  <c r="A3154" i="67"/>
  <c r="C3152" i="67"/>
  <c r="C3151" i="67"/>
  <c r="C3150" i="67"/>
  <c r="A3150" i="67"/>
  <c r="C3148" i="67"/>
  <c r="C3146" i="67"/>
  <c r="A3146" i="67"/>
  <c r="C3144" i="67"/>
  <c r="C3142" i="67"/>
  <c r="A3142" i="67"/>
  <c r="I3121" i="67"/>
  <c r="H3121" i="67"/>
  <c r="G3121" i="67"/>
  <c r="F3121" i="67"/>
  <c r="E3121" i="67"/>
  <c r="I3120" i="67"/>
  <c r="H3120" i="67"/>
  <c r="G3120" i="67"/>
  <c r="F3120" i="67"/>
  <c r="E3120" i="67"/>
  <c r="I3119" i="67"/>
  <c r="H3119" i="67"/>
  <c r="G3119" i="67"/>
  <c r="F3119" i="67"/>
  <c r="E3119" i="67"/>
  <c r="I3117" i="67"/>
  <c r="H3117" i="67"/>
  <c r="G3117" i="67"/>
  <c r="F3117" i="67"/>
  <c r="E3117" i="67"/>
  <c r="C3121" i="67"/>
  <c r="C3120" i="67"/>
  <c r="C3119" i="67"/>
  <c r="C3117" i="67"/>
  <c r="C3116" i="67"/>
  <c r="C3115" i="67"/>
  <c r="A3115" i="67"/>
  <c r="A3107" i="67"/>
  <c r="I3113" i="67"/>
  <c r="H3113" i="67"/>
  <c r="G3113" i="67"/>
  <c r="F3113" i="67"/>
  <c r="E3113" i="67"/>
  <c r="I3112" i="67"/>
  <c r="H3112" i="67"/>
  <c r="G3112" i="67"/>
  <c r="F3112" i="67"/>
  <c r="E3112" i="67"/>
  <c r="I3111" i="67"/>
  <c r="H3111" i="67"/>
  <c r="G3111" i="67"/>
  <c r="F3111" i="67"/>
  <c r="E3111" i="67"/>
  <c r="C3113" i="67"/>
  <c r="C3111" i="67"/>
  <c r="I3109" i="67"/>
  <c r="H3109" i="67"/>
  <c r="G3109" i="67"/>
  <c r="F3109" i="67"/>
  <c r="E3109" i="67"/>
  <c r="C3109" i="67"/>
  <c r="I3108" i="67"/>
  <c r="H3108" i="67"/>
  <c r="G3108" i="67"/>
  <c r="F3108" i="67"/>
  <c r="E3108" i="67"/>
  <c r="C3107" i="67"/>
  <c r="I3126" i="67"/>
  <c r="H3126" i="67"/>
  <c r="G3126" i="67"/>
  <c r="F3126" i="67"/>
  <c r="E3126" i="67"/>
  <c r="I3125" i="67"/>
  <c r="H3125" i="67"/>
  <c r="G3125" i="67"/>
  <c r="F3125" i="67"/>
  <c r="E3125" i="67"/>
  <c r="I3124" i="67"/>
  <c r="H3124" i="67"/>
  <c r="G3124" i="67"/>
  <c r="F3124" i="67"/>
  <c r="E3124" i="67"/>
  <c r="E3143" i="67" l="1"/>
  <c r="Y24" i="51" s="1"/>
  <c r="I3143" i="67"/>
  <c r="H3143" i="67"/>
  <c r="G3144" i="67"/>
  <c r="E3144" i="67"/>
  <c r="I3144" i="67"/>
  <c r="X24" i="48"/>
  <c r="G3143" i="67"/>
  <c r="F3144" i="67"/>
  <c r="F3143" i="67"/>
  <c r="H3144" i="67"/>
  <c r="L26" i="32"/>
  <c r="L25" i="32"/>
  <c r="L24" i="32"/>
  <c r="L23" i="32"/>
  <c r="L20" i="32"/>
  <c r="L19" i="32"/>
  <c r="L18" i="32"/>
  <c r="L17" i="32"/>
  <c r="L170" i="32"/>
  <c r="L168" i="32"/>
  <c r="L167" i="32"/>
  <c r="L164" i="32"/>
  <c r="L162" i="32"/>
  <c r="L161" i="32"/>
  <c r="F807" i="65"/>
  <c r="E807" i="65"/>
  <c r="D807" i="65"/>
  <c r="C807" i="65"/>
  <c r="F801" i="65"/>
  <c r="E801" i="65"/>
  <c r="D801" i="65"/>
  <c r="C801" i="65"/>
  <c r="B805" i="65"/>
  <c r="B804" i="65"/>
  <c r="B803" i="65"/>
  <c r="B799" i="65"/>
  <c r="B797" i="65"/>
  <c r="X24" i="49" l="1"/>
  <c r="Y24" i="52"/>
  <c r="C1832" i="67"/>
  <c r="C1830" i="67"/>
  <c r="C1812" i="67"/>
  <c r="C1810" i="67"/>
  <c r="C1829" i="67"/>
  <c r="C1827" i="67"/>
  <c r="C1809" i="67"/>
  <c r="C1807" i="67"/>
  <c r="I2761" i="67"/>
  <c r="H2761" i="67"/>
  <c r="G2761" i="67"/>
  <c r="F2761" i="67"/>
  <c r="E2761" i="67"/>
  <c r="I2751" i="67"/>
  <c r="H2751" i="67"/>
  <c r="G2751" i="67"/>
  <c r="F2751" i="67"/>
  <c r="E2751" i="67"/>
  <c r="I2741" i="67"/>
  <c r="H2741" i="67"/>
  <c r="G2741" i="67"/>
  <c r="F2741" i="67"/>
  <c r="E2741" i="67"/>
  <c r="I2731" i="67"/>
  <c r="H2731" i="67"/>
  <c r="G2731" i="67"/>
  <c r="F2731" i="67"/>
  <c r="E2731" i="67"/>
  <c r="I2721" i="67"/>
  <c r="H2721" i="67"/>
  <c r="G2721" i="67"/>
  <c r="F2721" i="67"/>
  <c r="E2721" i="67"/>
  <c r="I2711" i="67"/>
  <c r="H2711" i="67"/>
  <c r="G2711" i="67"/>
  <c r="F2711" i="67"/>
  <c r="E2711" i="67"/>
  <c r="I2681" i="67"/>
  <c r="H2681" i="67"/>
  <c r="G2681" i="67"/>
  <c r="F2681" i="67"/>
  <c r="E2681" i="67"/>
  <c r="I2691" i="67"/>
  <c r="H2691" i="67"/>
  <c r="G2691" i="67"/>
  <c r="F2691" i="67"/>
  <c r="E2691" i="67"/>
  <c r="I2701" i="67"/>
  <c r="H2701" i="67"/>
  <c r="G2701" i="67"/>
  <c r="F2701" i="67"/>
  <c r="E2701" i="67"/>
  <c r="I42" i="49"/>
  <c r="G42" i="49"/>
  <c r="I42" i="48"/>
  <c r="E42" i="48"/>
  <c r="G42" i="34"/>
  <c r="I42" i="52"/>
  <c r="G42" i="52"/>
  <c r="E42" i="52"/>
  <c r="I42" i="51"/>
  <c r="G42" i="51"/>
  <c r="E42" i="51"/>
  <c r="I42" i="50"/>
  <c r="G42" i="50"/>
  <c r="E42" i="50"/>
  <c r="I1922" i="67"/>
  <c r="H1922" i="67"/>
  <c r="G1922" i="67"/>
  <c r="F1922" i="67"/>
  <c r="E1922" i="67"/>
  <c r="I1921" i="67"/>
  <c r="H1921" i="67"/>
  <c r="G1921" i="67"/>
  <c r="F1921" i="67"/>
  <c r="E1921" i="67"/>
  <c r="I1920" i="67"/>
  <c r="H1920" i="67"/>
  <c r="G1920" i="67"/>
  <c r="F1920" i="67"/>
  <c r="E1920" i="67"/>
  <c r="I1902" i="67"/>
  <c r="H1902" i="67"/>
  <c r="G1902" i="67"/>
  <c r="F1902" i="67"/>
  <c r="E1902" i="67"/>
  <c r="I1901" i="67"/>
  <c r="H1901" i="67"/>
  <c r="G1901" i="67"/>
  <c r="F1901" i="67"/>
  <c r="E1901" i="67"/>
  <c r="B427" i="32" l="1"/>
  <c r="C420" i="32"/>
  <c r="C419" i="32"/>
  <c r="C418" i="32"/>
  <c r="B418" i="32"/>
  <c r="B400" i="32"/>
  <c r="C397" i="32"/>
  <c r="C394" i="32"/>
  <c r="B382" i="32"/>
  <c r="B370" i="32"/>
  <c r="A354" i="32"/>
  <c r="C347" i="32"/>
  <c r="C346" i="32"/>
  <c r="C345" i="32"/>
  <c r="A345" i="32"/>
  <c r="A299" i="32"/>
  <c r="A293" i="32"/>
  <c r="A287" i="32"/>
  <c r="A280" i="32"/>
  <c r="A274" i="32"/>
  <c r="A268" i="32"/>
  <c r="A261" i="32"/>
  <c r="A255" i="32"/>
  <c r="A249" i="32"/>
  <c r="A242" i="32"/>
  <c r="A236" i="32"/>
  <c r="A230" i="32"/>
  <c r="A224" i="32"/>
  <c r="A218" i="32"/>
  <c r="A212" i="32"/>
  <c r="A205" i="32"/>
  <c r="A199" i="32"/>
  <c r="A193" i="32"/>
  <c r="A187" i="32"/>
  <c r="A181" i="32"/>
  <c r="A175" i="32"/>
  <c r="A168" i="32"/>
  <c r="A162" i="32"/>
  <c r="A155" i="32"/>
  <c r="A149" i="32"/>
  <c r="A143" i="32"/>
  <c r="A136" i="32"/>
  <c r="A130" i="32"/>
  <c r="A124" i="32"/>
  <c r="A117" i="32"/>
  <c r="A111" i="32"/>
  <c r="A105" i="32"/>
  <c r="A98" i="32"/>
  <c r="A92" i="32"/>
  <c r="A86" i="32"/>
  <c r="A80" i="32"/>
  <c r="A74" i="32"/>
  <c r="A68" i="32"/>
  <c r="A61" i="32"/>
  <c r="A55" i="32"/>
  <c r="A49" i="32"/>
  <c r="A43" i="32"/>
  <c r="A37" i="32"/>
  <c r="A31" i="32"/>
  <c r="A24" i="32"/>
  <c r="A18" i="32"/>
  <c r="C2736" i="67" l="1"/>
  <c r="I2732" i="67"/>
  <c r="I2736" i="67" s="1"/>
  <c r="H2732" i="67"/>
  <c r="H2736" i="67" s="1"/>
  <c r="G2732" i="67"/>
  <c r="G2736" i="67" s="1"/>
  <c r="F2732" i="67"/>
  <c r="F2736" i="67" s="1"/>
  <c r="E2732" i="67"/>
  <c r="E2736" i="67" s="1"/>
  <c r="C2731" i="67"/>
  <c r="C2726" i="67"/>
  <c r="C2721" i="67"/>
  <c r="I2717" i="67"/>
  <c r="H2717" i="67"/>
  <c r="G2717" i="67"/>
  <c r="F2717" i="67"/>
  <c r="E2717" i="67"/>
  <c r="I2712" i="67"/>
  <c r="I2716" i="67" s="1"/>
  <c r="H2712" i="67"/>
  <c r="H2716" i="67" s="1"/>
  <c r="G2712" i="67"/>
  <c r="G2716" i="67" s="1"/>
  <c r="F2712" i="67"/>
  <c r="F2716" i="67" s="1"/>
  <c r="E2712" i="67"/>
  <c r="E2716" i="67" s="1"/>
  <c r="C2766" i="67"/>
  <c r="I2762" i="67"/>
  <c r="I2766" i="67" s="1"/>
  <c r="H2762" i="67"/>
  <c r="H2766" i="67" s="1"/>
  <c r="G2762" i="67"/>
  <c r="G2766" i="67" s="1"/>
  <c r="F2762" i="67"/>
  <c r="F2766" i="67" s="1"/>
  <c r="E2762" i="67"/>
  <c r="E2766" i="67" s="1"/>
  <c r="C2761" i="67"/>
  <c r="C2756" i="67"/>
  <c r="I2752" i="67"/>
  <c r="I2756" i="67" s="1"/>
  <c r="H2752" i="67"/>
  <c r="H2756" i="67" s="1"/>
  <c r="G2752" i="67"/>
  <c r="G2756" i="67" s="1"/>
  <c r="F2752" i="67"/>
  <c r="F2756" i="67" s="1"/>
  <c r="E2752" i="67"/>
  <c r="E2756" i="67" s="1"/>
  <c r="C2751" i="67"/>
  <c r="C2746" i="67"/>
  <c r="C2741" i="67"/>
  <c r="A2741" i="67"/>
  <c r="C2706" i="67"/>
  <c r="C2701" i="67"/>
  <c r="C2696" i="67"/>
  <c r="I2692" i="67"/>
  <c r="I2696" i="67" s="1"/>
  <c r="H2692" i="67"/>
  <c r="H2696" i="67" s="1"/>
  <c r="G2692" i="67"/>
  <c r="F2692" i="67"/>
  <c r="F2696" i="67" s="1"/>
  <c r="E2692" i="67"/>
  <c r="E2696" i="67" s="1"/>
  <c r="C2691" i="67"/>
  <c r="C2686" i="67"/>
  <c r="C2681" i="67"/>
  <c r="A2681" i="67"/>
  <c r="A2680" i="67"/>
  <c r="A2938" i="67"/>
  <c r="C3056" i="67"/>
  <c r="C3055" i="67"/>
  <c r="C3054" i="67"/>
  <c r="I2664" i="67"/>
  <c r="H2664" i="67"/>
  <c r="G2664" i="67"/>
  <c r="F2664" i="67"/>
  <c r="E2664" i="67"/>
  <c r="I2663" i="67"/>
  <c r="H2663" i="67"/>
  <c r="G2663" i="67"/>
  <c r="F2663" i="67"/>
  <c r="E2663" i="67"/>
  <c r="I2659" i="67"/>
  <c r="H2659" i="67"/>
  <c r="G2659" i="67"/>
  <c r="F2659" i="67"/>
  <c r="E2659" i="67"/>
  <c r="I2658" i="67"/>
  <c r="H2658" i="67"/>
  <c r="G2658" i="67"/>
  <c r="F2658" i="67"/>
  <c r="E2658" i="67"/>
  <c r="I2657" i="67"/>
  <c r="H2657" i="67"/>
  <c r="G2657" i="67"/>
  <c r="F2657" i="67"/>
  <c r="E2657" i="67"/>
  <c r="A2656" i="67"/>
  <c r="I2653" i="67"/>
  <c r="H2653" i="67"/>
  <c r="G2653" i="67"/>
  <c r="F2653" i="67"/>
  <c r="E2653" i="67"/>
  <c r="I2652" i="67"/>
  <c r="H2652" i="67"/>
  <c r="G2652" i="67"/>
  <c r="F2652" i="67"/>
  <c r="E2652" i="67"/>
  <c r="I2648" i="67"/>
  <c r="H2648" i="67"/>
  <c r="G2648" i="67"/>
  <c r="F2648" i="67"/>
  <c r="E2648" i="67"/>
  <c r="I2646" i="67"/>
  <c r="H2646" i="67"/>
  <c r="G2646" i="67"/>
  <c r="F2646" i="67"/>
  <c r="E2646" i="67"/>
  <c r="A2645" i="67"/>
  <c r="I2641" i="67"/>
  <c r="H2641" i="67"/>
  <c r="G2641" i="67"/>
  <c r="F2641" i="67"/>
  <c r="E2641" i="67"/>
  <c r="I2635" i="67"/>
  <c r="H2635" i="67"/>
  <c r="G2635" i="67"/>
  <c r="F2635" i="67"/>
  <c r="E2635" i="67"/>
  <c r="A2634" i="67"/>
  <c r="A356" i="32"/>
  <c r="A355" i="32"/>
  <c r="E11" i="72"/>
  <c r="E10" i="72"/>
  <c r="E9" i="72"/>
  <c r="E8" i="72"/>
  <c r="E7" i="72"/>
  <c r="B1751" i="67"/>
  <c r="B1741" i="67"/>
  <c r="B1731" i="67"/>
  <c r="A1730" i="67"/>
  <c r="B1721" i="67"/>
  <c r="B1711" i="67"/>
  <c r="B1701" i="67"/>
  <c r="A1700" i="67"/>
  <c r="B1690" i="67"/>
  <c r="B1680" i="67"/>
  <c r="B1670" i="67"/>
  <c r="A1669" i="67"/>
  <c r="A1668" i="67"/>
  <c r="A1581" i="67"/>
  <c r="A1551" i="67"/>
  <c r="A1520" i="67"/>
  <c r="B1602" i="67"/>
  <c r="B1592" i="67"/>
  <c r="B1582" i="67"/>
  <c r="B1572" i="67"/>
  <c r="B1562" i="67"/>
  <c r="B1552" i="67"/>
  <c r="B1541" i="67"/>
  <c r="B1531" i="67"/>
  <c r="B1521" i="67"/>
  <c r="A1519" i="67"/>
  <c r="B1613" i="67"/>
  <c r="C1614" i="67"/>
  <c r="C1615" i="67"/>
  <c r="C1616" i="67"/>
  <c r="C1619" i="67"/>
  <c r="C1620" i="67"/>
  <c r="C1621" i="67"/>
  <c r="B1624" i="67"/>
  <c r="C1625" i="67"/>
  <c r="C1626" i="67"/>
  <c r="C1627" i="67"/>
  <c r="C1630" i="67"/>
  <c r="C1631" i="67"/>
  <c r="C1632" i="67"/>
  <c r="B1635" i="67"/>
  <c r="C1636" i="67"/>
  <c r="C1637" i="67"/>
  <c r="C1638" i="67"/>
  <c r="C1641" i="67"/>
  <c r="C1642" i="67"/>
  <c r="C1643" i="67"/>
  <c r="C1647" i="67"/>
  <c r="C1648" i="67"/>
  <c r="C1649" i="67"/>
  <c r="C1651" i="67"/>
  <c r="C1652" i="67"/>
  <c r="C1653" i="67"/>
  <c r="B797" i="67"/>
  <c r="B787" i="67"/>
  <c r="B777" i="67"/>
  <c r="A776" i="67"/>
  <c r="B767" i="67"/>
  <c r="B757" i="67"/>
  <c r="B747" i="67"/>
  <c r="B736" i="67"/>
  <c r="B726" i="67"/>
  <c r="B716" i="67"/>
  <c r="B703" i="67"/>
  <c r="B693" i="67"/>
  <c r="B683" i="67"/>
  <c r="B673" i="67"/>
  <c r="B663" i="67"/>
  <c r="B653" i="67"/>
  <c r="B642" i="67"/>
  <c r="B632" i="67"/>
  <c r="A3342" i="67"/>
  <c r="A3306" i="67"/>
  <c r="A3270" i="67"/>
  <c r="A3269" i="67"/>
  <c r="B3375" i="67"/>
  <c r="B3373" i="67"/>
  <c r="C3372" i="67"/>
  <c r="B3369" i="67"/>
  <c r="B3367" i="67"/>
  <c r="C3366" i="67"/>
  <c r="B3363" i="67"/>
  <c r="B3361" i="67"/>
  <c r="C3360" i="67"/>
  <c r="B3357" i="67"/>
  <c r="B3355" i="67"/>
  <c r="C3354" i="67"/>
  <c r="B3351" i="67"/>
  <c r="B3349" i="67"/>
  <c r="C3348" i="67"/>
  <c r="B3345" i="67"/>
  <c r="B3343" i="67"/>
  <c r="C3342" i="67"/>
  <c r="B3339" i="67"/>
  <c r="B3337" i="67"/>
  <c r="C3336" i="67"/>
  <c r="B3333" i="67"/>
  <c r="B3331" i="67"/>
  <c r="C3330" i="67"/>
  <c r="B3327" i="67"/>
  <c r="B3325" i="67"/>
  <c r="C3324" i="67"/>
  <c r="B3321" i="67"/>
  <c r="B3319" i="67"/>
  <c r="C3318" i="67"/>
  <c r="B3315" i="67"/>
  <c r="B3313" i="67"/>
  <c r="C3312" i="67"/>
  <c r="B3309" i="67"/>
  <c r="B3307" i="67"/>
  <c r="C3306" i="67"/>
  <c r="B3303" i="67"/>
  <c r="B3301" i="67"/>
  <c r="C3300" i="67"/>
  <c r="B3297" i="67"/>
  <c r="B3295" i="67"/>
  <c r="C3294" i="67"/>
  <c r="B3291" i="67"/>
  <c r="B3289" i="67"/>
  <c r="C3288" i="67"/>
  <c r="B3285" i="67"/>
  <c r="B3283" i="67"/>
  <c r="C3282" i="67"/>
  <c r="B3279" i="67"/>
  <c r="B3277" i="67"/>
  <c r="C3276" i="67"/>
  <c r="B3273" i="67"/>
  <c r="B3271" i="67"/>
  <c r="C3270" i="67"/>
  <c r="A3233" i="67"/>
  <c r="B3266" i="67"/>
  <c r="B3264" i="67"/>
  <c r="C3263" i="67"/>
  <c r="B3260" i="67"/>
  <c r="B3258" i="67"/>
  <c r="C3257" i="67"/>
  <c r="B3254" i="67"/>
  <c r="B3252" i="67"/>
  <c r="C3251" i="67"/>
  <c r="B3248" i="67"/>
  <c r="B3246" i="67"/>
  <c r="C3245" i="67"/>
  <c r="B3242" i="67"/>
  <c r="B3240" i="67"/>
  <c r="C3239" i="67"/>
  <c r="B3236" i="67"/>
  <c r="B3234" i="67"/>
  <c r="C3233" i="67"/>
  <c r="B3230" i="67"/>
  <c r="B3228" i="67"/>
  <c r="C3227" i="67"/>
  <c r="B3224" i="67"/>
  <c r="B3222" i="67"/>
  <c r="C3221" i="67"/>
  <c r="B3218" i="67"/>
  <c r="B3216" i="67"/>
  <c r="C3215" i="67"/>
  <c r="B3212" i="67"/>
  <c r="B3210" i="67"/>
  <c r="C3209" i="67"/>
  <c r="B3206" i="67"/>
  <c r="B3204" i="67"/>
  <c r="C3203" i="67"/>
  <c r="B3200" i="67"/>
  <c r="B3198" i="67"/>
  <c r="C3197" i="67"/>
  <c r="C3191" i="67"/>
  <c r="C3185" i="67"/>
  <c r="B3194" i="67"/>
  <c r="B3192" i="67"/>
  <c r="B3188" i="67"/>
  <c r="B3186" i="67"/>
  <c r="C3179" i="67"/>
  <c r="C3173" i="67"/>
  <c r="B3182" i="67"/>
  <c r="B3180" i="67"/>
  <c r="B3176" i="67"/>
  <c r="B3174" i="67"/>
  <c r="B3170" i="67"/>
  <c r="B3168" i="67"/>
  <c r="C3167" i="67"/>
  <c r="B3164" i="67"/>
  <c r="B3162" i="67"/>
  <c r="C3161" i="67"/>
  <c r="A3161" i="67"/>
  <c r="A3160" i="67"/>
  <c r="H11" i="65"/>
  <c r="G2660" i="67" l="1"/>
  <c r="G2662" i="67" s="1"/>
  <c r="G2665" i="67" s="1"/>
  <c r="E2660" i="67"/>
  <c r="E2662" i="67" s="1"/>
  <c r="E2665" i="67" s="1"/>
  <c r="I2660" i="67"/>
  <c r="I2662" i="67" s="1"/>
  <c r="I2665" i="67" s="1"/>
  <c r="H2660" i="67"/>
  <c r="H2662" i="67" s="1"/>
  <c r="H2665" i="67" s="1"/>
  <c r="F2660" i="67"/>
  <c r="F2662" i="67" s="1"/>
  <c r="F2665" i="67" s="1"/>
  <c r="G2696" i="67"/>
  <c r="C3139" i="67"/>
  <c r="C3138" i="67"/>
  <c r="C3137" i="67"/>
  <c r="C3135" i="67"/>
  <c r="C3134" i="67"/>
  <c r="C3133" i="67"/>
  <c r="A3132" i="67"/>
  <c r="I3130" i="67"/>
  <c r="H3130" i="67"/>
  <c r="G3130" i="67"/>
  <c r="F3130" i="67"/>
  <c r="E3130" i="67"/>
  <c r="I3129" i="67"/>
  <c r="H3129" i="67"/>
  <c r="G3129" i="67"/>
  <c r="F3129" i="67"/>
  <c r="E3129" i="67"/>
  <c r="C3130" i="67"/>
  <c r="C3128" i="67"/>
  <c r="C3126" i="67"/>
  <c r="C3124" i="67"/>
  <c r="A3123" i="67"/>
  <c r="C20" i="65"/>
  <c r="G3134" i="67" s="1"/>
  <c r="I2524" i="67"/>
  <c r="H2524" i="67"/>
  <c r="G2524" i="67"/>
  <c r="F2524" i="67"/>
  <c r="E2524" i="67"/>
  <c r="I2515" i="67"/>
  <c r="H2515" i="67"/>
  <c r="G2515" i="67"/>
  <c r="F2515" i="67"/>
  <c r="E2515" i="67"/>
  <c r="I2506" i="67"/>
  <c r="H2506" i="67"/>
  <c r="G2506" i="67"/>
  <c r="F2506" i="67"/>
  <c r="E2506" i="67"/>
  <c r="I2492" i="67"/>
  <c r="H2492" i="67"/>
  <c r="G2492" i="67"/>
  <c r="F2492" i="67"/>
  <c r="E2492" i="67"/>
  <c r="I2483" i="67"/>
  <c r="H2483" i="67"/>
  <c r="G2483" i="67"/>
  <c r="F2483" i="67"/>
  <c r="E2483" i="67"/>
  <c r="I2474" i="67"/>
  <c r="H2474" i="67"/>
  <c r="G2474" i="67"/>
  <c r="F2474" i="67"/>
  <c r="E2474" i="67"/>
  <c r="I2460" i="67"/>
  <c r="H2460" i="67"/>
  <c r="G2460" i="67"/>
  <c r="F2460" i="67"/>
  <c r="E2460" i="67"/>
  <c r="I2451" i="67"/>
  <c r="H2451" i="67"/>
  <c r="G2451" i="67"/>
  <c r="F2451" i="67"/>
  <c r="E2451" i="67"/>
  <c r="I2442" i="67"/>
  <c r="H2442" i="67"/>
  <c r="G2442" i="67"/>
  <c r="F2442" i="67"/>
  <c r="E2442" i="67"/>
  <c r="I2423" i="67"/>
  <c r="H2423" i="67"/>
  <c r="G2423" i="67"/>
  <c r="F2423" i="67"/>
  <c r="E2423" i="67"/>
  <c r="I2414" i="67"/>
  <c r="H2414" i="67"/>
  <c r="G2414" i="67"/>
  <c r="F2414" i="67"/>
  <c r="E2414" i="67"/>
  <c r="I2405" i="67"/>
  <c r="H2405" i="67"/>
  <c r="G2405" i="67"/>
  <c r="F2405" i="67"/>
  <c r="E2405" i="67"/>
  <c r="I2391" i="67"/>
  <c r="H2391" i="67"/>
  <c r="G2391" i="67"/>
  <c r="F2391" i="67"/>
  <c r="E2391" i="67"/>
  <c r="I2382" i="67"/>
  <c r="H2382" i="67"/>
  <c r="G2382" i="67"/>
  <c r="F2382" i="67"/>
  <c r="E2382" i="67"/>
  <c r="I2373" i="67"/>
  <c r="H2373" i="67"/>
  <c r="G2373" i="67"/>
  <c r="F2373" i="67"/>
  <c r="E2373" i="67"/>
  <c r="I2359" i="67"/>
  <c r="H2359" i="67"/>
  <c r="G2359" i="67"/>
  <c r="F2359" i="67"/>
  <c r="E2359" i="67"/>
  <c r="I2350" i="67"/>
  <c r="H2350" i="67"/>
  <c r="G2350" i="67"/>
  <c r="F2350" i="67"/>
  <c r="E2350" i="67"/>
  <c r="I2341" i="67"/>
  <c r="H2341" i="67"/>
  <c r="G2341" i="67"/>
  <c r="F2341" i="67"/>
  <c r="E2341" i="67"/>
  <c r="I2319" i="67"/>
  <c r="H2319" i="67"/>
  <c r="G2319" i="67"/>
  <c r="F2319" i="67"/>
  <c r="E2319" i="67"/>
  <c r="I2310" i="67"/>
  <c r="H2310" i="67"/>
  <c r="G2310" i="67"/>
  <c r="F2310" i="67"/>
  <c r="E2310" i="67"/>
  <c r="I2301" i="67"/>
  <c r="H2301" i="67"/>
  <c r="G2301" i="67"/>
  <c r="F2301" i="67"/>
  <c r="E2301" i="67"/>
  <c r="I2287" i="67"/>
  <c r="H2287" i="67"/>
  <c r="G2287" i="67"/>
  <c r="F2287" i="67"/>
  <c r="E2287" i="67"/>
  <c r="I2278" i="67"/>
  <c r="H2278" i="67"/>
  <c r="G2278" i="67"/>
  <c r="F2278" i="67"/>
  <c r="E2278" i="67"/>
  <c r="I2269" i="67"/>
  <c r="H2269" i="67"/>
  <c r="G2269" i="67"/>
  <c r="F2269" i="67"/>
  <c r="E2269" i="67"/>
  <c r="I2218" i="67"/>
  <c r="H2218" i="67"/>
  <c r="G2218" i="67"/>
  <c r="F2218" i="67"/>
  <c r="E2218" i="67"/>
  <c r="I2209" i="67"/>
  <c r="H2209" i="67"/>
  <c r="G2209" i="67"/>
  <c r="F2209" i="67"/>
  <c r="E2209" i="67"/>
  <c r="I2200" i="67"/>
  <c r="H2200" i="67"/>
  <c r="G2200" i="67"/>
  <c r="F2200" i="67"/>
  <c r="E2200" i="67"/>
  <c r="I2186" i="67"/>
  <c r="H2186" i="67"/>
  <c r="G2186" i="67"/>
  <c r="F2186" i="67"/>
  <c r="E2186" i="67"/>
  <c r="I2177" i="67"/>
  <c r="H2177" i="67"/>
  <c r="G2177" i="67"/>
  <c r="F2177" i="67"/>
  <c r="E2177" i="67"/>
  <c r="I2168" i="67"/>
  <c r="H2168" i="67"/>
  <c r="G2168" i="67"/>
  <c r="F2168" i="67"/>
  <c r="E2168" i="67"/>
  <c r="C2127" i="67"/>
  <c r="C2126" i="67"/>
  <c r="C2125" i="67"/>
  <c r="C2124" i="67"/>
  <c r="C2123" i="67"/>
  <c r="C2122" i="67"/>
  <c r="C2120" i="67"/>
  <c r="C2119" i="67"/>
  <c r="C2118" i="67"/>
  <c r="C2117" i="67"/>
  <c r="C2116" i="67"/>
  <c r="C2115" i="67"/>
  <c r="E26" i="49"/>
  <c r="E26" i="48"/>
  <c r="E26" i="34"/>
  <c r="G3147" i="67" l="1"/>
  <c r="F3148" i="67"/>
  <c r="H3147" i="67"/>
  <c r="G3148" i="67"/>
  <c r="E3147" i="67"/>
  <c r="Y24" i="48" s="1"/>
  <c r="I3147" i="67"/>
  <c r="H3148" i="67"/>
  <c r="F3147" i="67"/>
  <c r="E3148" i="67"/>
  <c r="Y24" i="49" s="1"/>
  <c r="I3148" i="67"/>
  <c r="I3135" i="67"/>
  <c r="I3152" i="67" s="1"/>
  <c r="F3139" i="67"/>
  <c r="F3156" i="67" s="1"/>
  <c r="H3138" i="67"/>
  <c r="H3155" i="67" s="1"/>
  <c r="H3135" i="67"/>
  <c r="H3152" i="67" s="1"/>
  <c r="F3134" i="67"/>
  <c r="I3139" i="67"/>
  <c r="I3156" i="67" s="1"/>
  <c r="E3139" i="67"/>
  <c r="E3156" i="67" s="1"/>
  <c r="Y24" i="55" s="1"/>
  <c r="G3138" i="67"/>
  <c r="G3155" i="67" s="1"/>
  <c r="G3135" i="67"/>
  <c r="G3152" i="67" s="1"/>
  <c r="I3134" i="67"/>
  <c r="E3134" i="67"/>
  <c r="H3139" i="67"/>
  <c r="H3156" i="67" s="1"/>
  <c r="F3138" i="67"/>
  <c r="F3155" i="67" s="1"/>
  <c r="F3135" i="67"/>
  <c r="F3152" i="67" s="1"/>
  <c r="H3134" i="67"/>
  <c r="G3139" i="67"/>
  <c r="G3156" i="67" s="1"/>
  <c r="I3138" i="67"/>
  <c r="I3155" i="67" s="1"/>
  <c r="E3138" i="67"/>
  <c r="E3155" i="67" s="1"/>
  <c r="Y24" i="56" s="1"/>
  <c r="E3135" i="67"/>
  <c r="E3152" i="67" s="1"/>
  <c r="X35" i="52"/>
  <c r="X34" i="52"/>
  <c r="X35" i="51"/>
  <c r="X34" i="51"/>
  <c r="I311" i="31"/>
  <c r="H323" i="31"/>
  <c r="G311" i="31"/>
  <c r="F311" i="31"/>
  <c r="E323" i="31"/>
  <c r="C2113" i="67"/>
  <c r="K17" i="65"/>
  <c r="I2049" i="67"/>
  <c r="H2049" i="67"/>
  <c r="G2049" i="67"/>
  <c r="F2049" i="67"/>
  <c r="E2049" i="67"/>
  <c r="I2046" i="67"/>
  <c r="H2046" i="67"/>
  <c r="G2046" i="67"/>
  <c r="F2046" i="67"/>
  <c r="E2046" i="67"/>
  <c r="I2043" i="67"/>
  <c r="H2043" i="67"/>
  <c r="G2043" i="67"/>
  <c r="F2043" i="67"/>
  <c r="E2043" i="67"/>
  <c r="I2035" i="67"/>
  <c r="H2035" i="67"/>
  <c r="G2035" i="67"/>
  <c r="F2035" i="67"/>
  <c r="E2035" i="67"/>
  <c r="E6" i="72"/>
  <c r="C1948" i="67"/>
  <c r="C1947" i="67"/>
  <c r="I3017" i="67"/>
  <c r="H3017" i="67"/>
  <c r="G3017" i="67"/>
  <c r="F3017" i="67"/>
  <c r="E3017" i="67"/>
  <c r="I3016" i="67"/>
  <c r="H3016" i="67"/>
  <c r="G3016" i="67"/>
  <c r="F3016" i="67"/>
  <c r="E3016" i="67"/>
  <c r="I3015" i="67"/>
  <c r="H3015" i="67"/>
  <c r="G3015" i="67"/>
  <c r="F3015" i="67"/>
  <c r="E3015" i="67"/>
  <c r="B3015" i="67"/>
  <c r="I3013" i="67"/>
  <c r="H3013" i="67"/>
  <c r="G3013" i="67"/>
  <c r="F3013" i="67"/>
  <c r="E3013" i="67"/>
  <c r="I3012" i="67"/>
  <c r="H3012" i="67"/>
  <c r="G3012" i="67"/>
  <c r="F3012" i="67"/>
  <c r="E3012" i="67"/>
  <c r="I3011" i="67"/>
  <c r="H3011" i="67"/>
  <c r="G3011" i="67"/>
  <c r="F3011" i="67"/>
  <c r="E3011" i="67"/>
  <c r="B3011" i="67"/>
  <c r="I3009" i="67"/>
  <c r="H3009" i="67"/>
  <c r="G3009" i="67"/>
  <c r="F3009" i="67"/>
  <c r="E3009" i="67"/>
  <c r="I3008" i="67"/>
  <c r="H3008" i="67"/>
  <c r="G3008" i="67"/>
  <c r="F3008" i="67"/>
  <c r="E3008" i="67"/>
  <c r="I3007" i="67"/>
  <c r="H3007" i="67"/>
  <c r="G3007" i="67"/>
  <c r="F3007" i="67"/>
  <c r="E3007" i="67"/>
  <c r="B3007" i="67"/>
  <c r="I3005" i="67"/>
  <c r="H3005" i="67"/>
  <c r="G3005" i="67"/>
  <c r="F3005" i="67"/>
  <c r="E3005" i="67"/>
  <c r="I3004" i="67"/>
  <c r="H3004" i="67"/>
  <c r="G3004" i="67"/>
  <c r="F3004" i="67"/>
  <c r="E3004" i="67"/>
  <c r="I3003" i="67"/>
  <c r="H3003" i="67"/>
  <c r="G3003" i="67"/>
  <c r="F3003" i="67"/>
  <c r="E3003" i="67"/>
  <c r="B3003" i="67"/>
  <c r="I3001" i="67"/>
  <c r="H3001" i="67"/>
  <c r="G3001" i="67"/>
  <c r="F3001" i="67"/>
  <c r="E3001" i="67"/>
  <c r="I3000" i="67"/>
  <c r="H3000" i="67"/>
  <c r="G3000" i="67"/>
  <c r="F3000" i="67"/>
  <c r="E3000" i="67"/>
  <c r="I2999" i="67"/>
  <c r="H2999" i="67"/>
  <c r="G2999" i="67"/>
  <c r="F2999" i="67"/>
  <c r="E2999" i="67"/>
  <c r="B2999" i="67"/>
  <c r="I2997" i="67"/>
  <c r="H2997" i="67"/>
  <c r="G2997" i="67"/>
  <c r="F2997" i="67"/>
  <c r="E2997" i="67"/>
  <c r="I2996" i="67"/>
  <c r="H2996" i="67"/>
  <c r="G2996" i="67"/>
  <c r="F2996" i="67"/>
  <c r="E2996" i="67"/>
  <c r="I2995" i="67"/>
  <c r="H2995" i="67"/>
  <c r="G2995" i="67"/>
  <c r="F2995" i="67"/>
  <c r="E2995" i="67"/>
  <c r="B2995" i="67"/>
  <c r="I2990" i="67"/>
  <c r="H2990" i="67"/>
  <c r="G2990" i="67"/>
  <c r="F2990" i="67"/>
  <c r="E2990" i="67"/>
  <c r="I2986" i="67"/>
  <c r="H2986" i="67"/>
  <c r="G2986" i="67"/>
  <c r="F2986" i="67"/>
  <c r="E2986" i="67"/>
  <c r="I2982" i="67"/>
  <c r="H2982" i="67"/>
  <c r="G2982" i="67"/>
  <c r="F2982" i="67"/>
  <c r="E2982" i="67"/>
  <c r="I2978" i="67"/>
  <c r="H2978" i="67"/>
  <c r="G2978" i="67"/>
  <c r="F2978" i="67"/>
  <c r="E2978" i="67"/>
  <c r="E2948" i="67"/>
  <c r="F2948" i="67"/>
  <c r="G2948" i="67"/>
  <c r="H2948" i="67"/>
  <c r="I2948" i="67"/>
  <c r="Y24" i="63" l="1"/>
  <c r="X24" i="55"/>
  <c r="A491" i="77"/>
  <c r="E2440" i="67"/>
  <c r="E2472" i="67"/>
  <c r="E2504" i="67"/>
  <c r="E2123" i="67"/>
  <c r="G2299" i="67"/>
  <c r="G2267" i="67"/>
  <c r="H2472" i="67"/>
  <c r="H2504" i="67"/>
  <c r="H2440" i="67"/>
  <c r="H2123" i="67"/>
  <c r="I2299" i="67"/>
  <c r="I2267" i="67"/>
  <c r="F2299" i="67"/>
  <c r="F2267" i="67"/>
  <c r="G2116" i="67"/>
  <c r="I2116" i="67"/>
  <c r="F2116" i="67"/>
  <c r="H311" i="31"/>
  <c r="I323" i="31"/>
  <c r="E311" i="31"/>
  <c r="F323" i="31"/>
  <c r="G323" i="31"/>
  <c r="H3006" i="67"/>
  <c r="I3018" i="67"/>
  <c r="G3018" i="67"/>
  <c r="I3010" i="67"/>
  <c r="G3014" i="67"/>
  <c r="E2998" i="67"/>
  <c r="I2998" i="67"/>
  <c r="F3002" i="67"/>
  <c r="E3002" i="67"/>
  <c r="I3002" i="67"/>
  <c r="F3006" i="67"/>
  <c r="E3006" i="67"/>
  <c r="I3006" i="67"/>
  <c r="F3010" i="67"/>
  <c r="E3010" i="67"/>
  <c r="F3014" i="67"/>
  <c r="E3014" i="67"/>
  <c r="I3014" i="67"/>
  <c r="F3018" i="67"/>
  <c r="E3018" i="67"/>
  <c r="H2998" i="67"/>
  <c r="G2998" i="67"/>
  <c r="F2998" i="67"/>
  <c r="H3002" i="67"/>
  <c r="G3002" i="67"/>
  <c r="G3006" i="67"/>
  <c r="H3010" i="67"/>
  <c r="G3010" i="67"/>
  <c r="H3014" i="67"/>
  <c r="H3018" i="67"/>
  <c r="G415" i="31"/>
  <c r="F415" i="31"/>
  <c r="G412" i="31"/>
  <c r="F412" i="31"/>
  <c r="I409" i="31"/>
  <c r="H409" i="31"/>
  <c r="G409" i="31"/>
  <c r="F409" i="31"/>
  <c r="E409" i="31"/>
  <c r="F416" i="31"/>
  <c r="I410" i="31"/>
  <c r="H410" i="31"/>
  <c r="G410" i="31"/>
  <c r="F410" i="31"/>
  <c r="E410" i="31"/>
  <c r="I407" i="31"/>
  <c r="H407" i="31"/>
  <c r="G407" i="31"/>
  <c r="F407" i="31"/>
  <c r="E407" i="31"/>
  <c r="I414" i="31"/>
  <c r="H414" i="31"/>
  <c r="E414" i="31"/>
  <c r="I411" i="31"/>
  <c r="F411" i="31"/>
  <c r="E411" i="31"/>
  <c r="I408" i="31"/>
  <c r="H408" i="31"/>
  <c r="E408" i="31"/>
  <c r="G42" i="48" s="1"/>
  <c r="I402" i="31"/>
  <c r="H402" i="31"/>
  <c r="G402" i="31"/>
  <c r="F402" i="31"/>
  <c r="E402" i="31"/>
  <c r="I102" i="37"/>
  <c r="I2757" i="67" s="1"/>
  <c r="H102" i="37"/>
  <c r="H2757" i="67" s="1"/>
  <c r="G102" i="37"/>
  <c r="G2757" i="67" s="1"/>
  <c r="F102" i="37"/>
  <c r="F2757" i="67" s="1"/>
  <c r="E102" i="37"/>
  <c r="E2757" i="67" s="1"/>
  <c r="I89" i="37"/>
  <c r="H89" i="37"/>
  <c r="G89" i="37"/>
  <c r="G414" i="31" s="1"/>
  <c r="F89" i="37"/>
  <c r="F414" i="31" s="1"/>
  <c r="E89" i="37"/>
  <c r="I75" i="37"/>
  <c r="I2727" i="67" s="1"/>
  <c r="H75" i="37"/>
  <c r="H2727" i="67" s="1"/>
  <c r="G75" i="37"/>
  <c r="G2727" i="67" s="1"/>
  <c r="F75" i="37"/>
  <c r="F2727" i="67" s="1"/>
  <c r="E75" i="37"/>
  <c r="E2727" i="67" s="1"/>
  <c r="I62" i="37"/>
  <c r="I2722" i="67" s="1"/>
  <c r="I2726" i="67" s="1"/>
  <c r="H62" i="37"/>
  <c r="H2722" i="67" s="1"/>
  <c r="G62" i="37"/>
  <c r="G2722" i="67" s="1"/>
  <c r="F62" i="37"/>
  <c r="F2722" i="67" s="1"/>
  <c r="E62" i="37"/>
  <c r="E2722" i="67" s="1"/>
  <c r="I48" i="37"/>
  <c r="I405" i="31" s="1"/>
  <c r="H48" i="37"/>
  <c r="H405" i="31" s="1"/>
  <c r="G48" i="37"/>
  <c r="F48" i="37"/>
  <c r="E48" i="37"/>
  <c r="E405" i="31" s="1"/>
  <c r="I35" i="37"/>
  <c r="H35" i="37"/>
  <c r="G35" i="37"/>
  <c r="F35" i="37"/>
  <c r="E35" i="37"/>
  <c r="I101" i="37"/>
  <c r="I2747" i="67" s="1"/>
  <c r="H101" i="37"/>
  <c r="H2747" i="67" s="1"/>
  <c r="G101" i="37"/>
  <c r="G2747" i="67" s="1"/>
  <c r="F101" i="37"/>
  <c r="F2747" i="67" s="1"/>
  <c r="E101" i="37"/>
  <c r="E2747" i="67" s="1"/>
  <c r="I88" i="37"/>
  <c r="I2742" i="67" s="1"/>
  <c r="I2746" i="67" s="1"/>
  <c r="H88" i="37"/>
  <c r="H2742" i="67" s="1"/>
  <c r="H2746" i="67" s="1"/>
  <c r="G88" i="37"/>
  <c r="G2742" i="67" s="1"/>
  <c r="G2746" i="67" s="1"/>
  <c r="F88" i="37"/>
  <c r="E88" i="37"/>
  <c r="E2742" i="67" s="1"/>
  <c r="E2746" i="67" s="1"/>
  <c r="I74" i="37"/>
  <c r="H74" i="37"/>
  <c r="G74" i="37"/>
  <c r="F74" i="37"/>
  <c r="E74" i="37"/>
  <c r="I61" i="37"/>
  <c r="H61" i="37"/>
  <c r="G61" i="37"/>
  <c r="F61" i="37"/>
  <c r="E61" i="37"/>
  <c r="I47" i="37"/>
  <c r="H47" i="37"/>
  <c r="G47" i="37"/>
  <c r="F47" i="37"/>
  <c r="E47" i="37"/>
  <c r="E1911" i="67" s="1"/>
  <c r="I34" i="37"/>
  <c r="I2682" i="67" s="1"/>
  <c r="I2686" i="67" s="1"/>
  <c r="H34" i="37"/>
  <c r="H2682" i="67" s="1"/>
  <c r="H2686" i="67" s="1"/>
  <c r="G34" i="37"/>
  <c r="G2682" i="67" s="1"/>
  <c r="G2686" i="67" s="1"/>
  <c r="F34" i="37"/>
  <c r="F2682" i="67" s="1"/>
  <c r="F2686" i="67" s="1"/>
  <c r="E34" i="37"/>
  <c r="E2682" i="67" s="1"/>
  <c r="E2686" i="67" s="1"/>
  <c r="I103" i="37"/>
  <c r="I2767" i="67" s="1"/>
  <c r="H103" i="37"/>
  <c r="H2767" i="67" s="1"/>
  <c r="G103" i="37"/>
  <c r="G2767" i="67" s="1"/>
  <c r="F103" i="37"/>
  <c r="F2767" i="67" s="1"/>
  <c r="E103" i="37"/>
  <c r="E2767" i="67" s="1"/>
  <c r="I90" i="37"/>
  <c r="I415" i="31" s="1"/>
  <c r="H90" i="37"/>
  <c r="H415" i="31" s="1"/>
  <c r="G90" i="37"/>
  <c r="F90" i="37"/>
  <c r="E90" i="37"/>
  <c r="E415" i="31" s="1"/>
  <c r="I76" i="37"/>
  <c r="H76" i="37"/>
  <c r="H2737" i="67" s="1"/>
  <c r="G76" i="37"/>
  <c r="G2737" i="67" s="1"/>
  <c r="F76" i="37"/>
  <c r="F2737" i="67" s="1"/>
  <c r="E76" i="37"/>
  <c r="E2737" i="67" s="1"/>
  <c r="I63" i="37"/>
  <c r="H63" i="37"/>
  <c r="G63" i="37"/>
  <c r="F63" i="37"/>
  <c r="E63" i="37"/>
  <c r="I49" i="37"/>
  <c r="H49" i="37"/>
  <c r="G49" i="37"/>
  <c r="F49" i="37"/>
  <c r="E49" i="37"/>
  <c r="I36" i="37"/>
  <c r="I2702" i="67" s="1"/>
  <c r="I2706" i="67" s="1"/>
  <c r="H36" i="37"/>
  <c r="H2702" i="67" s="1"/>
  <c r="G36" i="37"/>
  <c r="G2702" i="67" s="1"/>
  <c r="F36" i="37"/>
  <c r="F2702" i="67" s="1"/>
  <c r="E36" i="37"/>
  <c r="E2702" i="67" s="1"/>
  <c r="I1882" i="67"/>
  <c r="I1889" i="67" s="1"/>
  <c r="H1882" i="67"/>
  <c r="H1889" i="67" s="1"/>
  <c r="E1882" i="67"/>
  <c r="E1889" i="67" s="1"/>
  <c r="A12" i="77"/>
  <c r="A108" i="77"/>
  <c r="A107" i="77"/>
  <c r="A106" i="77"/>
  <c r="A105" i="77"/>
  <c r="A104" i="77"/>
  <c r="A103" i="77"/>
  <c r="A102" i="77"/>
  <c r="A101" i="77"/>
  <c r="A99" i="77"/>
  <c r="A97" i="77"/>
  <c r="A96" i="77"/>
  <c r="A95" i="77"/>
  <c r="A94" i="77"/>
  <c r="A93" i="77"/>
  <c r="A92" i="77"/>
  <c r="A91" i="77"/>
  <c r="A90" i="77"/>
  <c r="A89" i="77"/>
  <c r="A88" i="77"/>
  <c r="A87" i="77"/>
  <c r="A86" i="77"/>
  <c r="A85" i="77"/>
  <c r="A84" i="77"/>
  <c r="A83" i="77"/>
  <c r="A82" i="77"/>
  <c r="A81" i="77"/>
  <c r="A80" i="77"/>
  <c r="A79" i="77"/>
  <c r="A78" i="77"/>
  <c r="A77" i="77"/>
  <c r="A76" i="77"/>
  <c r="A75" i="77"/>
  <c r="A74" i="77"/>
  <c r="A73" i="77"/>
  <c r="A72" i="77"/>
  <c r="A71" i="77"/>
  <c r="A70" i="77"/>
  <c r="A69" i="77"/>
  <c r="A68" i="77"/>
  <c r="A67" i="77"/>
  <c r="A66" i="77"/>
  <c r="A65" i="77"/>
  <c r="A64" i="77"/>
  <c r="A63" i="77"/>
  <c r="A61" i="77"/>
  <c r="A58" i="77"/>
  <c r="A57" i="77"/>
  <c r="A56" i="77"/>
  <c r="A55" i="77"/>
  <c r="A54" i="77"/>
  <c r="A53" i="77"/>
  <c r="A52" i="77"/>
  <c r="A50" i="77"/>
  <c r="A49" i="77"/>
  <c r="A48" i="77"/>
  <c r="A47" i="77"/>
  <c r="A46" i="77"/>
  <c r="A45" i="77"/>
  <c r="A44" i="77"/>
  <c r="A43" i="77"/>
  <c r="A42" i="77"/>
  <c r="A41" i="77"/>
  <c r="A40" i="77"/>
  <c r="A39" i="77"/>
  <c r="A38" i="77"/>
  <c r="A37" i="77"/>
  <c r="A36" i="77"/>
  <c r="A35" i="77"/>
  <c r="A34" i="77"/>
  <c r="A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6" i="77"/>
  <c r="A15" i="77"/>
  <c r="A14" i="77"/>
  <c r="A13" i="77"/>
  <c r="A11" i="77"/>
  <c r="A10" i="77"/>
  <c r="A9" i="77"/>
  <c r="A8" i="77"/>
  <c r="A7" i="77"/>
  <c r="A6" i="77"/>
  <c r="A4" i="77"/>
  <c r="A3" i="77"/>
  <c r="A2" i="77"/>
  <c r="A515" i="77"/>
  <c r="A507" i="77"/>
  <c r="A467" i="77"/>
  <c r="A459" i="77"/>
  <c r="A443" i="77"/>
  <c r="A435" i="77"/>
  <c r="A195" i="77"/>
  <c r="H2707" i="67" l="1"/>
  <c r="H1913" i="67"/>
  <c r="F2707" i="67"/>
  <c r="F1913" i="67"/>
  <c r="G2707" i="67"/>
  <c r="G1913" i="67"/>
  <c r="E2707" i="67"/>
  <c r="E1913" i="67"/>
  <c r="I2707" i="67"/>
  <c r="I1913" i="67"/>
  <c r="F1912" i="67"/>
  <c r="F2697" i="67"/>
  <c r="H1912" i="67"/>
  <c r="H2697" i="67"/>
  <c r="F405" i="31"/>
  <c r="G1912" i="67"/>
  <c r="G2697" i="67"/>
  <c r="E1912" i="67"/>
  <c r="E2697" i="67"/>
  <c r="I1912" i="67"/>
  <c r="I2697" i="67"/>
  <c r="G405" i="31"/>
  <c r="H2687" i="67"/>
  <c r="H1911" i="67"/>
  <c r="I2687" i="67"/>
  <c r="I1911" i="67"/>
  <c r="F2687" i="67"/>
  <c r="F1911" i="67"/>
  <c r="G2687" i="67"/>
  <c r="G1911" i="67"/>
  <c r="I1880" i="67"/>
  <c r="I1888" i="67" s="1"/>
  <c r="H401" i="31"/>
  <c r="G401" i="31"/>
  <c r="E401" i="31"/>
  <c r="E42" i="34" s="1"/>
  <c r="I401" i="31"/>
  <c r="F401" i="31"/>
  <c r="H403" i="31"/>
  <c r="I403" i="31"/>
  <c r="E1880" i="67"/>
  <c r="E1888" i="67" s="1"/>
  <c r="F2726" i="67"/>
  <c r="E2726" i="67"/>
  <c r="G408" i="31"/>
  <c r="F1882" i="67"/>
  <c r="F1889" i="67" s="1"/>
  <c r="G2726" i="67"/>
  <c r="G1882" i="67"/>
  <c r="G1889" i="67" s="1"/>
  <c r="H2726" i="67"/>
  <c r="F408" i="31"/>
  <c r="H411" i="31"/>
  <c r="G411" i="31"/>
  <c r="G416" i="31"/>
  <c r="H1885" i="67"/>
  <c r="E416" i="31"/>
  <c r="I416" i="31"/>
  <c r="H416" i="31"/>
  <c r="E417" i="31"/>
  <c r="G417" i="31"/>
  <c r="I417" i="31"/>
  <c r="F417" i="31"/>
  <c r="H417" i="31"/>
  <c r="E418" i="31"/>
  <c r="I418" i="31"/>
  <c r="G1885" i="67"/>
  <c r="F418" i="31"/>
  <c r="G418" i="31"/>
  <c r="H418" i="31"/>
  <c r="I1883" i="67"/>
  <c r="I2737" i="67"/>
  <c r="F1883" i="67"/>
  <c r="E412" i="31"/>
  <c r="I412" i="31"/>
  <c r="E1883" i="67"/>
  <c r="H412" i="31"/>
  <c r="E1881" i="67"/>
  <c r="E2687" i="67"/>
  <c r="I404" i="31"/>
  <c r="F404" i="31"/>
  <c r="H404" i="31"/>
  <c r="E404" i="31"/>
  <c r="G404" i="31"/>
  <c r="G406" i="31"/>
  <c r="H406" i="31"/>
  <c r="E406" i="31"/>
  <c r="I406" i="31"/>
  <c r="I1881" i="67"/>
  <c r="H1881" i="67"/>
  <c r="F406" i="31"/>
  <c r="E403" i="31"/>
  <c r="I42" i="34" s="1"/>
  <c r="G403" i="31"/>
  <c r="F2706" i="67"/>
  <c r="F1880" i="67"/>
  <c r="F1888" i="67" s="1"/>
  <c r="G2706" i="67"/>
  <c r="G1880" i="67"/>
  <c r="G1888" i="67" s="1"/>
  <c r="H2706" i="67"/>
  <c r="H1880" i="67"/>
  <c r="H1888" i="67" s="1"/>
  <c r="E2706" i="67"/>
  <c r="F403" i="31"/>
  <c r="G413" i="31"/>
  <c r="F413" i="31"/>
  <c r="F2742" i="67"/>
  <c r="F2746" i="67" s="1"/>
  <c r="H413" i="31"/>
  <c r="E413" i="31"/>
  <c r="E42" i="49" s="1"/>
  <c r="E1884" i="67"/>
  <c r="E1890" i="67" s="1"/>
  <c r="I413" i="31"/>
  <c r="F2270" i="67"/>
  <c r="F2272" i="67" s="1"/>
  <c r="F2238" i="67"/>
  <c r="F2302" i="67"/>
  <c r="F2304" i="67" s="1"/>
  <c r="H2443" i="67"/>
  <c r="H2445" i="67" s="1"/>
  <c r="H2475" i="67"/>
  <c r="H2477" i="67" s="1"/>
  <c r="H2507" i="67"/>
  <c r="H2509" i="67" s="1"/>
  <c r="E2299" i="67"/>
  <c r="E2267" i="67"/>
  <c r="G2504" i="67"/>
  <c r="G2440" i="67"/>
  <c r="G2472" i="67"/>
  <c r="G2123" i="67"/>
  <c r="H2299" i="67"/>
  <c r="H2267" i="67"/>
  <c r="F2440" i="67"/>
  <c r="F2504" i="67"/>
  <c r="F2472" i="67"/>
  <c r="F2123" i="67"/>
  <c r="I2270" i="67"/>
  <c r="I2272" i="67" s="1"/>
  <c r="I2302" i="67"/>
  <c r="I2304" i="67" s="1"/>
  <c r="I2238" i="67"/>
  <c r="I2440" i="67"/>
  <c r="I2472" i="67"/>
  <c r="I2504" i="67"/>
  <c r="I2123" i="67"/>
  <c r="G2302" i="67"/>
  <c r="G2304" i="67" s="1"/>
  <c r="G2238" i="67"/>
  <c r="G2270" i="67"/>
  <c r="G2272" i="67" s="1"/>
  <c r="E2507" i="67"/>
  <c r="E2509" i="67" s="1"/>
  <c r="E2475" i="67"/>
  <c r="E2477" i="67" s="1"/>
  <c r="E2443" i="67"/>
  <c r="E2445" i="67" s="1"/>
  <c r="H2116" i="67"/>
  <c r="E2116" i="67"/>
  <c r="I1884" i="67"/>
  <c r="I1890" i="67" s="1"/>
  <c r="H1884" i="67"/>
  <c r="H1890" i="67" s="1"/>
  <c r="G1884" i="67"/>
  <c r="G1890" i="67" s="1"/>
  <c r="F1884" i="67"/>
  <c r="F1890" i="67" s="1"/>
  <c r="E1885" i="67"/>
  <c r="I1885" i="67"/>
  <c r="F1885" i="67"/>
  <c r="H1883" i="67"/>
  <c r="G1883" i="67"/>
  <c r="F1881" i="67"/>
  <c r="G1881" i="67"/>
  <c r="E1926" i="67" l="1"/>
  <c r="H2302" i="67"/>
  <c r="H2304" i="67" s="1"/>
  <c r="H2238" i="67"/>
  <c r="H2270" i="67"/>
  <c r="H2272" i="67" s="1"/>
  <c r="G2443" i="67"/>
  <c r="G2445" i="67" s="1"/>
  <c r="G2475" i="67"/>
  <c r="G2477" i="67" s="1"/>
  <c r="G2507" i="67"/>
  <c r="G2509" i="67" s="1"/>
  <c r="F2475" i="67"/>
  <c r="F2477" i="67" s="1"/>
  <c r="F2507" i="67"/>
  <c r="F2509" i="67" s="1"/>
  <c r="F2443" i="67"/>
  <c r="F2445" i="67" s="1"/>
  <c r="E2270" i="67"/>
  <c r="E2272" i="67" s="1"/>
  <c r="E2302" i="67"/>
  <c r="E2304" i="67" s="1"/>
  <c r="E2238" i="67"/>
  <c r="I2507" i="67"/>
  <c r="I2509" i="67" s="1"/>
  <c r="I2443" i="67"/>
  <c r="I2445" i="67" s="1"/>
  <c r="I2475" i="67"/>
  <c r="I2477" i="67" s="1"/>
  <c r="I2628" i="67"/>
  <c r="H2628" i="67"/>
  <c r="G2628" i="67"/>
  <c r="F2628" i="67"/>
  <c r="E2628" i="67"/>
  <c r="I2623" i="67"/>
  <c r="H2623" i="67"/>
  <c r="G2623" i="67"/>
  <c r="F2623" i="67"/>
  <c r="E2623" i="67"/>
  <c r="I2618" i="67"/>
  <c r="H2618" i="67"/>
  <c r="G2618" i="67"/>
  <c r="F2618" i="67"/>
  <c r="E2618" i="67"/>
  <c r="I2613" i="67"/>
  <c r="H2613" i="67"/>
  <c r="G2613" i="67"/>
  <c r="F2613" i="67"/>
  <c r="E2613" i="67"/>
  <c r="I2608" i="67"/>
  <c r="H2608" i="67"/>
  <c r="G2608" i="67"/>
  <c r="F2608" i="67"/>
  <c r="E2608" i="67"/>
  <c r="I2603" i="67"/>
  <c r="H2603" i="67"/>
  <c r="G2603" i="67"/>
  <c r="F2603" i="67"/>
  <c r="E2603" i="67"/>
  <c r="I2597" i="67"/>
  <c r="H2597" i="67"/>
  <c r="G2597" i="67"/>
  <c r="F2597" i="67"/>
  <c r="E2597" i="67"/>
  <c r="I2592" i="67"/>
  <c r="H2592" i="67"/>
  <c r="G2592" i="67"/>
  <c r="F2592" i="67"/>
  <c r="E2592" i="67"/>
  <c r="I2587" i="67"/>
  <c r="H2587" i="67"/>
  <c r="G2587" i="67"/>
  <c r="F2587" i="67"/>
  <c r="E2587" i="67"/>
  <c r="I2582" i="67"/>
  <c r="H2582" i="67"/>
  <c r="G2582" i="67"/>
  <c r="F2582" i="67"/>
  <c r="E2582" i="67"/>
  <c r="I2577" i="67"/>
  <c r="H2577" i="67"/>
  <c r="G2577" i="67"/>
  <c r="F2577" i="67"/>
  <c r="E2577" i="67"/>
  <c r="I2572" i="67"/>
  <c r="H2572" i="67"/>
  <c r="G2572" i="67"/>
  <c r="F2572" i="67"/>
  <c r="E2572" i="67"/>
  <c r="I2566" i="67"/>
  <c r="H2566" i="67"/>
  <c r="G2566" i="67"/>
  <c r="F2566" i="67"/>
  <c r="E2566" i="67"/>
  <c r="I2561" i="67"/>
  <c r="H2561" i="67"/>
  <c r="G2561" i="67"/>
  <c r="F2561" i="67"/>
  <c r="E2561" i="67"/>
  <c r="I2556" i="67"/>
  <c r="H2556" i="67"/>
  <c r="G2556" i="67"/>
  <c r="F2556" i="67"/>
  <c r="E2556" i="67"/>
  <c r="I3047" i="67" l="1"/>
  <c r="H3047" i="67"/>
  <c r="G3047" i="67"/>
  <c r="F3047" i="67"/>
  <c r="E3047" i="67"/>
  <c r="I3042" i="67"/>
  <c r="H3042" i="67"/>
  <c r="G3042" i="67"/>
  <c r="F3042" i="67"/>
  <c r="E3042" i="67"/>
  <c r="I3037" i="67"/>
  <c r="H3037" i="67"/>
  <c r="G3037" i="67"/>
  <c r="F3037" i="67"/>
  <c r="E3037" i="67"/>
  <c r="I3032" i="67"/>
  <c r="H3032" i="67"/>
  <c r="G3032" i="67"/>
  <c r="F3032" i="67"/>
  <c r="E3032" i="67"/>
  <c r="I3027" i="67"/>
  <c r="H3027" i="67"/>
  <c r="G3027" i="67"/>
  <c r="F3027" i="67"/>
  <c r="E3027" i="67"/>
  <c r="I3022" i="67"/>
  <c r="H3022" i="67"/>
  <c r="G3022" i="67"/>
  <c r="F3022" i="67"/>
  <c r="E3022" i="67"/>
  <c r="I2989" i="67"/>
  <c r="H2989" i="67"/>
  <c r="G2989" i="67"/>
  <c r="F2989" i="67"/>
  <c r="E2989" i="67"/>
  <c r="I2985" i="67"/>
  <c r="H2985" i="67"/>
  <c r="G2985" i="67"/>
  <c r="F2985" i="67"/>
  <c r="E2985" i="67"/>
  <c r="I2981" i="67"/>
  <c r="H2981" i="67"/>
  <c r="G2981" i="67"/>
  <c r="F2981" i="67"/>
  <c r="E2981" i="67"/>
  <c r="I2977" i="67"/>
  <c r="H2977" i="67"/>
  <c r="G2977" i="67"/>
  <c r="F2977" i="67"/>
  <c r="E2977" i="67"/>
  <c r="I2973" i="67"/>
  <c r="H2973" i="67"/>
  <c r="G2973" i="67"/>
  <c r="F2973" i="67"/>
  <c r="E2973" i="67"/>
  <c r="I2969" i="67"/>
  <c r="H2969" i="67"/>
  <c r="G2969" i="67"/>
  <c r="F2969" i="67"/>
  <c r="E2969" i="67"/>
  <c r="I2963" i="67"/>
  <c r="H2963" i="67"/>
  <c r="G2963" i="67"/>
  <c r="F2963" i="67"/>
  <c r="E2963" i="67"/>
  <c r="I2959" i="67"/>
  <c r="H2959" i="67"/>
  <c r="G2959" i="67"/>
  <c r="F2959" i="67"/>
  <c r="E2959" i="67"/>
  <c r="I2955" i="67"/>
  <c r="H2955" i="67"/>
  <c r="G2955" i="67"/>
  <c r="F2955" i="67"/>
  <c r="E2955" i="67"/>
  <c r="I2951" i="67"/>
  <c r="H2951" i="67"/>
  <c r="G2951" i="67"/>
  <c r="F2951" i="67"/>
  <c r="E2951" i="67"/>
  <c r="I2947" i="67"/>
  <c r="H2947" i="67"/>
  <c r="G2947" i="67"/>
  <c r="F2947" i="67"/>
  <c r="E2947" i="67"/>
  <c r="I2943" i="67"/>
  <c r="H2943" i="67"/>
  <c r="G2943" i="67"/>
  <c r="F2943" i="67"/>
  <c r="E2943" i="67"/>
  <c r="G10" i="72" l="1"/>
  <c r="G9" i="72"/>
  <c r="G8" i="72"/>
  <c r="H11" i="72" s="1"/>
  <c r="G7" i="72"/>
  <c r="D56" i="1" l="1"/>
  <c r="D55" i="1"/>
  <c r="F76" i="45" l="1"/>
  <c r="F75" i="45"/>
  <c r="G75" i="45" s="1"/>
  <c r="O15" i="73" l="1"/>
  <c r="N15" i="73"/>
  <c r="M15" i="73"/>
  <c r="O14" i="73"/>
  <c r="N14" i="73"/>
  <c r="M14" i="73"/>
  <c r="O13" i="73"/>
  <c r="N13" i="73"/>
  <c r="M13" i="73"/>
  <c r="O12" i="73"/>
  <c r="N12" i="73"/>
  <c r="M12" i="73"/>
  <c r="O8" i="73"/>
  <c r="N8" i="73"/>
  <c r="M8" i="73"/>
  <c r="O7" i="73"/>
  <c r="N7" i="73"/>
  <c r="M7" i="73"/>
  <c r="O6" i="73"/>
  <c r="N6" i="73"/>
  <c r="M6" i="73"/>
  <c r="O5" i="73"/>
  <c r="N5" i="73"/>
  <c r="M5" i="73"/>
  <c r="J15" i="73"/>
  <c r="I15" i="73"/>
  <c r="H15" i="73"/>
  <c r="J14" i="73"/>
  <c r="I14" i="73"/>
  <c r="H14" i="73"/>
  <c r="J13" i="73"/>
  <c r="I13" i="73"/>
  <c r="H13" i="73"/>
  <c r="J12" i="73"/>
  <c r="I12" i="73"/>
  <c r="H12" i="73"/>
  <c r="J8" i="73"/>
  <c r="I8" i="73"/>
  <c r="H8" i="73"/>
  <c r="J7" i="73"/>
  <c r="I7" i="73"/>
  <c r="H7" i="73"/>
  <c r="J6" i="73"/>
  <c r="I6" i="73"/>
  <c r="H6" i="73"/>
  <c r="J5" i="73"/>
  <c r="I5" i="73"/>
  <c r="H5" i="73"/>
  <c r="E15" i="73"/>
  <c r="D15" i="73"/>
  <c r="C15" i="73"/>
  <c r="E14" i="73"/>
  <c r="D14" i="73"/>
  <c r="C14" i="73"/>
  <c r="E13" i="73"/>
  <c r="D13" i="73"/>
  <c r="C13" i="73"/>
  <c r="E12" i="73"/>
  <c r="D12" i="73"/>
  <c r="C12" i="73"/>
  <c r="E8" i="73"/>
  <c r="I2824" i="67" s="1"/>
  <c r="D8" i="73"/>
  <c r="F2823" i="67" s="1"/>
  <c r="E7" i="73"/>
  <c r="D7" i="73"/>
  <c r="E6" i="73"/>
  <c r="D6" i="73"/>
  <c r="E5" i="73"/>
  <c r="D5" i="73"/>
  <c r="C8" i="73"/>
  <c r="G2822" i="67" s="1"/>
  <c r="C7" i="73"/>
  <c r="C6" i="73"/>
  <c r="C5" i="73"/>
  <c r="G3054" i="67" l="1"/>
  <c r="F3054" i="67"/>
  <c r="E3054" i="67"/>
  <c r="I3054" i="67"/>
  <c r="H3054" i="67"/>
  <c r="I2876" i="67"/>
  <c r="E2876" i="67"/>
  <c r="H2867" i="67"/>
  <c r="G2858" i="67"/>
  <c r="F2849" i="67"/>
  <c r="I2840" i="67"/>
  <c r="E2840" i="67"/>
  <c r="H2831" i="67"/>
  <c r="H2876" i="67"/>
  <c r="G2867" i="67"/>
  <c r="F2858" i="67"/>
  <c r="I2858" i="67"/>
  <c r="I2849" i="67"/>
  <c r="H2840" i="67"/>
  <c r="G2831" i="67"/>
  <c r="I2867" i="67"/>
  <c r="H2858" i="67"/>
  <c r="H2849" i="67"/>
  <c r="G2840" i="67"/>
  <c r="F2831" i="67"/>
  <c r="G2876" i="67"/>
  <c r="F2867" i="67"/>
  <c r="E2858" i="67"/>
  <c r="G2849" i="67"/>
  <c r="F2840" i="67"/>
  <c r="E2831" i="67"/>
  <c r="F2876" i="67"/>
  <c r="E2867" i="67"/>
  <c r="E2849" i="67"/>
  <c r="I2831" i="67"/>
  <c r="G2931" i="67"/>
  <c r="F2922" i="67"/>
  <c r="I2913" i="67"/>
  <c r="E2913" i="67"/>
  <c r="H2904" i="67"/>
  <c r="G2895" i="67"/>
  <c r="F2886" i="67"/>
  <c r="F2931" i="67"/>
  <c r="I2922" i="67"/>
  <c r="E2922" i="67"/>
  <c r="H2913" i="67"/>
  <c r="G2904" i="67"/>
  <c r="F2895" i="67"/>
  <c r="I2886" i="67"/>
  <c r="E2886" i="67"/>
  <c r="I2931" i="67"/>
  <c r="H2922" i="67"/>
  <c r="G2913" i="67"/>
  <c r="F2904" i="67"/>
  <c r="E2895" i="67"/>
  <c r="H2931" i="67"/>
  <c r="G2922" i="67"/>
  <c r="F2913" i="67"/>
  <c r="E2904" i="67"/>
  <c r="E2931" i="67"/>
  <c r="I2895" i="67"/>
  <c r="H2886" i="67"/>
  <c r="I2904" i="67"/>
  <c r="H2895" i="67"/>
  <c r="G2886" i="67"/>
  <c r="F3055" i="67"/>
  <c r="G3055" i="67"/>
  <c r="E3055" i="67"/>
  <c r="I3055" i="67"/>
  <c r="H3055" i="67"/>
  <c r="H2877" i="67"/>
  <c r="G2868" i="67"/>
  <c r="F2859" i="67"/>
  <c r="I2850" i="67"/>
  <c r="E2850" i="67"/>
  <c r="H2841" i="67"/>
  <c r="G2832" i="67"/>
  <c r="G2877" i="67"/>
  <c r="F2868" i="67"/>
  <c r="I2859" i="67"/>
  <c r="E2859" i="67"/>
  <c r="H2850" i="67"/>
  <c r="F2877" i="67"/>
  <c r="E2868" i="67"/>
  <c r="I2841" i="67"/>
  <c r="H2832" i="67"/>
  <c r="E2877" i="67"/>
  <c r="G2841" i="67"/>
  <c r="F2832" i="67"/>
  <c r="I2868" i="67"/>
  <c r="H2859" i="67"/>
  <c r="G2850" i="67"/>
  <c r="F2841" i="67"/>
  <c r="E2832" i="67"/>
  <c r="I2877" i="67"/>
  <c r="H2868" i="67"/>
  <c r="G2859" i="67"/>
  <c r="F2850" i="67"/>
  <c r="E2841" i="67"/>
  <c r="I2832" i="67"/>
  <c r="F2932" i="67"/>
  <c r="I2923" i="67"/>
  <c r="E2923" i="67"/>
  <c r="H2914" i="67"/>
  <c r="G2905" i="67"/>
  <c r="F2896" i="67"/>
  <c r="I2887" i="67"/>
  <c r="E2887" i="67"/>
  <c r="I2932" i="67"/>
  <c r="E2932" i="67"/>
  <c r="H2923" i="67"/>
  <c r="G2914" i="67"/>
  <c r="F2905" i="67"/>
  <c r="I2896" i="67"/>
  <c r="E2896" i="67"/>
  <c r="H2887" i="67"/>
  <c r="I2905" i="67"/>
  <c r="H2896" i="67"/>
  <c r="G2887" i="67"/>
  <c r="I2914" i="67"/>
  <c r="H2905" i="67"/>
  <c r="G2896" i="67"/>
  <c r="F2887" i="67"/>
  <c r="H2932" i="67"/>
  <c r="G2923" i="67"/>
  <c r="F2914" i="67"/>
  <c r="E2905" i="67"/>
  <c r="G2932" i="67"/>
  <c r="F2923" i="67"/>
  <c r="E2914" i="67"/>
  <c r="I3056" i="67"/>
  <c r="E3056" i="67"/>
  <c r="G3056" i="67"/>
  <c r="F3056" i="67"/>
  <c r="H3056" i="67"/>
  <c r="G2878" i="67"/>
  <c r="F2869" i="67"/>
  <c r="I2860" i="67"/>
  <c r="E2860" i="67"/>
  <c r="H2851" i="67"/>
  <c r="G2842" i="67"/>
  <c r="F2833" i="67"/>
  <c r="F2878" i="67"/>
  <c r="I2869" i="67"/>
  <c r="E2869" i="67"/>
  <c r="H2860" i="67"/>
  <c r="G2851" i="67"/>
  <c r="I2878" i="67"/>
  <c r="H2869" i="67"/>
  <c r="G2860" i="67"/>
  <c r="F2851" i="67"/>
  <c r="I2842" i="67"/>
  <c r="H2833" i="67"/>
  <c r="H2878" i="67"/>
  <c r="G2869" i="67"/>
  <c r="F2860" i="67"/>
  <c r="E2851" i="67"/>
  <c r="H2842" i="67"/>
  <c r="G2833" i="67"/>
  <c r="E2878" i="67"/>
  <c r="F2842" i="67"/>
  <c r="E2833" i="67"/>
  <c r="I2851" i="67"/>
  <c r="E2842" i="67"/>
  <c r="I2833" i="67"/>
  <c r="I2933" i="67"/>
  <c r="E2933" i="67"/>
  <c r="H2924" i="67"/>
  <c r="G2915" i="67"/>
  <c r="F2906" i="67"/>
  <c r="I2897" i="67"/>
  <c r="E2897" i="67"/>
  <c r="H2888" i="67"/>
  <c r="H2933" i="67"/>
  <c r="G2924" i="67"/>
  <c r="F2915" i="67"/>
  <c r="I2906" i="67"/>
  <c r="E2906" i="67"/>
  <c r="H2897" i="67"/>
  <c r="G2888" i="67"/>
  <c r="G2933" i="67"/>
  <c r="F2924" i="67"/>
  <c r="E2915" i="67"/>
  <c r="F2933" i="67"/>
  <c r="E2924" i="67"/>
  <c r="I2888" i="67"/>
  <c r="I2915" i="67"/>
  <c r="H2906" i="67"/>
  <c r="G2897" i="67"/>
  <c r="F2888" i="67"/>
  <c r="I2924" i="67"/>
  <c r="H2915" i="67"/>
  <c r="G2906" i="67"/>
  <c r="F2897" i="67"/>
  <c r="E2888" i="67"/>
  <c r="H2786" i="67"/>
  <c r="G2797" i="67"/>
  <c r="E2815" i="67"/>
  <c r="E2779" i="67"/>
  <c r="F2788" i="67"/>
  <c r="F2804" i="67"/>
  <c r="I2815" i="67"/>
  <c r="I2777" i="67"/>
  <c r="E2795" i="67"/>
  <c r="H2806" i="67"/>
  <c r="H2822" i="67"/>
  <c r="I2779" i="67"/>
  <c r="I2795" i="67"/>
  <c r="G2813" i="67"/>
  <c r="F2824" i="67"/>
  <c r="G3082" i="67"/>
  <c r="G3073" i="67"/>
  <c r="I3082" i="67"/>
  <c r="E3082" i="67"/>
  <c r="I3073" i="67"/>
  <c r="E3073" i="67"/>
  <c r="H3073" i="67"/>
  <c r="F3082" i="67"/>
  <c r="H3082" i="67"/>
  <c r="F3073" i="67"/>
  <c r="G2787" i="67"/>
  <c r="H2796" i="67"/>
  <c r="E2805" i="67"/>
  <c r="I2805" i="67"/>
  <c r="F2814" i="67"/>
  <c r="G2823" i="67"/>
  <c r="I3065" i="67"/>
  <c r="E3065" i="67"/>
  <c r="G3065" i="67"/>
  <c r="F3065" i="67"/>
  <c r="H3065" i="67"/>
  <c r="F3083" i="67"/>
  <c r="F3074" i="67"/>
  <c r="H3083" i="67"/>
  <c r="H3074" i="67"/>
  <c r="G3083" i="67"/>
  <c r="E3074" i="67"/>
  <c r="E3083" i="67"/>
  <c r="I3074" i="67"/>
  <c r="I3083" i="67"/>
  <c r="G3074" i="67"/>
  <c r="H3100" i="67"/>
  <c r="H3091" i="67"/>
  <c r="F3100" i="67"/>
  <c r="F3091" i="67"/>
  <c r="E3091" i="67"/>
  <c r="I3100" i="67"/>
  <c r="G3100" i="67"/>
  <c r="I3091" i="67"/>
  <c r="E3100" i="67"/>
  <c r="G3091" i="67"/>
  <c r="F2777" i="67"/>
  <c r="F2778" i="67"/>
  <c r="F2779" i="67"/>
  <c r="E2786" i="67"/>
  <c r="I2786" i="67"/>
  <c r="H2787" i="67"/>
  <c r="G2788" i="67"/>
  <c r="F2795" i="67"/>
  <c r="E2796" i="67"/>
  <c r="I2796" i="67"/>
  <c r="H2797" i="67"/>
  <c r="G2804" i="67"/>
  <c r="F2805" i="67"/>
  <c r="E2806" i="67"/>
  <c r="I2806" i="67"/>
  <c r="H2813" i="67"/>
  <c r="G2814" i="67"/>
  <c r="F2815" i="67"/>
  <c r="E2822" i="67"/>
  <c r="I2822" i="67"/>
  <c r="H2823" i="67"/>
  <c r="G2824" i="67"/>
  <c r="I2778" i="67"/>
  <c r="E2777" i="67"/>
  <c r="G2777" i="67"/>
  <c r="G2778" i="67"/>
  <c r="G2779" i="67"/>
  <c r="F2786" i="67"/>
  <c r="E2787" i="67"/>
  <c r="I2787" i="67"/>
  <c r="H2788" i="67"/>
  <c r="G2795" i="67"/>
  <c r="F2796" i="67"/>
  <c r="E2797" i="67"/>
  <c r="I2797" i="67"/>
  <c r="H2804" i="67"/>
  <c r="G2805" i="67"/>
  <c r="F2806" i="67"/>
  <c r="E2813" i="67"/>
  <c r="I2813" i="67"/>
  <c r="H2814" i="67"/>
  <c r="G2815" i="67"/>
  <c r="F2822" i="67"/>
  <c r="E2823" i="67"/>
  <c r="I2823" i="67"/>
  <c r="H2824" i="67"/>
  <c r="G3064" i="67"/>
  <c r="I3064" i="67"/>
  <c r="E3064" i="67"/>
  <c r="H3064" i="67"/>
  <c r="F3064" i="67"/>
  <c r="I3099" i="67"/>
  <c r="E3099" i="67"/>
  <c r="I3090" i="67"/>
  <c r="E3090" i="67"/>
  <c r="G3099" i="67"/>
  <c r="G3090" i="67"/>
  <c r="H3099" i="67"/>
  <c r="F3099" i="67"/>
  <c r="H3090" i="67"/>
  <c r="F3090" i="67"/>
  <c r="I3063" i="67"/>
  <c r="E3063" i="67"/>
  <c r="G3063" i="67"/>
  <c r="H3063" i="67"/>
  <c r="F3063" i="67"/>
  <c r="H3081" i="67"/>
  <c r="H3072" i="67"/>
  <c r="F3081" i="67"/>
  <c r="F3072" i="67"/>
  <c r="I3081" i="67"/>
  <c r="G3072" i="67"/>
  <c r="I3072" i="67"/>
  <c r="G3081" i="67"/>
  <c r="E3072" i="67"/>
  <c r="E3081" i="67"/>
  <c r="F3098" i="67"/>
  <c r="F3089" i="67"/>
  <c r="H3098" i="67"/>
  <c r="H3089" i="67"/>
  <c r="E3098" i="67"/>
  <c r="G3089" i="67"/>
  <c r="I3089" i="67"/>
  <c r="E3089" i="67"/>
  <c r="I3098" i="67"/>
  <c r="G3098" i="67"/>
  <c r="E2778" i="67"/>
  <c r="H2777" i="67"/>
  <c r="H2778" i="67"/>
  <c r="H2779" i="67"/>
  <c r="G2786" i="67"/>
  <c r="F2787" i="67"/>
  <c r="E2788" i="67"/>
  <c r="I2788" i="67"/>
  <c r="H2795" i="67"/>
  <c r="G2796" i="67"/>
  <c r="F2797" i="67"/>
  <c r="E2804" i="67"/>
  <c r="I2804" i="67"/>
  <c r="H2805" i="67"/>
  <c r="G2806" i="67"/>
  <c r="F2813" i="67"/>
  <c r="E2814" i="67"/>
  <c r="I2814" i="67"/>
  <c r="H2815" i="67"/>
  <c r="E2824" i="67"/>
  <c r="I104" i="37"/>
  <c r="H104" i="37"/>
  <c r="G104" i="37"/>
  <c r="F104" i="37"/>
  <c r="E104" i="37"/>
  <c r="K26" i="52" l="1"/>
  <c r="K24" i="52"/>
  <c r="K22" i="52"/>
  <c r="K19" i="52"/>
  <c r="K26" i="51"/>
  <c r="K24" i="51"/>
  <c r="K22" i="51"/>
  <c r="K26" i="50"/>
  <c r="K24" i="50"/>
  <c r="K22" i="50"/>
  <c r="K22" i="63"/>
  <c r="K26" i="62"/>
  <c r="K24" i="62"/>
  <c r="K22" i="62"/>
  <c r="K26" i="61"/>
  <c r="K24" i="61"/>
  <c r="F145" i="45" l="1"/>
  <c r="A60" i="77"/>
  <c r="K19" i="51"/>
  <c r="I361" i="32"/>
  <c r="H361" i="32"/>
  <c r="G361" i="32"/>
  <c r="F361" i="32"/>
  <c r="E361" i="32"/>
  <c r="I360" i="32"/>
  <c r="H360" i="32"/>
  <c r="G360" i="32"/>
  <c r="F360" i="32"/>
  <c r="E360" i="32"/>
  <c r="I359" i="32"/>
  <c r="H359" i="32"/>
  <c r="G359" i="32"/>
  <c r="F359" i="32"/>
  <c r="E359" i="32"/>
  <c r="I358" i="32"/>
  <c r="H358" i="32"/>
  <c r="G358" i="32"/>
  <c r="F358" i="32"/>
  <c r="E358" i="32"/>
  <c r="F146" i="45"/>
  <c r="E26" i="55"/>
  <c r="E26" i="56"/>
  <c r="E26" i="57"/>
  <c r="E26" i="63"/>
  <c r="A100" i="77" s="1"/>
  <c r="E26" i="62"/>
  <c r="E26" i="61"/>
  <c r="F132" i="45"/>
  <c r="E26" i="52"/>
  <c r="A51" i="77" s="1"/>
  <c r="A59" i="77"/>
  <c r="E26" i="51"/>
  <c r="E26" i="50"/>
  <c r="A5" i="77" s="1"/>
  <c r="F131" i="45" l="1"/>
  <c r="A98" i="77"/>
  <c r="D58" i="1"/>
  <c r="F90" i="45"/>
  <c r="D57" i="1"/>
  <c r="F89" i="45"/>
  <c r="A17" i="77"/>
  <c r="A62" i="77"/>
  <c r="I2255" i="67" l="1"/>
  <c r="H2255" i="67"/>
  <c r="G2255" i="67"/>
  <c r="F2255" i="67"/>
  <c r="E2255" i="67"/>
  <c r="I2246" i="67"/>
  <c r="H2246" i="67"/>
  <c r="G2246" i="67"/>
  <c r="F2246" i="67"/>
  <c r="E2246" i="67"/>
  <c r="I2237" i="67"/>
  <c r="H2237" i="67"/>
  <c r="G2237" i="67"/>
  <c r="F2237" i="67"/>
  <c r="E2237" i="67"/>
  <c r="I2154" i="67"/>
  <c r="H2154" i="67"/>
  <c r="G2154" i="67"/>
  <c r="F2154" i="67"/>
  <c r="E2154" i="67"/>
  <c r="I2145" i="67"/>
  <c r="H2145" i="67"/>
  <c r="G2145" i="67"/>
  <c r="F2145" i="67"/>
  <c r="E2145" i="67"/>
  <c r="I2136" i="67"/>
  <c r="H2136" i="67"/>
  <c r="G2136" i="67"/>
  <c r="F2136" i="67"/>
  <c r="E2136" i="67"/>
  <c r="F2240" i="67" l="1"/>
  <c r="H2240" i="67"/>
  <c r="G2240" i="67"/>
  <c r="E2240" i="67"/>
  <c r="I2240" i="67"/>
  <c r="C735" i="65"/>
  <c r="C734" i="65"/>
  <c r="C733" i="65"/>
  <c r="C730" i="65"/>
  <c r="C729" i="65"/>
  <c r="C728" i="65"/>
  <c r="C725" i="65"/>
  <c r="C724" i="65"/>
  <c r="C723" i="65"/>
  <c r="C348" i="65"/>
  <c r="C347" i="65"/>
  <c r="C343" i="65"/>
  <c r="C342" i="65"/>
  <c r="C338" i="65"/>
  <c r="C337" i="65"/>
  <c r="F332" i="65"/>
  <c r="E332" i="65"/>
  <c r="D332" i="65"/>
  <c r="C332" i="65"/>
  <c r="F327" i="65"/>
  <c r="E327" i="65"/>
  <c r="D327" i="65"/>
  <c r="C327" i="65"/>
  <c r="F322" i="65"/>
  <c r="E322" i="65"/>
  <c r="D322" i="65"/>
  <c r="C322" i="65"/>
  <c r="F703" i="65"/>
  <c r="E703" i="65"/>
  <c r="D703" i="65"/>
  <c r="C703" i="65"/>
  <c r="F698" i="65"/>
  <c r="E698" i="65"/>
  <c r="D698" i="65"/>
  <c r="C698" i="65"/>
  <c r="F693" i="65"/>
  <c r="E693" i="65"/>
  <c r="D693" i="65"/>
  <c r="C693" i="65"/>
  <c r="L333" i="32" l="1"/>
  <c r="L332" i="32"/>
  <c r="L331" i="32"/>
  <c r="L329" i="32"/>
  <c r="L328" i="32"/>
  <c r="L327" i="32"/>
  <c r="L325" i="32"/>
  <c r="L324" i="32"/>
  <c r="L323" i="32"/>
  <c r="L321" i="32"/>
  <c r="L320" i="32"/>
  <c r="L319" i="32"/>
  <c r="L317" i="32"/>
  <c r="L316" i="32"/>
  <c r="L315" i="32"/>
  <c r="L313" i="32"/>
  <c r="L312" i="32"/>
  <c r="L311" i="32"/>
  <c r="C548" i="65" l="1"/>
  <c r="F300" i="65"/>
  <c r="E300" i="65"/>
  <c r="D300" i="65"/>
  <c r="C300" i="65"/>
  <c r="F295" i="65"/>
  <c r="E295" i="65"/>
  <c r="D295" i="65"/>
  <c r="C295" i="65"/>
  <c r="F290" i="65"/>
  <c r="E290" i="65"/>
  <c r="D290" i="65"/>
  <c r="C290" i="65"/>
  <c r="F687" i="65"/>
  <c r="E687" i="65"/>
  <c r="D687" i="65"/>
  <c r="C687" i="65"/>
  <c r="F682" i="65"/>
  <c r="E682" i="65"/>
  <c r="D682" i="65"/>
  <c r="C682" i="65"/>
  <c r="F677" i="65"/>
  <c r="E677" i="65"/>
  <c r="D677" i="65"/>
  <c r="C677" i="65"/>
  <c r="D6" i="72" l="1"/>
  <c r="C6" i="72"/>
  <c r="B6" i="72"/>
  <c r="I333" i="32"/>
  <c r="I333" i="31" s="1"/>
  <c r="H333" i="32"/>
  <c r="H333" i="31" s="1"/>
  <c r="F332" i="32"/>
  <c r="F332" i="31" s="1"/>
  <c r="F331" i="32"/>
  <c r="F331" i="31" s="1"/>
  <c r="G329" i="32"/>
  <c r="G329" i="31" s="1"/>
  <c r="I328" i="32"/>
  <c r="I328" i="31" s="1"/>
  <c r="G327" i="32"/>
  <c r="G327" i="31" s="1"/>
  <c r="I325" i="32"/>
  <c r="G324" i="32"/>
  <c r="I323" i="32"/>
  <c r="F5" i="65"/>
  <c r="I151" i="37"/>
  <c r="I2109" i="67" s="1"/>
  <c r="H151" i="37"/>
  <c r="H2109" i="67" s="1"/>
  <c r="G151" i="37"/>
  <c r="G2109" i="67" s="1"/>
  <c r="F151" i="37"/>
  <c r="F2109" i="67" s="1"/>
  <c r="E151" i="37"/>
  <c r="E2109" i="67" s="1"/>
  <c r="I143" i="37"/>
  <c r="I2095" i="67" s="1"/>
  <c r="H143" i="37"/>
  <c r="H2095" i="67" s="1"/>
  <c r="G143" i="37"/>
  <c r="G2095" i="67" s="1"/>
  <c r="F143" i="37"/>
  <c r="F2095" i="67" s="1"/>
  <c r="E143" i="37"/>
  <c r="E2095" i="67" s="1"/>
  <c r="I134" i="37"/>
  <c r="I2104" i="67" s="1"/>
  <c r="H134" i="37"/>
  <c r="H2104" i="67" s="1"/>
  <c r="G134" i="37"/>
  <c r="G2104" i="67" s="1"/>
  <c r="F134" i="37"/>
  <c r="F2104" i="67" s="1"/>
  <c r="E134" i="37"/>
  <c r="E2104" i="67" s="1"/>
  <c r="I126" i="37"/>
  <c r="I2090" i="67" s="1"/>
  <c r="H126" i="37"/>
  <c r="H2090" i="67" s="1"/>
  <c r="G126" i="37"/>
  <c r="G2090" i="67" s="1"/>
  <c r="F126" i="37"/>
  <c r="F2090" i="67" s="1"/>
  <c r="E126" i="37"/>
  <c r="E2090" i="67" s="1"/>
  <c r="I117" i="37"/>
  <c r="I2099" i="67" s="1"/>
  <c r="H117" i="37"/>
  <c r="H2099" i="67" s="1"/>
  <c r="G117" i="37"/>
  <c r="G2099" i="67" s="1"/>
  <c r="F117" i="37"/>
  <c r="F2099" i="67" s="1"/>
  <c r="E117" i="37"/>
  <c r="E2099" i="67" s="1"/>
  <c r="I109" i="37"/>
  <c r="I2085" i="67" s="1"/>
  <c r="H109" i="37"/>
  <c r="H2085" i="67" s="1"/>
  <c r="G109" i="37"/>
  <c r="G2085" i="67" s="1"/>
  <c r="F109" i="37"/>
  <c r="F2085" i="67" s="1"/>
  <c r="E109" i="37"/>
  <c r="E2085" i="67" s="1"/>
  <c r="K19" i="61" s="1"/>
  <c r="I93" i="37"/>
  <c r="I2080" i="67" s="1"/>
  <c r="H93" i="37"/>
  <c r="H2080" i="67" s="1"/>
  <c r="G93" i="37"/>
  <c r="G2080" i="67" s="1"/>
  <c r="F93" i="37"/>
  <c r="F2080" i="67" s="1"/>
  <c r="E93" i="37"/>
  <c r="E2080" i="67" s="1"/>
  <c r="Y21" i="49" s="1"/>
  <c r="I80" i="37"/>
  <c r="H80" i="37"/>
  <c r="G80" i="37"/>
  <c r="F80" i="37"/>
  <c r="E80" i="37"/>
  <c r="I66" i="37"/>
  <c r="I2075" i="67" s="1"/>
  <c r="H66" i="37"/>
  <c r="H2075" i="67" s="1"/>
  <c r="G66" i="37"/>
  <c r="G2075" i="67" s="1"/>
  <c r="F66" i="37"/>
  <c r="F2075" i="67" s="1"/>
  <c r="E66" i="37"/>
  <c r="E2075" i="67" s="1"/>
  <c r="I53" i="37"/>
  <c r="I2061" i="67" s="1"/>
  <c r="H53" i="37"/>
  <c r="H2061" i="67" s="1"/>
  <c r="G53" i="37"/>
  <c r="G2061" i="67" s="1"/>
  <c r="F53" i="37"/>
  <c r="F2061" i="67" s="1"/>
  <c r="E53" i="37"/>
  <c r="E2061" i="67" s="1"/>
  <c r="X21" i="48" s="1"/>
  <c r="I39" i="37"/>
  <c r="I2070" i="67" s="1"/>
  <c r="H39" i="37"/>
  <c r="H2070" i="67" s="1"/>
  <c r="G39" i="37"/>
  <c r="G2070" i="67" s="1"/>
  <c r="F39" i="37"/>
  <c r="F2070" i="67" s="1"/>
  <c r="E39" i="37"/>
  <c r="E2070" i="67" s="1"/>
  <c r="Y21" i="34" s="1"/>
  <c r="A448" i="77" s="1"/>
  <c r="I26" i="37"/>
  <c r="H26" i="37"/>
  <c r="G26" i="37"/>
  <c r="F26" i="37"/>
  <c r="E26" i="37"/>
  <c r="E274" i="45"/>
  <c r="F274" i="45" s="1"/>
  <c r="E273" i="45"/>
  <c r="F273" i="45" s="1"/>
  <c r="E272" i="45"/>
  <c r="F272" i="45" s="1"/>
  <c r="E271" i="45"/>
  <c r="F271" i="45" s="1"/>
  <c r="E270" i="45"/>
  <c r="F270" i="45" s="1"/>
  <c r="E269" i="45"/>
  <c r="F269" i="45" s="1"/>
  <c r="E268" i="45"/>
  <c r="F268" i="45" s="1"/>
  <c r="E260" i="45"/>
  <c r="F260" i="45" s="1"/>
  <c r="E259" i="45"/>
  <c r="F259" i="45" s="1"/>
  <c r="E258" i="45"/>
  <c r="F258" i="45" s="1"/>
  <c r="E257" i="45"/>
  <c r="F257" i="45" s="1"/>
  <c r="E256" i="45"/>
  <c r="F256" i="45" s="1"/>
  <c r="E255" i="45"/>
  <c r="F255" i="45" s="1"/>
  <c r="E254" i="45"/>
  <c r="F254" i="45" s="1"/>
  <c r="E246" i="45"/>
  <c r="F246" i="45" s="1"/>
  <c r="E245" i="45"/>
  <c r="F245" i="45" s="1"/>
  <c r="E244" i="45"/>
  <c r="F244" i="45" s="1"/>
  <c r="E243" i="45"/>
  <c r="F243" i="45" s="1"/>
  <c r="E242" i="45"/>
  <c r="F242" i="45" s="1"/>
  <c r="E241" i="45"/>
  <c r="F241" i="45" s="1"/>
  <c r="E240" i="45"/>
  <c r="F240" i="45" s="1"/>
  <c r="E239" i="45"/>
  <c r="F239" i="45" s="1"/>
  <c r="E232" i="45"/>
  <c r="F232" i="45" s="1"/>
  <c r="E231" i="45"/>
  <c r="F231" i="45" s="1"/>
  <c r="E230" i="45"/>
  <c r="F230" i="45" s="1"/>
  <c r="E229" i="45"/>
  <c r="F229" i="45" s="1"/>
  <c r="E228" i="45"/>
  <c r="F228" i="45" s="1"/>
  <c r="E227" i="45"/>
  <c r="F227" i="45" s="1"/>
  <c r="E226" i="45"/>
  <c r="F226" i="45" s="1"/>
  <c r="E218" i="45"/>
  <c r="F218" i="45" s="1"/>
  <c r="E217" i="45"/>
  <c r="F217" i="45" s="1"/>
  <c r="E216" i="45"/>
  <c r="F216" i="45" s="1"/>
  <c r="E215" i="45"/>
  <c r="F215" i="45" s="1"/>
  <c r="E214" i="45"/>
  <c r="F214" i="45" s="1"/>
  <c r="E213" i="45"/>
  <c r="F213" i="45" s="1"/>
  <c r="E212" i="45"/>
  <c r="F212" i="45" s="1"/>
  <c r="I368" i="32"/>
  <c r="I2040" i="67" s="1"/>
  <c r="H368" i="32"/>
  <c r="H2040" i="67" s="1"/>
  <c r="G368" i="32"/>
  <c r="G2040" i="67" s="1"/>
  <c r="F368" i="32"/>
  <c r="F2026" i="67" s="1"/>
  <c r="E368" i="32"/>
  <c r="E2026" i="67" s="1"/>
  <c r="I367" i="32"/>
  <c r="I2005" i="67" s="1"/>
  <c r="H367" i="32"/>
  <c r="H2005" i="67" s="1"/>
  <c r="G367" i="32"/>
  <c r="G1985" i="67" s="1"/>
  <c r="F367" i="32"/>
  <c r="F2005" i="67" s="1"/>
  <c r="E367" i="32"/>
  <c r="E2005" i="67" s="1"/>
  <c r="I365" i="32"/>
  <c r="I1978" i="67" s="1"/>
  <c r="H365" i="32"/>
  <c r="H1978" i="67" s="1"/>
  <c r="G365" i="32"/>
  <c r="G1978" i="67" s="1"/>
  <c r="F365" i="32"/>
  <c r="F1978" i="67" s="1"/>
  <c r="E365" i="32"/>
  <c r="E1978" i="67" s="1"/>
  <c r="I364" i="32"/>
  <c r="I1962" i="67" s="1"/>
  <c r="H364" i="32"/>
  <c r="H1962" i="67" s="1"/>
  <c r="G364" i="32"/>
  <c r="G1962" i="67" s="1"/>
  <c r="F364" i="32"/>
  <c r="F1962" i="67" s="1"/>
  <c r="E364" i="32"/>
  <c r="E1962" i="67" s="1"/>
  <c r="I363" i="32"/>
  <c r="I1971" i="67" s="1"/>
  <c r="H363" i="32"/>
  <c r="H1971" i="67" s="1"/>
  <c r="G363" i="32"/>
  <c r="G1971" i="67" s="1"/>
  <c r="F363" i="32"/>
  <c r="F1971" i="67" s="1"/>
  <c r="E363" i="32"/>
  <c r="E1971" i="67" s="1"/>
  <c r="I362" i="32"/>
  <c r="I1954" i="67" s="1"/>
  <c r="H362" i="32"/>
  <c r="H1954" i="67" s="1"/>
  <c r="G362" i="32"/>
  <c r="G1954" i="67" s="1"/>
  <c r="F362" i="32"/>
  <c r="F1954" i="67" s="1"/>
  <c r="E362" i="32"/>
  <c r="E1954" i="67" s="1"/>
  <c r="E2056" i="67" l="1"/>
  <c r="G2056" i="67"/>
  <c r="G122" i="67" s="1"/>
  <c r="H2056" i="67"/>
  <c r="H122" i="67" s="1"/>
  <c r="I2056" i="67"/>
  <c r="I122" i="67" s="1"/>
  <c r="F2056" i="67"/>
  <c r="F122" i="67" s="1"/>
  <c r="G2066" i="67"/>
  <c r="G448" i="67" s="1"/>
  <c r="I2066" i="67"/>
  <c r="I340" i="67" s="1"/>
  <c r="H2066" i="67"/>
  <c r="H394" i="67" s="1"/>
  <c r="E2066" i="67"/>
  <c r="X21" i="49" s="1"/>
  <c r="F2066" i="67"/>
  <c r="F340" i="67" s="1"/>
  <c r="I2357" i="67"/>
  <c r="I2126" i="67"/>
  <c r="I2389" i="67"/>
  <c r="I2421" i="67"/>
  <c r="I2403" i="67"/>
  <c r="I2339" i="67"/>
  <c r="I2122" i="67"/>
  <c r="I2371" i="67"/>
  <c r="G2380" i="67"/>
  <c r="G2124" i="67"/>
  <c r="G2412" i="67"/>
  <c r="G2348" i="67"/>
  <c r="X21" i="34"/>
  <c r="K19" i="50"/>
  <c r="Y21" i="56"/>
  <c r="A504" i="77" s="1"/>
  <c r="Y21" i="62"/>
  <c r="Y21" i="55"/>
  <c r="A512" i="77" s="1"/>
  <c r="Y21" i="63"/>
  <c r="X21" i="56"/>
  <c r="K19" i="62"/>
  <c r="X21" i="55"/>
  <c r="K19" i="63"/>
  <c r="Y21" i="48"/>
  <c r="A456" i="77" s="1"/>
  <c r="I976" i="67"/>
  <c r="I922" i="67"/>
  <c r="I1020" i="67"/>
  <c r="I966" i="67"/>
  <c r="I1030" i="67"/>
  <c r="G1139" i="67"/>
  <c r="G1085" i="67"/>
  <c r="G1075" i="67"/>
  <c r="G1193" i="67"/>
  <c r="G1129" i="67"/>
  <c r="G1183" i="67"/>
  <c r="I1292" i="67"/>
  <c r="I1302" i="67"/>
  <c r="I1356" i="67"/>
  <c r="I1346" i="67"/>
  <c r="I1238" i="67"/>
  <c r="I1248" i="67"/>
  <c r="G1289" i="67"/>
  <c r="G1290" i="67" s="1"/>
  <c r="G1126" i="67"/>
  <c r="G1127" i="67" s="1"/>
  <c r="G963" i="67"/>
  <c r="G964" i="67" s="1"/>
  <c r="F1020" i="67"/>
  <c r="F966" i="67"/>
  <c r="F1030" i="67"/>
  <c r="F922" i="67"/>
  <c r="F976" i="67"/>
  <c r="H1183" i="67"/>
  <c r="H1193" i="67"/>
  <c r="H1139" i="67"/>
  <c r="H1085" i="67"/>
  <c r="H1075" i="67"/>
  <c r="H1129" i="67"/>
  <c r="I1343" i="67"/>
  <c r="I1344" i="67" s="1"/>
  <c r="I1180" i="67"/>
  <c r="I1181" i="67" s="1"/>
  <c r="I1017" i="67"/>
  <c r="I1018" i="67" s="1"/>
  <c r="G1030" i="67"/>
  <c r="G966" i="67"/>
  <c r="G976" i="67"/>
  <c r="G922" i="67"/>
  <c r="G1020" i="67"/>
  <c r="I1085" i="67"/>
  <c r="I1075" i="67"/>
  <c r="I1183" i="67"/>
  <c r="I1193" i="67"/>
  <c r="I1129" i="67"/>
  <c r="I1139" i="67"/>
  <c r="G1248" i="67"/>
  <c r="G1346" i="67"/>
  <c r="G1356" i="67"/>
  <c r="G1292" i="67"/>
  <c r="G1302" i="67"/>
  <c r="G1238" i="67"/>
  <c r="F1356" i="67"/>
  <c r="F1292" i="67"/>
  <c r="F1346" i="67"/>
  <c r="F1302" i="67"/>
  <c r="F1248" i="67"/>
  <c r="F1238" i="67"/>
  <c r="H976" i="67"/>
  <c r="H1020" i="67"/>
  <c r="H1030" i="67"/>
  <c r="H922" i="67"/>
  <c r="H966" i="67"/>
  <c r="F1085" i="67"/>
  <c r="F1075" i="67"/>
  <c r="F1139" i="67"/>
  <c r="F1193" i="67"/>
  <c r="F1183" i="67"/>
  <c r="F1129" i="67"/>
  <c r="H1302" i="67"/>
  <c r="H1356" i="67"/>
  <c r="H1238" i="67"/>
  <c r="H1346" i="67"/>
  <c r="H1248" i="67"/>
  <c r="H1292" i="67"/>
  <c r="I1235" i="67"/>
  <c r="I1236" i="67" s="1"/>
  <c r="I1072" i="67"/>
  <c r="I1073" i="67" s="1"/>
  <c r="I912" i="67"/>
  <c r="F912" i="67"/>
  <c r="I325" i="31"/>
  <c r="G324" i="31"/>
  <c r="G912" i="67"/>
  <c r="H912" i="67"/>
  <c r="I909" i="67"/>
  <c r="I910" i="67" s="1"/>
  <c r="G231" i="67"/>
  <c r="G177" i="67"/>
  <c r="G285" i="67"/>
  <c r="I285" i="67"/>
  <c r="I177" i="67"/>
  <c r="I231" i="67"/>
  <c r="F285" i="67"/>
  <c r="F231" i="67"/>
  <c r="F177" i="67"/>
  <c r="H177" i="67"/>
  <c r="H285" i="67"/>
  <c r="H231" i="67"/>
  <c r="F68" i="67"/>
  <c r="F14" i="67"/>
  <c r="I19" i="56"/>
  <c r="G19" i="56" s="1"/>
  <c r="I19" i="57"/>
  <c r="G19" i="57" s="1"/>
  <c r="I19" i="55"/>
  <c r="G19" i="55" s="1"/>
  <c r="H375" i="31"/>
  <c r="I375" i="31"/>
  <c r="G375" i="31"/>
  <c r="F375" i="31"/>
  <c r="I371" i="31"/>
  <c r="F371" i="31"/>
  <c r="G371" i="31"/>
  <c r="H371" i="31"/>
  <c r="I19" i="50"/>
  <c r="K19" i="56"/>
  <c r="I19" i="62"/>
  <c r="X21" i="57"/>
  <c r="K19" i="57"/>
  <c r="I19" i="61"/>
  <c r="K19" i="55"/>
  <c r="I19" i="63"/>
  <c r="I19" i="48"/>
  <c r="E375" i="31"/>
  <c r="Y21" i="57"/>
  <c r="A496" i="77" s="1"/>
  <c r="Y21" i="61"/>
  <c r="E371" i="31"/>
  <c r="I19" i="34"/>
  <c r="Y21" i="51"/>
  <c r="K19" i="48"/>
  <c r="I19" i="51"/>
  <c r="K19" i="34"/>
  <c r="G2026" i="67"/>
  <c r="G332" i="32"/>
  <c r="G332" i="31" s="1"/>
  <c r="I1985" i="67"/>
  <c r="E1985" i="67"/>
  <c r="H2026" i="67"/>
  <c r="H323" i="32"/>
  <c r="H1985" i="67"/>
  <c r="E2040" i="67"/>
  <c r="F1985" i="67"/>
  <c r="I2026" i="67"/>
  <c r="G2005" i="67"/>
  <c r="F2040" i="67"/>
  <c r="E324" i="32"/>
  <c r="E328" i="32"/>
  <c r="E328" i="31" s="1"/>
  <c r="I331" i="32"/>
  <c r="I331" i="31" s="1"/>
  <c r="F324" i="32"/>
  <c r="F328" i="32"/>
  <c r="F328" i="31" s="1"/>
  <c r="H324" i="32"/>
  <c r="G328" i="32"/>
  <c r="G328" i="31" s="1"/>
  <c r="E329" i="32"/>
  <c r="E329" i="31" s="1"/>
  <c r="I324" i="32"/>
  <c r="H328" i="32"/>
  <c r="H328" i="31" s="1"/>
  <c r="I329" i="32"/>
  <c r="I329" i="31" s="1"/>
  <c r="G333" i="32"/>
  <c r="G333" i="31" s="1"/>
  <c r="F323" i="32"/>
  <c r="F329" i="32"/>
  <c r="F329" i="31" s="1"/>
  <c r="G323" i="32"/>
  <c r="H329" i="32"/>
  <c r="H329" i="31" s="1"/>
  <c r="F333" i="32"/>
  <c r="F333" i="31" s="1"/>
  <c r="H325" i="32"/>
  <c r="G325" i="32"/>
  <c r="I327" i="32"/>
  <c r="I327" i="31" s="1"/>
  <c r="E327" i="32"/>
  <c r="E327" i="31" s="1"/>
  <c r="H327" i="32"/>
  <c r="H327" i="31" s="1"/>
  <c r="E325" i="32"/>
  <c r="H331" i="32"/>
  <c r="H331" i="31" s="1"/>
  <c r="G331" i="32"/>
  <c r="G331" i="31" s="1"/>
  <c r="I332" i="32"/>
  <c r="I332" i="31" s="1"/>
  <c r="E332" i="32"/>
  <c r="E332" i="31" s="1"/>
  <c r="H332" i="32"/>
  <c r="H332" i="31" s="1"/>
  <c r="F325" i="32"/>
  <c r="F327" i="32"/>
  <c r="F327" i="31" s="1"/>
  <c r="E331" i="32"/>
  <c r="E331" i="31" s="1"/>
  <c r="E323" i="32"/>
  <c r="E333" i="32"/>
  <c r="E333" i="31" s="1"/>
  <c r="I156" i="37"/>
  <c r="H156" i="37"/>
  <c r="G156" i="37"/>
  <c r="F156" i="37"/>
  <c r="E156" i="37"/>
  <c r="I155" i="37"/>
  <c r="H155" i="37"/>
  <c r="G155" i="37"/>
  <c r="F155" i="37"/>
  <c r="E155" i="37"/>
  <c r="I153" i="37"/>
  <c r="H153" i="37"/>
  <c r="G153" i="37"/>
  <c r="F153" i="37"/>
  <c r="E153" i="37"/>
  <c r="I152" i="37"/>
  <c r="H152" i="37"/>
  <c r="G152" i="37"/>
  <c r="F152" i="37"/>
  <c r="E152" i="37"/>
  <c r="I150" i="37"/>
  <c r="I1981" i="67" s="1"/>
  <c r="H150" i="37"/>
  <c r="H1981" i="67" s="1"/>
  <c r="G150" i="37"/>
  <c r="G1981" i="67" s="1"/>
  <c r="F150" i="37"/>
  <c r="F1981" i="67" s="1"/>
  <c r="E150" i="37"/>
  <c r="E1981" i="67" s="1"/>
  <c r="I22" i="55" s="1"/>
  <c r="I148" i="37"/>
  <c r="H148" i="37"/>
  <c r="G148" i="37"/>
  <c r="F148" i="37"/>
  <c r="E148" i="37"/>
  <c r="I147" i="37"/>
  <c r="H147" i="37"/>
  <c r="G147" i="37"/>
  <c r="F147" i="37"/>
  <c r="E147" i="37"/>
  <c r="I145" i="37"/>
  <c r="H145" i="37"/>
  <c r="G145" i="37"/>
  <c r="F145" i="37"/>
  <c r="E145" i="37"/>
  <c r="I144" i="37"/>
  <c r="H144" i="37"/>
  <c r="G144" i="37"/>
  <c r="F144" i="37"/>
  <c r="E144" i="37"/>
  <c r="I142" i="37"/>
  <c r="I1974" i="67" s="1"/>
  <c r="H142" i="37"/>
  <c r="H1974" i="67" s="1"/>
  <c r="G142" i="37"/>
  <c r="G1974" i="67" s="1"/>
  <c r="F142" i="37"/>
  <c r="F1974" i="67" s="1"/>
  <c r="E142" i="37"/>
  <c r="E1974" i="67" s="1"/>
  <c r="I139" i="37"/>
  <c r="H139" i="37"/>
  <c r="G139" i="37"/>
  <c r="F139" i="37"/>
  <c r="E139" i="37"/>
  <c r="I138" i="37"/>
  <c r="H138" i="37"/>
  <c r="G138" i="37"/>
  <c r="F138" i="37"/>
  <c r="E138" i="37"/>
  <c r="I136" i="37"/>
  <c r="H136" i="37"/>
  <c r="G136" i="37"/>
  <c r="F136" i="37"/>
  <c r="E136" i="37"/>
  <c r="I135" i="37"/>
  <c r="H135" i="37"/>
  <c r="G135" i="37"/>
  <c r="F135" i="37"/>
  <c r="E135" i="37"/>
  <c r="I133" i="37"/>
  <c r="I1980" i="67" s="1"/>
  <c r="H133" i="37"/>
  <c r="H1980" i="67" s="1"/>
  <c r="G133" i="37"/>
  <c r="G1980" i="67" s="1"/>
  <c r="F133" i="37"/>
  <c r="F1980" i="67" s="1"/>
  <c r="E133" i="37"/>
  <c r="E1980" i="67" s="1"/>
  <c r="I22" i="56" s="1"/>
  <c r="I131" i="37"/>
  <c r="H131" i="37"/>
  <c r="G131" i="37"/>
  <c r="F131" i="37"/>
  <c r="E131" i="37"/>
  <c r="I130" i="37"/>
  <c r="H130" i="37"/>
  <c r="G130" i="37"/>
  <c r="F130" i="37"/>
  <c r="E130" i="37"/>
  <c r="I128" i="37"/>
  <c r="H128" i="37"/>
  <c r="G128" i="37"/>
  <c r="F128" i="37"/>
  <c r="E128" i="37"/>
  <c r="I127" i="37"/>
  <c r="H127" i="37"/>
  <c r="G127" i="37"/>
  <c r="F127" i="37"/>
  <c r="E127" i="37"/>
  <c r="I125" i="37"/>
  <c r="I1973" i="67" s="1"/>
  <c r="H125" i="37"/>
  <c r="H1973" i="67" s="1"/>
  <c r="G125" i="37"/>
  <c r="G1973" i="67" s="1"/>
  <c r="F125" i="37"/>
  <c r="F1973" i="67" s="1"/>
  <c r="E125" i="37"/>
  <c r="E1973" i="67" s="1"/>
  <c r="I122" i="37"/>
  <c r="H122" i="37"/>
  <c r="G122" i="37"/>
  <c r="F122" i="37"/>
  <c r="E122" i="37"/>
  <c r="I121" i="37"/>
  <c r="H121" i="37"/>
  <c r="G121" i="37"/>
  <c r="F121" i="37"/>
  <c r="E121" i="37"/>
  <c r="I120" i="37"/>
  <c r="H120" i="37"/>
  <c r="G120" i="37"/>
  <c r="F120" i="37"/>
  <c r="E120" i="37"/>
  <c r="I119" i="37"/>
  <c r="H119" i="37"/>
  <c r="G119" i="37"/>
  <c r="F119" i="37"/>
  <c r="E119" i="37"/>
  <c r="I118" i="37"/>
  <c r="H118" i="37"/>
  <c r="G118" i="37"/>
  <c r="F118" i="37"/>
  <c r="E118" i="37"/>
  <c r="I116" i="37"/>
  <c r="I1979" i="67" s="1"/>
  <c r="H116" i="37"/>
  <c r="H1979" i="67" s="1"/>
  <c r="G116" i="37"/>
  <c r="G1979" i="67" s="1"/>
  <c r="F116" i="37"/>
  <c r="F1979" i="67" s="1"/>
  <c r="E116" i="37"/>
  <c r="E1979" i="67" s="1"/>
  <c r="I22" i="57" s="1"/>
  <c r="I114" i="37"/>
  <c r="H114" i="37"/>
  <c r="G114" i="37"/>
  <c r="F114" i="37"/>
  <c r="E114" i="37"/>
  <c r="I113" i="37"/>
  <c r="H113" i="37"/>
  <c r="G113" i="37"/>
  <c r="F113" i="37"/>
  <c r="E113" i="37"/>
  <c r="I112" i="37"/>
  <c r="H112" i="37"/>
  <c r="G112" i="37"/>
  <c r="F112" i="37"/>
  <c r="E112" i="37"/>
  <c r="I111" i="37"/>
  <c r="H111" i="37"/>
  <c r="G111" i="37"/>
  <c r="F111" i="37"/>
  <c r="E111" i="37"/>
  <c r="I110" i="37"/>
  <c r="H110" i="37"/>
  <c r="G110" i="37"/>
  <c r="F110" i="37"/>
  <c r="E110" i="37"/>
  <c r="I108" i="37"/>
  <c r="I1972" i="67" s="1"/>
  <c r="H108" i="37"/>
  <c r="H1972" i="67" s="1"/>
  <c r="G108" i="37"/>
  <c r="G1972" i="67" s="1"/>
  <c r="F108" i="37"/>
  <c r="F1972" i="67" s="1"/>
  <c r="E108" i="37"/>
  <c r="E1972" i="67" s="1"/>
  <c r="I100" i="37"/>
  <c r="H100" i="37"/>
  <c r="G100" i="37"/>
  <c r="F100" i="37"/>
  <c r="E100" i="37"/>
  <c r="I99" i="37"/>
  <c r="H99" i="37"/>
  <c r="G99" i="37"/>
  <c r="F99" i="37"/>
  <c r="E99" i="37"/>
  <c r="I98" i="37"/>
  <c r="H98" i="37"/>
  <c r="G98" i="37"/>
  <c r="F98" i="37"/>
  <c r="E98" i="37"/>
  <c r="I97" i="37"/>
  <c r="H97" i="37"/>
  <c r="G97" i="37"/>
  <c r="F97" i="37"/>
  <c r="E97" i="37"/>
  <c r="I95" i="37"/>
  <c r="H95" i="37"/>
  <c r="G95" i="37"/>
  <c r="F95" i="37"/>
  <c r="E95" i="37"/>
  <c r="I94" i="37"/>
  <c r="H94" i="37"/>
  <c r="G94" i="37"/>
  <c r="F94" i="37"/>
  <c r="E94" i="37"/>
  <c r="I92" i="37"/>
  <c r="I1966" i="67" s="1"/>
  <c r="H92" i="37"/>
  <c r="H1966" i="67" s="1"/>
  <c r="G92" i="37"/>
  <c r="G1966" i="67" s="1"/>
  <c r="F92" i="37"/>
  <c r="F1966" i="67" s="1"/>
  <c r="E92" i="37"/>
  <c r="E1966" i="67" s="1"/>
  <c r="I22" i="49" s="1"/>
  <c r="A189" i="77" s="1"/>
  <c r="I87" i="37"/>
  <c r="I2614" i="67" s="1"/>
  <c r="H87" i="37"/>
  <c r="H2614" i="67" s="1"/>
  <c r="G87" i="37"/>
  <c r="G2614" i="67" s="1"/>
  <c r="F87" i="37"/>
  <c r="F2614" i="67" s="1"/>
  <c r="E87" i="37"/>
  <c r="E2614" i="67" s="1"/>
  <c r="I86" i="37"/>
  <c r="I2609" i="67" s="1"/>
  <c r="H86" i="37"/>
  <c r="H2609" i="67" s="1"/>
  <c r="G86" i="37"/>
  <c r="G2609" i="67" s="1"/>
  <c r="F86" i="37"/>
  <c r="F2609" i="67" s="1"/>
  <c r="E86" i="37"/>
  <c r="E2609" i="67" s="1"/>
  <c r="I85" i="37"/>
  <c r="H85" i="37"/>
  <c r="G85" i="37"/>
  <c r="F85" i="37"/>
  <c r="E85" i="37"/>
  <c r="I84" i="37"/>
  <c r="H84" i="37"/>
  <c r="G84" i="37"/>
  <c r="F84" i="37"/>
  <c r="E84" i="37"/>
  <c r="I82" i="37"/>
  <c r="H82" i="37"/>
  <c r="G82" i="37"/>
  <c r="F82" i="37"/>
  <c r="E82" i="37"/>
  <c r="I81" i="37"/>
  <c r="H81" i="37"/>
  <c r="G81" i="37"/>
  <c r="F81" i="37"/>
  <c r="E81" i="37"/>
  <c r="I79" i="37"/>
  <c r="H79" i="37"/>
  <c r="G79" i="37"/>
  <c r="F79" i="37"/>
  <c r="E79" i="37"/>
  <c r="I73" i="37"/>
  <c r="H73" i="37"/>
  <c r="G73" i="37"/>
  <c r="F73" i="37"/>
  <c r="E73" i="37"/>
  <c r="I72" i="37"/>
  <c r="H72" i="37"/>
  <c r="G72" i="37"/>
  <c r="F72" i="37"/>
  <c r="E72" i="37"/>
  <c r="I71" i="37"/>
  <c r="H71" i="37"/>
  <c r="G71" i="37"/>
  <c r="F71" i="37"/>
  <c r="E71" i="37"/>
  <c r="I70" i="37"/>
  <c r="H70" i="37"/>
  <c r="G70" i="37"/>
  <c r="F70" i="37"/>
  <c r="E70" i="37"/>
  <c r="I68" i="37"/>
  <c r="H68" i="37"/>
  <c r="G68" i="37"/>
  <c r="F68" i="37"/>
  <c r="E68" i="37"/>
  <c r="I67" i="37"/>
  <c r="H67" i="37"/>
  <c r="G67" i="37"/>
  <c r="F67" i="37"/>
  <c r="E67" i="37"/>
  <c r="I65" i="37"/>
  <c r="I1965" i="67" s="1"/>
  <c r="H65" i="37"/>
  <c r="H1965" i="67" s="1"/>
  <c r="G65" i="37"/>
  <c r="G1965" i="67" s="1"/>
  <c r="F65" i="37"/>
  <c r="F1965" i="67" s="1"/>
  <c r="E65" i="37"/>
  <c r="E1965" i="67" s="1"/>
  <c r="I22" i="48" s="1"/>
  <c r="A177" i="77" s="1"/>
  <c r="I60" i="37"/>
  <c r="I2583" i="67" s="1"/>
  <c r="H60" i="37"/>
  <c r="H2583" i="67" s="1"/>
  <c r="G60" i="37"/>
  <c r="G2583" i="67" s="1"/>
  <c r="F60" i="37"/>
  <c r="F2583" i="67" s="1"/>
  <c r="E60" i="37"/>
  <c r="E2583" i="67" s="1"/>
  <c r="I59" i="37"/>
  <c r="I2578" i="67" s="1"/>
  <c r="H59" i="37"/>
  <c r="H2578" i="67" s="1"/>
  <c r="G59" i="37"/>
  <c r="G2578" i="67" s="1"/>
  <c r="F59" i="37"/>
  <c r="F2578" i="67" s="1"/>
  <c r="E59" i="37"/>
  <c r="E2578" i="67" s="1"/>
  <c r="I58" i="37"/>
  <c r="H58" i="37"/>
  <c r="G58" i="37"/>
  <c r="F58" i="37"/>
  <c r="E58" i="37"/>
  <c r="I57" i="37"/>
  <c r="H57" i="37"/>
  <c r="G57" i="37"/>
  <c r="F57" i="37"/>
  <c r="E57" i="37"/>
  <c r="I55" i="37"/>
  <c r="H55" i="37"/>
  <c r="G55" i="37"/>
  <c r="F55" i="37"/>
  <c r="E55" i="37"/>
  <c r="I54" i="37"/>
  <c r="H54" i="37"/>
  <c r="G54" i="37"/>
  <c r="F54" i="37"/>
  <c r="E54" i="37"/>
  <c r="I52" i="37"/>
  <c r="I1956" i="67" s="1"/>
  <c r="H52" i="37"/>
  <c r="H1956" i="67" s="1"/>
  <c r="G52" i="37"/>
  <c r="G1956" i="67" s="1"/>
  <c r="F52" i="37"/>
  <c r="F1956" i="67" s="1"/>
  <c r="E52" i="37"/>
  <c r="E1956" i="67" s="1"/>
  <c r="I46" i="37"/>
  <c r="I2964" i="67" s="1"/>
  <c r="H46" i="37"/>
  <c r="H2964" i="67" s="1"/>
  <c r="G46" i="37"/>
  <c r="G2964" i="67" s="1"/>
  <c r="F46" i="37"/>
  <c r="F2964" i="67" s="1"/>
  <c r="E46" i="37"/>
  <c r="E2964" i="67" s="1"/>
  <c r="I45" i="37"/>
  <c r="I2956" i="67" s="1"/>
  <c r="H45" i="37"/>
  <c r="H2956" i="67" s="1"/>
  <c r="G45" i="37"/>
  <c r="G2956" i="67" s="1"/>
  <c r="F45" i="37"/>
  <c r="F2956" i="67" s="1"/>
  <c r="E45" i="37"/>
  <c r="E2956" i="67" s="1"/>
  <c r="I44" i="37"/>
  <c r="H44" i="37"/>
  <c r="G44" i="37"/>
  <c r="F44" i="37"/>
  <c r="E44" i="37"/>
  <c r="I43" i="37"/>
  <c r="H43" i="37"/>
  <c r="G43" i="37"/>
  <c r="F43" i="37"/>
  <c r="E43" i="37"/>
  <c r="I42" i="37"/>
  <c r="H42" i="37"/>
  <c r="G42" i="37"/>
  <c r="F42" i="37"/>
  <c r="E42" i="37"/>
  <c r="I41" i="37"/>
  <c r="H41" i="37"/>
  <c r="G41" i="37"/>
  <c r="F41" i="37"/>
  <c r="E41" i="37"/>
  <c r="I40" i="37"/>
  <c r="H40" i="37"/>
  <c r="G40" i="37"/>
  <c r="F40" i="37"/>
  <c r="E40" i="37"/>
  <c r="I38" i="37"/>
  <c r="I1964" i="67" s="1"/>
  <c r="H38" i="37"/>
  <c r="H1964" i="67" s="1"/>
  <c r="G38" i="37"/>
  <c r="G1964" i="67" s="1"/>
  <c r="F38" i="37"/>
  <c r="F1964" i="67" s="1"/>
  <c r="E38" i="37"/>
  <c r="E1964" i="67" s="1"/>
  <c r="I22" i="34" s="1"/>
  <c r="A164" i="77" s="1"/>
  <c r="I33" i="37"/>
  <c r="H33" i="37"/>
  <c r="G33" i="37"/>
  <c r="F33" i="37"/>
  <c r="I32" i="37"/>
  <c r="H32" i="37"/>
  <c r="G32" i="37"/>
  <c r="F32" i="37"/>
  <c r="E33" i="37"/>
  <c r="E32" i="37"/>
  <c r="I31" i="37"/>
  <c r="H31" i="37"/>
  <c r="G31" i="37"/>
  <c r="F31" i="37"/>
  <c r="I30" i="37"/>
  <c r="I1900" i="67" s="1"/>
  <c r="H30" i="37"/>
  <c r="H1900" i="67" s="1"/>
  <c r="G30" i="37"/>
  <c r="G1900" i="67" s="1"/>
  <c r="F30" i="37"/>
  <c r="F1900" i="67" s="1"/>
  <c r="I29" i="37"/>
  <c r="H29" i="37"/>
  <c r="G29" i="37"/>
  <c r="F29" i="37"/>
  <c r="I28" i="37"/>
  <c r="H28" i="37"/>
  <c r="G28" i="37"/>
  <c r="F28" i="37"/>
  <c r="I27" i="37"/>
  <c r="H27" i="37"/>
  <c r="G27" i="37"/>
  <c r="F27" i="37"/>
  <c r="E30" i="37"/>
  <c r="E1900" i="67" s="1"/>
  <c r="E29" i="37"/>
  <c r="E31" i="37"/>
  <c r="E28" i="37"/>
  <c r="E27" i="37"/>
  <c r="H3115" i="67" l="1"/>
  <c r="H2636" i="67"/>
  <c r="H2029" i="67"/>
  <c r="E3115" i="67"/>
  <c r="E2636" i="67"/>
  <c r="E2029" i="67"/>
  <c r="G34" i="61" s="1"/>
  <c r="A229" i="77" s="1"/>
  <c r="F3115" i="67"/>
  <c r="F2636" i="67"/>
  <c r="F2029" i="67"/>
  <c r="I3115" i="67"/>
  <c r="I2636" i="67"/>
  <c r="I2029" i="67"/>
  <c r="G3115" i="67"/>
  <c r="G2636" i="67"/>
  <c r="G2029" i="67"/>
  <c r="I3116" i="67"/>
  <c r="I3151" i="67" s="1"/>
  <c r="I2647" i="67"/>
  <c r="I2649" i="67" s="1"/>
  <c r="I2032" i="67"/>
  <c r="F3116" i="67"/>
  <c r="F3151" i="67" s="1"/>
  <c r="F2647" i="67"/>
  <c r="F2649" i="67" s="1"/>
  <c r="F2032" i="67"/>
  <c r="E3116" i="67"/>
  <c r="E3151" i="67" s="1"/>
  <c r="E2647" i="67"/>
  <c r="E2649" i="67" s="1"/>
  <c r="E2032" i="67"/>
  <c r="G34" i="62" s="1"/>
  <c r="G3116" i="67"/>
  <c r="G3151" i="67" s="1"/>
  <c r="G2647" i="67"/>
  <c r="G2649" i="67" s="1"/>
  <c r="G2032" i="67"/>
  <c r="H3116" i="67"/>
  <c r="H3151" i="67" s="1"/>
  <c r="H2647" i="67"/>
  <c r="H2649" i="67" s="1"/>
  <c r="H2032" i="67"/>
  <c r="I14" i="67"/>
  <c r="I68" i="67"/>
  <c r="H14" i="67"/>
  <c r="H68" i="67"/>
  <c r="G14" i="67"/>
  <c r="G68" i="67"/>
  <c r="H3107" i="67"/>
  <c r="H3142" i="67" s="1"/>
  <c r="I3107" i="67"/>
  <c r="I3142" i="67" s="1"/>
  <c r="E3107" i="67"/>
  <c r="E3142" i="67" s="1"/>
  <c r="X24" i="34" s="1"/>
  <c r="G3107" i="67"/>
  <c r="G3142" i="67" s="1"/>
  <c r="F3107" i="67"/>
  <c r="F3142" i="67" s="1"/>
  <c r="F448" i="67"/>
  <c r="Y21" i="52"/>
  <c r="A440" i="77" s="1"/>
  <c r="G394" i="67"/>
  <c r="F394" i="67"/>
  <c r="G340" i="67"/>
  <c r="H2637" i="67"/>
  <c r="H3133" i="67"/>
  <c r="H3150" i="67" s="1"/>
  <c r="G2637" i="67"/>
  <c r="G3133" i="67"/>
  <c r="G3150" i="67" s="1"/>
  <c r="E2637" i="67"/>
  <c r="E2638" i="67" s="1"/>
  <c r="E3133" i="67"/>
  <c r="E3150" i="67" s="1"/>
  <c r="I2637" i="67"/>
  <c r="I3133" i="67"/>
  <c r="I3150" i="67" s="1"/>
  <c r="F2637" i="67"/>
  <c r="F3133" i="67"/>
  <c r="F3150" i="67" s="1"/>
  <c r="G19" i="62"/>
  <c r="A219" i="77" s="1"/>
  <c r="A218" i="77"/>
  <c r="G19" i="63"/>
  <c r="A224" i="77" s="1"/>
  <c r="A223" i="77"/>
  <c r="I394" i="67"/>
  <c r="K19" i="49"/>
  <c r="I19" i="52"/>
  <c r="A155" i="77" s="1"/>
  <c r="H448" i="67"/>
  <c r="I448" i="67"/>
  <c r="H340" i="67"/>
  <c r="E1957" i="67"/>
  <c r="K22" i="49" s="1"/>
  <c r="I1957" i="67"/>
  <c r="I2068" i="67" s="1"/>
  <c r="G1957" i="67"/>
  <c r="G2067" i="67" s="1"/>
  <c r="H1957" i="67"/>
  <c r="H2068" i="67" s="1"/>
  <c r="F1957" i="67"/>
  <c r="F2067" i="67" s="1"/>
  <c r="G2642" i="67"/>
  <c r="G3128" i="67"/>
  <c r="G3137" i="67"/>
  <c r="G3154" i="67" s="1"/>
  <c r="H2642" i="67"/>
  <c r="H3128" i="67"/>
  <c r="H3137" i="67"/>
  <c r="H3154" i="67" s="1"/>
  <c r="E2642" i="67"/>
  <c r="E3128" i="67"/>
  <c r="E3137" i="67"/>
  <c r="I2642" i="67"/>
  <c r="I3128" i="67"/>
  <c r="I3137" i="67"/>
  <c r="I3154" i="67" s="1"/>
  <c r="F2642" i="67"/>
  <c r="F3128" i="67"/>
  <c r="F3137" i="67"/>
  <c r="F3154" i="67" s="1"/>
  <c r="F2389" i="67"/>
  <c r="F2421" i="67"/>
  <c r="F2357" i="67"/>
  <c r="F2126" i="67"/>
  <c r="F2339" i="67"/>
  <c r="F2371" i="67"/>
  <c r="F2122" i="67"/>
  <c r="F2403" i="67"/>
  <c r="I2348" i="67"/>
  <c r="I2380" i="67"/>
  <c r="I2124" i="67"/>
  <c r="I2412" i="67"/>
  <c r="E2348" i="67"/>
  <c r="E2380" i="67"/>
  <c r="E2124" i="67"/>
  <c r="E2412" i="67"/>
  <c r="E2403" i="67"/>
  <c r="E2339" i="67"/>
  <c r="E2371" i="67"/>
  <c r="E2122" i="67"/>
  <c r="F2348" i="67"/>
  <c r="F2380" i="67"/>
  <c r="F2124" i="67"/>
  <c r="F2412" i="67"/>
  <c r="G2481" i="67"/>
  <c r="G2449" i="67"/>
  <c r="G2125" i="67"/>
  <c r="G2513" i="67"/>
  <c r="I2374" i="67"/>
  <c r="I2376" i="67" s="1"/>
  <c r="I2406" i="67"/>
  <c r="I2408" i="67" s="1"/>
  <c r="I2342" i="67"/>
  <c r="I2344" i="67" s="1"/>
  <c r="E2357" i="67"/>
  <c r="E2126" i="67"/>
  <c r="E2389" i="67"/>
  <c r="E2421" i="67"/>
  <c r="G2421" i="67"/>
  <c r="G2357" i="67"/>
  <c r="G2126" i="67"/>
  <c r="G2389" i="67"/>
  <c r="G2339" i="67"/>
  <c r="G2371" i="67"/>
  <c r="G2122" i="67"/>
  <c r="G2403" i="67"/>
  <c r="I2522" i="67"/>
  <c r="I2458" i="67"/>
  <c r="I2490" i="67"/>
  <c r="I2127" i="67"/>
  <c r="G2383" i="67"/>
  <c r="G2385" i="67" s="1"/>
  <c r="G2351" i="67"/>
  <c r="G2353" i="67" s="1"/>
  <c r="G2415" i="67"/>
  <c r="G2417" i="67" s="1"/>
  <c r="I2392" i="67"/>
  <c r="I2394" i="67" s="1"/>
  <c r="I2360" i="67"/>
  <c r="I2362" i="67" s="1"/>
  <c r="I2424" i="67"/>
  <c r="I2426" i="67" s="1"/>
  <c r="H2357" i="67"/>
  <c r="H2126" i="67"/>
  <c r="H2389" i="67"/>
  <c r="H2421" i="67"/>
  <c r="H2412" i="67"/>
  <c r="H2348" i="67"/>
  <c r="H2124" i="67"/>
  <c r="H2380" i="67"/>
  <c r="H2371" i="67"/>
  <c r="H2122" i="67"/>
  <c r="H2403" i="67"/>
  <c r="H2339" i="67"/>
  <c r="A480" i="77"/>
  <c r="A432" i="77"/>
  <c r="A488" i="77"/>
  <c r="A472" i="77"/>
  <c r="F2547" i="67"/>
  <c r="F2952" i="67"/>
  <c r="G2547" i="67"/>
  <c r="G2952" i="67"/>
  <c r="E2547" i="67"/>
  <c r="E2952" i="67"/>
  <c r="H2547" i="67"/>
  <c r="H2952" i="67"/>
  <c r="I2547" i="67"/>
  <c r="I2952" i="67"/>
  <c r="G19" i="48"/>
  <c r="A181" i="77" s="1"/>
  <c r="A180" i="77"/>
  <c r="G19" i="61"/>
  <c r="A214" i="77" s="1"/>
  <c r="A213" i="77"/>
  <c r="G19" i="51"/>
  <c r="A144" i="77" s="1"/>
  <c r="A143" i="77"/>
  <c r="G19" i="50"/>
  <c r="A131" i="77" s="1"/>
  <c r="A130" i="77"/>
  <c r="G19" i="34"/>
  <c r="A168" i="77" s="1"/>
  <c r="A167" i="77"/>
  <c r="F2552" i="67"/>
  <c r="F2960" i="67"/>
  <c r="G2552" i="67"/>
  <c r="G2960" i="67"/>
  <c r="H2552" i="67"/>
  <c r="H2960" i="67"/>
  <c r="E2552" i="67"/>
  <c r="E2960" i="67"/>
  <c r="I2552" i="67"/>
  <c r="I2960" i="67"/>
  <c r="G2542" i="67"/>
  <c r="G2944" i="67"/>
  <c r="H2563" i="67"/>
  <c r="H2568" i="67"/>
  <c r="H2558" i="67"/>
  <c r="H2965" i="67"/>
  <c r="H2966" i="67" s="1"/>
  <c r="H2957" i="67"/>
  <c r="H2958" i="67" s="1"/>
  <c r="H2949" i="67"/>
  <c r="H2950" i="67" s="1"/>
  <c r="H1842" i="67"/>
  <c r="I2010" i="67"/>
  <c r="I2567" i="67"/>
  <c r="I1835" i="67"/>
  <c r="F2014" i="67"/>
  <c r="F2593" i="67"/>
  <c r="F1837" i="67"/>
  <c r="I2604" i="67"/>
  <c r="H2630" i="67"/>
  <c r="H2625" i="67"/>
  <c r="H2620" i="67"/>
  <c r="H1844" i="67"/>
  <c r="F2019" i="67"/>
  <c r="F2624" i="67"/>
  <c r="F1840" i="67"/>
  <c r="G3029" i="67"/>
  <c r="G1873" i="67"/>
  <c r="E3033" i="67"/>
  <c r="E1857" i="67"/>
  <c r="G3043" i="67"/>
  <c r="G1858" i="67"/>
  <c r="F3048" i="67"/>
  <c r="F1872" i="67"/>
  <c r="F1072" i="67"/>
  <c r="F1073" i="67" s="1"/>
  <c r="F1235" i="67"/>
  <c r="F1236" i="67" s="1"/>
  <c r="E1126" i="67"/>
  <c r="E1127" i="67" s="1"/>
  <c r="E1289" i="67"/>
  <c r="E1290" i="67" s="1"/>
  <c r="E963" i="67"/>
  <c r="E964" i="67" s="1"/>
  <c r="E1822" i="67"/>
  <c r="E2548" i="67"/>
  <c r="E2543" i="67"/>
  <c r="E2553" i="67"/>
  <c r="E2945" i="67"/>
  <c r="E2953" i="67"/>
  <c r="E2961" i="67"/>
  <c r="F1822" i="67"/>
  <c r="F2548" i="67"/>
  <c r="F2543" i="67"/>
  <c r="F2553" i="67"/>
  <c r="F2961" i="67"/>
  <c r="F2953" i="67"/>
  <c r="F2945" i="67"/>
  <c r="F2542" i="67"/>
  <c r="F2944" i="67"/>
  <c r="G2563" i="67"/>
  <c r="G2568" i="67"/>
  <c r="G2558" i="67"/>
  <c r="G2965" i="67"/>
  <c r="G2966" i="67" s="1"/>
  <c r="G2949" i="67"/>
  <c r="G2950" i="67" s="1"/>
  <c r="G2957" i="67"/>
  <c r="G1842" i="67"/>
  <c r="F2008" i="67"/>
  <c r="F2557" i="67"/>
  <c r="F1833" i="67"/>
  <c r="E2009" i="67"/>
  <c r="G36" i="34" s="1"/>
  <c r="A171" i="77" s="1"/>
  <c r="E2562" i="67"/>
  <c r="E1834" i="67"/>
  <c r="I2009" i="67"/>
  <c r="I2562" i="67"/>
  <c r="I1834" i="67"/>
  <c r="H2010" i="67"/>
  <c r="H2567" i="67"/>
  <c r="H1835" i="67"/>
  <c r="E1823" i="67"/>
  <c r="E2584" i="67"/>
  <c r="E2585" i="67" s="1"/>
  <c r="E2579" i="67"/>
  <c r="E2580" i="67" s="1"/>
  <c r="E2574" i="67"/>
  <c r="E2987" i="67"/>
  <c r="E2988" i="67" s="1"/>
  <c r="Z41" i="51" s="1"/>
  <c r="A402" i="77" s="1"/>
  <c r="E2979" i="67"/>
  <c r="E2971" i="67"/>
  <c r="I1823" i="67"/>
  <c r="I2584" i="67"/>
  <c r="I2585" i="67" s="1"/>
  <c r="I2579" i="67"/>
  <c r="I2580" i="67" s="1"/>
  <c r="I2574" i="67"/>
  <c r="I2987" i="67"/>
  <c r="I2988" i="67" s="1"/>
  <c r="I2979" i="67"/>
  <c r="I2980" i="67" s="1"/>
  <c r="I2971" i="67"/>
  <c r="H2573" i="67"/>
  <c r="H2970" i="67"/>
  <c r="G2599" i="67"/>
  <c r="G2594" i="67"/>
  <c r="G2589" i="67"/>
  <c r="G2991" i="67"/>
  <c r="G2992" i="67" s="1"/>
  <c r="G2975" i="67"/>
  <c r="G2983" i="67"/>
  <c r="G1843" i="67"/>
  <c r="F2013" i="67"/>
  <c r="F2588" i="67"/>
  <c r="F2974" i="67"/>
  <c r="F1836" i="67"/>
  <c r="E2014" i="67"/>
  <c r="G36" i="48" s="1"/>
  <c r="A183" i="77" s="1"/>
  <c r="E2593" i="67"/>
  <c r="E1837" i="67"/>
  <c r="I2014" i="67"/>
  <c r="I2593" i="67"/>
  <c r="I1837" i="67"/>
  <c r="H2015" i="67"/>
  <c r="H2598" i="67"/>
  <c r="H1838" i="67"/>
  <c r="E2615" i="67"/>
  <c r="E2616" i="67" s="1"/>
  <c r="E2610" i="67"/>
  <c r="E2611" i="67" s="1"/>
  <c r="E2605" i="67"/>
  <c r="E1824" i="67"/>
  <c r="I2615" i="67"/>
  <c r="I2616" i="67" s="1"/>
  <c r="I2610" i="67"/>
  <c r="I2611" i="67" s="1"/>
  <c r="I2605" i="67"/>
  <c r="I1824" i="67"/>
  <c r="H2604" i="67"/>
  <c r="G2630" i="67"/>
  <c r="G2625" i="67"/>
  <c r="G2620" i="67"/>
  <c r="G1844" i="67"/>
  <c r="F2018" i="67"/>
  <c r="F2619" i="67"/>
  <c r="F1839" i="67"/>
  <c r="E2019" i="67"/>
  <c r="G36" i="49" s="1"/>
  <c r="E2624" i="67"/>
  <c r="E1840" i="67"/>
  <c r="I2019" i="67"/>
  <c r="I2624" i="67"/>
  <c r="I1840" i="67"/>
  <c r="H2020" i="67"/>
  <c r="H2629" i="67"/>
  <c r="H1841" i="67"/>
  <c r="H3024" i="67"/>
  <c r="H1859" i="67"/>
  <c r="G3023" i="67"/>
  <c r="G1856" i="67"/>
  <c r="F3029" i="67"/>
  <c r="F1873" i="67"/>
  <c r="E3028" i="67"/>
  <c r="E1870" i="67"/>
  <c r="I3028" i="67"/>
  <c r="I1870" i="67"/>
  <c r="E3034" i="67"/>
  <c r="E1860" i="67"/>
  <c r="I3034" i="67"/>
  <c r="I1860" i="67"/>
  <c r="H3033" i="67"/>
  <c r="H1857" i="67"/>
  <c r="H3039" i="67"/>
  <c r="H1874" i="67"/>
  <c r="G3038" i="67"/>
  <c r="G1871" i="67"/>
  <c r="G3044" i="67"/>
  <c r="G1861" i="67"/>
  <c r="F3043" i="67"/>
  <c r="F1858" i="67"/>
  <c r="F3049" i="67"/>
  <c r="F1875" i="67"/>
  <c r="E3048" i="67"/>
  <c r="E1872" i="67"/>
  <c r="I3048" i="67"/>
  <c r="I1872" i="67"/>
  <c r="H1180" i="67"/>
  <c r="H1181" i="67" s="1"/>
  <c r="H1017" i="67"/>
  <c r="H1018" i="67" s="1"/>
  <c r="H1343" i="67"/>
  <c r="H1344" i="67" s="1"/>
  <c r="H1289" i="67"/>
  <c r="H1290" i="67" s="1"/>
  <c r="H963" i="67"/>
  <c r="H964" i="67" s="1"/>
  <c r="H1126" i="67"/>
  <c r="H1127" i="67" s="1"/>
  <c r="H1072" i="67"/>
  <c r="H1073" i="67" s="1"/>
  <c r="H1235" i="67"/>
  <c r="H1236" i="67" s="1"/>
  <c r="F2009" i="67"/>
  <c r="F2562" i="67"/>
  <c r="F1834" i="67"/>
  <c r="H3023" i="67"/>
  <c r="H1856" i="67"/>
  <c r="F3028" i="67"/>
  <c r="F1870" i="67"/>
  <c r="E3039" i="67"/>
  <c r="E1874" i="67"/>
  <c r="G3049" i="67"/>
  <c r="G1875" i="67"/>
  <c r="G1822" i="67"/>
  <c r="G2543" i="67"/>
  <c r="G2553" i="67"/>
  <c r="G2548" i="67"/>
  <c r="G2961" i="67"/>
  <c r="G2953" i="67"/>
  <c r="G2945" i="67"/>
  <c r="G2008" i="67"/>
  <c r="G2557" i="67"/>
  <c r="G1833" i="67"/>
  <c r="F1823" i="67"/>
  <c r="F2584" i="67"/>
  <c r="F2585" i="67" s="1"/>
  <c r="F2579" i="67"/>
  <c r="F2580" i="67" s="1"/>
  <c r="F2574" i="67"/>
  <c r="F2987" i="67"/>
  <c r="F2988" i="67" s="1"/>
  <c r="F2979" i="67"/>
  <c r="F2980" i="67" s="1"/>
  <c r="F2971" i="67"/>
  <c r="G2013" i="67"/>
  <c r="G2588" i="67"/>
  <c r="G2974" i="67"/>
  <c r="G1836" i="67"/>
  <c r="E2015" i="67"/>
  <c r="I36" i="48" s="1"/>
  <c r="A184" i="77" s="1"/>
  <c r="E2598" i="67"/>
  <c r="E1838" i="67"/>
  <c r="F2615" i="67"/>
  <c r="F2616" i="67" s="1"/>
  <c r="F2610" i="67"/>
  <c r="F2611" i="67" s="1"/>
  <c r="F2605" i="67"/>
  <c r="F1824" i="67"/>
  <c r="G2018" i="67"/>
  <c r="G2619" i="67"/>
  <c r="G2621" i="67" s="1"/>
  <c r="G1839" i="67"/>
  <c r="I2020" i="67"/>
  <c r="I2629" i="67"/>
  <c r="I1841" i="67"/>
  <c r="E3024" i="67"/>
  <c r="E1859" i="67"/>
  <c r="I3033" i="67"/>
  <c r="I1857" i="67"/>
  <c r="H3038" i="67"/>
  <c r="H1871" i="67"/>
  <c r="I1126" i="67"/>
  <c r="I1127" i="67" s="1"/>
  <c r="I1289" i="67"/>
  <c r="I1290" i="67" s="1"/>
  <c r="I963" i="67"/>
  <c r="I964" i="67" s="1"/>
  <c r="H1822" i="67"/>
  <c r="H2553" i="67"/>
  <c r="H2543" i="67"/>
  <c r="H2548" i="67"/>
  <c r="H2945" i="67"/>
  <c r="H2961" i="67"/>
  <c r="H2953" i="67"/>
  <c r="H2542" i="67"/>
  <c r="H2944" i="67"/>
  <c r="E2568" i="67"/>
  <c r="E2558" i="67"/>
  <c r="E2563" i="67"/>
  <c r="E2965" i="67"/>
  <c r="E2966" i="67" s="1"/>
  <c r="Z41" i="34" s="1"/>
  <c r="E2957" i="67"/>
  <c r="E2949" i="67"/>
  <c r="E2950" i="67" s="1"/>
  <c r="X41" i="34" s="1"/>
  <c r="E1842" i="67"/>
  <c r="I2568" i="67"/>
  <c r="I2558" i="67"/>
  <c r="I2563" i="67"/>
  <c r="I2965" i="67"/>
  <c r="I2966" i="67" s="1"/>
  <c r="I2957" i="67"/>
  <c r="I2958" i="67" s="1"/>
  <c r="I2949" i="67"/>
  <c r="I2950" i="67" s="1"/>
  <c r="I1842" i="67"/>
  <c r="H2008" i="67"/>
  <c r="H2557" i="67"/>
  <c r="H2559" i="67" s="1"/>
  <c r="H1833" i="67"/>
  <c r="G2009" i="67"/>
  <c r="G2562" i="67"/>
  <c r="G1834" i="67"/>
  <c r="F2010" i="67"/>
  <c r="F2567" i="67"/>
  <c r="F1835" i="67"/>
  <c r="G1823" i="67"/>
  <c r="G2584" i="67"/>
  <c r="G2585" i="67" s="1"/>
  <c r="G2579" i="67"/>
  <c r="G2580" i="67" s="1"/>
  <c r="G2574" i="67"/>
  <c r="G2979" i="67"/>
  <c r="G2980" i="67" s="1"/>
  <c r="G2987" i="67"/>
  <c r="G2988" i="67" s="1"/>
  <c r="G2971" i="67"/>
  <c r="F2573" i="67"/>
  <c r="F2970" i="67"/>
  <c r="E2599" i="67"/>
  <c r="E2594" i="67"/>
  <c r="E2589" i="67"/>
  <c r="E2991" i="67"/>
  <c r="E2992" i="67" s="1"/>
  <c r="Z41" i="48" s="1"/>
  <c r="A411" i="77" s="1"/>
  <c r="E2983" i="67"/>
  <c r="E2975" i="67"/>
  <c r="E1843" i="67"/>
  <c r="I2599" i="67"/>
  <c r="I2594" i="67"/>
  <c r="I2589" i="67"/>
  <c r="I2991" i="67"/>
  <c r="I2992" i="67" s="1"/>
  <c r="I2983" i="67"/>
  <c r="I2984" i="67" s="1"/>
  <c r="I2975" i="67"/>
  <c r="I1843" i="67"/>
  <c r="H2013" i="67"/>
  <c r="H2588" i="67"/>
  <c r="H2974" i="67"/>
  <c r="H1836" i="67"/>
  <c r="G2014" i="67"/>
  <c r="G2593" i="67"/>
  <c r="G2595" i="67" s="1"/>
  <c r="G1837" i="67"/>
  <c r="F2015" i="67"/>
  <c r="F2598" i="67"/>
  <c r="F1838" i="67"/>
  <c r="G2615" i="67"/>
  <c r="G2616" i="67" s="1"/>
  <c r="G2610" i="67"/>
  <c r="G2611" i="67" s="1"/>
  <c r="G2605" i="67"/>
  <c r="G1824" i="67"/>
  <c r="F2604" i="67"/>
  <c r="E2630" i="67"/>
  <c r="E2625" i="67"/>
  <c r="E2620" i="67"/>
  <c r="E1844" i="67"/>
  <c r="I2630" i="67"/>
  <c r="I2625" i="67"/>
  <c r="I2620" i="67"/>
  <c r="I1844" i="67"/>
  <c r="H2018" i="67"/>
  <c r="H2619" i="67"/>
  <c r="H1839" i="67"/>
  <c r="G2019" i="67"/>
  <c r="G2624" i="67"/>
  <c r="G1840" i="67"/>
  <c r="F2020" i="67"/>
  <c r="F2629" i="67"/>
  <c r="F1841" i="67"/>
  <c r="F3024" i="67"/>
  <c r="F1859" i="67"/>
  <c r="E3023" i="67"/>
  <c r="E1856" i="67"/>
  <c r="I3023" i="67"/>
  <c r="I1856" i="67"/>
  <c r="H3029" i="67"/>
  <c r="H1873" i="67"/>
  <c r="G3028" i="67"/>
  <c r="G1870" i="67"/>
  <c r="G3034" i="67"/>
  <c r="G1860" i="67"/>
  <c r="F3033" i="67"/>
  <c r="F1857" i="67"/>
  <c r="F3039" i="67"/>
  <c r="F1874" i="67"/>
  <c r="E3038" i="67"/>
  <c r="E1871" i="67"/>
  <c r="I3038" i="67"/>
  <c r="I1871" i="67"/>
  <c r="E3044" i="67"/>
  <c r="E1861" i="67"/>
  <c r="I3044" i="67"/>
  <c r="I1861" i="67"/>
  <c r="H3043" i="67"/>
  <c r="H1858" i="67"/>
  <c r="H3049" i="67"/>
  <c r="H1875" i="67"/>
  <c r="G3048" i="67"/>
  <c r="G1872" i="67"/>
  <c r="E1235" i="67"/>
  <c r="E1236" i="67" s="1"/>
  <c r="E1072" i="67"/>
  <c r="E1073" i="67" s="1"/>
  <c r="F1126" i="67"/>
  <c r="F1127" i="67" s="1"/>
  <c r="F963" i="67"/>
  <c r="F964" i="67" s="1"/>
  <c r="F1289" i="67"/>
  <c r="F1290" i="67" s="1"/>
  <c r="G1152" i="67"/>
  <c r="G1153" i="67" s="1"/>
  <c r="G989" i="67"/>
  <c r="G990" i="67" s="1"/>
  <c r="G1315" i="67"/>
  <c r="G1316" i="67" s="1"/>
  <c r="E2010" i="67"/>
  <c r="I36" i="34" s="1"/>
  <c r="A172" i="77" s="1"/>
  <c r="E2567" i="67"/>
  <c r="E1835" i="67"/>
  <c r="E2573" i="67"/>
  <c r="E2970" i="67"/>
  <c r="I2573" i="67"/>
  <c r="I2970" i="67"/>
  <c r="H2599" i="67"/>
  <c r="H2594" i="67"/>
  <c r="H2589" i="67"/>
  <c r="H2991" i="67"/>
  <c r="H2983" i="67"/>
  <c r="H2975" i="67"/>
  <c r="H1843" i="67"/>
  <c r="I2015" i="67"/>
  <c r="I2598" i="67"/>
  <c r="I1838" i="67"/>
  <c r="E2604" i="67"/>
  <c r="Z41" i="52"/>
  <c r="Y41" i="52"/>
  <c r="E2020" i="67"/>
  <c r="I36" i="49" s="1"/>
  <c r="A196" i="77" s="1"/>
  <c r="E2629" i="67"/>
  <c r="E1841" i="67"/>
  <c r="I3024" i="67"/>
  <c r="I1859" i="67"/>
  <c r="F3034" i="67"/>
  <c r="F1860" i="67"/>
  <c r="I3039" i="67"/>
  <c r="I1874" i="67"/>
  <c r="H3044" i="67"/>
  <c r="H1861" i="67"/>
  <c r="F1180" i="67"/>
  <c r="F1181" i="67" s="1"/>
  <c r="F1017" i="67"/>
  <c r="F1018" i="67" s="1"/>
  <c r="F1343" i="67"/>
  <c r="F1344" i="67" s="1"/>
  <c r="E2542" i="67"/>
  <c r="E2944" i="67"/>
  <c r="I1822" i="67"/>
  <c r="I2548" i="67"/>
  <c r="I2543" i="67"/>
  <c r="I2553" i="67"/>
  <c r="I2945" i="67"/>
  <c r="I2953" i="67"/>
  <c r="I2961" i="67"/>
  <c r="I2542" i="67"/>
  <c r="I2944" i="67"/>
  <c r="F2568" i="67"/>
  <c r="F2558" i="67"/>
  <c r="F2563" i="67"/>
  <c r="F2965" i="67"/>
  <c r="F2966" i="67" s="1"/>
  <c r="F2957" i="67"/>
  <c r="F2949" i="67"/>
  <c r="F1842" i="67"/>
  <c r="E2008" i="67"/>
  <c r="E36" i="34" s="1"/>
  <c r="A170" i="77" s="1"/>
  <c r="E2557" i="67"/>
  <c r="E1833" i="67"/>
  <c r="I2008" i="67"/>
  <c r="I2557" i="67"/>
  <c r="I1833" i="67"/>
  <c r="H2009" i="67"/>
  <c r="H2562" i="67"/>
  <c r="H1834" i="67"/>
  <c r="G2010" i="67"/>
  <c r="G2567" i="67"/>
  <c r="G1835" i="67"/>
  <c r="H1823" i="67"/>
  <c r="H2584" i="67"/>
  <c r="H2585" i="67" s="1"/>
  <c r="H2579" i="67"/>
  <c r="H2580" i="67" s="1"/>
  <c r="H2574" i="67"/>
  <c r="H2987" i="67"/>
  <c r="H2979" i="67"/>
  <c r="H2980" i="67" s="1"/>
  <c r="H2971" i="67"/>
  <c r="G2573" i="67"/>
  <c r="G2970" i="67"/>
  <c r="F2599" i="67"/>
  <c r="F2594" i="67"/>
  <c r="F2589" i="67"/>
  <c r="F2991" i="67"/>
  <c r="F2992" i="67" s="1"/>
  <c r="F2983" i="67"/>
  <c r="F2975" i="67"/>
  <c r="F1843" i="67"/>
  <c r="E2013" i="67"/>
  <c r="E36" i="48" s="1"/>
  <c r="A182" i="77" s="1"/>
  <c r="E2588" i="67"/>
  <c r="E2590" i="67" s="1"/>
  <c r="E2974" i="67"/>
  <c r="E1836" i="67"/>
  <c r="I2013" i="67"/>
  <c r="I2588" i="67"/>
  <c r="I2974" i="67"/>
  <c r="I1836" i="67"/>
  <c r="H2014" i="67"/>
  <c r="H2593" i="67"/>
  <c r="H1837" i="67"/>
  <c r="G2015" i="67"/>
  <c r="G2598" i="67"/>
  <c r="G1838" i="67"/>
  <c r="H2615" i="67"/>
  <c r="H2616" i="67" s="1"/>
  <c r="H2610" i="67"/>
  <c r="H2611" i="67" s="1"/>
  <c r="H2605" i="67"/>
  <c r="H1824" i="67"/>
  <c r="G2604" i="67"/>
  <c r="F2630" i="67"/>
  <c r="F2625" i="67"/>
  <c r="F2620" i="67"/>
  <c r="F1844" i="67"/>
  <c r="E2018" i="67"/>
  <c r="E36" i="49" s="1"/>
  <c r="A194" i="77" s="1"/>
  <c r="E2619" i="67"/>
  <c r="Z41" i="49"/>
  <c r="Y41" i="49"/>
  <c r="X41" i="49"/>
  <c r="E1839" i="67"/>
  <c r="I2018" i="67"/>
  <c r="I2619" i="67"/>
  <c r="I2621" i="67" s="1"/>
  <c r="I1839" i="67"/>
  <c r="H2019" i="67"/>
  <c r="H2624" i="67"/>
  <c r="H1840" i="67"/>
  <c r="G2020" i="67"/>
  <c r="G2629" i="67"/>
  <c r="G1841" i="67"/>
  <c r="G3024" i="67"/>
  <c r="G1859" i="67"/>
  <c r="F3023" i="67"/>
  <c r="F1856" i="67"/>
  <c r="E3029" i="67"/>
  <c r="E1873" i="67"/>
  <c r="I3029" i="67"/>
  <c r="I1873" i="67"/>
  <c r="H3028" i="67"/>
  <c r="H1870" i="67"/>
  <c r="H3034" i="67"/>
  <c r="H1860" i="67"/>
  <c r="G3033" i="67"/>
  <c r="G1857" i="67"/>
  <c r="G3039" i="67"/>
  <c r="G1874" i="67"/>
  <c r="F3038" i="67"/>
  <c r="F1871" i="67"/>
  <c r="F3044" i="67"/>
  <c r="F1861" i="67"/>
  <c r="G34" i="63"/>
  <c r="E3043" i="67"/>
  <c r="E1858" i="67"/>
  <c r="I3043" i="67"/>
  <c r="I1858" i="67"/>
  <c r="E3049" i="67"/>
  <c r="E1875" i="67"/>
  <c r="I3049" i="67"/>
  <c r="I1875" i="67"/>
  <c r="H3048" i="67"/>
  <c r="H1872" i="67"/>
  <c r="E1343" i="67"/>
  <c r="E1344" i="67" s="1"/>
  <c r="E1180" i="67"/>
  <c r="E1181" i="67" s="1"/>
  <c r="E1017" i="67"/>
  <c r="E1018" i="67" s="1"/>
  <c r="G1343" i="67"/>
  <c r="G1344" i="67" s="1"/>
  <c r="G1180" i="67"/>
  <c r="G1181" i="67" s="1"/>
  <c r="G1017" i="67"/>
  <c r="G1018" i="67" s="1"/>
  <c r="G1235" i="67"/>
  <c r="G1236" i="67" s="1"/>
  <c r="G1072" i="67"/>
  <c r="G1073" i="67" s="1"/>
  <c r="I1261" i="67"/>
  <c r="I1262" i="67" s="1"/>
  <c r="I1098" i="67"/>
  <c r="I1099" i="67" s="1"/>
  <c r="I1206" i="67"/>
  <c r="I1207" i="67" s="1"/>
  <c r="I1369" i="67"/>
  <c r="I1370" i="67" s="1"/>
  <c r="I1043" i="67"/>
  <c r="I1044" i="67" s="1"/>
  <c r="H909" i="67"/>
  <c r="H910" i="67" s="1"/>
  <c r="F325" i="31"/>
  <c r="F909" i="67"/>
  <c r="F910" i="67" s="1"/>
  <c r="I324" i="31"/>
  <c r="E324" i="31"/>
  <c r="H325" i="31"/>
  <c r="H324" i="31"/>
  <c r="E325" i="31"/>
  <c r="G325" i="31"/>
  <c r="G909" i="67"/>
  <c r="G910" i="67" s="1"/>
  <c r="E909" i="67"/>
  <c r="F324" i="31"/>
  <c r="I935" i="67"/>
  <c r="H2101" i="67"/>
  <c r="F2092" i="67"/>
  <c r="E2091" i="67"/>
  <c r="I2091" i="67"/>
  <c r="H2105" i="67"/>
  <c r="E2092" i="67"/>
  <c r="I2092" i="67"/>
  <c r="H2106" i="67"/>
  <c r="G2111" i="67"/>
  <c r="G2100" i="67"/>
  <c r="F2091" i="67"/>
  <c r="G2110" i="67"/>
  <c r="K22" i="48"/>
  <c r="I22" i="51"/>
  <c r="A140" i="77" s="1"/>
  <c r="I22" i="62"/>
  <c r="A220" i="77" s="1"/>
  <c r="K22" i="56"/>
  <c r="G2105" i="67"/>
  <c r="G2106" i="67"/>
  <c r="H2111" i="67"/>
  <c r="F2087" i="67"/>
  <c r="I22" i="61"/>
  <c r="A215" i="77" s="1"/>
  <c r="K22" i="57"/>
  <c r="I22" i="63"/>
  <c r="A225" i="77" s="1"/>
  <c r="K22" i="55"/>
  <c r="H2100" i="67"/>
  <c r="G2101" i="67"/>
  <c r="H2110" i="67"/>
  <c r="G2062" i="67"/>
  <c r="G2091" i="67"/>
  <c r="E2105" i="67"/>
  <c r="Y22" i="56" s="1"/>
  <c r="E2110" i="67"/>
  <c r="Y22" i="55" s="1"/>
  <c r="I2110" i="67"/>
  <c r="G2087" i="67"/>
  <c r="F2100" i="67"/>
  <c r="E2101" i="67"/>
  <c r="I2101" i="67"/>
  <c r="H2091" i="67"/>
  <c r="G2092" i="67"/>
  <c r="F2105" i="67"/>
  <c r="E2106" i="67"/>
  <c r="Y23" i="56" s="1"/>
  <c r="I2106" i="67"/>
  <c r="F2110" i="67"/>
  <c r="E2111" i="67"/>
  <c r="Y23" i="55" s="1"/>
  <c r="I2111" i="67"/>
  <c r="G2086" i="67"/>
  <c r="E2100" i="67"/>
  <c r="I2100" i="67"/>
  <c r="I2105" i="67"/>
  <c r="F2101" i="67"/>
  <c r="H2092" i="67"/>
  <c r="F2106" i="67"/>
  <c r="F2111" i="67"/>
  <c r="H2086" i="67"/>
  <c r="E2096" i="67"/>
  <c r="E2097" i="67"/>
  <c r="E2086" i="67"/>
  <c r="I2086" i="67"/>
  <c r="H2087" i="67"/>
  <c r="F2097" i="67"/>
  <c r="F2096" i="67"/>
  <c r="H2096" i="67"/>
  <c r="H2097" i="67"/>
  <c r="I2097" i="67"/>
  <c r="I2096" i="67"/>
  <c r="F2086" i="67"/>
  <c r="E2087" i="67"/>
  <c r="I2087" i="67"/>
  <c r="G2096" i="67"/>
  <c r="G2097" i="67"/>
  <c r="F2063" i="67"/>
  <c r="E2062" i="67"/>
  <c r="X22" i="48" s="1"/>
  <c r="I2062" i="67"/>
  <c r="H2062" i="67"/>
  <c r="G2063" i="67"/>
  <c r="H2063" i="67"/>
  <c r="F2062" i="67"/>
  <c r="E2063" i="67"/>
  <c r="X23" i="48" s="1"/>
  <c r="I2063" i="67"/>
  <c r="G1923" i="67"/>
  <c r="G2006" i="67"/>
  <c r="F2007" i="67"/>
  <c r="H1991" i="67"/>
  <c r="F1816" i="67"/>
  <c r="F1993" i="67"/>
  <c r="I1817" i="67"/>
  <c r="I1994" i="67"/>
  <c r="F1996" i="67"/>
  <c r="I1997" i="67"/>
  <c r="G1820" i="67"/>
  <c r="G1999" i="67"/>
  <c r="F1938" i="67"/>
  <c r="F2041" i="67"/>
  <c r="E1939" i="67"/>
  <c r="E2042" i="67"/>
  <c r="G37" i="57" s="1"/>
  <c r="I1939" i="67"/>
  <c r="I2042" i="67"/>
  <c r="H2030" i="67"/>
  <c r="G1932" i="67"/>
  <c r="G2031" i="67"/>
  <c r="F2044" i="67"/>
  <c r="E1940" i="67"/>
  <c r="E2045" i="67"/>
  <c r="G37" i="56" s="1"/>
  <c r="I1940" i="67"/>
  <c r="I2045" i="67"/>
  <c r="H2033" i="67"/>
  <c r="G1933" i="67"/>
  <c r="G2034" i="67"/>
  <c r="E1991" i="67"/>
  <c r="H1992" i="67"/>
  <c r="F1817" i="67"/>
  <c r="F1994" i="67"/>
  <c r="I1818" i="67"/>
  <c r="I1995" i="67"/>
  <c r="F1997" i="67"/>
  <c r="I1819" i="67"/>
  <c r="I1998" i="67"/>
  <c r="G1821" i="67"/>
  <c r="G2000" i="67"/>
  <c r="G2017" i="67"/>
  <c r="I1930" i="67"/>
  <c r="I2027" i="67"/>
  <c r="I2030" i="67"/>
  <c r="H1932" i="67"/>
  <c r="H2031" i="67"/>
  <c r="F1940" i="67"/>
  <c r="F2045" i="67"/>
  <c r="E2033" i="67"/>
  <c r="I2033" i="67"/>
  <c r="H1933" i="67"/>
  <c r="H2034" i="67"/>
  <c r="G2047" i="67"/>
  <c r="E1923" i="67"/>
  <c r="E2006" i="67"/>
  <c r="I1923" i="67"/>
  <c r="I2006" i="67"/>
  <c r="H2007" i="67"/>
  <c r="F1991" i="67"/>
  <c r="E1992" i="67"/>
  <c r="G38" i="51" s="1"/>
  <c r="A148" i="77" s="1"/>
  <c r="I1992" i="67"/>
  <c r="H1816" i="67"/>
  <c r="H1993" i="67"/>
  <c r="G1817" i="67"/>
  <c r="G1994" i="67"/>
  <c r="F1818" i="67"/>
  <c r="F1995" i="67"/>
  <c r="G2011" i="67"/>
  <c r="F2012" i="67"/>
  <c r="H1996" i="67"/>
  <c r="G1997" i="67"/>
  <c r="F1819" i="67"/>
  <c r="F1998" i="67"/>
  <c r="E1820" i="67"/>
  <c r="E1999" i="67"/>
  <c r="G36" i="52" s="1"/>
  <c r="A158" i="77" s="1"/>
  <c r="I1820" i="67"/>
  <c r="I1999" i="67"/>
  <c r="H1821" i="67"/>
  <c r="H2000" i="67"/>
  <c r="E2016" i="67"/>
  <c r="I2016" i="67"/>
  <c r="H2017" i="67"/>
  <c r="F1930" i="67"/>
  <c r="F2027" i="67"/>
  <c r="E1931" i="67"/>
  <c r="E2028" i="67"/>
  <c r="G37" i="61" s="1"/>
  <c r="A230" i="77" s="1"/>
  <c r="I1931" i="67"/>
  <c r="I2028" i="67"/>
  <c r="H1938" i="67"/>
  <c r="H2041" i="67"/>
  <c r="G1939" i="67"/>
  <c r="G2042" i="67"/>
  <c r="F2030" i="67"/>
  <c r="E1932" i="67"/>
  <c r="E2031" i="67"/>
  <c r="G37" i="62" s="1"/>
  <c r="I1932" i="67"/>
  <c r="I2031" i="67"/>
  <c r="H2044" i="67"/>
  <c r="G1940" i="67"/>
  <c r="G2045" i="67"/>
  <c r="F2033" i="67"/>
  <c r="E1933" i="67"/>
  <c r="E2034" i="67"/>
  <c r="G37" i="63" s="1"/>
  <c r="I1933" i="67"/>
  <c r="I2034" i="67"/>
  <c r="H2047" i="67"/>
  <c r="G1941" i="67"/>
  <c r="G2048" i="67"/>
  <c r="G1992" i="67"/>
  <c r="E1817" i="67"/>
  <c r="E1994" i="67"/>
  <c r="G36" i="51" s="1"/>
  <c r="A146" i="77" s="1"/>
  <c r="H1818" i="67"/>
  <c r="H1995" i="67"/>
  <c r="E2011" i="67"/>
  <c r="I2011" i="67"/>
  <c r="H2012" i="67"/>
  <c r="E1997" i="67"/>
  <c r="G38" i="52" s="1"/>
  <c r="A160" i="77" s="1"/>
  <c r="H1819" i="67"/>
  <c r="H1998" i="67"/>
  <c r="F1821" i="67"/>
  <c r="F2000" i="67"/>
  <c r="G2016" i="67"/>
  <c r="F2017" i="67"/>
  <c r="H1930" i="67"/>
  <c r="H2027" i="67"/>
  <c r="G1931" i="67"/>
  <c r="G2028" i="67"/>
  <c r="F2047" i="67"/>
  <c r="E1941" i="67"/>
  <c r="E2048" i="67"/>
  <c r="G37" i="55" s="1"/>
  <c r="I1941" i="67"/>
  <c r="I2048" i="67"/>
  <c r="H1923" i="67"/>
  <c r="H2006" i="67"/>
  <c r="G2007" i="67"/>
  <c r="I1991" i="67"/>
  <c r="G1816" i="67"/>
  <c r="G1993" i="67"/>
  <c r="E1818" i="67"/>
  <c r="E1995" i="67"/>
  <c r="I36" i="51" s="1"/>
  <c r="A147" i="77" s="1"/>
  <c r="F2011" i="67"/>
  <c r="E2012" i="67"/>
  <c r="G38" i="48" s="1"/>
  <c r="A185" i="77" s="1"/>
  <c r="I2012" i="67"/>
  <c r="G1996" i="67"/>
  <c r="E1819" i="67"/>
  <c r="E1998" i="67"/>
  <c r="E36" i="52" s="1"/>
  <c r="A157" i="77" s="1"/>
  <c r="H1820" i="67"/>
  <c r="H1999" i="67"/>
  <c r="H2016" i="67"/>
  <c r="E1930" i="67"/>
  <c r="E2027" i="67"/>
  <c r="H1931" i="67"/>
  <c r="H2028" i="67"/>
  <c r="G1938" i="67"/>
  <c r="G2041" i="67"/>
  <c r="F1939" i="67"/>
  <c r="F2042" i="67"/>
  <c r="E2030" i="67"/>
  <c r="G2044" i="67"/>
  <c r="F1941" i="67"/>
  <c r="F2048" i="67"/>
  <c r="F1923" i="67"/>
  <c r="F2006" i="67"/>
  <c r="E2007" i="67"/>
  <c r="G38" i="34" s="1"/>
  <c r="A173" i="77" s="1"/>
  <c r="I2007" i="67"/>
  <c r="G1991" i="67"/>
  <c r="F1992" i="67"/>
  <c r="E1816" i="67"/>
  <c r="E1993" i="67"/>
  <c r="E36" i="51" s="1"/>
  <c r="A145" i="77" s="1"/>
  <c r="I1816" i="67"/>
  <c r="I1993" i="67"/>
  <c r="H1817" i="67"/>
  <c r="H1994" i="67"/>
  <c r="G1818" i="67"/>
  <c r="G1995" i="67"/>
  <c r="H2011" i="67"/>
  <c r="G2012" i="67"/>
  <c r="E1996" i="67"/>
  <c r="I1996" i="67"/>
  <c r="H1997" i="67"/>
  <c r="G1819" i="67"/>
  <c r="G1998" i="67"/>
  <c r="F1820" i="67"/>
  <c r="F1999" i="67"/>
  <c r="E1821" i="67"/>
  <c r="E2000" i="67"/>
  <c r="I36" i="52" s="1"/>
  <c r="A159" i="77" s="1"/>
  <c r="I1821" i="67"/>
  <c r="I2000" i="67"/>
  <c r="F2016" i="67"/>
  <c r="E2017" i="67"/>
  <c r="G38" i="49" s="1"/>
  <c r="A197" i="77" s="1"/>
  <c r="I2017" i="67"/>
  <c r="G1930" i="67"/>
  <c r="G2027" i="67"/>
  <c r="F1931" i="67"/>
  <c r="F2028" i="67"/>
  <c r="E1938" i="67"/>
  <c r="E2041" i="67"/>
  <c r="I1938" i="67"/>
  <c r="I2041" i="67"/>
  <c r="H1939" i="67"/>
  <c r="H2042" i="67"/>
  <c r="G2030" i="67"/>
  <c r="F1932" i="67"/>
  <c r="F2031" i="67"/>
  <c r="E2044" i="67"/>
  <c r="G34" i="56" s="1"/>
  <c r="I2044" i="67"/>
  <c r="H1940" i="67"/>
  <c r="H2045" i="67"/>
  <c r="G2033" i="67"/>
  <c r="F1933" i="67"/>
  <c r="F2034" i="67"/>
  <c r="E2047" i="67"/>
  <c r="G34" i="55" s="1"/>
  <c r="I2047" i="67"/>
  <c r="H1941" i="67"/>
  <c r="H2048" i="67"/>
  <c r="H1987" i="67"/>
  <c r="F1815" i="67"/>
  <c r="F1990" i="67"/>
  <c r="I1987" i="67"/>
  <c r="I1813" i="67"/>
  <c r="I1988" i="67"/>
  <c r="G1814" i="67"/>
  <c r="G1989" i="67"/>
  <c r="G1815" i="67"/>
  <c r="G1990" i="67"/>
  <c r="E1813" i="67"/>
  <c r="E1988" i="67"/>
  <c r="F1814" i="67"/>
  <c r="F1989" i="67"/>
  <c r="E1987" i="67"/>
  <c r="G38" i="50" s="1"/>
  <c r="A136" i="77" s="1"/>
  <c r="F1987" i="67"/>
  <c r="F1813" i="67"/>
  <c r="F1988" i="67"/>
  <c r="E1814" i="67"/>
  <c r="E1989" i="67"/>
  <c r="H1814" i="67"/>
  <c r="H1989" i="67"/>
  <c r="H1815" i="67"/>
  <c r="H1990" i="67"/>
  <c r="H1813" i="67"/>
  <c r="H1988" i="67"/>
  <c r="G1987" i="67"/>
  <c r="G1813" i="67"/>
  <c r="G1988" i="67"/>
  <c r="E1815" i="67"/>
  <c r="E1990" i="67"/>
  <c r="I1814" i="67"/>
  <c r="I1989" i="67"/>
  <c r="I1815" i="67"/>
  <c r="I1990" i="67"/>
  <c r="F1903" i="67"/>
  <c r="F1986" i="67"/>
  <c r="G1903" i="67"/>
  <c r="G1986" i="67"/>
  <c r="H1903" i="67"/>
  <c r="H1986" i="67"/>
  <c r="E1903" i="67"/>
  <c r="E1986" i="67"/>
  <c r="I1903" i="67"/>
  <c r="I1986" i="67"/>
  <c r="E383" i="31"/>
  <c r="E387" i="31"/>
  <c r="E391" i="31"/>
  <c r="I391" i="31"/>
  <c r="F387" i="31"/>
  <c r="G387" i="31"/>
  <c r="G391" i="31"/>
  <c r="I383" i="31"/>
  <c r="I387" i="31"/>
  <c r="F383" i="31"/>
  <c r="F391" i="31"/>
  <c r="G383" i="31"/>
  <c r="H383" i="31"/>
  <c r="H387" i="31"/>
  <c r="H391" i="31"/>
  <c r="F394" i="31"/>
  <c r="F370" i="31"/>
  <c r="H395" i="31"/>
  <c r="H374" i="31"/>
  <c r="F396" i="31"/>
  <c r="F378" i="31"/>
  <c r="E382" i="31"/>
  <c r="E397" i="31"/>
  <c r="I1983" i="67"/>
  <c r="I365" i="31" s="1"/>
  <c r="I382" i="31"/>
  <c r="I397" i="31"/>
  <c r="E386" i="31"/>
  <c r="E398" i="31"/>
  <c r="I386" i="31"/>
  <c r="I398" i="31"/>
  <c r="E399" i="31"/>
  <c r="E390" i="31"/>
  <c r="I399" i="31"/>
  <c r="I390" i="31"/>
  <c r="G394" i="31"/>
  <c r="G370" i="31"/>
  <c r="E395" i="31"/>
  <c r="E374" i="31"/>
  <c r="I2077" i="67"/>
  <c r="I395" i="31"/>
  <c r="I374" i="31"/>
  <c r="G2082" i="67"/>
  <c r="G396" i="31"/>
  <c r="G378" i="31"/>
  <c r="F1983" i="67"/>
  <c r="F365" i="31" s="1"/>
  <c r="F397" i="31"/>
  <c r="F382" i="31"/>
  <c r="F398" i="31"/>
  <c r="F386" i="31"/>
  <c r="F390" i="31"/>
  <c r="F399" i="31"/>
  <c r="H370" i="31"/>
  <c r="H394" i="31"/>
  <c r="F2077" i="67"/>
  <c r="F374" i="31"/>
  <c r="F395" i="31"/>
  <c r="H379" i="31"/>
  <c r="H396" i="31"/>
  <c r="H378" i="31"/>
  <c r="K22" i="61"/>
  <c r="G397" i="31"/>
  <c r="G382" i="31"/>
  <c r="G398" i="31"/>
  <c r="G386" i="31"/>
  <c r="G399" i="31"/>
  <c r="G390" i="31"/>
  <c r="E370" i="31"/>
  <c r="E394" i="31"/>
  <c r="I370" i="31"/>
  <c r="I394" i="31"/>
  <c r="G2077" i="67"/>
  <c r="G374" i="31"/>
  <c r="G395" i="31"/>
  <c r="I19" i="49"/>
  <c r="E378" i="31"/>
  <c r="E396" i="31"/>
  <c r="I379" i="31"/>
  <c r="I378" i="31"/>
  <c r="I396" i="31"/>
  <c r="H1983" i="67"/>
  <c r="H365" i="31" s="1"/>
  <c r="H382" i="31"/>
  <c r="H397" i="31"/>
  <c r="H386" i="31"/>
  <c r="H398" i="31"/>
  <c r="H399" i="31"/>
  <c r="H390" i="31"/>
  <c r="E1983" i="67"/>
  <c r="G379" i="31"/>
  <c r="H2077" i="67"/>
  <c r="H2076" i="67"/>
  <c r="G1983" i="67"/>
  <c r="G365" i="31" s="1"/>
  <c r="E2082" i="67"/>
  <c r="Y23" i="49" s="1"/>
  <c r="I2081" i="67"/>
  <c r="F379" i="31"/>
  <c r="F2082" i="67"/>
  <c r="E2081" i="67"/>
  <c r="Y22" i="49" s="1"/>
  <c r="G2081" i="67"/>
  <c r="H2082" i="67"/>
  <c r="H2081" i="67"/>
  <c r="I2082" i="67"/>
  <c r="F2081" i="67"/>
  <c r="E2076" i="67"/>
  <c r="Y22" i="48" s="1"/>
  <c r="E2077" i="67"/>
  <c r="Y23" i="48" s="1"/>
  <c r="F2076" i="67"/>
  <c r="I2076" i="67"/>
  <c r="G2076" i="67"/>
  <c r="G1968" i="67"/>
  <c r="G364" i="31" s="1"/>
  <c r="G2072" i="67"/>
  <c r="G2071" i="67"/>
  <c r="H2071" i="67"/>
  <c r="H1968" i="67"/>
  <c r="H364" i="31" s="1"/>
  <c r="E2072" i="67"/>
  <c r="Y23" i="34" s="1"/>
  <c r="E1968" i="67"/>
  <c r="E2071" i="67"/>
  <c r="Y22" i="34" s="1"/>
  <c r="I2072" i="67"/>
  <c r="I2071" i="67"/>
  <c r="I1968" i="67"/>
  <c r="I364" i="31" s="1"/>
  <c r="F2072" i="67"/>
  <c r="F1968" i="67"/>
  <c r="F364" i="31" s="1"/>
  <c r="H2072" i="67"/>
  <c r="F2071" i="67"/>
  <c r="F1976" i="67"/>
  <c r="F363" i="31" s="1"/>
  <c r="G1976" i="67"/>
  <c r="G363" i="31" s="1"/>
  <c r="H1976" i="67"/>
  <c r="H363" i="31" s="1"/>
  <c r="E1976" i="67"/>
  <c r="I1976" i="67"/>
  <c r="I363" i="31" s="1"/>
  <c r="I353" i="32"/>
  <c r="H353" i="32"/>
  <c r="G353" i="32"/>
  <c r="F353" i="32"/>
  <c r="E353" i="32"/>
  <c r="I352" i="32"/>
  <c r="H352" i="32"/>
  <c r="G352" i="32"/>
  <c r="F352" i="32"/>
  <c r="E352" i="32"/>
  <c r="I351" i="32"/>
  <c r="H351" i="32"/>
  <c r="G351" i="32"/>
  <c r="F351" i="32"/>
  <c r="E351" i="32"/>
  <c r="I350" i="32"/>
  <c r="H350" i="32"/>
  <c r="G350" i="32"/>
  <c r="F350" i="32"/>
  <c r="E350" i="32"/>
  <c r="I349" i="32"/>
  <c r="H349" i="32"/>
  <c r="G349" i="32"/>
  <c r="F349" i="32"/>
  <c r="E349" i="32"/>
  <c r="I348" i="32"/>
  <c r="H348" i="32"/>
  <c r="G348" i="32"/>
  <c r="F348" i="32"/>
  <c r="E348" i="32"/>
  <c r="I347" i="32"/>
  <c r="H347" i="32"/>
  <c r="G347" i="32"/>
  <c r="F347" i="32"/>
  <c r="E347" i="32"/>
  <c r="I346" i="32"/>
  <c r="H346" i="32"/>
  <c r="G346" i="32"/>
  <c r="F346" i="32"/>
  <c r="E346" i="32"/>
  <c r="D59" i="43"/>
  <c r="D58" i="43"/>
  <c r="D57" i="43"/>
  <c r="D51" i="43"/>
  <c r="D50" i="43"/>
  <c r="D49" i="43"/>
  <c r="I345" i="32"/>
  <c r="H345" i="32"/>
  <c r="G345" i="32"/>
  <c r="F345" i="32"/>
  <c r="E345" i="32"/>
  <c r="D43" i="43"/>
  <c r="D42" i="43"/>
  <c r="D41" i="43"/>
  <c r="H2638" i="67" l="1"/>
  <c r="G2638" i="67"/>
  <c r="G2640" i="67" s="1"/>
  <c r="G2643" i="67" s="1"/>
  <c r="G3061" i="67" s="1"/>
  <c r="F2638" i="67"/>
  <c r="F2640" i="67" s="1"/>
  <c r="F2643" i="67" s="1"/>
  <c r="F354" i="31" s="1"/>
  <c r="I2638" i="67"/>
  <c r="I3052" i="67" s="1"/>
  <c r="X24" i="56"/>
  <c r="Y24" i="62"/>
  <c r="A483" i="77" s="1"/>
  <c r="E3154" i="67"/>
  <c r="Y24" i="57" s="1"/>
  <c r="A499" i="77" s="1"/>
  <c r="X24" i="57"/>
  <c r="Y24" i="61"/>
  <c r="A475" i="77" s="1"/>
  <c r="Y24" i="50"/>
  <c r="A427" i="77" s="1"/>
  <c r="C2711" i="67"/>
  <c r="C2716" i="67"/>
  <c r="E3146" i="67"/>
  <c r="Y24" i="34" s="1"/>
  <c r="A451" i="77" s="1"/>
  <c r="F3146" i="67"/>
  <c r="G3146" i="67"/>
  <c r="I3146" i="67"/>
  <c r="H3146" i="67"/>
  <c r="I2067" i="67"/>
  <c r="I395" i="67" s="1"/>
  <c r="G2606" i="67"/>
  <c r="H2564" i="67"/>
  <c r="E2575" i="67"/>
  <c r="G2559" i="67"/>
  <c r="H2590" i="67"/>
  <c r="E2626" i="67"/>
  <c r="H2621" i="67"/>
  <c r="G2600" i="67"/>
  <c r="F2569" i="67"/>
  <c r="F2820" i="67" s="1"/>
  <c r="G2575" i="67"/>
  <c r="I2600" i="67"/>
  <c r="F2606" i="67"/>
  <c r="I2631" i="67"/>
  <c r="F2621" i="67"/>
  <c r="H2569" i="67"/>
  <c r="H2820" i="67" s="1"/>
  <c r="F2626" i="67"/>
  <c r="F2595" i="67"/>
  <c r="E3052" i="67"/>
  <c r="E2640" i="67"/>
  <c r="E2643" i="67" s="1"/>
  <c r="H3052" i="67"/>
  <c r="H2640" i="67"/>
  <c r="H2643" i="67" s="1"/>
  <c r="H354" i="31" s="1"/>
  <c r="F2631" i="67"/>
  <c r="G2631" i="67"/>
  <c r="E2621" i="67"/>
  <c r="I2559" i="67"/>
  <c r="G2626" i="67"/>
  <c r="H2631" i="67"/>
  <c r="I2595" i="67"/>
  <c r="I2564" i="67"/>
  <c r="I2569" i="67"/>
  <c r="I2820" i="67" s="1"/>
  <c r="H2600" i="67"/>
  <c r="H2575" i="67"/>
  <c r="G2569" i="67"/>
  <c r="G2820" i="67" s="1"/>
  <c r="F2559" i="67"/>
  <c r="E2067" i="67"/>
  <c r="X22" i="49" s="1"/>
  <c r="H2626" i="67"/>
  <c r="H2595" i="67"/>
  <c r="I2590" i="67"/>
  <c r="E2559" i="67"/>
  <c r="E2631" i="67"/>
  <c r="E2606" i="67"/>
  <c r="I2575" i="67"/>
  <c r="E2569" i="67"/>
  <c r="E2820" i="67" s="1"/>
  <c r="F2600" i="67"/>
  <c r="F2575" i="67"/>
  <c r="G2564" i="67"/>
  <c r="E2600" i="67"/>
  <c r="G2590" i="67"/>
  <c r="F2564" i="67"/>
  <c r="I2626" i="67"/>
  <c r="H2606" i="67"/>
  <c r="E2595" i="67"/>
  <c r="F2590" i="67"/>
  <c r="E2564" i="67"/>
  <c r="I2606" i="67"/>
  <c r="G19" i="52"/>
  <c r="A156" i="77" s="1"/>
  <c r="E2068" i="67"/>
  <c r="X23" i="49" s="1"/>
  <c r="H2067" i="67"/>
  <c r="H395" i="67" s="1"/>
  <c r="F2068" i="67"/>
  <c r="F396" i="67" s="1"/>
  <c r="I22" i="52"/>
  <c r="A152" i="77" s="1"/>
  <c r="G2068" i="67"/>
  <c r="G396" i="67" s="1"/>
  <c r="F2513" i="67"/>
  <c r="F2449" i="67"/>
  <c r="F2125" i="67"/>
  <c r="F2481" i="67"/>
  <c r="E2522" i="67"/>
  <c r="E2458" i="67"/>
  <c r="E2490" i="67"/>
  <c r="E2127" i="67"/>
  <c r="I2513" i="67"/>
  <c r="I2449" i="67"/>
  <c r="I2125" i="67"/>
  <c r="I2481" i="67"/>
  <c r="E2392" i="67"/>
  <c r="E2394" i="67" s="1"/>
  <c r="E2424" i="67"/>
  <c r="E2426" i="67" s="1"/>
  <c r="E2360" i="67"/>
  <c r="E2362" i="67" s="1"/>
  <c r="E910" i="67"/>
  <c r="E922" i="67" s="1"/>
  <c r="H2481" i="67"/>
  <c r="H2513" i="67"/>
  <c r="H2449" i="67"/>
  <c r="H2125" i="67"/>
  <c r="H2415" i="67"/>
  <c r="H2417" i="67" s="1"/>
  <c r="H2351" i="67"/>
  <c r="H2353" i="67" s="1"/>
  <c r="H2383" i="67"/>
  <c r="H2385" i="67" s="1"/>
  <c r="E2374" i="67"/>
  <c r="E2376" i="67" s="1"/>
  <c r="E2406" i="67"/>
  <c r="E2408" i="67" s="1"/>
  <c r="E2342" i="67"/>
  <c r="E2344" i="67" s="1"/>
  <c r="F2360" i="67"/>
  <c r="F2362" i="67" s="1"/>
  <c r="F2424" i="67"/>
  <c r="F2426" i="67" s="1"/>
  <c r="F2392" i="67"/>
  <c r="F2394" i="67" s="1"/>
  <c r="H2127" i="67"/>
  <c r="H2522" i="67"/>
  <c r="H2458" i="67"/>
  <c r="H2490" i="67"/>
  <c r="F2490" i="67"/>
  <c r="F2127" i="67"/>
  <c r="F2522" i="67"/>
  <c r="F2458" i="67"/>
  <c r="H2374" i="67"/>
  <c r="H2376" i="67" s="1"/>
  <c r="H2406" i="67"/>
  <c r="H2408" i="67" s="1"/>
  <c r="H2342" i="67"/>
  <c r="H2344" i="67" s="1"/>
  <c r="H2392" i="67"/>
  <c r="H2394" i="67" s="1"/>
  <c r="H2424" i="67"/>
  <c r="H2426" i="67" s="1"/>
  <c r="H2360" i="67"/>
  <c r="H2362" i="67" s="1"/>
  <c r="I2461" i="67"/>
  <c r="I2463" i="67" s="1"/>
  <c r="I2493" i="67"/>
  <c r="I2495" i="67" s="1"/>
  <c r="I2525" i="67"/>
  <c r="I2527" i="67" s="1"/>
  <c r="G2452" i="67"/>
  <c r="G2454" i="67" s="1"/>
  <c r="G2484" i="67"/>
  <c r="G2486" i="67" s="1"/>
  <c r="G2516" i="67"/>
  <c r="G2518" i="67" s="1"/>
  <c r="F2383" i="67"/>
  <c r="F2385" i="67" s="1"/>
  <c r="F2415" i="67"/>
  <c r="F2417" i="67" s="1"/>
  <c r="F2351" i="67"/>
  <c r="F2353" i="67" s="1"/>
  <c r="E2415" i="67"/>
  <c r="E2417" i="67" s="1"/>
  <c r="E2351" i="67"/>
  <c r="E2353" i="67" s="1"/>
  <c r="E2383" i="67"/>
  <c r="E2385" i="67" s="1"/>
  <c r="I2415" i="67"/>
  <c r="I2417" i="67" s="1"/>
  <c r="I2351" i="67"/>
  <c r="I2353" i="67" s="1"/>
  <c r="I2383" i="67"/>
  <c r="I2385" i="67" s="1"/>
  <c r="F2406" i="67"/>
  <c r="F2408" i="67" s="1"/>
  <c r="F2374" i="67"/>
  <c r="F2376" i="67" s="1"/>
  <c r="F2342" i="67"/>
  <c r="F2344" i="67" s="1"/>
  <c r="I936" i="67"/>
  <c r="I949" i="67" s="1"/>
  <c r="G2490" i="67"/>
  <c r="G2127" i="67"/>
  <c r="G2522" i="67"/>
  <c r="G2458" i="67"/>
  <c r="E2513" i="67"/>
  <c r="E2449" i="67"/>
  <c r="E2125" i="67"/>
  <c r="E2481" i="67"/>
  <c r="G2406" i="67"/>
  <c r="G2408" i="67" s="1"/>
  <c r="G2374" i="67"/>
  <c r="G2376" i="67" s="1"/>
  <c r="G2342" i="67"/>
  <c r="G2344" i="67" s="1"/>
  <c r="G2424" i="67"/>
  <c r="G2426" i="67" s="1"/>
  <c r="G2392" i="67"/>
  <c r="G2394" i="67" s="1"/>
  <c r="G2360" i="67"/>
  <c r="G2362" i="67" s="1"/>
  <c r="X23" i="56"/>
  <c r="Y23" i="62"/>
  <c r="I2946" i="67"/>
  <c r="X22" i="56"/>
  <c r="Y22" i="62"/>
  <c r="A481" i="77" s="1"/>
  <c r="X23" i="55"/>
  <c r="K26" i="63"/>
  <c r="Y23" i="63"/>
  <c r="X22" i="55"/>
  <c r="K24" i="63"/>
  <c r="Y22" i="63"/>
  <c r="H2893" i="67"/>
  <c r="H2753" i="67"/>
  <c r="H2754" i="67" s="1"/>
  <c r="G2902" i="67"/>
  <c r="G2763" i="67"/>
  <c r="G2764" i="67" s="1"/>
  <c r="G2733" i="67"/>
  <c r="G2734" i="67" s="1"/>
  <c r="G2847" i="67"/>
  <c r="F2847" i="67"/>
  <c r="F2733" i="67"/>
  <c r="F2734" i="67" s="1"/>
  <c r="I2902" i="67"/>
  <c r="I2763" i="67"/>
  <c r="E2902" i="67"/>
  <c r="E2763" i="67"/>
  <c r="E2764" i="67" s="1"/>
  <c r="I2733" i="67"/>
  <c r="I2847" i="67"/>
  <c r="H2902" i="67"/>
  <c r="H2763" i="67"/>
  <c r="H2764" i="67" s="1"/>
  <c r="H2838" i="67"/>
  <c r="H2723" i="67"/>
  <c r="H2724" i="67" s="1"/>
  <c r="F2893" i="67"/>
  <c r="F2753" i="67"/>
  <c r="F2754" i="67" s="1"/>
  <c r="E2723" i="67"/>
  <c r="E2724" i="67" s="1"/>
  <c r="E2838" i="67"/>
  <c r="H2847" i="67"/>
  <c r="H2733" i="67"/>
  <c r="H2734" i="67" s="1"/>
  <c r="G2753" i="67"/>
  <c r="G2754" i="67" s="1"/>
  <c r="G2893" i="67"/>
  <c r="G2723" i="67"/>
  <c r="G2724" i="67" s="1"/>
  <c r="G2838" i="67"/>
  <c r="F2902" i="67"/>
  <c r="F2763" i="67"/>
  <c r="F2764" i="67" s="1"/>
  <c r="F2838" i="67"/>
  <c r="F2723" i="67"/>
  <c r="F2724" i="67" s="1"/>
  <c r="I2893" i="67"/>
  <c r="I2753" i="67"/>
  <c r="E2893" i="67"/>
  <c r="E2753" i="67"/>
  <c r="E2754" i="67" s="1"/>
  <c r="I2838" i="67"/>
  <c r="I2723" i="67"/>
  <c r="E2733" i="67"/>
  <c r="E2734" i="67" s="1"/>
  <c r="E2847" i="67"/>
  <c r="F2954" i="67"/>
  <c r="I2962" i="67"/>
  <c r="G2954" i="67"/>
  <c r="G2972" i="67"/>
  <c r="E2954" i="67"/>
  <c r="Y41" i="50" s="1"/>
  <c r="A398" i="77" s="1"/>
  <c r="H2954" i="67"/>
  <c r="E1948" i="67"/>
  <c r="E1924" i="67" s="1"/>
  <c r="H1948" i="67"/>
  <c r="H1924" i="67" s="1"/>
  <c r="I1950" i="67"/>
  <c r="I1942" i="67" s="1"/>
  <c r="E3045" i="67"/>
  <c r="Z40" i="61" s="1"/>
  <c r="E2962" i="67"/>
  <c r="Z41" i="50" s="1"/>
  <c r="A399" i="77" s="1"/>
  <c r="F1949" i="67"/>
  <c r="G1949" i="67"/>
  <c r="F1948" i="67"/>
  <c r="F1924" i="67" s="1"/>
  <c r="I3035" i="67"/>
  <c r="I1949" i="67"/>
  <c r="H1949" i="67"/>
  <c r="H1950" i="67"/>
  <c r="H1942" i="67" s="1"/>
  <c r="H3050" i="67"/>
  <c r="G3035" i="67"/>
  <c r="I2972" i="67"/>
  <c r="E1949" i="67"/>
  <c r="G1950" i="67"/>
  <c r="G1942" i="67" s="1"/>
  <c r="H3096" i="67"/>
  <c r="F3040" i="67"/>
  <c r="E2976" i="67"/>
  <c r="X41" i="48" s="1"/>
  <c r="A409" i="77" s="1"/>
  <c r="G3030" i="67"/>
  <c r="G1948" i="67"/>
  <c r="G1924" i="67" s="1"/>
  <c r="E1950" i="67"/>
  <c r="E1942" i="67" s="1"/>
  <c r="F1950" i="67"/>
  <c r="F1942" i="67" s="1"/>
  <c r="I3087" i="67"/>
  <c r="I1948" i="67"/>
  <c r="I1924" i="67" s="1"/>
  <c r="H3045" i="67"/>
  <c r="G2976" i="67"/>
  <c r="E2972" i="67"/>
  <c r="X41" i="51" s="1"/>
  <c r="A400" i="77" s="1"/>
  <c r="G356" i="31"/>
  <c r="G3040" i="67"/>
  <c r="G3025" i="67"/>
  <c r="F2946" i="67"/>
  <c r="F3025" i="67"/>
  <c r="A408" i="77"/>
  <c r="Z39" i="34"/>
  <c r="E3040" i="67"/>
  <c r="Y40" i="57" s="1"/>
  <c r="H2946" i="67"/>
  <c r="F3030" i="67"/>
  <c r="F3096" i="67"/>
  <c r="E2946" i="67"/>
  <c r="X41" i="50" s="1"/>
  <c r="A397" i="77" s="1"/>
  <c r="E3087" i="67"/>
  <c r="H3040" i="67"/>
  <c r="F2972" i="67"/>
  <c r="Z39" i="49"/>
  <c r="A414" i="77"/>
  <c r="Y39" i="52"/>
  <c r="A404" i="77"/>
  <c r="Z39" i="52"/>
  <c r="A405" i="77"/>
  <c r="X39" i="49"/>
  <c r="A412" i="77"/>
  <c r="Y39" i="49"/>
  <c r="A413" i="77"/>
  <c r="A406" i="77"/>
  <c r="X39" i="34"/>
  <c r="G2958" i="67"/>
  <c r="G19" i="49"/>
  <c r="A193" i="77" s="1"/>
  <c r="A192" i="77"/>
  <c r="B2623" i="67"/>
  <c r="B2608" i="67"/>
  <c r="Y38" i="52"/>
  <c r="Y38" i="49"/>
  <c r="C426" i="31"/>
  <c r="C425" i="32"/>
  <c r="G33" i="49"/>
  <c r="G33" i="52"/>
  <c r="B2920" i="67"/>
  <c r="B2893" i="67"/>
  <c r="D1840" i="67"/>
  <c r="I924" i="67"/>
  <c r="I978" i="67"/>
  <c r="I968" i="67"/>
  <c r="I1022" i="67"/>
  <c r="I1032" i="67"/>
  <c r="E1294" i="67"/>
  <c r="E1240" i="67"/>
  <c r="E1358" i="67"/>
  <c r="E1304" i="67"/>
  <c r="E1250" i="67"/>
  <c r="E1348" i="67"/>
  <c r="E1030" i="67"/>
  <c r="E1020" i="67"/>
  <c r="H2992" i="67"/>
  <c r="B2592" i="67"/>
  <c r="B2577" i="67"/>
  <c r="C423" i="31"/>
  <c r="Y38" i="48"/>
  <c r="C422" i="32"/>
  <c r="B2981" i="67"/>
  <c r="B2977" i="67"/>
  <c r="Y38" i="51"/>
  <c r="G33" i="51"/>
  <c r="G33" i="48"/>
  <c r="D1837" i="67"/>
  <c r="B2838" i="67"/>
  <c r="B2865" i="67"/>
  <c r="C356" i="31"/>
  <c r="B2566" i="67"/>
  <c r="B2963" i="67"/>
  <c r="Z38" i="34"/>
  <c r="B2959" i="67"/>
  <c r="C421" i="31"/>
  <c r="Z38" i="50"/>
  <c r="I33" i="34"/>
  <c r="I33" i="50"/>
  <c r="D1835" i="67"/>
  <c r="B2820" i="67"/>
  <c r="B2551" i="67"/>
  <c r="B2793" i="67"/>
  <c r="B2618" i="67"/>
  <c r="B2603" i="67"/>
  <c r="C425" i="31"/>
  <c r="C424" i="32"/>
  <c r="X38" i="49"/>
  <c r="X38" i="52"/>
  <c r="E33" i="52"/>
  <c r="E33" i="49"/>
  <c r="B2884" i="67"/>
  <c r="B2911" i="67"/>
  <c r="D1839" i="67"/>
  <c r="G1249" i="67"/>
  <c r="G1293" i="67"/>
  <c r="G1357" i="67"/>
  <c r="G1239" i="67"/>
  <c r="G1303" i="67"/>
  <c r="G1347" i="67"/>
  <c r="I1249" i="67"/>
  <c r="I1239" i="67"/>
  <c r="I1293" i="67"/>
  <c r="I1347" i="67"/>
  <c r="I1303" i="67"/>
  <c r="I1357" i="67"/>
  <c r="F1249" i="67"/>
  <c r="F1239" i="67"/>
  <c r="F1293" i="67"/>
  <c r="F1303" i="67"/>
  <c r="F1357" i="67"/>
  <c r="F1347" i="67"/>
  <c r="E1031" i="67"/>
  <c r="E1021" i="67"/>
  <c r="E967" i="67"/>
  <c r="E977" i="67"/>
  <c r="I1102" i="67"/>
  <c r="I1113" i="67"/>
  <c r="I1221" i="67"/>
  <c r="I1210" i="67"/>
  <c r="I1385" i="67"/>
  <c r="I1266" i="67"/>
  <c r="I1277" i="67"/>
  <c r="I1374" i="67"/>
  <c r="I1048" i="67"/>
  <c r="I1059" i="67"/>
  <c r="I1276" i="67"/>
  <c r="I1373" i="67"/>
  <c r="I1384" i="67"/>
  <c r="I1265" i="67"/>
  <c r="F1022" i="67"/>
  <c r="F978" i="67"/>
  <c r="F968" i="67"/>
  <c r="F1032" i="67"/>
  <c r="F924" i="67"/>
  <c r="G993" i="67"/>
  <c r="G1004" i="67"/>
  <c r="E1195" i="67"/>
  <c r="E1131" i="67"/>
  <c r="E1141" i="67"/>
  <c r="E1077" i="67"/>
  <c r="E1087" i="67"/>
  <c r="E1185" i="67"/>
  <c r="F1087" i="67"/>
  <c r="F1195" i="67"/>
  <c r="F1131" i="67"/>
  <c r="F1077" i="67"/>
  <c r="F1141" i="67"/>
  <c r="F1185" i="67"/>
  <c r="G1369" i="67"/>
  <c r="G1206" i="67"/>
  <c r="G1043" i="67"/>
  <c r="H1098" i="67"/>
  <c r="H1261" i="67"/>
  <c r="H1262" i="67" s="1"/>
  <c r="I1209" i="67"/>
  <c r="I1220" i="67"/>
  <c r="H3030" i="67"/>
  <c r="I2976" i="67"/>
  <c r="Z39" i="48"/>
  <c r="E2958" i="67"/>
  <c r="Y41" i="34" s="1"/>
  <c r="G1318" i="67"/>
  <c r="G1329" i="67"/>
  <c r="E1248" i="67"/>
  <c r="E1238" i="67"/>
  <c r="I3025" i="67"/>
  <c r="E3025" i="67"/>
  <c r="H2976" i="67"/>
  <c r="H2962" i="67"/>
  <c r="H3035" i="67"/>
  <c r="F2984" i="67"/>
  <c r="F2958" i="67"/>
  <c r="F2962" i="67"/>
  <c r="G3087" i="67"/>
  <c r="G2946" i="67"/>
  <c r="B2556" i="67"/>
  <c r="C354" i="31"/>
  <c r="X38" i="34"/>
  <c r="B2943" i="67"/>
  <c r="X38" i="50"/>
  <c r="B2947" i="67"/>
  <c r="C419" i="31"/>
  <c r="E33" i="50"/>
  <c r="E33" i="34"/>
  <c r="D1833" i="67"/>
  <c r="B2802" i="67"/>
  <c r="B2775" i="67"/>
  <c r="B2541" i="67"/>
  <c r="I1304" i="67"/>
  <c r="I1240" i="67"/>
  <c r="I1294" i="67"/>
  <c r="I1358" i="67"/>
  <c r="I1250" i="67"/>
  <c r="I1348" i="67"/>
  <c r="E1261" i="67"/>
  <c r="E1098" i="67"/>
  <c r="F1098" i="67"/>
  <c r="F1261" i="67"/>
  <c r="F1262" i="67" s="1"/>
  <c r="I1112" i="67"/>
  <c r="I1101" i="67"/>
  <c r="B2628" i="67"/>
  <c r="B2613" i="67"/>
  <c r="Z38" i="49"/>
  <c r="C427" i="31"/>
  <c r="C426" i="32"/>
  <c r="Z38" i="52"/>
  <c r="I33" i="52"/>
  <c r="I33" i="49"/>
  <c r="B2902" i="67"/>
  <c r="B2929" i="67"/>
  <c r="D1841" i="67"/>
  <c r="E978" i="67"/>
  <c r="E1032" i="67"/>
  <c r="E1022" i="67"/>
  <c r="E968" i="67"/>
  <c r="H1304" i="67"/>
  <c r="H1250" i="67"/>
  <c r="H1240" i="67"/>
  <c r="H1294" i="67"/>
  <c r="H1348" i="67"/>
  <c r="H1358" i="67"/>
  <c r="H968" i="67"/>
  <c r="H1022" i="67"/>
  <c r="H924" i="67"/>
  <c r="H978" i="67"/>
  <c r="H1032" i="67"/>
  <c r="E1303" i="67"/>
  <c r="E1347" i="67"/>
  <c r="E1249" i="67"/>
  <c r="E1239" i="67"/>
  <c r="E1357" i="67"/>
  <c r="E1293" i="67"/>
  <c r="H1087" i="67"/>
  <c r="H1077" i="67"/>
  <c r="H1141" i="67"/>
  <c r="H1131" i="67"/>
  <c r="H1195" i="67"/>
  <c r="H1185" i="67"/>
  <c r="G1077" i="67"/>
  <c r="G1087" i="67"/>
  <c r="G1195" i="67"/>
  <c r="G1131" i="67"/>
  <c r="G1141" i="67"/>
  <c r="G1185" i="67"/>
  <c r="G994" i="67"/>
  <c r="G1005" i="67"/>
  <c r="G1157" i="67"/>
  <c r="G1168" i="67"/>
  <c r="G1319" i="67"/>
  <c r="G1330" i="67"/>
  <c r="I1076" i="67"/>
  <c r="I1140" i="67"/>
  <c r="I1194" i="67"/>
  <c r="I1184" i="67"/>
  <c r="I1086" i="67"/>
  <c r="I1130" i="67"/>
  <c r="H1315" i="67"/>
  <c r="H1152" i="67"/>
  <c r="H989" i="67"/>
  <c r="E1152" i="67"/>
  <c r="E1315" i="67"/>
  <c r="E1316" i="67" s="1"/>
  <c r="E989" i="67"/>
  <c r="F1043" i="67"/>
  <c r="F1206" i="67"/>
  <c r="F1369" i="67"/>
  <c r="I1046" i="67"/>
  <c r="I1057" i="67"/>
  <c r="I1264" i="67"/>
  <c r="I1275" i="67"/>
  <c r="E1183" i="67"/>
  <c r="E1193" i="67"/>
  <c r="E2980" i="67"/>
  <c r="Y41" i="51" s="1"/>
  <c r="A401" i="77" s="1"/>
  <c r="G1155" i="67"/>
  <c r="G1166" i="67"/>
  <c r="G3050" i="67"/>
  <c r="H3087" i="67"/>
  <c r="F3035" i="67"/>
  <c r="G2984" i="67"/>
  <c r="F3045" i="67"/>
  <c r="I3030" i="67"/>
  <c r="E3030" i="67"/>
  <c r="H2972" i="67"/>
  <c r="E1302" i="67"/>
  <c r="E1292" i="67"/>
  <c r="G2962" i="67"/>
  <c r="B2587" i="67"/>
  <c r="B2572" i="67"/>
  <c r="C422" i="31"/>
  <c r="X38" i="48"/>
  <c r="X38" i="51"/>
  <c r="B2973" i="67"/>
  <c r="B2969" i="67"/>
  <c r="C421" i="32"/>
  <c r="E33" i="48"/>
  <c r="E33" i="51"/>
  <c r="B2856" i="67"/>
  <c r="B2829" i="67"/>
  <c r="D1836" i="67"/>
  <c r="F1240" i="67"/>
  <c r="F1358" i="67"/>
  <c r="F1304" i="67"/>
  <c r="F1348" i="67"/>
  <c r="F1250" i="67"/>
  <c r="F1294" i="67"/>
  <c r="I1058" i="67"/>
  <c r="I1047" i="67"/>
  <c r="G1331" i="67"/>
  <c r="G1320" i="67"/>
  <c r="E1206" i="67"/>
  <c r="E1369" i="67"/>
  <c r="E1043" i="67"/>
  <c r="G1003" i="67"/>
  <c r="G992" i="67"/>
  <c r="E966" i="67"/>
  <c r="E976" i="67"/>
  <c r="C355" i="31"/>
  <c r="B2561" i="67"/>
  <c r="C420" i="31"/>
  <c r="Y38" i="50"/>
  <c r="B2955" i="67"/>
  <c r="B2951" i="67"/>
  <c r="Y38" i="34"/>
  <c r="G33" i="34"/>
  <c r="G33" i="50"/>
  <c r="B2784" i="67"/>
  <c r="B2546" i="67"/>
  <c r="B2811" i="67"/>
  <c r="D1834" i="67"/>
  <c r="B2597" i="67"/>
  <c r="B2582" i="67"/>
  <c r="Z38" i="51"/>
  <c r="B2989" i="67"/>
  <c r="B2985" i="67"/>
  <c r="C424" i="31"/>
  <c r="Z38" i="48"/>
  <c r="C423" i="32"/>
  <c r="I33" i="48"/>
  <c r="I33" i="51"/>
  <c r="B2874" i="67"/>
  <c r="D1838" i="67"/>
  <c r="B2847" i="67"/>
  <c r="G1304" i="67"/>
  <c r="G1250" i="67"/>
  <c r="G1348" i="67"/>
  <c r="G1358" i="67"/>
  <c r="G1294" i="67"/>
  <c r="G1240" i="67"/>
  <c r="F1021" i="67"/>
  <c r="F967" i="67"/>
  <c r="F977" i="67"/>
  <c r="F923" i="67"/>
  <c r="F1031" i="67"/>
  <c r="H1249" i="67"/>
  <c r="H1239" i="67"/>
  <c r="H1293" i="67"/>
  <c r="H1303" i="67"/>
  <c r="H1347" i="67"/>
  <c r="H1357" i="67"/>
  <c r="I923" i="67"/>
  <c r="I967" i="67"/>
  <c r="I1031" i="67"/>
  <c r="I1021" i="67"/>
  <c r="I977" i="67"/>
  <c r="H967" i="67"/>
  <c r="H923" i="67"/>
  <c r="H977" i="67"/>
  <c r="H1031" i="67"/>
  <c r="H1021" i="67"/>
  <c r="G1031" i="67"/>
  <c r="G923" i="67"/>
  <c r="G977" i="67"/>
  <c r="G967" i="67"/>
  <c r="G1021" i="67"/>
  <c r="I1114" i="67"/>
  <c r="I1103" i="67"/>
  <c r="I1211" i="67"/>
  <c r="I1222" i="67"/>
  <c r="H1194" i="67"/>
  <c r="H1076" i="67"/>
  <c r="H1184" i="67"/>
  <c r="H1140" i="67"/>
  <c r="H1086" i="67"/>
  <c r="H1130" i="67"/>
  <c r="G978" i="67"/>
  <c r="G1032" i="67"/>
  <c r="G924" i="67"/>
  <c r="G968" i="67"/>
  <c r="G1022" i="67"/>
  <c r="G1184" i="67"/>
  <c r="G1076" i="67"/>
  <c r="G1086" i="67"/>
  <c r="G1140" i="67"/>
  <c r="G1194" i="67"/>
  <c r="G1130" i="67"/>
  <c r="G1167" i="67"/>
  <c r="G1156" i="67"/>
  <c r="F1076" i="67"/>
  <c r="F1140" i="67"/>
  <c r="F1130" i="67"/>
  <c r="F1194" i="67"/>
  <c r="F1086" i="67"/>
  <c r="F1184" i="67"/>
  <c r="I1131" i="67"/>
  <c r="I1077" i="67"/>
  <c r="I1195" i="67"/>
  <c r="I1141" i="67"/>
  <c r="I1185" i="67"/>
  <c r="I1087" i="67"/>
  <c r="E1086" i="67"/>
  <c r="E1076" i="67"/>
  <c r="E1140" i="67"/>
  <c r="E1184" i="67"/>
  <c r="E1130" i="67"/>
  <c r="E1194" i="67"/>
  <c r="F1315" i="67"/>
  <c r="F989" i="67"/>
  <c r="F1152" i="67"/>
  <c r="G1261" i="67"/>
  <c r="G1098" i="67"/>
  <c r="H1043" i="67"/>
  <c r="H1044" i="67" s="1"/>
  <c r="H1369" i="67"/>
  <c r="H1206" i="67"/>
  <c r="I1152" i="67"/>
  <c r="I1315" i="67"/>
  <c r="I989" i="67"/>
  <c r="I1372" i="67"/>
  <c r="I1383" i="67"/>
  <c r="E1346" i="67"/>
  <c r="E1356" i="67"/>
  <c r="I3045" i="67"/>
  <c r="E2984" i="67"/>
  <c r="Y41" i="48" s="1"/>
  <c r="A410" i="77" s="1"/>
  <c r="I2954" i="67"/>
  <c r="X41" i="52"/>
  <c r="Z39" i="51"/>
  <c r="E1075" i="67"/>
  <c r="E1085" i="67"/>
  <c r="I3040" i="67"/>
  <c r="H2984" i="67"/>
  <c r="H3025" i="67"/>
  <c r="I3050" i="67"/>
  <c r="E3050" i="67"/>
  <c r="F3087" i="67"/>
  <c r="F2976" i="67"/>
  <c r="H2988" i="67"/>
  <c r="F2950" i="67"/>
  <c r="E1129" i="67"/>
  <c r="E1139" i="67"/>
  <c r="F3050" i="67"/>
  <c r="G3045" i="67"/>
  <c r="E3035" i="67"/>
  <c r="G935" i="67"/>
  <c r="F935" i="67"/>
  <c r="H914" i="67"/>
  <c r="F913" i="67"/>
  <c r="I913" i="67"/>
  <c r="H913" i="67"/>
  <c r="G913" i="67"/>
  <c r="G914" i="67"/>
  <c r="E935" i="67"/>
  <c r="I914" i="67"/>
  <c r="F914" i="67"/>
  <c r="H935" i="67"/>
  <c r="F449" i="67"/>
  <c r="F395" i="67"/>
  <c r="F341" i="67"/>
  <c r="I450" i="67"/>
  <c r="I396" i="67"/>
  <c r="I342" i="67"/>
  <c r="G449" i="67"/>
  <c r="G395" i="67"/>
  <c r="G341" i="67"/>
  <c r="H450" i="67"/>
  <c r="H396" i="67"/>
  <c r="H342" i="67"/>
  <c r="F232" i="67"/>
  <c r="F286" i="67"/>
  <c r="F178" i="67"/>
  <c r="F233" i="67"/>
  <c r="F179" i="67"/>
  <c r="F287" i="67"/>
  <c r="H287" i="67"/>
  <c r="H179" i="67"/>
  <c r="H233" i="67"/>
  <c r="I286" i="67"/>
  <c r="I178" i="67"/>
  <c r="I232" i="67"/>
  <c r="I233" i="67"/>
  <c r="I179" i="67"/>
  <c r="I287" i="67"/>
  <c r="G287" i="67"/>
  <c r="G179" i="67"/>
  <c r="G233" i="67"/>
  <c r="G286" i="67"/>
  <c r="G178" i="67"/>
  <c r="G232" i="67"/>
  <c r="H286" i="67"/>
  <c r="H178" i="67"/>
  <c r="H232" i="67"/>
  <c r="F2541" i="67"/>
  <c r="F2544" i="67" s="1"/>
  <c r="F2551" i="67"/>
  <c r="F2554" i="67" s="1"/>
  <c r="H2541" i="67"/>
  <c r="H2544" i="67" s="1"/>
  <c r="E2546" i="67"/>
  <c r="E2549" i="67" s="1"/>
  <c r="I2546" i="67"/>
  <c r="I2549" i="67" s="1"/>
  <c r="H2551" i="67"/>
  <c r="H2554" i="67" s="1"/>
  <c r="E2541" i="67"/>
  <c r="E2544" i="67" s="1"/>
  <c r="I2541" i="67"/>
  <c r="I2544" i="67" s="1"/>
  <c r="F2546" i="67"/>
  <c r="F2549" i="67" s="1"/>
  <c r="E2551" i="67"/>
  <c r="E2554" i="67" s="1"/>
  <c r="I2551" i="67"/>
  <c r="I2554" i="67" s="1"/>
  <c r="G2546" i="67"/>
  <c r="G2549" i="67" s="1"/>
  <c r="G2541" i="67"/>
  <c r="G2544" i="67" s="1"/>
  <c r="H2546" i="67"/>
  <c r="H2549" i="67" s="1"/>
  <c r="G2551" i="67"/>
  <c r="G2554" i="67" s="1"/>
  <c r="F392" i="31"/>
  <c r="H389" i="31"/>
  <c r="F385" i="31"/>
  <c r="F393" i="31"/>
  <c r="I388" i="31"/>
  <c r="I393" i="31"/>
  <c r="I385" i="31"/>
  <c r="I392" i="31"/>
  <c r="G384" i="31"/>
  <c r="F384" i="31"/>
  <c r="G385" i="31"/>
  <c r="G389" i="31"/>
  <c r="G392" i="31"/>
  <c r="I389" i="31"/>
  <c r="F389" i="31"/>
  <c r="I384" i="31"/>
  <c r="F388" i="31"/>
  <c r="H392" i="31"/>
  <c r="H393" i="31"/>
  <c r="G393" i="31"/>
  <c r="H388" i="31"/>
  <c r="H385" i="31"/>
  <c r="H384" i="31"/>
  <c r="G388" i="31"/>
  <c r="I24" i="62"/>
  <c r="A221" i="77" s="1"/>
  <c r="Y23" i="61"/>
  <c r="K24" i="56"/>
  <c r="H380" i="31"/>
  <c r="F381" i="31"/>
  <c r="H381" i="31"/>
  <c r="G381" i="31"/>
  <c r="F380" i="31"/>
  <c r="G380" i="31"/>
  <c r="I380" i="31"/>
  <c r="I381" i="31"/>
  <c r="I24" i="49"/>
  <c r="A190" i="77" s="1"/>
  <c r="I26" i="49"/>
  <c r="A191" i="77" s="1"/>
  <c r="H377" i="31"/>
  <c r="F376" i="31"/>
  <c r="G377" i="31"/>
  <c r="I377" i="31"/>
  <c r="I376" i="31"/>
  <c r="G376" i="31"/>
  <c r="H376" i="31"/>
  <c r="F377" i="31"/>
  <c r="E2003" i="67"/>
  <c r="F74" i="45" s="1"/>
  <c r="I2003" i="67"/>
  <c r="H2003" i="67"/>
  <c r="F2003" i="67"/>
  <c r="F2052" i="67"/>
  <c r="F368" i="31" s="1"/>
  <c r="I2038" i="67"/>
  <c r="G2003" i="67"/>
  <c r="E2052" i="67"/>
  <c r="G2038" i="67"/>
  <c r="G2052" i="67"/>
  <c r="G368" i="31" s="1"/>
  <c r="G2023" i="67"/>
  <c r="G367" i="31" s="1"/>
  <c r="H2038" i="67"/>
  <c r="H2023" i="67"/>
  <c r="H367" i="31" s="1"/>
  <c r="I2023" i="67"/>
  <c r="I367" i="31" s="1"/>
  <c r="E2038" i="67"/>
  <c r="F130" i="45" s="1"/>
  <c r="G130" i="45" s="1"/>
  <c r="H2052" i="67"/>
  <c r="H368" i="31" s="1"/>
  <c r="I2052" i="67"/>
  <c r="I368" i="31" s="1"/>
  <c r="F2023" i="67"/>
  <c r="F367" i="31" s="1"/>
  <c r="F2038" i="67"/>
  <c r="E2023" i="67"/>
  <c r="D403" i="31"/>
  <c r="D417" i="32"/>
  <c r="D405" i="32"/>
  <c r="D409" i="31"/>
  <c r="D414" i="32"/>
  <c r="D415" i="31"/>
  <c r="D406" i="31"/>
  <c r="D412" i="31"/>
  <c r="D411" i="32"/>
  <c r="D418" i="31"/>
  <c r="D408" i="32"/>
  <c r="D402" i="32"/>
  <c r="D408" i="31"/>
  <c r="D413" i="32"/>
  <c r="D410" i="32"/>
  <c r="D401" i="32"/>
  <c r="D417" i="31"/>
  <c r="D402" i="31"/>
  <c r="D411" i="31"/>
  <c r="D405" i="31"/>
  <c r="D416" i="32"/>
  <c r="D407" i="32"/>
  <c r="D404" i="32"/>
  <c r="D414" i="31"/>
  <c r="D404" i="31"/>
  <c r="D401" i="31"/>
  <c r="D407" i="31"/>
  <c r="D412" i="32"/>
  <c r="D406" i="32"/>
  <c r="D400" i="32"/>
  <c r="D413" i="31"/>
  <c r="D410" i="31"/>
  <c r="D415" i="32"/>
  <c r="D409" i="32"/>
  <c r="D403" i="32"/>
  <c r="D416" i="31"/>
  <c r="F373" i="31"/>
  <c r="H372" i="31"/>
  <c r="F372" i="31"/>
  <c r="G372" i="31"/>
  <c r="H373" i="31"/>
  <c r="I372" i="31"/>
  <c r="G373" i="31"/>
  <c r="I373" i="31"/>
  <c r="E372" i="31"/>
  <c r="I24" i="34"/>
  <c r="A165" i="77" s="1"/>
  <c r="I26" i="62"/>
  <c r="A222" i="77" s="1"/>
  <c r="E373" i="31"/>
  <c r="I26" i="34"/>
  <c r="A166" i="77" s="1"/>
  <c r="K26" i="56"/>
  <c r="G29" i="57"/>
  <c r="G34" i="57"/>
  <c r="E376" i="31"/>
  <c r="I24" i="48"/>
  <c r="A178" i="77" s="1"/>
  <c r="E377" i="31"/>
  <c r="I26" i="48"/>
  <c r="A179" i="77" s="1"/>
  <c r="Y22" i="51"/>
  <c r="K24" i="48"/>
  <c r="I24" i="51"/>
  <c r="A141" i="77" s="1"/>
  <c r="Y22" i="57"/>
  <c r="A497" i="77" s="1"/>
  <c r="I24" i="57"/>
  <c r="A505" i="77"/>
  <c r="I24" i="56"/>
  <c r="Y23" i="51"/>
  <c r="K26" i="48"/>
  <c r="I26" i="51"/>
  <c r="A142" i="77" s="1"/>
  <c r="A506" i="77"/>
  <c r="I26" i="56"/>
  <c r="Y23" i="57"/>
  <c r="A498" i="77" s="1"/>
  <c r="I26" i="57"/>
  <c r="A514" i="77"/>
  <c r="I26" i="55"/>
  <c r="A513" i="77"/>
  <c r="I24" i="55"/>
  <c r="K26" i="55"/>
  <c r="I26" i="63"/>
  <c r="A227" i="77" s="1"/>
  <c r="X23" i="57"/>
  <c r="I26" i="61"/>
  <c r="A217" i="77" s="1"/>
  <c r="K26" i="57"/>
  <c r="K24" i="55"/>
  <c r="I24" i="63"/>
  <c r="A226" i="77" s="1"/>
  <c r="X22" i="57"/>
  <c r="K24" i="57"/>
  <c r="I24" i="61"/>
  <c r="A216" i="77" s="1"/>
  <c r="Y22" i="61"/>
  <c r="E389" i="31"/>
  <c r="E388" i="31"/>
  <c r="E384" i="31"/>
  <c r="E385" i="31"/>
  <c r="E392" i="31"/>
  <c r="E379" i="31"/>
  <c r="A464" i="77"/>
  <c r="E381" i="31"/>
  <c r="A466" i="77"/>
  <c r="E380" i="31"/>
  <c r="A465" i="77"/>
  <c r="D1814" i="67"/>
  <c r="C1989" i="67"/>
  <c r="C2009" i="67"/>
  <c r="C349" i="32"/>
  <c r="D1817" i="67"/>
  <c r="C2014" i="67"/>
  <c r="C1994" i="67"/>
  <c r="C350" i="31"/>
  <c r="D1818" i="67"/>
  <c r="C1995" i="67"/>
  <c r="C2015" i="67"/>
  <c r="G29" i="61"/>
  <c r="A228" i="77" s="1"/>
  <c r="G29" i="34"/>
  <c r="A169" i="77" s="1"/>
  <c r="C351" i="31"/>
  <c r="D1819" i="67"/>
  <c r="C2018" i="67"/>
  <c r="C1998" i="67"/>
  <c r="C353" i="31"/>
  <c r="D1821" i="67"/>
  <c r="C2020" i="67"/>
  <c r="C2000" i="67"/>
  <c r="D1815" i="67"/>
  <c r="C2010" i="67"/>
  <c r="C1990" i="67"/>
  <c r="E36" i="50"/>
  <c r="A133" i="77" s="1"/>
  <c r="D1813" i="67"/>
  <c r="C2008" i="67"/>
  <c r="C1988" i="67"/>
  <c r="C348" i="32"/>
  <c r="D1816" i="67"/>
  <c r="C2013" i="67"/>
  <c r="C1993" i="67"/>
  <c r="C352" i="32"/>
  <c r="D1820" i="67"/>
  <c r="C2019" i="67"/>
  <c r="C1999" i="67"/>
  <c r="G29" i="50"/>
  <c r="A132" i="77" s="1"/>
  <c r="I36" i="50"/>
  <c r="A135" i="77" s="1"/>
  <c r="G36" i="50"/>
  <c r="A134" i="77" s="1"/>
  <c r="E393" i="31"/>
  <c r="E364" i="31"/>
  <c r="E363" i="31"/>
  <c r="E365" i="31"/>
  <c r="C347" i="31"/>
  <c r="D103" i="37"/>
  <c r="D73" i="37"/>
  <c r="D46" i="37"/>
  <c r="D36" i="37"/>
  <c r="D87" i="37"/>
  <c r="D76" i="37"/>
  <c r="D49" i="37"/>
  <c r="D33" i="37"/>
  <c r="D90" i="37"/>
  <c r="D60" i="37"/>
  <c r="D100" i="37"/>
  <c r="D63" i="37"/>
  <c r="C349" i="31"/>
  <c r="C345" i="31"/>
  <c r="D88" i="37"/>
  <c r="D58" i="37"/>
  <c r="D31" i="37"/>
  <c r="D98" i="37"/>
  <c r="D61" i="37"/>
  <c r="D101" i="37"/>
  <c r="D71" i="37"/>
  <c r="D44" i="37"/>
  <c r="D34" i="37"/>
  <c r="D85" i="37"/>
  <c r="D74" i="37"/>
  <c r="D47" i="37"/>
  <c r="C346" i="31"/>
  <c r="D99" i="37"/>
  <c r="D62" i="37"/>
  <c r="D102" i="37"/>
  <c r="D72" i="37"/>
  <c r="D45" i="37"/>
  <c r="D35" i="37"/>
  <c r="D86" i="37"/>
  <c r="D75" i="37"/>
  <c r="D48" i="37"/>
  <c r="D32" i="37"/>
  <c r="D89" i="37"/>
  <c r="D59" i="37"/>
  <c r="C350" i="32"/>
  <c r="C348" i="31"/>
  <c r="C351" i="32"/>
  <c r="C352" i="31"/>
  <c r="C353" i="32"/>
  <c r="C132" i="65"/>
  <c r="C131" i="65"/>
  <c r="C128" i="65"/>
  <c r="C127" i="65"/>
  <c r="C171" i="65"/>
  <c r="C170" i="65"/>
  <c r="C167" i="65"/>
  <c r="C166" i="65"/>
  <c r="C483" i="65"/>
  <c r="C482" i="65"/>
  <c r="C479" i="65"/>
  <c r="C478" i="65"/>
  <c r="C523" i="65"/>
  <c r="C522" i="65"/>
  <c r="C519" i="65"/>
  <c r="C518" i="65"/>
  <c r="C562" i="65"/>
  <c r="C561" i="65"/>
  <c r="C560" i="65"/>
  <c r="C558" i="65"/>
  <c r="C557" i="65"/>
  <c r="C556" i="65"/>
  <c r="I321" i="32"/>
  <c r="I321" i="31" s="1"/>
  <c r="I320" i="32"/>
  <c r="I320" i="31" s="1"/>
  <c r="H319" i="32"/>
  <c r="H319" i="31" s="1"/>
  <c r="I317" i="32"/>
  <c r="I317" i="31" s="1"/>
  <c r="H316" i="32"/>
  <c r="H316" i="31" s="1"/>
  <c r="G315" i="32"/>
  <c r="G315" i="31" s="1"/>
  <c r="H313" i="32"/>
  <c r="I312" i="32"/>
  <c r="I311" i="32"/>
  <c r="F3052" i="67" l="1"/>
  <c r="I2640" i="67"/>
  <c r="I2643" i="67" s="1"/>
  <c r="E3053" i="67"/>
  <c r="E3058" i="67" s="1"/>
  <c r="G3052" i="67"/>
  <c r="G3053" i="67" s="1"/>
  <c r="G3059" i="67" s="1"/>
  <c r="G1033" i="67" s="1"/>
  <c r="F3053" i="67"/>
  <c r="F3059" i="67" s="1"/>
  <c r="G3062" i="67"/>
  <c r="G3068" i="67" s="1"/>
  <c r="I341" i="67"/>
  <c r="I449" i="67"/>
  <c r="K24" i="49"/>
  <c r="I24" i="52"/>
  <c r="A153" i="77" s="1"/>
  <c r="F450" i="67"/>
  <c r="I939" i="67"/>
  <c r="E924" i="67"/>
  <c r="E912" i="67"/>
  <c r="Y23" i="52"/>
  <c r="A442" i="77" s="1"/>
  <c r="I940" i="67"/>
  <c r="I938" i="67"/>
  <c r="I951" i="67"/>
  <c r="H3053" i="67"/>
  <c r="H3058" i="67" s="1"/>
  <c r="I3053" i="67"/>
  <c r="I3058" i="67" s="1"/>
  <c r="H449" i="67"/>
  <c r="I26" i="52"/>
  <c r="A154" i="77" s="1"/>
  <c r="H341" i="67"/>
  <c r="G450" i="67"/>
  <c r="E914" i="67"/>
  <c r="Y22" i="52"/>
  <c r="A441" i="77" s="1"/>
  <c r="K26" i="49"/>
  <c r="E913" i="67"/>
  <c r="I950" i="67"/>
  <c r="F342" i="67"/>
  <c r="G342" i="67"/>
  <c r="I2175" i="67"/>
  <c r="I2117" i="67"/>
  <c r="I2207" i="67"/>
  <c r="I2143" i="67"/>
  <c r="I1153" i="67"/>
  <c r="I1157" i="67" s="1"/>
  <c r="G1099" i="67"/>
  <c r="G1102" i="67" s="1"/>
  <c r="F1316" i="67"/>
  <c r="F1330" i="67" s="1"/>
  <c r="E1207" i="67"/>
  <c r="E1211" i="67" s="1"/>
  <c r="F1370" i="67"/>
  <c r="F1374" i="67" s="1"/>
  <c r="H1316" i="67"/>
  <c r="H1320" i="67" s="1"/>
  <c r="G1207" i="67"/>
  <c r="G1211" i="67" s="1"/>
  <c r="E2516" i="67"/>
  <c r="E2518" i="67" s="1"/>
  <c r="E2484" i="67"/>
  <c r="E2486" i="67" s="1"/>
  <c r="E2452" i="67"/>
  <c r="E2454" i="67" s="1"/>
  <c r="H2493" i="67"/>
  <c r="H2495" i="67" s="1"/>
  <c r="H2461" i="67"/>
  <c r="H2463" i="67" s="1"/>
  <c r="H2525" i="67"/>
  <c r="H2527" i="67" s="1"/>
  <c r="I2516" i="67"/>
  <c r="I2518" i="67" s="1"/>
  <c r="I2452" i="67"/>
  <c r="I2454" i="67" s="1"/>
  <c r="I2484" i="67"/>
  <c r="I2486" i="67" s="1"/>
  <c r="F2484" i="67"/>
  <c r="F2486" i="67" s="1"/>
  <c r="F2516" i="67"/>
  <c r="F2518" i="67" s="1"/>
  <c r="F2452" i="67"/>
  <c r="F2454" i="67" s="1"/>
  <c r="H2216" i="67"/>
  <c r="H2119" i="67"/>
  <c r="H2152" i="67"/>
  <c r="H2184" i="67"/>
  <c r="H936" i="67"/>
  <c r="H949" i="67" s="1"/>
  <c r="F936" i="67"/>
  <c r="F950" i="67" s="1"/>
  <c r="H1207" i="67"/>
  <c r="H1222" i="67" s="1"/>
  <c r="G1262" i="67"/>
  <c r="G1264" i="67" s="1"/>
  <c r="F1207" i="67"/>
  <c r="F1210" i="67" s="1"/>
  <c r="E1153" i="67"/>
  <c r="E1157" i="67" s="1"/>
  <c r="F1099" i="67"/>
  <c r="F1103" i="67" s="1"/>
  <c r="G1370" i="67"/>
  <c r="G1373" i="67" s="1"/>
  <c r="G2525" i="67"/>
  <c r="G2527" i="67" s="1"/>
  <c r="G2493" i="67"/>
  <c r="G2495" i="67" s="1"/>
  <c r="G2461" i="67"/>
  <c r="G2463" i="67" s="1"/>
  <c r="G936" i="67"/>
  <c r="G950" i="67" s="1"/>
  <c r="I990" i="67"/>
  <c r="I1005" i="67" s="1"/>
  <c r="H1370" i="67"/>
  <c r="H1384" i="67" s="1"/>
  <c r="F1153" i="67"/>
  <c r="F1168" i="67" s="1"/>
  <c r="E1044" i="67"/>
  <c r="E1057" i="67" s="1"/>
  <c r="F1044" i="67"/>
  <c r="F1058" i="67" s="1"/>
  <c r="H990" i="67"/>
  <c r="H993" i="67" s="1"/>
  <c r="E1099" i="67"/>
  <c r="E1114" i="67" s="1"/>
  <c r="H1099" i="67"/>
  <c r="H1101" i="67" s="1"/>
  <c r="H2516" i="67"/>
  <c r="H2518" i="67" s="1"/>
  <c r="H2452" i="67"/>
  <c r="H2454" i="67" s="1"/>
  <c r="H2484" i="67"/>
  <c r="H2486" i="67" s="1"/>
  <c r="I2198" i="67"/>
  <c r="I2166" i="67"/>
  <c r="I2115" i="67"/>
  <c r="I2134" i="67"/>
  <c r="E936" i="67"/>
  <c r="E949" i="67" s="1"/>
  <c r="I1316" i="67"/>
  <c r="I1318" i="67" s="1"/>
  <c r="F990" i="67"/>
  <c r="F1004" i="67" s="1"/>
  <c r="E1370" i="67"/>
  <c r="E1372" i="67" s="1"/>
  <c r="E990" i="67"/>
  <c r="E994" i="67" s="1"/>
  <c r="H1153" i="67"/>
  <c r="H1166" i="67" s="1"/>
  <c r="E1262" i="67"/>
  <c r="E1275" i="67" s="1"/>
  <c r="G1044" i="67"/>
  <c r="G1046" i="67" s="1"/>
  <c r="E923" i="67"/>
  <c r="F2525" i="67"/>
  <c r="F2527" i="67" s="1"/>
  <c r="F2493" i="67"/>
  <c r="F2495" i="67" s="1"/>
  <c r="F2461" i="67"/>
  <c r="F2463" i="67" s="1"/>
  <c r="E2493" i="67"/>
  <c r="E2495" i="67" s="1"/>
  <c r="E2525" i="67"/>
  <c r="E2527" i="67" s="1"/>
  <c r="E2461" i="67"/>
  <c r="E2463" i="67" s="1"/>
  <c r="A490" i="77"/>
  <c r="A473" i="77"/>
  <c r="A474" i="77"/>
  <c r="F2894" i="67"/>
  <c r="A489" i="77"/>
  <c r="A434" i="77"/>
  <c r="A482" i="77"/>
  <c r="E2894" i="67"/>
  <c r="E2900" i="67" s="1"/>
  <c r="A433" i="77"/>
  <c r="E2903" i="67"/>
  <c r="H2903" i="67"/>
  <c r="H2909" i="67" s="1"/>
  <c r="I2754" i="67"/>
  <c r="I2894" i="67" s="1"/>
  <c r="G2894" i="67"/>
  <c r="G2903" i="67"/>
  <c r="I2764" i="67"/>
  <c r="I2903" i="67" s="1"/>
  <c r="F2865" i="67"/>
  <c r="F2728" i="67"/>
  <c r="F2729" i="67" s="1"/>
  <c r="F2738" i="67"/>
  <c r="F2739" i="67" s="1"/>
  <c r="F2874" i="67"/>
  <c r="F2718" i="67"/>
  <c r="F2719" i="67" s="1"/>
  <c r="E2874" i="67"/>
  <c r="E2738" i="67"/>
  <c r="E2739" i="67" s="1"/>
  <c r="H2718" i="67"/>
  <c r="H2719" i="67" s="1"/>
  <c r="E2865" i="67"/>
  <c r="E2728" i="67"/>
  <c r="E2729" i="67" s="1"/>
  <c r="F2829" i="67"/>
  <c r="F2713" i="67"/>
  <c r="F2714" i="67" s="1"/>
  <c r="I2884" i="67"/>
  <c r="I2743" i="67"/>
  <c r="I2744" i="67" s="1"/>
  <c r="F2929" i="67"/>
  <c r="F2768" i="67"/>
  <c r="F2769" i="67" s="1"/>
  <c r="H2874" i="67"/>
  <c r="H2738" i="67"/>
  <c r="H2739" i="67" s="1"/>
  <c r="I2929" i="67"/>
  <c r="I2768" i="67"/>
  <c r="I2769" i="67" s="1"/>
  <c r="G2920" i="67"/>
  <c r="G2758" i="67"/>
  <c r="G2759" i="67" s="1"/>
  <c r="E2911" i="67"/>
  <c r="E2748" i="67"/>
  <c r="E2749" i="67" s="1"/>
  <c r="H2884" i="67"/>
  <c r="H2743" i="67"/>
  <c r="H2744" i="67" s="1"/>
  <c r="G2718" i="67"/>
  <c r="G2719" i="67" s="1"/>
  <c r="H2865" i="67"/>
  <c r="H2728" i="67"/>
  <c r="H2729" i="67" s="1"/>
  <c r="F2884" i="67"/>
  <c r="F2743" i="67"/>
  <c r="F2744" i="67" s="1"/>
  <c r="G2748" i="67"/>
  <c r="G2749" i="67" s="1"/>
  <c r="G2911" i="67"/>
  <c r="F2911" i="67"/>
  <c r="F2748" i="67"/>
  <c r="F2749" i="67" s="1"/>
  <c r="H2920" i="67"/>
  <c r="H2758" i="67"/>
  <c r="H2759" i="67" s="1"/>
  <c r="H2829" i="67"/>
  <c r="H2713" i="67"/>
  <c r="H2714" i="67" s="1"/>
  <c r="E2920" i="67"/>
  <c r="E2758" i="67"/>
  <c r="E2759" i="67" s="1"/>
  <c r="G2865" i="67"/>
  <c r="G2728" i="67"/>
  <c r="G2729" i="67" s="1"/>
  <c r="I2920" i="67"/>
  <c r="I2758" i="67"/>
  <c r="I2759" i="67" s="1"/>
  <c r="H2768" i="67"/>
  <c r="H2769" i="67" s="1"/>
  <c r="H2929" i="67"/>
  <c r="E2929" i="67"/>
  <c r="E2768" i="67"/>
  <c r="E2769" i="67" s="1"/>
  <c r="E2713" i="67"/>
  <c r="E2714" i="67" s="1"/>
  <c r="E2829" i="67"/>
  <c r="G2713" i="67"/>
  <c r="G2714" i="67" s="1"/>
  <c r="G2829" i="67"/>
  <c r="G2738" i="67"/>
  <c r="G2739" i="67" s="1"/>
  <c r="G2874" i="67"/>
  <c r="E2718" i="67"/>
  <c r="E2719" i="67" s="1"/>
  <c r="G2743" i="67"/>
  <c r="G2744" i="67" s="1"/>
  <c r="G2884" i="67"/>
  <c r="I2865" i="67"/>
  <c r="I2728" i="67"/>
  <c r="I2729" i="67" s="1"/>
  <c r="F2920" i="67"/>
  <c r="F2758" i="67"/>
  <c r="F2759" i="67" s="1"/>
  <c r="I2718" i="67"/>
  <c r="I2719" i="67" s="1"/>
  <c r="H2748" i="67"/>
  <c r="H2749" i="67" s="1"/>
  <c r="H2911" i="67"/>
  <c r="I2748" i="67"/>
  <c r="I2749" i="67" s="1"/>
  <c r="I2911" i="67"/>
  <c r="G2768" i="67"/>
  <c r="G2769" i="67" s="1"/>
  <c r="G2929" i="67"/>
  <c r="E2884" i="67"/>
  <c r="E2743" i="67"/>
  <c r="E2744" i="67" s="1"/>
  <c r="I2874" i="67"/>
  <c r="I2738" i="67"/>
  <c r="I2739" i="67" s="1"/>
  <c r="I2713" i="67"/>
  <c r="I2714" i="67" s="1"/>
  <c r="I2829" i="67"/>
  <c r="F2903" i="67"/>
  <c r="H2894" i="67"/>
  <c r="I2793" i="67"/>
  <c r="I2734" i="67"/>
  <c r="I2848" i="67" s="1"/>
  <c r="I2703" i="67"/>
  <c r="I2704" i="67" s="1"/>
  <c r="F2698" i="67"/>
  <c r="F2699" i="67" s="1"/>
  <c r="H2784" i="67"/>
  <c r="H2693" i="67"/>
  <c r="H2694" i="67" s="1"/>
  <c r="H2839" i="67"/>
  <c r="H2793" i="67"/>
  <c r="H2703" i="67"/>
  <c r="H2704" i="67" s="1"/>
  <c r="H2848" i="67"/>
  <c r="I2708" i="67"/>
  <c r="I2709" i="67" s="1"/>
  <c r="F2784" i="67"/>
  <c r="F2839" i="67"/>
  <c r="F2693" i="67"/>
  <c r="F2694" i="67" s="1"/>
  <c r="I2784" i="67"/>
  <c r="I2724" i="67"/>
  <c r="I2839" i="67" s="1"/>
  <c r="I2693" i="67"/>
  <c r="I2694" i="67" s="1"/>
  <c r="F2708" i="67"/>
  <c r="F2709" i="67" s="1"/>
  <c r="G2793" i="67"/>
  <c r="G2848" i="67"/>
  <c r="G2703" i="67"/>
  <c r="G2704" i="67" s="1"/>
  <c r="I2698" i="67"/>
  <c r="I2699" i="67" s="1"/>
  <c r="E2793" i="67"/>
  <c r="E2848" i="67"/>
  <c r="E2703" i="67"/>
  <c r="E2704" i="67" s="1"/>
  <c r="F2793" i="67"/>
  <c r="F2848" i="67"/>
  <c r="F2703" i="67"/>
  <c r="F2704" i="67" s="1"/>
  <c r="E2708" i="67"/>
  <c r="E2709" i="67" s="1"/>
  <c r="G2784" i="67"/>
  <c r="G2693" i="67"/>
  <c r="G2694" i="67" s="1"/>
  <c r="G2839" i="67"/>
  <c r="E2784" i="67"/>
  <c r="E2839" i="67"/>
  <c r="E2693" i="67"/>
  <c r="E2694" i="67" s="1"/>
  <c r="G2708" i="67"/>
  <c r="G2709" i="67" s="1"/>
  <c r="E2698" i="67"/>
  <c r="E2699" i="67" s="1"/>
  <c r="H2708" i="67"/>
  <c r="H2709" i="67" s="1"/>
  <c r="G2698" i="67"/>
  <c r="G2699" i="67" s="1"/>
  <c r="H2698" i="67"/>
  <c r="H2699" i="67" s="1"/>
  <c r="E2688" i="67"/>
  <c r="E2689" i="67" s="1"/>
  <c r="F2688" i="67"/>
  <c r="F2689" i="67" s="1"/>
  <c r="H2688" i="67"/>
  <c r="H2689" i="67" s="1"/>
  <c r="G2688" i="67"/>
  <c r="G2689" i="67" s="1"/>
  <c r="I2688" i="67"/>
  <c r="I2689" i="67" s="1"/>
  <c r="G2683" i="67"/>
  <c r="G2684" i="67" s="1"/>
  <c r="I2683" i="67"/>
  <c r="I2684" i="67" s="1"/>
  <c r="F2683" i="67"/>
  <c r="F2684" i="67" s="1"/>
  <c r="E2683" i="67"/>
  <c r="H2683" i="67"/>
  <c r="H2684" i="67" s="1"/>
  <c r="H2775" i="67"/>
  <c r="G2775" i="67"/>
  <c r="F2775" i="67"/>
  <c r="I2775" i="67"/>
  <c r="E2775" i="67"/>
  <c r="E3070" i="67"/>
  <c r="E3071" i="67" s="1"/>
  <c r="E3075" i="67" s="1"/>
  <c r="E1078" i="67" s="1"/>
  <c r="E2651" i="67"/>
  <c r="F3070" i="67"/>
  <c r="F3071" i="67" s="1"/>
  <c r="F3075" i="67" s="1"/>
  <c r="F2651" i="67"/>
  <c r="I3070" i="67"/>
  <c r="I3071" i="67" s="1"/>
  <c r="I3076" i="67" s="1"/>
  <c r="I2651" i="67"/>
  <c r="H3070" i="67"/>
  <c r="H3071" i="67" s="1"/>
  <c r="H3076" i="67" s="1"/>
  <c r="H1142" i="67" s="1"/>
  <c r="H2651" i="67"/>
  <c r="G3070" i="67"/>
  <c r="G3071" i="67" s="1"/>
  <c r="G3075" i="67" s="1"/>
  <c r="G1088" i="67" s="1"/>
  <c r="G2651" i="67"/>
  <c r="F3088" i="67"/>
  <c r="F3094" i="67" s="1"/>
  <c r="H3088" i="67"/>
  <c r="H3093" i="67" s="1"/>
  <c r="Y39" i="50"/>
  <c r="G3096" i="67"/>
  <c r="G3097" i="67" s="1"/>
  <c r="G3103" i="67" s="1"/>
  <c r="Z40" i="63"/>
  <c r="Z38" i="63" s="1"/>
  <c r="X39" i="50"/>
  <c r="E3088" i="67"/>
  <c r="E3093" i="67" s="1"/>
  <c r="E1305" i="67" s="1"/>
  <c r="Y40" i="56"/>
  <c r="Y38" i="56" s="1"/>
  <c r="Z39" i="50"/>
  <c r="Z40" i="62"/>
  <c r="Z38" i="62" s="1"/>
  <c r="H1934" i="67"/>
  <c r="G1934" i="67"/>
  <c r="E1934" i="67"/>
  <c r="I1934" i="67"/>
  <c r="F1934" i="67"/>
  <c r="F356" i="31"/>
  <c r="F3061" i="67"/>
  <c r="F3062" i="67" s="1"/>
  <c r="F3067" i="67" s="1"/>
  <c r="H3097" i="67"/>
  <c r="H3103" i="67" s="1"/>
  <c r="H356" i="31"/>
  <c r="X39" i="51"/>
  <c r="H3061" i="67"/>
  <c r="H3062" i="67" s="1"/>
  <c r="H3068" i="67" s="1"/>
  <c r="Y40" i="55"/>
  <c r="Y38" i="55" s="1"/>
  <c r="I3088" i="67"/>
  <c r="I3093" i="67" s="1"/>
  <c r="X39" i="48"/>
  <c r="Y38" i="57"/>
  <c r="A419" i="77"/>
  <c r="G354" i="31"/>
  <c r="G3088" i="67"/>
  <c r="G3092" i="67" s="1"/>
  <c r="Z38" i="61"/>
  <c r="A417" i="77"/>
  <c r="X39" i="52"/>
  <c r="A403" i="77"/>
  <c r="A407" i="77"/>
  <c r="Y39" i="34"/>
  <c r="H1046" i="67"/>
  <c r="H1057" i="67"/>
  <c r="F1275" i="67"/>
  <c r="F1264" i="67"/>
  <c r="H1275" i="67"/>
  <c r="H1264" i="67"/>
  <c r="E354" i="31"/>
  <c r="E3061" i="67"/>
  <c r="E3062" i="67" s="1"/>
  <c r="H1047" i="67"/>
  <c r="H1277" i="67"/>
  <c r="E1329" i="67"/>
  <c r="E1318" i="67"/>
  <c r="F1265" i="67"/>
  <c r="F1276" i="67"/>
  <c r="E1331" i="67"/>
  <c r="I354" i="31"/>
  <c r="I3061" i="67"/>
  <c r="I3062" i="67" s="1"/>
  <c r="E356" i="31"/>
  <c r="E3096" i="67"/>
  <c r="E3097" i="67" s="1"/>
  <c r="Y40" i="61"/>
  <c r="Y40" i="63"/>
  <c r="Y38" i="63" s="1"/>
  <c r="Y40" i="62"/>
  <c r="Y38" i="62" s="1"/>
  <c r="H1059" i="67"/>
  <c r="H1276" i="67"/>
  <c r="G3066" i="67"/>
  <c r="Y39" i="51"/>
  <c r="I356" i="31"/>
  <c r="I3096" i="67"/>
  <c r="I3097" i="67" s="1"/>
  <c r="F1266" i="67"/>
  <c r="E1319" i="67"/>
  <c r="E1330" i="67"/>
  <c r="H1048" i="67"/>
  <c r="Z40" i="55"/>
  <c r="Z38" i="55" s="1"/>
  <c r="Z40" i="57"/>
  <c r="Z40" i="56"/>
  <c r="Z38" i="56" s="1"/>
  <c r="Y39" i="48"/>
  <c r="H1058" i="67"/>
  <c r="H1266" i="67"/>
  <c r="H1265" i="67"/>
  <c r="X40" i="56"/>
  <c r="X38" i="56" s="1"/>
  <c r="X40" i="57"/>
  <c r="X40" i="55"/>
  <c r="X38" i="55" s="1"/>
  <c r="F3097" i="67"/>
  <c r="X40" i="61"/>
  <c r="A415" i="77" s="1"/>
  <c r="X40" i="63"/>
  <c r="X38" i="63" s="1"/>
  <c r="X40" i="62"/>
  <c r="F1277" i="67"/>
  <c r="E1320" i="67"/>
  <c r="I312" i="31"/>
  <c r="I228" i="67"/>
  <c r="I229" i="67" s="1"/>
  <c r="I391" i="67"/>
  <c r="I392" i="67" s="1"/>
  <c r="I65" i="67"/>
  <c r="I337" i="67"/>
  <c r="I338" i="67" s="1"/>
  <c r="I11" i="67"/>
  <c r="I174" i="67"/>
  <c r="I175" i="67" s="1"/>
  <c r="H313" i="31"/>
  <c r="H282" i="67"/>
  <c r="H283" i="67" s="1"/>
  <c r="H445" i="67"/>
  <c r="H446" i="67" s="1"/>
  <c r="H119" i="67"/>
  <c r="F352" i="31"/>
  <c r="G347" i="31"/>
  <c r="E348" i="31"/>
  <c r="G353" i="31"/>
  <c r="F350" i="31"/>
  <c r="H351" i="31"/>
  <c r="E350" i="31"/>
  <c r="I346" i="31"/>
  <c r="I2811" i="67"/>
  <c r="E352" i="31"/>
  <c r="I348" i="31"/>
  <c r="G351" i="31"/>
  <c r="F348" i="31"/>
  <c r="H353" i="31"/>
  <c r="H349" i="31"/>
  <c r="G346" i="31"/>
  <c r="G2811" i="67"/>
  <c r="G349" i="31"/>
  <c r="F346" i="31"/>
  <c r="F2811" i="67"/>
  <c r="I350" i="31"/>
  <c r="H347" i="31"/>
  <c r="E346" i="31"/>
  <c r="E2811" i="67"/>
  <c r="I352" i="31"/>
  <c r="E353" i="31"/>
  <c r="I349" i="31"/>
  <c r="H346" i="31"/>
  <c r="H2811" i="67"/>
  <c r="H352" i="31"/>
  <c r="E351" i="31"/>
  <c r="I347" i="31"/>
  <c r="E345" i="31"/>
  <c r="E2802" i="67"/>
  <c r="G352" i="31"/>
  <c r="F349" i="31"/>
  <c r="G350" i="31"/>
  <c r="F347" i="31"/>
  <c r="I353" i="31"/>
  <c r="H350" i="31"/>
  <c r="E349" i="31"/>
  <c r="G345" i="31"/>
  <c r="G2802" i="67"/>
  <c r="F351" i="31"/>
  <c r="I351" i="31"/>
  <c r="H348" i="31"/>
  <c r="E347" i="31"/>
  <c r="I345" i="31"/>
  <c r="I2802" i="67"/>
  <c r="F353" i="31"/>
  <c r="G348" i="31"/>
  <c r="H345" i="31"/>
  <c r="H2802" i="67"/>
  <c r="F345" i="31"/>
  <c r="F2802" i="67"/>
  <c r="F144" i="45"/>
  <c r="G144" i="45" s="1"/>
  <c r="E368" i="31"/>
  <c r="E367" i="31"/>
  <c r="F88" i="45"/>
  <c r="G88" i="45" s="1"/>
  <c r="I2235" i="67"/>
  <c r="C87" i="65"/>
  <c r="C88" i="65"/>
  <c r="C91" i="65"/>
  <c r="C92" i="65"/>
  <c r="I319" i="32"/>
  <c r="I319" i="31" s="1"/>
  <c r="E315" i="32"/>
  <c r="E315" i="31" s="1"/>
  <c r="I315" i="32"/>
  <c r="I315" i="31" s="1"/>
  <c r="F315" i="32"/>
  <c r="F315" i="31" s="1"/>
  <c r="F312" i="32"/>
  <c r="H315" i="32"/>
  <c r="H315" i="31" s="1"/>
  <c r="E316" i="32"/>
  <c r="F321" i="32"/>
  <c r="F321" i="31" s="1"/>
  <c r="E319" i="32"/>
  <c r="E319" i="31" s="1"/>
  <c r="G321" i="32"/>
  <c r="G321" i="31" s="1"/>
  <c r="F317" i="32"/>
  <c r="F317" i="31" s="1"/>
  <c r="F319" i="32"/>
  <c r="F319" i="31" s="1"/>
  <c r="I313" i="32"/>
  <c r="F311" i="32"/>
  <c r="F313" i="32"/>
  <c r="F316" i="32"/>
  <c r="F316" i="31" s="1"/>
  <c r="G320" i="32"/>
  <c r="G320" i="31" s="1"/>
  <c r="H321" i="32"/>
  <c r="H321" i="31" s="1"/>
  <c r="G313" i="32"/>
  <c r="I316" i="32"/>
  <c r="I316" i="31" s="1"/>
  <c r="G319" i="32"/>
  <c r="G319" i="31" s="1"/>
  <c r="H320" i="32"/>
  <c r="H320" i="31" s="1"/>
  <c r="E321" i="32"/>
  <c r="E313" i="32"/>
  <c r="F320" i="32"/>
  <c r="F320" i="31" s="1"/>
  <c r="E320" i="32"/>
  <c r="H317" i="32"/>
  <c r="H317" i="31" s="1"/>
  <c r="G311" i="32"/>
  <c r="G317" i="32"/>
  <c r="G317" i="31" s="1"/>
  <c r="H311" i="32"/>
  <c r="G316" i="32"/>
  <c r="G316" i="31" s="1"/>
  <c r="E311" i="32"/>
  <c r="E317" i="32"/>
  <c r="G312" i="32"/>
  <c r="H312" i="32"/>
  <c r="E312" i="32"/>
  <c r="I308" i="32"/>
  <c r="I1887" i="67" s="1"/>
  <c r="H308" i="32"/>
  <c r="H1887" i="67" s="1"/>
  <c r="G308" i="32"/>
  <c r="G1887" i="67" s="1"/>
  <c r="F308" i="32"/>
  <c r="F1887" i="67" s="1"/>
  <c r="E308" i="32"/>
  <c r="I307" i="32"/>
  <c r="I1929" i="67" s="1"/>
  <c r="H307" i="32"/>
  <c r="H1929" i="67" s="1"/>
  <c r="G307" i="32"/>
  <c r="G1929" i="67" s="1"/>
  <c r="F307" i="32"/>
  <c r="F1929" i="67" s="1"/>
  <c r="E307" i="32"/>
  <c r="E1929" i="67" s="1"/>
  <c r="I306" i="32"/>
  <c r="I1806" i="67" s="1"/>
  <c r="H306" i="32"/>
  <c r="H1806" i="67" s="1"/>
  <c r="G306" i="32"/>
  <c r="G1806" i="67" s="1"/>
  <c r="F306" i="32"/>
  <c r="F1806" i="67" s="1"/>
  <c r="E306" i="32"/>
  <c r="I305" i="32"/>
  <c r="I1849" i="67" s="1"/>
  <c r="H305" i="32"/>
  <c r="H1849" i="67" s="1"/>
  <c r="G305" i="32"/>
  <c r="G1849" i="67" s="1"/>
  <c r="F305" i="32"/>
  <c r="F1849" i="67" s="1"/>
  <c r="E305" i="32"/>
  <c r="E195" i="31"/>
  <c r="G194" i="31"/>
  <c r="G193" i="31"/>
  <c r="G188" i="31"/>
  <c r="E187" i="31"/>
  <c r="H183" i="31"/>
  <c r="H182" i="31"/>
  <c r="I181" i="31"/>
  <c r="H177" i="31"/>
  <c r="H176" i="31"/>
  <c r="F277" i="65"/>
  <c r="E277" i="65"/>
  <c r="D277" i="65"/>
  <c r="C277" i="65"/>
  <c r="F245" i="65"/>
  <c r="E245" i="65"/>
  <c r="D245" i="65"/>
  <c r="C245" i="65"/>
  <c r="F214" i="65"/>
  <c r="E214" i="65"/>
  <c r="D214" i="65"/>
  <c r="C214" i="65"/>
  <c r="E3059" i="67" l="1"/>
  <c r="E1023" i="67" s="1"/>
  <c r="E3057" i="67"/>
  <c r="G3067" i="67"/>
  <c r="G995" i="67" s="1"/>
  <c r="F3057" i="67"/>
  <c r="F915" i="67" s="1"/>
  <c r="F3058" i="67"/>
  <c r="F969" i="67" s="1"/>
  <c r="I1156" i="67"/>
  <c r="E1046" i="67"/>
  <c r="F1059" i="67"/>
  <c r="F938" i="67"/>
  <c r="F1101" i="67"/>
  <c r="F993" i="67"/>
  <c r="E1264" i="67"/>
  <c r="I1166" i="67"/>
  <c r="I1331" i="67"/>
  <c r="F1383" i="67"/>
  <c r="H1373" i="67"/>
  <c r="F1048" i="67"/>
  <c r="H3057" i="67"/>
  <c r="H915" i="67" s="1"/>
  <c r="I1155" i="67"/>
  <c r="E1166" i="67"/>
  <c r="E1168" i="67"/>
  <c r="H940" i="67"/>
  <c r="I1168" i="67"/>
  <c r="G1383" i="67"/>
  <c r="G1221" i="67"/>
  <c r="G939" i="67"/>
  <c r="G1266" i="67"/>
  <c r="G1265" i="67"/>
  <c r="E939" i="67"/>
  <c r="G1372" i="67"/>
  <c r="G1384" i="67"/>
  <c r="G1374" i="67"/>
  <c r="G1385" i="67"/>
  <c r="E1059" i="67"/>
  <c r="I1329" i="67"/>
  <c r="E1221" i="67"/>
  <c r="H1155" i="67"/>
  <c r="F1046" i="67"/>
  <c r="H950" i="67"/>
  <c r="E1220" i="67"/>
  <c r="I3057" i="67"/>
  <c r="I925" i="67" s="1"/>
  <c r="H938" i="67"/>
  <c r="F1221" i="67"/>
  <c r="H951" i="67"/>
  <c r="E1222" i="67"/>
  <c r="H939" i="67"/>
  <c r="E950" i="67"/>
  <c r="E1209" i="67"/>
  <c r="F1047" i="67"/>
  <c r="G1103" i="67"/>
  <c r="I3059" i="67"/>
  <c r="I1023" i="67" s="1"/>
  <c r="H1210" i="67"/>
  <c r="H1209" i="67"/>
  <c r="H1220" i="67"/>
  <c r="F1166" i="67"/>
  <c r="E1276" i="67"/>
  <c r="F1329" i="67"/>
  <c r="G1220" i="67"/>
  <c r="F1155" i="67"/>
  <c r="E1265" i="67"/>
  <c r="F1167" i="67"/>
  <c r="H1372" i="67"/>
  <c r="E1374" i="67"/>
  <c r="H1330" i="67"/>
  <c r="H3059" i="67"/>
  <c r="G1210" i="67"/>
  <c r="E1266" i="67"/>
  <c r="H1211" i="67"/>
  <c r="F1320" i="67"/>
  <c r="E1101" i="67"/>
  <c r="G1112" i="67"/>
  <c r="E1167" i="67"/>
  <c r="E1277" i="67"/>
  <c r="F1113" i="67"/>
  <c r="H1221" i="67"/>
  <c r="F1114" i="67"/>
  <c r="G3057" i="67"/>
  <c r="G915" i="67" s="1"/>
  <c r="G3058" i="67"/>
  <c r="E938" i="67"/>
  <c r="I1004" i="67"/>
  <c r="G2654" i="67"/>
  <c r="G3079" i="67" s="1"/>
  <c r="G3080" i="67" s="1"/>
  <c r="I2654" i="67"/>
  <c r="I355" i="31" s="1"/>
  <c r="E2654" i="67"/>
  <c r="E3079" i="67" s="1"/>
  <c r="E3080" i="67" s="1"/>
  <c r="F1222" i="67"/>
  <c r="E1004" i="67"/>
  <c r="E1003" i="67"/>
  <c r="F1220" i="67"/>
  <c r="E951" i="67"/>
  <c r="G1047" i="67"/>
  <c r="H1329" i="67"/>
  <c r="G1114" i="67"/>
  <c r="G1048" i="67"/>
  <c r="E940" i="67"/>
  <c r="F1156" i="67"/>
  <c r="E1210" i="67"/>
  <c r="E992" i="67"/>
  <c r="F994" i="67"/>
  <c r="G1101" i="67"/>
  <c r="F1112" i="67"/>
  <c r="F1057" i="67"/>
  <c r="F992" i="67"/>
  <c r="F1211" i="67"/>
  <c r="H1318" i="67"/>
  <c r="I992" i="67"/>
  <c r="F1005" i="67"/>
  <c r="F1102" i="67"/>
  <c r="H1319" i="67"/>
  <c r="H1331" i="67"/>
  <c r="H2654" i="67"/>
  <c r="H355" i="31" s="1"/>
  <c r="F2654" i="67"/>
  <c r="F355" i="31" s="1"/>
  <c r="I994" i="67"/>
  <c r="G1113" i="67"/>
  <c r="F1209" i="67"/>
  <c r="E2821" i="67"/>
  <c r="E2825" i="67" s="1"/>
  <c r="I2803" i="67"/>
  <c r="I2807" i="67" s="1"/>
  <c r="F1003" i="67"/>
  <c r="H1168" i="67"/>
  <c r="E1102" i="67"/>
  <c r="E1005" i="67"/>
  <c r="E993" i="67"/>
  <c r="E2175" i="67"/>
  <c r="E2117" i="67"/>
  <c r="E2207" i="67"/>
  <c r="E2143" i="67"/>
  <c r="E2198" i="67"/>
  <c r="E2115" i="67"/>
  <c r="E2166" i="67"/>
  <c r="E2134" i="67"/>
  <c r="G2166" i="67"/>
  <c r="G2115" i="67"/>
  <c r="G2134" i="67"/>
  <c r="G2198" i="67"/>
  <c r="E2216" i="67"/>
  <c r="E2119" i="67"/>
  <c r="E2152" i="67"/>
  <c r="E2184" i="67"/>
  <c r="H2285" i="67"/>
  <c r="H2120" i="67"/>
  <c r="H2317" i="67"/>
  <c r="H2175" i="67"/>
  <c r="H2117" i="67"/>
  <c r="H2207" i="67"/>
  <c r="H2143" i="67"/>
  <c r="G2184" i="67"/>
  <c r="G2216" i="67"/>
  <c r="G2119" i="67"/>
  <c r="G2152" i="67"/>
  <c r="F2152" i="67"/>
  <c r="F2184" i="67"/>
  <c r="F2119" i="67"/>
  <c r="F2216" i="67"/>
  <c r="H120" i="67"/>
  <c r="H132" i="67" s="1"/>
  <c r="I2308" i="67"/>
  <c r="I2276" i="67"/>
  <c r="I2118" i="67"/>
  <c r="H1102" i="67"/>
  <c r="E1058" i="67"/>
  <c r="G951" i="67"/>
  <c r="H1385" i="67"/>
  <c r="E1048" i="67"/>
  <c r="H1383" i="67"/>
  <c r="H1103" i="67"/>
  <c r="H1114" i="67"/>
  <c r="H1005" i="67"/>
  <c r="E1047" i="67"/>
  <c r="H1374" i="67"/>
  <c r="G949" i="67"/>
  <c r="I2178" i="67"/>
  <c r="I2180" i="67" s="1"/>
  <c r="I2210" i="67"/>
  <c r="I2212" i="67" s="1"/>
  <c r="I2146" i="67"/>
  <c r="I2148" i="67" s="1"/>
  <c r="G2207" i="67"/>
  <c r="G2143" i="67"/>
  <c r="G2175" i="67"/>
  <c r="G2117" i="67"/>
  <c r="H2134" i="67"/>
  <c r="H2198" i="67"/>
  <c r="H2166" i="67"/>
  <c r="H2115" i="67"/>
  <c r="F2166" i="67"/>
  <c r="F2115" i="67"/>
  <c r="F2134" i="67"/>
  <c r="F2198" i="67"/>
  <c r="F939" i="67"/>
  <c r="I12" i="67"/>
  <c r="I24" i="67" s="1"/>
  <c r="G940" i="67"/>
  <c r="I66" i="67"/>
  <c r="I78" i="67" s="1"/>
  <c r="G938" i="67"/>
  <c r="E1373" i="67"/>
  <c r="I1167" i="67"/>
  <c r="F1384" i="67"/>
  <c r="G1276" i="67"/>
  <c r="E1383" i="67"/>
  <c r="G1209" i="67"/>
  <c r="H1112" i="67"/>
  <c r="F1319" i="67"/>
  <c r="H992" i="67"/>
  <c r="E1155" i="67"/>
  <c r="G1057" i="67"/>
  <c r="E1156" i="67"/>
  <c r="F1372" i="67"/>
  <c r="F951" i="67"/>
  <c r="G1275" i="67"/>
  <c r="E1384" i="67"/>
  <c r="H1156" i="67"/>
  <c r="H1167" i="67"/>
  <c r="H1004" i="67"/>
  <c r="G1059" i="67"/>
  <c r="H1157" i="67"/>
  <c r="E1385" i="67"/>
  <c r="I1330" i="67"/>
  <c r="I2169" i="67"/>
  <c r="I2171" i="67" s="1"/>
  <c r="I2137" i="67"/>
  <c r="I2139" i="67" s="1"/>
  <c r="I2201" i="67"/>
  <c r="I2203" i="67" s="1"/>
  <c r="G1277" i="67"/>
  <c r="F949" i="67"/>
  <c r="G1222" i="67"/>
  <c r="F1373" i="67"/>
  <c r="F1331" i="67"/>
  <c r="I2216" i="67"/>
  <c r="I2119" i="67"/>
  <c r="I2152" i="67"/>
  <c r="I2184" i="67"/>
  <c r="F2207" i="67"/>
  <c r="F2143" i="67"/>
  <c r="F2117" i="67"/>
  <c r="F2175" i="67"/>
  <c r="F940" i="67"/>
  <c r="H1113" i="67"/>
  <c r="I1320" i="67"/>
  <c r="G1058" i="67"/>
  <c r="E1112" i="67"/>
  <c r="F1318" i="67"/>
  <c r="F1157" i="67"/>
  <c r="I1319" i="67"/>
  <c r="H1003" i="67"/>
  <c r="F1385" i="67"/>
  <c r="I993" i="67"/>
  <c r="I1003" i="67"/>
  <c r="E1103" i="67"/>
  <c r="H994" i="67"/>
  <c r="E1113" i="67"/>
  <c r="H2219" i="67"/>
  <c r="H2221" i="67" s="1"/>
  <c r="H2155" i="67"/>
  <c r="H2157" i="67" s="1"/>
  <c r="H2187" i="67"/>
  <c r="H2189" i="67" s="1"/>
  <c r="E2908" i="67"/>
  <c r="E2909" i="67"/>
  <c r="E2907" i="67"/>
  <c r="E2812" i="67"/>
  <c r="E2817" i="67" s="1"/>
  <c r="E2899" i="67"/>
  <c r="H2803" i="67"/>
  <c r="H2807" i="67" s="1"/>
  <c r="E2803" i="67"/>
  <c r="E2807" i="67" s="1"/>
  <c r="H2907" i="67"/>
  <c r="E2785" i="67"/>
  <c r="E2789" i="67" s="1"/>
  <c r="I2785" i="67"/>
  <c r="I2790" i="67" s="1"/>
  <c r="G2830" i="67"/>
  <c r="G2835" i="67" s="1"/>
  <c r="E2866" i="67"/>
  <c r="E2871" i="67" s="1"/>
  <c r="E2875" i="67"/>
  <c r="E2881" i="67" s="1"/>
  <c r="G2812" i="67"/>
  <c r="G2818" i="67" s="1"/>
  <c r="I2812" i="67"/>
  <c r="I2816" i="67" s="1"/>
  <c r="H2912" i="67"/>
  <c r="H2916" i="67" s="1"/>
  <c r="E2857" i="67"/>
  <c r="E2862" i="67" s="1"/>
  <c r="H2785" i="67"/>
  <c r="H2791" i="67" s="1"/>
  <c r="H2908" i="67"/>
  <c r="F2803" i="67"/>
  <c r="F2809" i="67" s="1"/>
  <c r="H2821" i="67"/>
  <c r="H2825" i="67" s="1"/>
  <c r="E2898" i="67"/>
  <c r="I2821" i="67"/>
  <c r="I2825" i="67" s="1"/>
  <c r="G2821" i="67"/>
  <c r="G2826" i="67" s="1"/>
  <c r="I2830" i="67"/>
  <c r="I2835" i="67" s="1"/>
  <c r="G2866" i="67"/>
  <c r="G2870" i="67" s="1"/>
  <c r="H2866" i="67"/>
  <c r="H2871" i="67" s="1"/>
  <c r="H2853" i="67"/>
  <c r="H2854" i="67"/>
  <c r="H2852" i="67"/>
  <c r="I2845" i="67"/>
  <c r="I2844" i="67"/>
  <c r="I2843" i="67"/>
  <c r="H2844" i="67"/>
  <c r="H2843" i="67"/>
  <c r="H2845" i="67"/>
  <c r="F2854" i="67"/>
  <c r="F2853" i="67"/>
  <c r="F2852" i="67"/>
  <c r="I2853" i="67"/>
  <c r="I2852" i="67"/>
  <c r="I2854" i="67"/>
  <c r="E2843" i="67"/>
  <c r="E2844" i="67"/>
  <c r="E2845" i="67"/>
  <c r="G2844" i="67"/>
  <c r="G2843" i="67"/>
  <c r="G2845" i="67"/>
  <c r="G2854" i="67"/>
  <c r="G2853" i="67"/>
  <c r="G2852" i="67"/>
  <c r="G2785" i="67"/>
  <c r="G2791" i="67" s="1"/>
  <c r="E2794" i="67"/>
  <c r="E2799" i="67" s="1"/>
  <c r="F2843" i="67"/>
  <c r="F2845" i="67"/>
  <c r="F2844" i="67"/>
  <c r="G2803" i="67"/>
  <c r="G2808" i="67" s="1"/>
  <c r="F2821" i="67"/>
  <c r="F2827" i="67" s="1"/>
  <c r="H2812" i="67"/>
  <c r="H2816" i="67" s="1"/>
  <c r="E2776" i="67"/>
  <c r="E2782" i="67" s="1"/>
  <c r="H2776" i="67"/>
  <c r="H2780" i="67" s="1"/>
  <c r="G2794" i="67"/>
  <c r="G2798" i="67" s="1"/>
  <c r="H2794" i="67"/>
  <c r="H2800" i="67" s="1"/>
  <c r="I2794" i="67"/>
  <c r="I2800" i="67" s="1"/>
  <c r="I2909" i="67"/>
  <c r="I2907" i="67"/>
  <c r="I2908" i="67"/>
  <c r="I2875" i="67"/>
  <c r="G2930" i="67"/>
  <c r="I2857" i="67"/>
  <c r="G2885" i="67"/>
  <c r="E2921" i="67"/>
  <c r="H2921" i="67"/>
  <c r="G2921" i="67"/>
  <c r="H2875" i="67"/>
  <c r="F2875" i="67"/>
  <c r="F2785" i="67"/>
  <c r="F2791" i="67" s="1"/>
  <c r="F2921" i="67"/>
  <c r="I2885" i="67"/>
  <c r="F2812" i="67"/>
  <c r="F2816" i="67" s="1"/>
  <c r="F2776" i="67"/>
  <c r="F2781" i="67" s="1"/>
  <c r="F2794" i="67"/>
  <c r="F2799" i="67" s="1"/>
  <c r="F2909" i="67"/>
  <c r="F2908" i="67"/>
  <c r="F2907" i="67"/>
  <c r="E2885" i="67"/>
  <c r="G2898" i="67"/>
  <c r="G2900" i="67"/>
  <c r="G2899" i="67"/>
  <c r="E2930" i="67"/>
  <c r="I2921" i="67"/>
  <c r="H2830" i="67"/>
  <c r="F2912" i="67"/>
  <c r="G2857" i="67"/>
  <c r="E2912" i="67"/>
  <c r="I2930" i="67"/>
  <c r="I2776" i="67"/>
  <c r="I2781" i="67" s="1"/>
  <c r="E2854" i="67"/>
  <c r="E2852" i="67"/>
  <c r="E2853" i="67"/>
  <c r="G2776" i="67"/>
  <c r="G2780" i="67" s="1"/>
  <c r="H2899" i="67"/>
  <c r="H2900" i="67"/>
  <c r="H2898" i="67"/>
  <c r="I2900" i="67"/>
  <c r="I2899" i="67"/>
  <c r="I2898" i="67"/>
  <c r="I2912" i="67"/>
  <c r="I2866" i="67"/>
  <c r="G2908" i="67"/>
  <c r="G2907" i="67"/>
  <c r="G2909" i="67"/>
  <c r="F2899" i="67"/>
  <c r="F2898" i="67"/>
  <c r="F2900" i="67"/>
  <c r="G2875" i="67"/>
  <c r="E2830" i="67"/>
  <c r="H2930" i="67"/>
  <c r="G2912" i="67"/>
  <c r="F2885" i="67"/>
  <c r="H2885" i="67"/>
  <c r="F2930" i="67"/>
  <c r="F2830" i="67"/>
  <c r="H2857" i="67"/>
  <c r="F2857" i="67"/>
  <c r="F2866" i="67"/>
  <c r="G1078" i="67"/>
  <c r="H1132" i="67"/>
  <c r="G3077" i="67"/>
  <c r="G1186" i="67" s="1"/>
  <c r="E1088" i="67"/>
  <c r="I3075" i="67"/>
  <c r="I1088" i="67" s="1"/>
  <c r="G3076" i="67"/>
  <c r="G1132" i="67" s="1"/>
  <c r="E3076" i="67"/>
  <c r="E1142" i="67" s="1"/>
  <c r="I3077" i="67"/>
  <c r="I1186" i="67" s="1"/>
  <c r="E3077" i="67"/>
  <c r="E1196" i="67" s="1"/>
  <c r="F3076" i="67"/>
  <c r="F1132" i="67" s="1"/>
  <c r="F3077" i="67"/>
  <c r="F1196" i="67" s="1"/>
  <c r="H3077" i="67"/>
  <c r="H1186" i="67" s="1"/>
  <c r="H3075" i="67"/>
  <c r="H1078" i="67" s="1"/>
  <c r="F3093" i="67"/>
  <c r="F1305" i="67" s="1"/>
  <c r="F3092" i="67"/>
  <c r="F1241" i="67" s="1"/>
  <c r="H3094" i="67"/>
  <c r="H1359" i="67" s="1"/>
  <c r="H3092" i="67"/>
  <c r="H1251" i="67" s="1"/>
  <c r="G1023" i="67"/>
  <c r="E969" i="67"/>
  <c r="I969" i="67"/>
  <c r="E3092" i="67"/>
  <c r="E1251" i="67" s="1"/>
  <c r="E1295" i="67"/>
  <c r="E3094" i="67"/>
  <c r="E1349" i="67" s="1"/>
  <c r="G3094" i="67"/>
  <c r="G1359" i="67" s="1"/>
  <c r="H979" i="67"/>
  <c r="H3066" i="67"/>
  <c r="H952" i="67" s="1"/>
  <c r="H2253" i="67"/>
  <c r="E1936" i="67"/>
  <c r="H3101" i="67"/>
  <c r="H1267" i="67" s="1"/>
  <c r="H3102" i="67"/>
  <c r="H1332" i="67" s="1"/>
  <c r="G3093" i="67"/>
  <c r="G1295" i="67" s="1"/>
  <c r="F3068" i="67"/>
  <c r="F1049" i="67" s="1"/>
  <c r="F3066" i="67"/>
  <c r="F941" i="67" s="1"/>
  <c r="I3094" i="67"/>
  <c r="I1359" i="67" s="1"/>
  <c r="E1033" i="67"/>
  <c r="I3092" i="67"/>
  <c r="I1251" i="67" s="1"/>
  <c r="H3067" i="67"/>
  <c r="H1006" i="67" s="1"/>
  <c r="G3101" i="67"/>
  <c r="G1267" i="67" s="1"/>
  <c r="G3102" i="67"/>
  <c r="G1321" i="67" s="1"/>
  <c r="Y38" i="61"/>
  <c r="A416" i="77"/>
  <c r="X38" i="57"/>
  <c r="A418" i="77"/>
  <c r="Z38" i="57"/>
  <c r="A420" i="77"/>
  <c r="F925" i="67"/>
  <c r="I1132" i="67"/>
  <c r="I1142" i="67"/>
  <c r="G1251" i="67"/>
  <c r="G1241" i="67"/>
  <c r="G952" i="67"/>
  <c r="G941" i="67"/>
  <c r="I3067" i="67"/>
  <c r="I3066" i="67"/>
  <c r="I3068" i="67"/>
  <c r="E3067" i="67"/>
  <c r="E3068" i="67"/>
  <c r="E3066" i="67"/>
  <c r="H1305" i="67"/>
  <c r="H1295" i="67"/>
  <c r="F1349" i="67"/>
  <c r="F1359" i="67"/>
  <c r="X38" i="61"/>
  <c r="X38" i="62"/>
  <c r="F995" i="67"/>
  <c r="F1006" i="67"/>
  <c r="F1023" i="67"/>
  <c r="F1033" i="67"/>
  <c r="G1375" i="67"/>
  <c r="G1386" i="67"/>
  <c r="I3101" i="67"/>
  <c r="I3102" i="67"/>
  <c r="I3103" i="67"/>
  <c r="G1060" i="67"/>
  <c r="G1049" i="67"/>
  <c r="F1078" i="67"/>
  <c r="F1088" i="67"/>
  <c r="E3101" i="67"/>
  <c r="E3103" i="67"/>
  <c r="E3102" i="67"/>
  <c r="F3103" i="67"/>
  <c r="F3101" i="67"/>
  <c r="F3102" i="67"/>
  <c r="F979" i="67"/>
  <c r="H1049" i="67"/>
  <c r="H1060" i="67"/>
  <c r="H1386" i="67"/>
  <c r="H1375" i="67"/>
  <c r="I1295" i="67"/>
  <c r="I1305" i="67"/>
  <c r="I2244" i="67"/>
  <c r="E337" i="67"/>
  <c r="E338" i="67" s="1"/>
  <c r="E174" i="67"/>
  <c r="E175" i="67" s="1"/>
  <c r="E11" i="67"/>
  <c r="E12" i="67" s="1"/>
  <c r="H295" i="67"/>
  <c r="H297" i="67"/>
  <c r="H296" i="67"/>
  <c r="G312" i="31"/>
  <c r="G228" i="67"/>
  <c r="G229" i="67" s="1"/>
  <c r="G391" i="67"/>
  <c r="G392" i="67" s="1"/>
  <c r="G65" i="67"/>
  <c r="H11" i="67"/>
  <c r="H337" i="67"/>
  <c r="H338" i="67" s="1"/>
  <c r="H174" i="67"/>
  <c r="H175" i="67" s="1"/>
  <c r="F174" i="67"/>
  <c r="F175" i="67" s="1"/>
  <c r="F337" i="67"/>
  <c r="F338" i="67" s="1"/>
  <c r="F11" i="67"/>
  <c r="I200" i="67"/>
  <c r="I201" i="67" s="1"/>
  <c r="I37" i="67"/>
  <c r="I38" i="67" s="1"/>
  <c r="I363" i="67"/>
  <c r="I364" i="67" s="1"/>
  <c r="I241" i="67"/>
  <c r="I243" i="67"/>
  <c r="I242" i="67"/>
  <c r="E391" i="67"/>
  <c r="E392" i="67" s="1"/>
  <c r="E228" i="67"/>
  <c r="E229" i="67" s="1"/>
  <c r="E65" i="67"/>
  <c r="E66" i="67" s="1"/>
  <c r="G174" i="67"/>
  <c r="G175" i="67" s="1"/>
  <c r="G11" i="67"/>
  <c r="G337" i="67"/>
  <c r="G338" i="67" s="1"/>
  <c r="E282" i="67"/>
  <c r="E283" i="67" s="1"/>
  <c r="E119" i="67"/>
  <c r="E120" i="67" s="1"/>
  <c r="E445" i="67"/>
  <c r="E446" i="67" s="1"/>
  <c r="H312" i="31"/>
  <c r="H391" i="67"/>
  <c r="H392" i="67" s="1"/>
  <c r="H228" i="67"/>
  <c r="H229" i="67" s="1"/>
  <c r="H65" i="67"/>
  <c r="G313" i="31"/>
  <c r="G282" i="67"/>
  <c r="G283" i="67" s="1"/>
  <c r="G119" i="67"/>
  <c r="G445" i="67"/>
  <c r="G446" i="67" s="1"/>
  <c r="F313" i="31"/>
  <c r="F445" i="67"/>
  <c r="F446" i="67" s="1"/>
  <c r="F282" i="67"/>
  <c r="F283" i="67" s="1"/>
  <c r="F119" i="67"/>
  <c r="H145" i="67"/>
  <c r="H146" i="67" s="1"/>
  <c r="H471" i="67"/>
  <c r="H472" i="67" s="1"/>
  <c r="H308" i="67"/>
  <c r="H309" i="67" s="1"/>
  <c r="I350" i="67"/>
  <c r="I351" i="67"/>
  <c r="I352" i="67"/>
  <c r="I404" i="67"/>
  <c r="I405" i="67"/>
  <c r="I406" i="67"/>
  <c r="I313" i="31"/>
  <c r="I2253" i="67" s="1"/>
  <c r="I445" i="67"/>
  <c r="I446" i="67" s="1"/>
  <c r="I119" i="67"/>
  <c r="I282" i="67"/>
  <c r="I283" i="67" s="1"/>
  <c r="F312" i="31"/>
  <c r="F391" i="67"/>
  <c r="F392" i="67" s="1"/>
  <c r="F228" i="67"/>
  <c r="F229" i="67" s="1"/>
  <c r="F65" i="67"/>
  <c r="H458" i="67"/>
  <c r="H460" i="67"/>
  <c r="H459" i="67"/>
  <c r="I187" i="67"/>
  <c r="I189" i="67"/>
  <c r="I188" i="67"/>
  <c r="I417" i="67"/>
  <c r="I418" i="67" s="1"/>
  <c r="I91" i="67"/>
  <c r="I92" i="67" s="1"/>
  <c r="I254" i="67"/>
  <c r="I255" i="67" s="1"/>
  <c r="H1863" i="67"/>
  <c r="H1878" i="67" s="1"/>
  <c r="H305" i="31" s="1"/>
  <c r="I1863" i="67"/>
  <c r="I1878" i="67" s="1"/>
  <c r="I305" i="31" s="1"/>
  <c r="G1863" i="67"/>
  <c r="G1878" i="67" s="1"/>
  <c r="G305" i="31" s="1"/>
  <c r="F1863" i="67"/>
  <c r="F1878" i="67" s="1"/>
  <c r="F305" i="31" s="1"/>
  <c r="H1826" i="67"/>
  <c r="H1846" i="67" s="1"/>
  <c r="H306" i="31" s="1"/>
  <c r="F1826" i="67"/>
  <c r="F1846" i="67" s="1"/>
  <c r="F306" i="31" s="1"/>
  <c r="I1826" i="67"/>
  <c r="I1846" i="67" s="1"/>
  <c r="I306" i="31" s="1"/>
  <c r="G1826" i="67"/>
  <c r="G1846" i="67" s="1"/>
  <c r="G306" i="31" s="1"/>
  <c r="E320" i="31"/>
  <c r="U34" i="70" s="1"/>
  <c r="U34" i="66"/>
  <c r="U34" i="75"/>
  <c r="O32" i="69"/>
  <c r="O32" i="75"/>
  <c r="O32" i="66"/>
  <c r="E317" i="31"/>
  <c r="O33" i="70" s="1"/>
  <c r="O33" i="75"/>
  <c r="O33" i="66"/>
  <c r="U32" i="69"/>
  <c r="U32" i="66"/>
  <c r="U32" i="75"/>
  <c r="E312" i="31"/>
  <c r="I34" i="75"/>
  <c r="I34" i="66"/>
  <c r="I32" i="75"/>
  <c r="I32" i="66"/>
  <c r="E313" i="31"/>
  <c r="I33" i="66"/>
  <c r="I33" i="75"/>
  <c r="E321" i="31"/>
  <c r="U33" i="69" s="1"/>
  <c r="U33" i="66"/>
  <c r="U33" i="75"/>
  <c r="E316" i="31"/>
  <c r="O34" i="70" s="1"/>
  <c r="O34" i="66"/>
  <c r="O34" i="75"/>
  <c r="O32" i="70"/>
  <c r="E1806" i="67"/>
  <c r="E1887" i="67"/>
  <c r="E1849" i="67"/>
  <c r="F2253" i="67"/>
  <c r="F2235" i="67"/>
  <c r="X35" i="50"/>
  <c r="X34" i="63"/>
  <c r="X34" i="62"/>
  <c r="X35" i="62"/>
  <c r="X35" i="63"/>
  <c r="X35" i="61"/>
  <c r="X34" i="61"/>
  <c r="X34" i="50"/>
  <c r="G187" i="31"/>
  <c r="E181" i="31"/>
  <c r="H195" i="31"/>
  <c r="I195" i="31"/>
  <c r="G195" i="31"/>
  <c r="H187" i="31"/>
  <c r="F187" i="31"/>
  <c r="F193" i="31"/>
  <c r="G181" i="31"/>
  <c r="H181" i="31"/>
  <c r="H193" i="31"/>
  <c r="H189" i="31"/>
  <c r="I189" i="31"/>
  <c r="E189" i="31"/>
  <c r="G175" i="31"/>
  <c r="E175" i="31"/>
  <c r="I175" i="31"/>
  <c r="H175" i="31"/>
  <c r="G189" i="31"/>
  <c r="I187" i="31"/>
  <c r="I193" i="31"/>
  <c r="E193" i="31"/>
  <c r="E182" i="31"/>
  <c r="E194" i="31"/>
  <c r="F188" i="31"/>
  <c r="E176" i="31"/>
  <c r="E188" i="31"/>
  <c r="F176" i="31"/>
  <c r="I177" i="31"/>
  <c r="E177" i="31"/>
  <c r="F182" i="31"/>
  <c r="I183" i="31"/>
  <c r="E183" i="31"/>
  <c r="F194" i="31"/>
  <c r="G176" i="31"/>
  <c r="F177" i="31"/>
  <c r="G182" i="31"/>
  <c r="F183" i="31"/>
  <c r="H188" i="31"/>
  <c r="H194" i="31"/>
  <c r="F175" i="31"/>
  <c r="I176" i="31"/>
  <c r="G177" i="31"/>
  <c r="F181" i="31"/>
  <c r="I182" i="31"/>
  <c r="G183" i="31"/>
  <c r="I188" i="31"/>
  <c r="F189" i="31"/>
  <c r="I194" i="31"/>
  <c r="F195" i="31"/>
  <c r="G1006" i="67" l="1"/>
  <c r="H925" i="67"/>
  <c r="I2808" i="67"/>
  <c r="I1033" i="67"/>
  <c r="E2826" i="67"/>
  <c r="G925" i="67"/>
  <c r="E2880" i="67"/>
  <c r="E2791" i="67"/>
  <c r="G355" i="31"/>
  <c r="E2827" i="67"/>
  <c r="F3079" i="67"/>
  <c r="F3080" i="67" s="1"/>
  <c r="F3086" i="67" s="1"/>
  <c r="F1223" i="67" s="1"/>
  <c r="I3079" i="67"/>
  <c r="I3080" i="67" s="1"/>
  <c r="I3085" i="67" s="1"/>
  <c r="I1169" i="67" s="1"/>
  <c r="E2879" i="67"/>
  <c r="G979" i="67"/>
  <c r="G969" i="67"/>
  <c r="I2809" i="67"/>
  <c r="G3086" i="67"/>
  <c r="G1223" i="67" s="1"/>
  <c r="G3084" i="67"/>
  <c r="G1115" i="67" s="1"/>
  <c r="G3085" i="67"/>
  <c r="G1169" i="67" s="1"/>
  <c r="E3084" i="67"/>
  <c r="E1115" i="67" s="1"/>
  <c r="E3086" i="67"/>
  <c r="E1223" i="67" s="1"/>
  <c r="E3085" i="67"/>
  <c r="E1158" i="67" s="1"/>
  <c r="E355" i="31"/>
  <c r="H3079" i="67"/>
  <c r="H3080" i="67" s="1"/>
  <c r="H3084" i="67" s="1"/>
  <c r="H1104" i="67" s="1"/>
  <c r="E2863" i="67"/>
  <c r="E2308" i="67"/>
  <c r="E2276" i="67"/>
  <c r="E2118" i="67"/>
  <c r="F66" i="67"/>
  <c r="F78" i="67" s="1"/>
  <c r="F2317" i="67"/>
  <c r="F2120" i="67"/>
  <c r="F2285" i="67"/>
  <c r="G2317" i="67"/>
  <c r="G2120" i="67"/>
  <c r="G2285" i="67"/>
  <c r="H2308" i="67"/>
  <c r="H2276" i="67"/>
  <c r="H2118" i="67"/>
  <c r="F12" i="67"/>
  <c r="F24" i="67" s="1"/>
  <c r="I2155" i="67"/>
  <c r="I2157" i="67" s="1"/>
  <c r="I2187" i="67"/>
  <c r="I2189" i="67" s="1"/>
  <c r="I2219" i="67"/>
  <c r="I2221" i="67" s="1"/>
  <c r="H2137" i="67"/>
  <c r="H2139" i="67" s="1"/>
  <c r="H2201" i="67"/>
  <c r="H2203" i="67" s="1"/>
  <c r="H2169" i="67"/>
  <c r="H2171" i="67" s="1"/>
  <c r="G2146" i="67"/>
  <c r="G2148" i="67" s="1"/>
  <c r="G2178" i="67"/>
  <c r="G2180" i="67" s="1"/>
  <c r="G2210" i="67"/>
  <c r="G2212" i="67" s="1"/>
  <c r="I120" i="67"/>
  <c r="I132" i="67" s="1"/>
  <c r="F120" i="67"/>
  <c r="F132" i="67" s="1"/>
  <c r="H66" i="67"/>
  <c r="H78" i="67" s="1"/>
  <c r="G12" i="67"/>
  <c r="G24" i="67" s="1"/>
  <c r="H12" i="67"/>
  <c r="H24" i="67" s="1"/>
  <c r="F2155" i="67"/>
  <c r="F2157" i="67" s="1"/>
  <c r="F2219" i="67"/>
  <c r="F2221" i="67" s="1"/>
  <c r="F2187" i="67"/>
  <c r="F2189" i="67" s="1"/>
  <c r="G2187" i="67"/>
  <c r="G2189" i="67" s="1"/>
  <c r="G2155" i="67"/>
  <c r="G2157" i="67" s="1"/>
  <c r="G2219" i="67"/>
  <c r="G2221" i="67" s="1"/>
  <c r="H2256" i="67"/>
  <c r="H2258" i="67" s="1"/>
  <c r="H2288" i="67"/>
  <c r="H2290" i="67" s="1"/>
  <c r="H2320" i="67"/>
  <c r="H2322" i="67" s="1"/>
  <c r="E2155" i="67"/>
  <c r="E2157" i="67" s="1"/>
  <c r="E2187" i="67"/>
  <c r="E2189" i="67" s="1"/>
  <c r="E2219" i="67"/>
  <c r="E2221" i="67" s="1"/>
  <c r="G2201" i="67"/>
  <c r="G2203" i="67" s="1"/>
  <c r="G2169" i="67"/>
  <c r="G2171" i="67" s="1"/>
  <c r="G2137" i="67"/>
  <c r="G2139" i="67" s="1"/>
  <c r="E2169" i="67"/>
  <c r="E2171" i="67" s="1"/>
  <c r="E2201" i="67"/>
  <c r="E2203" i="67" s="1"/>
  <c r="E2137" i="67"/>
  <c r="E2139" i="67" s="1"/>
  <c r="E2178" i="67"/>
  <c r="E2180" i="67" s="1"/>
  <c r="E2210" i="67"/>
  <c r="E2212" i="67" s="1"/>
  <c r="E2146" i="67"/>
  <c r="E2148" i="67" s="1"/>
  <c r="H2244" i="67"/>
  <c r="G120" i="67"/>
  <c r="G132" i="67" s="1"/>
  <c r="G66" i="67"/>
  <c r="G78" i="67" s="1"/>
  <c r="E2317" i="67"/>
  <c r="E2120" i="67"/>
  <c r="E2285" i="67"/>
  <c r="F2276" i="67"/>
  <c r="F2118" i="67"/>
  <c r="F2308" i="67"/>
  <c r="I2317" i="67"/>
  <c r="I2120" i="67"/>
  <c r="I2285" i="67"/>
  <c r="F2178" i="67"/>
  <c r="F2180" i="67" s="1"/>
  <c r="F2146" i="67"/>
  <c r="F2148" i="67" s="1"/>
  <c r="F2210" i="67"/>
  <c r="F2212" i="67" s="1"/>
  <c r="I2311" i="67"/>
  <c r="I2313" i="67" s="1"/>
  <c r="I2279" i="67"/>
  <c r="I2281" i="67" s="1"/>
  <c r="I2247" i="67"/>
  <c r="I2249" i="67" s="1"/>
  <c r="G2253" i="67"/>
  <c r="G2118" i="67"/>
  <c r="G2308" i="67"/>
  <c r="G2276" i="67"/>
  <c r="F2201" i="67"/>
  <c r="F2203" i="67" s="1"/>
  <c r="F2169" i="67"/>
  <c r="F2171" i="67" s="1"/>
  <c r="F2137" i="67"/>
  <c r="F2139" i="67" s="1"/>
  <c r="H2210" i="67"/>
  <c r="H2212" i="67" s="1"/>
  <c r="H2146" i="67"/>
  <c r="H2148" i="67" s="1"/>
  <c r="H2178" i="67"/>
  <c r="H2180" i="67" s="1"/>
  <c r="H2808" i="67"/>
  <c r="E2861" i="67"/>
  <c r="I2836" i="67"/>
  <c r="I288" i="67" s="1"/>
  <c r="H2827" i="67"/>
  <c r="E2798" i="67"/>
  <c r="G2799" i="67"/>
  <c r="H2826" i="67"/>
  <c r="E2800" i="67"/>
  <c r="E2818" i="67"/>
  <c r="H2809" i="67"/>
  <c r="I2789" i="67"/>
  <c r="G2871" i="67"/>
  <c r="F2798" i="67"/>
  <c r="E2816" i="67"/>
  <c r="I2799" i="67"/>
  <c r="I81" i="67" s="1"/>
  <c r="G2781" i="67"/>
  <c r="E2870" i="67"/>
  <c r="E2808" i="67"/>
  <c r="E2809" i="67"/>
  <c r="G2817" i="67"/>
  <c r="H2817" i="67"/>
  <c r="F2817" i="67"/>
  <c r="G2816" i="67"/>
  <c r="H2798" i="67"/>
  <c r="I2791" i="67"/>
  <c r="H2789" i="67"/>
  <c r="G2872" i="67"/>
  <c r="G2827" i="67"/>
  <c r="G2800" i="67"/>
  <c r="E2872" i="67"/>
  <c r="G2834" i="67"/>
  <c r="G190" i="67" s="1"/>
  <c r="H2918" i="67"/>
  <c r="F2818" i="67"/>
  <c r="I2817" i="67"/>
  <c r="F2825" i="67"/>
  <c r="I2798" i="67"/>
  <c r="E2780" i="67"/>
  <c r="E17" i="67" s="1"/>
  <c r="G2807" i="67"/>
  <c r="I2826" i="67"/>
  <c r="H2818" i="67"/>
  <c r="E2790" i="67"/>
  <c r="I2834" i="67"/>
  <c r="I190" i="67" s="1"/>
  <c r="G2836" i="67"/>
  <c r="G288" i="67" s="1"/>
  <c r="I2818" i="67"/>
  <c r="F2780" i="67"/>
  <c r="H2872" i="67"/>
  <c r="G2809" i="67"/>
  <c r="G2825" i="67"/>
  <c r="F2807" i="67"/>
  <c r="F2800" i="67"/>
  <c r="G2782" i="67"/>
  <c r="G2790" i="67"/>
  <c r="I244" i="67"/>
  <c r="I2782" i="67"/>
  <c r="H2917" i="67"/>
  <c r="I2827" i="67"/>
  <c r="F2808" i="67"/>
  <c r="H2781" i="67"/>
  <c r="I2780" i="67"/>
  <c r="G2789" i="67"/>
  <c r="H2870" i="67"/>
  <c r="H2790" i="67"/>
  <c r="E2781" i="67"/>
  <c r="G2879" i="67"/>
  <c r="G2881" i="67"/>
  <c r="G2880" i="67"/>
  <c r="I2863" i="67"/>
  <c r="I2862" i="67"/>
  <c r="I2861" i="67"/>
  <c r="F2826" i="67"/>
  <c r="H2799" i="67"/>
  <c r="F2782" i="67"/>
  <c r="F2862" i="67"/>
  <c r="F2863" i="67"/>
  <c r="F2861" i="67"/>
  <c r="H2890" i="67"/>
  <c r="H407" i="67" s="1"/>
  <c r="H2889" i="67"/>
  <c r="H343" i="67" s="1"/>
  <c r="H2891" i="67"/>
  <c r="E2836" i="67"/>
  <c r="E298" i="67" s="1"/>
  <c r="E2834" i="67"/>
  <c r="E180" i="67" s="1"/>
  <c r="E2835" i="67"/>
  <c r="E234" i="67" s="1"/>
  <c r="I2871" i="67"/>
  <c r="I2870" i="67"/>
  <c r="I2872" i="67"/>
  <c r="G2862" i="67"/>
  <c r="G2861" i="67"/>
  <c r="G2863" i="67"/>
  <c r="E2936" i="67"/>
  <c r="E2934" i="67"/>
  <c r="E2935" i="67"/>
  <c r="E2891" i="67"/>
  <c r="E461" i="67" s="1"/>
  <c r="E2890" i="67"/>
  <c r="E397" i="67" s="1"/>
  <c r="E2889" i="67"/>
  <c r="E343" i="67" s="1"/>
  <c r="F2926" i="67"/>
  <c r="F2927" i="67"/>
  <c r="F2925" i="67"/>
  <c r="H2880" i="67"/>
  <c r="H2881" i="67"/>
  <c r="H2879" i="67"/>
  <c r="G2889" i="67"/>
  <c r="G343" i="67" s="1"/>
  <c r="G2891" i="67"/>
  <c r="G451" i="67" s="1"/>
  <c r="G2890" i="67"/>
  <c r="G407" i="67" s="1"/>
  <c r="H2863" i="67"/>
  <c r="H2861" i="67"/>
  <c r="H2862" i="67"/>
  <c r="I2918" i="67"/>
  <c r="I2917" i="67"/>
  <c r="I2916" i="67"/>
  <c r="H2782" i="67"/>
  <c r="H125" i="67" s="1"/>
  <c r="F2790" i="67"/>
  <c r="F2835" i="67"/>
  <c r="F234" i="67" s="1"/>
  <c r="F2836" i="67"/>
  <c r="F298" i="67" s="1"/>
  <c r="F2834" i="67"/>
  <c r="F190" i="67" s="1"/>
  <c r="G2916" i="67"/>
  <c r="G2918" i="67"/>
  <c r="G2917" i="67"/>
  <c r="I2936" i="67"/>
  <c r="I2935" i="67"/>
  <c r="I2934" i="67"/>
  <c r="H2835" i="67"/>
  <c r="H234" i="67" s="1"/>
  <c r="H2834" i="67"/>
  <c r="H180" i="67" s="1"/>
  <c r="H2836" i="67"/>
  <c r="H288" i="67" s="1"/>
  <c r="I2891" i="67"/>
  <c r="I451" i="67" s="1"/>
  <c r="I2889" i="67"/>
  <c r="I2890" i="67"/>
  <c r="F2789" i="67"/>
  <c r="H2927" i="67"/>
  <c r="H2925" i="67"/>
  <c r="H2926" i="67"/>
  <c r="G2935" i="67"/>
  <c r="G2934" i="67"/>
  <c r="G2936" i="67"/>
  <c r="F2890" i="67"/>
  <c r="F397" i="67" s="1"/>
  <c r="F2889" i="67"/>
  <c r="F343" i="67" s="1"/>
  <c r="F2891" i="67"/>
  <c r="F451" i="67" s="1"/>
  <c r="F2917" i="67"/>
  <c r="F2916" i="67"/>
  <c r="F2918" i="67"/>
  <c r="G2925" i="67"/>
  <c r="G2927" i="67"/>
  <c r="G2926" i="67"/>
  <c r="F2870" i="67"/>
  <c r="F2872" i="67"/>
  <c r="F2871" i="67"/>
  <c r="F2936" i="67"/>
  <c r="F2935" i="67"/>
  <c r="F2934" i="67"/>
  <c r="H2935" i="67"/>
  <c r="H2934" i="67"/>
  <c r="H2936" i="67"/>
  <c r="E2918" i="67"/>
  <c r="E2916" i="67"/>
  <c r="E2917" i="67"/>
  <c r="I2927" i="67"/>
  <c r="I2926" i="67"/>
  <c r="I2925" i="67"/>
  <c r="F2879" i="67"/>
  <c r="F2880" i="67"/>
  <c r="F2881" i="67"/>
  <c r="E2927" i="67"/>
  <c r="E2925" i="67"/>
  <c r="E2926" i="67"/>
  <c r="I2879" i="67"/>
  <c r="I2881" i="67"/>
  <c r="I2880" i="67"/>
  <c r="I1196" i="67"/>
  <c r="I1078" i="67"/>
  <c r="G1196" i="67"/>
  <c r="E1132" i="67"/>
  <c r="F1186" i="67"/>
  <c r="G1142" i="67"/>
  <c r="F1142" i="67"/>
  <c r="H1088" i="67"/>
  <c r="E1186" i="67"/>
  <c r="H1196" i="67"/>
  <c r="F1295" i="67"/>
  <c r="F1251" i="67"/>
  <c r="H1349" i="67"/>
  <c r="I915" i="67"/>
  <c r="H1241" i="67"/>
  <c r="E979" i="67"/>
  <c r="I979" i="67"/>
  <c r="I234" i="67"/>
  <c r="G1305" i="67"/>
  <c r="F1060" i="67"/>
  <c r="E1359" i="67"/>
  <c r="E915" i="67"/>
  <c r="E925" i="67"/>
  <c r="E1241" i="67"/>
  <c r="H941" i="67"/>
  <c r="G1349" i="67"/>
  <c r="H1321" i="67"/>
  <c r="G1332" i="67"/>
  <c r="H969" i="67"/>
  <c r="H1023" i="67"/>
  <c r="H1033" i="67"/>
  <c r="E14" i="67"/>
  <c r="H1278" i="67"/>
  <c r="I1349" i="67"/>
  <c r="H2235" i="67"/>
  <c r="G2244" i="67"/>
  <c r="F2244" i="67"/>
  <c r="I1241" i="67"/>
  <c r="F952" i="67"/>
  <c r="H995" i="67"/>
  <c r="G1278" i="67"/>
  <c r="E1332" i="67"/>
  <c r="E1321" i="67"/>
  <c r="I1060" i="67"/>
  <c r="I1049" i="67"/>
  <c r="I1267" i="67"/>
  <c r="I1278" i="67"/>
  <c r="E952" i="67"/>
  <c r="E941" i="67"/>
  <c r="F1321" i="67"/>
  <c r="F1332" i="67"/>
  <c r="F1278" i="67"/>
  <c r="F1267" i="67"/>
  <c r="E1386" i="67"/>
  <c r="E1375" i="67"/>
  <c r="I1386" i="67"/>
  <c r="I1375" i="67"/>
  <c r="E1006" i="67"/>
  <c r="E995" i="67"/>
  <c r="I952" i="67"/>
  <c r="I941" i="67"/>
  <c r="E1049" i="67"/>
  <c r="E1060" i="67"/>
  <c r="F1386" i="67"/>
  <c r="F1375" i="67"/>
  <c r="E1278" i="67"/>
  <c r="E1267" i="67"/>
  <c r="I1321" i="67"/>
  <c r="I1332" i="67"/>
  <c r="I1006" i="67"/>
  <c r="I995" i="67"/>
  <c r="G2235" i="67"/>
  <c r="F187" i="67"/>
  <c r="F189" i="67"/>
  <c r="F188" i="67"/>
  <c r="G244" i="67"/>
  <c r="G234" i="67"/>
  <c r="G241" i="67"/>
  <c r="G243" i="67"/>
  <c r="G242" i="67"/>
  <c r="I32" i="70"/>
  <c r="E200" i="67"/>
  <c r="E201" i="67" s="1"/>
  <c r="E363" i="67"/>
  <c r="E364" i="67" s="1"/>
  <c r="E37" i="67"/>
  <c r="I105" i="67"/>
  <c r="I94" i="67"/>
  <c r="F254" i="67"/>
  <c r="F255" i="67" s="1"/>
  <c r="F417" i="67"/>
  <c r="F418" i="67" s="1"/>
  <c r="F91" i="67"/>
  <c r="F92" i="67" s="1"/>
  <c r="I471" i="67"/>
  <c r="I472" i="67" s="1"/>
  <c r="I145" i="67"/>
  <c r="I146" i="67" s="1"/>
  <c r="I308" i="67"/>
  <c r="I309" i="67" s="1"/>
  <c r="H485" i="67"/>
  <c r="H474" i="67"/>
  <c r="H487" i="67"/>
  <c r="H476" i="67"/>
  <c r="H486" i="67"/>
  <c r="H475" i="67"/>
  <c r="F458" i="67"/>
  <c r="F459" i="67"/>
  <c r="F460" i="67"/>
  <c r="G295" i="67"/>
  <c r="G297" i="67"/>
  <c r="G296" i="67"/>
  <c r="H404" i="67"/>
  <c r="H405" i="67"/>
  <c r="H406" i="67"/>
  <c r="E285" i="67"/>
  <c r="E295" i="67"/>
  <c r="E297" i="67"/>
  <c r="E286" i="67"/>
  <c r="E296" i="67"/>
  <c r="E287" i="67"/>
  <c r="G200" i="67"/>
  <c r="G201" i="67" s="1"/>
  <c r="G37" i="67"/>
  <c r="G38" i="67" s="1"/>
  <c r="G363" i="67"/>
  <c r="G364" i="67" s="1"/>
  <c r="H187" i="67"/>
  <c r="H188" i="67"/>
  <c r="H189" i="67"/>
  <c r="F241" i="67"/>
  <c r="F242" i="67"/>
  <c r="F243" i="67"/>
  <c r="E458" i="67"/>
  <c r="E448" i="67"/>
  <c r="E460" i="67"/>
  <c r="E459" i="67"/>
  <c r="E450" i="67"/>
  <c r="E449" i="67"/>
  <c r="I51" i="67"/>
  <c r="I40" i="67"/>
  <c r="E471" i="67"/>
  <c r="E472" i="67" s="1"/>
  <c r="E308" i="67"/>
  <c r="E309" i="67" s="1"/>
  <c r="E145" i="67"/>
  <c r="E146" i="67" s="1"/>
  <c r="I420" i="67"/>
  <c r="I431" i="67"/>
  <c r="I421" i="67"/>
  <c r="I422" i="67"/>
  <c r="I433" i="67"/>
  <c r="I432" i="67"/>
  <c r="I295" i="67"/>
  <c r="I296" i="67"/>
  <c r="I297" i="67"/>
  <c r="H148" i="67"/>
  <c r="H159" i="67"/>
  <c r="F308" i="67"/>
  <c r="F309" i="67" s="1"/>
  <c r="F145" i="67"/>
  <c r="F146" i="67" s="1"/>
  <c r="F471" i="67"/>
  <c r="F472" i="67" s="1"/>
  <c r="G471" i="67"/>
  <c r="G472" i="67" s="1"/>
  <c r="G145" i="67"/>
  <c r="G146" i="67" s="1"/>
  <c r="G308" i="67"/>
  <c r="G309" i="67" s="1"/>
  <c r="H91" i="67"/>
  <c r="H92" i="67" s="1"/>
  <c r="H417" i="67"/>
  <c r="H418" i="67" s="1"/>
  <c r="H254" i="67"/>
  <c r="H255" i="67" s="1"/>
  <c r="G350" i="67"/>
  <c r="G352" i="67"/>
  <c r="G351" i="67"/>
  <c r="E78" i="67"/>
  <c r="E68" i="67"/>
  <c r="I377" i="67"/>
  <c r="I366" i="67"/>
  <c r="I367" i="67"/>
  <c r="I379" i="67"/>
  <c r="I378" i="67"/>
  <c r="I368" i="67"/>
  <c r="F350" i="67"/>
  <c r="F351" i="67"/>
  <c r="F352" i="67"/>
  <c r="H350" i="67"/>
  <c r="H351" i="67"/>
  <c r="H352" i="67"/>
  <c r="G404" i="67"/>
  <c r="G406" i="67"/>
  <c r="G405" i="67"/>
  <c r="E24" i="67"/>
  <c r="G458" i="67"/>
  <c r="G459" i="67"/>
  <c r="G460" i="67"/>
  <c r="E241" i="67"/>
  <c r="E231" i="67"/>
  <c r="E243" i="67"/>
  <c r="E242" i="67"/>
  <c r="E232" i="67"/>
  <c r="E233" i="67"/>
  <c r="E177" i="67"/>
  <c r="E187" i="67"/>
  <c r="E188" i="67"/>
  <c r="E179" i="67"/>
  <c r="E178" i="67"/>
  <c r="E189" i="67"/>
  <c r="E417" i="67"/>
  <c r="E418" i="67" s="1"/>
  <c r="E91" i="67"/>
  <c r="E92" i="67" s="1"/>
  <c r="E254" i="67"/>
  <c r="E255" i="67" s="1"/>
  <c r="I257" i="67"/>
  <c r="I268" i="67"/>
  <c r="I259" i="67"/>
  <c r="I269" i="67"/>
  <c r="I270" i="67"/>
  <c r="I258" i="67"/>
  <c r="F404" i="67"/>
  <c r="F406" i="67"/>
  <c r="F405" i="67"/>
  <c r="I458" i="67"/>
  <c r="I460" i="67"/>
  <c r="I459" i="67"/>
  <c r="H311" i="67"/>
  <c r="H322" i="67"/>
  <c r="H323" i="67"/>
  <c r="H312" i="67"/>
  <c r="H313" i="67"/>
  <c r="H324" i="67"/>
  <c r="F295" i="67"/>
  <c r="F296" i="67"/>
  <c r="F297" i="67"/>
  <c r="H241" i="67"/>
  <c r="H242" i="67"/>
  <c r="H243" i="67"/>
  <c r="E132" i="67"/>
  <c r="E122" i="67"/>
  <c r="G187" i="67"/>
  <c r="G188" i="67"/>
  <c r="G189" i="67"/>
  <c r="E394" i="67"/>
  <c r="E404" i="67"/>
  <c r="E406" i="67"/>
  <c r="E396" i="67"/>
  <c r="E405" i="67"/>
  <c r="E395" i="67"/>
  <c r="I214" i="67"/>
  <c r="I203" i="67"/>
  <c r="I216" i="67"/>
  <c r="I215" i="67"/>
  <c r="I205" i="67"/>
  <c r="I204" i="67"/>
  <c r="F363" i="67"/>
  <c r="F364" i="67" s="1"/>
  <c r="F200" i="67"/>
  <c r="F201" i="67" s="1"/>
  <c r="F37" i="67"/>
  <c r="F38" i="67" s="1"/>
  <c r="H363" i="67"/>
  <c r="H364" i="67" s="1"/>
  <c r="H200" i="67"/>
  <c r="H201" i="67" s="1"/>
  <c r="H37" i="67"/>
  <c r="G254" i="67"/>
  <c r="G255" i="67" s="1"/>
  <c r="G91" i="67"/>
  <c r="G92" i="67" s="1"/>
  <c r="G417" i="67"/>
  <c r="G418" i="67" s="1"/>
  <c r="E350" i="67"/>
  <c r="E340" i="67"/>
  <c r="E341" i="67"/>
  <c r="E351" i="67"/>
  <c r="E342" i="67"/>
  <c r="E352" i="67"/>
  <c r="I54" i="67"/>
  <c r="I43" i="67"/>
  <c r="I32" i="69"/>
  <c r="I33" i="70"/>
  <c r="U33" i="70"/>
  <c r="E2253" i="67"/>
  <c r="U32" i="70"/>
  <c r="O33" i="69"/>
  <c r="I33" i="69"/>
  <c r="E2235" i="67"/>
  <c r="I34" i="69"/>
  <c r="I34" i="70"/>
  <c r="O34" i="69"/>
  <c r="U34" i="69"/>
  <c r="E2244" i="67"/>
  <c r="E1863" i="67"/>
  <c r="E1826" i="67"/>
  <c r="C240" i="65"/>
  <c r="C239" i="65"/>
  <c r="C225" i="65"/>
  <c r="C224" i="65"/>
  <c r="C271" i="65"/>
  <c r="C270" i="65"/>
  <c r="C256" i="65"/>
  <c r="C255" i="65"/>
  <c r="F262" i="65"/>
  <c r="E262" i="65"/>
  <c r="D262" i="65"/>
  <c r="C262" i="65"/>
  <c r="F231" i="65"/>
  <c r="E231" i="65"/>
  <c r="D231" i="65"/>
  <c r="C231" i="65"/>
  <c r="C151" i="65"/>
  <c r="C112" i="65"/>
  <c r="G195" i="32"/>
  <c r="I194" i="32"/>
  <c r="H193" i="32"/>
  <c r="I189" i="32"/>
  <c r="I188" i="32"/>
  <c r="H187" i="32"/>
  <c r="G183" i="32"/>
  <c r="H182" i="32"/>
  <c r="I181" i="32"/>
  <c r="G177" i="32"/>
  <c r="I176" i="32"/>
  <c r="I175" i="32"/>
  <c r="H170" i="32"/>
  <c r="I168" i="32"/>
  <c r="H164" i="32"/>
  <c r="H162" i="32"/>
  <c r="H51" i="32"/>
  <c r="G50" i="32"/>
  <c r="H45" i="32"/>
  <c r="G44" i="32"/>
  <c r="I39" i="32"/>
  <c r="H38" i="32"/>
  <c r="I33" i="32"/>
  <c r="H32" i="32"/>
  <c r="I26" i="32"/>
  <c r="I25" i="32"/>
  <c r="I20" i="32"/>
  <c r="I19" i="32"/>
  <c r="F200" i="65"/>
  <c r="E200" i="65"/>
  <c r="D200" i="65"/>
  <c r="C200" i="65"/>
  <c r="F665" i="65"/>
  <c r="E665" i="65"/>
  <c r="D665" i="65"/>
  <c r="C665" i="65"/>
  <c r="F650" i="65"/>
  <c r="E650" i="65"/>
  <c r="D650" i="65"/>
  <c r="C650" i="65"/>
  <c r="F634" i="65"/>
  <c r="E634" i="65"/>
  <c r="D634" i="65"/>
  <c r="C634" i="65"/>
  <c r="F619" i="65"/>
  <c r="E619" i="65"/>
  <c r="D619" i="65"/>
  <c r="C619" i="65"/>
  <c r="F603" i="65"/>
  <c r="E603" i="65"/>
  <c r="D603" i="65"/>
  <c r="C603" i="65"/>
  <c r="F588" i="65"/>
  <c r="E588" i="65"/>
  <c r="D588" i="65"/>
  <c r="C588" i="65"/>
  <c r="C150" i="65"/>
  <c r="C111" i="65"/>
  <c r="C65" i="65"/>
  <c r="D62" i="65" s="1"/>
  <c r="C36" i="65"/>
  <c r="D36" i="65" s="1"/>
  <c r="E36" i="65" s="1"/>
  <c r="F36" i="65" s="1"/>
  <c r="D450" i="65"/>
  <c r="E450" i="65" s="1"/>
  <c r="F450" i="65" s="1"/>
  <c r="C542" i="65"/>
  <c r="C541" i="65"/>
  <c r="D438" i="65"/>
  <c r="E438" i="65" s="1"/>
  <c r="F438" i="65" s="1"/>
  <c r="C503" i="65"/>
  <c r="C612" i="65"/>
  <c r="C463" i="65"/>
  <c r="C597" i="65"/>
  <c r="D426" i="65"/>
  <c r="E426" i="65" s="1"/>
  <c r="F426" i="65" s="1"/>
  <c r="D60" i="65"/>
  <c r="E60" i="65" s="1"/>
  <c r="F60" i="65" s="1"/>
  <c r="D48" i="65"/>
  <c r="E48" i="65" s="1"/>
  <c r="F48" i="65" s="1"/>
  <c r="C53" i="65"/>
  <c r="F119" i="65"/>
  <c r="E119" i="65"/>
  <c r="D119" i="65"/>
  <c r="C119" i="65"/>
  <c r="G1104" i="67" l="1"/>
  <c r="F3085" i="67"/>
  <c r="F1169" i="67" s="1"/>
  <c r="G1158" i="67"/>
  <c r="F1212" i="67"/>
  <c r="F3084" i="67"/>
  <c r="F1104" i="67" s="1"/>
  <c r="I298" i="67"/>
  <c r="E1169" i="67"/>
  <c r="G27" i="67"/>
  <c r="I1158" i="67"/>
  <c r="E135" i="67"/>
  <c r="F125" i="67"/>
  <c r="E1104" i="67"/>
  <c r="E1212" i="67"/>
  <c r="G1212" i="67"/>
  <c r="I3086" i="67"/>
  <c r="I1223" i="67" s="1"/>
  <c r="I3084" i="67"/>
  <c r="I1104" i="67" s="1"/>
  <c r="H3086" i="67"/>
  <c r="H1212" i="67" s="1"/>
  <c r="H3085" i="67"/>
  <c r="H1158" i="67" s="1"/>
  <c r="H1115" i="67"/>
  <c r="E2320" i="67"/>
  <c r="E2322" i="67" s="1"/>
  <c r="E2256" i="67"/>
  <c r="E2258" i="67" s="1"/>
  <c r="E2288" i="67"/>
  <c r="E2290" i="67" s="1"/>
  <c r="F2256" i="67"/>
  <c r="F2258" i="67" s="1"/>
  <c r="F2288" i="67"/>
  <c r="F2290" i="67" s="1"/>
  <c r="F2320" i="67"/>
  <c r="F2322" i="67" s="1"/>
  <c r="E2311" i="67"/>
  <c r="E2313" i="67" s="1"/>
  <c r="E2279" i="67"/>
  <c r="E2281" i="67" s="1"/>
  <c r="E2247" i="67"/>
  <c r="E2249" i="67" s="1"/>
  <c r="F71" i="67"/>
  <c r="G2279" i="67"/>
  <c r="G2281" i="67" s="1"/>
  <c r="G2311" i="67"/>
  <c r="G2313" i="67" s="1"/>
  <c r="G2247" i="67"/>
  <c r="G2249" i="67" s="1"/>
  <c r="F2279" i="67"/>
  <c r="F2281" i="67" s="1"/>
  <c r="F2247" i="67"/>
  <c r="F2249" i="67" s="1"/>
  <c r="F2311" i="67"/>
  <c r="F2313" i="67" s="1"/>
  <c r="H2279" i="67"/>
  <c r="H2281" i="67" s="1"/>
  <c r="H2247" i="67"/>
  <c r="H2249" i="67" s="1"/>
  <c r="H2311" i="67"/>
  <c r="H2313" i="67" s="1"/>
  <c r="G2256" i="67"/>
  <c r="G2258" i="67" s="1"/>
  <c r="G2320" i="67"/>
  <c r="G2322" i="67" s="1"/>
  <c r="G2288" i="67"/>
  <c r="G2290" i="67" s="1"/>
  <c r="H38" i="67"/>
  <c r="H54" i="67" s="1"/>
  <c r="E38" i="67"/>
  <c r="E54" i="67" s="1"/>
  <c r="I2320" i="67"/>
  <c r="I2322" i="67" s="1"/>
  <c r="I2288" i="67"/>
  <c r="I2290" i="67" s="1"/>
  <c r="I2256" i="67"/>
  <c r="I2258" i="67" s="1"/>
  <c r="E108" i="67"/>
  <c r="H151" i="67"/>
  <c r="I17" i="67"/>
  <c r="E288" i="67"/>
  <c r="E27" i="67"/>
  <c r="H27" i="67"/>
  <c r="H108" i="67"/>
  <c r="E125" i="67"/>
  <c r="F27" i="67"/>
  <c r="G180" i="67"/>
  <c r="G97" i="67"/>
  <c r="E151" i="67"/>
  <c r="H17" i="67"/>
  <c r="F54" i="67"/>
  <c r="I71" i="67"/>
  <c r="H244" i="67"/>
  <c r="F288" i="67"/>
  <c r="E190" i="67"/>
  <c r="I260" i="67"/>
  <c r="G71" i="67"/>
  <c r="I369" i="67"/>
  <c r="I27" i="67"/>
  <c r="I97" i="67"/>
  <c r="I135" i="67"/>
  <c r="E81" i="67"/>
  <c r="I461" i="67"/>
  <c r="F244" i="67"/>
  <c r="I108" i="67"/>
  <c r="I180" i="67"/>
  <c r="F162" i="67"/>
  <c r="I217" i="67"/>
  <c r="G135" i="67"/>
  <c r="H162" i="67"/>
  <c r="H71" i="67"/>
  <c r="H353" i="67"/>
  <c r="E71" i="67"/>
  <c r="F407" i="67"/>
  <c r="G151" i="67"/>
  <c r="G125" i="67"/>
  <c r="F353" i="67"/>
  <c r="G43" i="67"/>
  <c r="G81" i="67"/>
  <c r="H397" i="67"/>
  <c r="G298" i="67"/>
  <c r="E407" i="67"/>
  <c r="E451" i="67"/>
  <c r="F461" i="67"/>
  <c r="I151" i="67"/>
  <c r="G17" i="67"/>
  <c r="I125" i="67"/>
  <c r="I206" i="67"/>
  <c r="H81" i="67"/>
  <c r="I380" i="67"/>
  <c r="E244" i="67"/>
  <c r="H190" i="67"/>
  <c r="F180" i="67"/>
  <c r="E353" i="67"/>
  <c r="G461" i="67"/>
  <c r="G353" i="67"/>
  <c r="F135" i="67"/>
  <c r="H135" i="67"/>
  <c r="H488" i="67"/>
  <c r="I423" i="67"/>
  <c r="H314" i="67"/>
  <c r="I271" i="67"/>
  <c r="H325" i="67"/>
  <c r="I434" i="67"/>
  <c r="F17" i="67"/>
  <c r="H298" i="67"/>
  <c r="G397" i="67"/>
  <c r="H477" i="67"/>
  <c r="F81" i="67"/>
  <c r="I397" i="67"/>
  <c r="I407" i="67"/>
  <c r="H451" i="67"/>
  <c r="H461" i="67"/>
  <c r="F108" i="67"/>
  <c r="I353" i="67"/>
  <c r="I343" i="67"/>
  <c r="X34" i="49"/>
  <c r="Y34" i="50"/>
  <c r="X34" i="48"/>
  <c r="A203" i="77" s="1"/>
  <c r="Y34" i="51"/>
  <c r="Y34" i="52"/>
  <c r="G54" i="67"/>
  <c r="E162" i="67"/>
  <c r="E97" i="67"/>
  <c r="G162" i="67"/>
  <c r="X34" i="34"/>
  <c r="X34" i="55"/>
  <c r="X34" i="56"/>
  <c r="A233" i="77" s="1"/>
  <c r="X34" i="57"/>
  <c r="F97" i="67"/>
  <c r="F151" i="67"/>
  <c r="H369" i="67"/>
  <c r="H380" i="67"/>
  <c r="H366" i="67"/>
  <c r="H377" i="67"/>
  <c r="H368" i="67"/>
  <c r="H367" i="67"/>
  <c r="H378" i="67"/>
  <c r="H379" i="67"/>
  <c r="H423" i="67"/>
  <c r="H434" i="67"/>
  <c r="H431" i="67"/>
  <c r="H420" i="67"/>
  <c r="H433" i="67"/>
  <c r="H422" i="67"/>
  <c r="H432" i="67"/>
  <c r="H421" i="67"/>
  <c r="G217" i="67"/>
  <c r="G206" i="67"/>
  <c r="G214" i="67"/>
  <c r="G203" i="67"/>
  <c r="G215" i="67"/>
  <c r="G216" i="67"/>
  <c r="G204" i="67"/>
  <c r="G205" i="67"/>
  <c r="I325" i="67"/>
  <c r="I314" i="67"/>
  <c r="I322" i="67"/>
  <c r="I311" i="67"/>
  <c r="I312" i="67"/>
  <c r="I313" i="67"/>
  <c r="I323" i="67"/>
  <c r="I324" i="67"/>
  <c r="E206" i="67"/>
  <c r="E217" i="67"/>
  <c r="E214" i="67"/>
  <c r="E203" i="67"/>
  <c r="E205" i="67"/>
  <c r="E215" i="67"/>
  <c r="E204" i="67"/>
  <c r="E216" i="67"/>
  <c r="G108" i="67"/>
  <c r="F40" i="67"/>
  <c r="F51" i="67"/>
  <c r="F477" i="67"/>
  <c r="F488" i="67"/>
  <c r="F474" i="67"/>
  <c r="F485" i="67"/>
  <c r="F486" i="67"/>
  <c r="F475" i="67"/>
  <c r="F476" i="67"/>
  <c r="F487" i="67"/>
  <c r="I159" i="67"/>
  <c r="I148" i="67"/>
  <c r="F217" i="67"/>
  <c r="F206" i="67"/>
  <c r="F214" i="67"/>
  <c r="F203" i="67"/>
  <c r="F205" i="67"/>
  <c r="F204" i="67"/>
  <c r="F216" i="67"/>
  <c r="F215" i="67"/>
  <c r="E271" i="67"/>
  <c r="E260" i="67"/>
  <c r="E268" i="67"/>
  <c r="E257" i="67"/>
  <c r="E270" i="67"/>
  <c r="E259" i="67"/>
  <c r="E269" i="67"/>
  <c r="E258" i="67"/>
  <c r="G314" i="67"/>
  <c r="G325" i="67"/>
  <c r="G322" i="67"/>
  <c r="G311" i="67"/>
  <c r="G312" i="67"/>
  <c r="G323" i="67"/>
  <c r="G324" i="67"/>
  <c r="G313" i="67"/>
  <c r="F148" i="67"/>
  <c r="F159" i="67"/>
  <c r="E325" i="67"/>
  <c r="E314" i="67"/>
  <c r="E311" i="67"/>
  <c r="E322" i="67"/>
  <c r="E312" i="67"/>
  <c r="E324" i="67"/>
  <c r="E323" i="67"/>
  <c r="E313" i="67"/>
  <c r="G369" i="67"/>
  <c r="G380" i="67"/>
  <c r="G377" i="67"/>
  <c r="G366" i="67"/>
  <c r="G368" i="67"/>
  <c r="G378" i="67"/>
  <c r="G379" i="67"/>
  <c r="G367" i="67"/>
  <c r="I477" i="67"/>
  <c r="I488" i="67"/>
  <c r="I474" i="67"/>
  <c r="I485" i="67"/>
  <c r="I486" i="67"/>
  <c r="I487" i="67"/>
  <c r="I475" i="67"/>
  <c r="I476" i="67"/>
  <c r="G94" i="67"/>
  <c r="G105" i="67"/>
  <c r="E423" i="67"/>
  <c r="E434" i="67"/>
  <c r="E431" i="67"/>
  <c r="E420" i="67"/>
  <c r="E421" i="67"/>
  <c r="E422" i="67"/>
  <c r="E433" i="67"/>
  <c r="E432" i="67"/>
  <c r="G477" i="67"/>
  <c r="G488" i="67"/>
  <c r="G485" i="67"/>
  <c r="G474" i="67"/>
  <c r="G475" i="67"/>
  <c r="G476" i="67"/>
  <c r="G487" i="67"/>
  <c r="G486" i="67"/>
  <c r="F434" i="67"/>
  <c r="F423" i="67"/>
  <c r="F420" i="67"/>
  <c r="F431" i="67"/>
  <c r="F432" i="67"/>
  <c r="F422" i="67"/>
  <c r="F421" i="67"/>
  <c r="F433" i="67"/>
  <c r="G271" i="67"/>
  <c r="G260" i="67"/>
  <c r="G268" i="67"/>
  <c r="G257" i="67"/>
  <c r="G270" i="67"/>
  <c r="G259" i="67"/>
  <c r="G269" i="67"/>
  <c r="G258" i="67"/>
  <c r="H105" i="67"/>
  <c r="H94" i="67"/>
  <c r="E159" i="67"/>
  <c r="E148" i="67"/>
  <c r="F260" i="67"/>
  <c r="F271" i="67"/>
  <c r="F257" i="67"/>
  <c r="F268" i="67"/>
  <c r="F270" i="67"/>
  <c r="F259" i="67"/>
  <c r="F258" i="67"/>
  <c r="F269" i="67"/>
  <c r="F43" i="67"/>
  <c r="H97" i="67"/>
  <c r="I162" i="67"/>
  <c r="G434" i="67"/>
  <c r="G423" i="67"/>
  <c r="G431" i="67"/>
  <c r="G420" i="67"/>
  <c r="G432" i="67"/>
  <c r="G422" i="67"/>
  <c r="G421" i="67"/>
  <c r="G433" i="67"/>
  <c r="H206" i="67"/>
  <c r="H217" i="67"/>
  <c r="H214" i="67"/>
  <c r="H203" i="67"/>
  <c r="H205" i="67"/>
  <c r="H204" i="67"/>
  <c r="H215" i="67"/>
  <c r="H216" i="67"/>
  <c r="F369" i="67"/>
  <c r="F380" i="67"/>
  <c r="F366" i="67"/>
  <c r="F377" i="67"/>
  <c r="F379" i="67"/>
  <c r="F368" i="67"/>
  <c r="F378" i="67"/>
  <c r="F367" i="67"/>
  <c r="E105" i="67"/>
  <c r="E94" i="67"/>
  <c r="H260" i="67"/>
  <c r="H271" i="67"/>
  <c r="H268" i="67"/>
  <c r="H257" i="67"/>
  <c r="H258" i="67"/>
  <c r="H259" i="67"/>
  <c r="H270" i="67"/>
  <c r="H269" i="67"/>
  <c r="G159" i="67"/>
  <c r="G148" i="67"/>
  <c r="F314" i="67"/>
  <c r="F325" i="67"/>
  <c r="F311" i="67"/>
  <c r="F322" i="67"/>
  <c r="F323" i="67"/>
  <c r="F313" i="67"/>
  <c r="F312" i="67"/>
  <c r="F324" i="67"/>
  <c r="E488" i="67"/>
  <c r="E477" i="67"/>
  <c r="E485" i="67"/>
  <c r="E474" i="67"/>
  <c r="E487" i="67"/>
  <c r="E486" i="67"/>
  <c r="E475" i="67"/>
  <c r="E476" i="67"/>
  <c r="G40" i="67"/>
  <c r="G51" i="67"/>
  <c r="F94" i="67"/>
  <c r="F105" i="67"/>
  <c r="E369" i="67"/>
  <c r="E380" i="67"/>
  <c r="E377" i="67"/>
  <c r="E366" i="67"/>
  <c r="E367" i="67"/>
  <c r="E378" i="67"/>
  <c r="E379" i="67"/>
  <c r="E368" i="67"/>
  <c r="J116" i="45"/>
  <c r="E1878" i="67"/>
  <c r="E1846" i="67"/>
  <c r="J60" i="45"/>
  <c r="C129" i="65"/>
  <c r="C133" i="65"/>
  <c r="D166" i="65"/>
  <c r="C304" i="65"/>
  <c r="C314" i="65"/>
  <c r="C309" i="65"/>
  <c r="D52" i="65"/>
  <c r="C313" i="65"/>
  <c r="C308" i="65"/>
  <c r="C303" i="65"/>
  <c r="C627" i="65"/>
  <c r="C582" i="65"/>
  <c r="C596" i="65"/>
  <c r="C598" i="65" s="1"/>
  <c r="C659" i="65"/>
  <c r="C628" i="65"/>
  <c r="C643" i="65"/>
  <c r="C241" i="65"/>
  <c r="C644" i="65"/>
  <c r="C581" i="65"/>
  <c r="C613" i="65"/>
  <c r="C614" i="65" s="1"/>
  <c r="C658" i="65"/>
  <c r="C226" i="65"/>
  <c r="C272" i="65"/>
  <c r="C257" i="65"/>
  <c r="H26" i="32"/>
  <c r="F162" i="32"/>
  <c r="E162" i="32"/>
  <c r="AC12" i="75" s="1"/>
  <c r="F20" i="32"/>
  <c r="H19" i="32"/>
  <c r="I183" i="32"/>
  <c r="E195" i="32"/>
  <c r="F181" i="32"/>
  <c r="F195" i="32"/>
  <c r="G39" i="32"/>
  <c r="I162" i="32"/>
  <c r="F176" i="32"/>
  <c r="G181" i="32"/>
  <c r="H195" i="32"/>
  <c r="G26" i="32"/>
  <c r="H39" i="32"/>
  <c r="G175" i="32"/>
  <c r="H181" i="32"/>
  <c r="I195" i="32"/>
  <c r="H33" i="32"/>
  <c r="F39" i="32"/>
  <c r="F33" i="32"/>
  <c r="G33" i="32"/>
  <c r="F189" i="32"/>
  <c r="I44" i="32"/>
  <c r="H176" i="32"/>
  <c r="E177" i="32"/>
  <c r="AB24" i="75" s="1"/>
  <c r="F182" i="32"/>
  <c r="E183" i="32"/>
  <c r="G189" i="32"/>
  <c r="G176" i="32"/>
  <c r="E182" i="32"/>
  <c r="F26" i="32"/>
  <c r="F175" i="32"/>
  <c r="E176" i="32"/>
  <c r="AB23" i="75" s="1"/>
  <c r="F177" i="32"/>
  <c r="I182" i="32"/>
  <c r="F183" i="32"/>
  <c r="H189" i="32"/>
  <c r="E50" i="32"/>
  <c r="F44" i="32"/>
  <c r="I50" i="32"/>
  <c r="E44" i="32"/>
  <c r="F50" i="32"/>
  <c r="F168" i="32"/>
  <c r="G20" i="32"/>
  <c r="F19" i="32"/>
  <c r="H20" i="32"/>
  <c r="G25" i="32"/>
  <c r="E26" i="32"/>
  <c r="G162" i="32"/>
  <c r="H168" i="32"/>
  <c r="H175" i="32"/>
  <c r="I177" i="32"/>
  <c r="G182" i="32"/>
  <c r="F187" i="32"/>
  <c r="G188" i="32"/>
  <c r="E189" i="32"/>
  <c r="AC24" i="75" s="1"/>
  <c r="F193" i="32"/>
  <c r="G194" i="32"/>
  <c r="F25" i="32"/>
  <c r="G168" i="32"/>
  <c r="F188" i="32"/>
  <c r="F194" i="32"/>
  <c r="G19" i="32"/>
  <c r="E20" i="32"/>
  <c r="H25" i="32"/>
  <c r="E168" i="32"/>
  <c r="AG12" i="75" s="1"/>
  <c r="H188" i="32"/>
  <c r="H194" i="32"/>
  <c r="F45" i="32"/>
  <c r="F51" i="32"/>
  <c r="E32" i="32"/>
  <c r="I32" i="32"/>
  <c r="E38" i="32"/>
  <c r="I38" i="32"/>
  <c r="H44" i="32"/>
  <c r="E45" i="32"/>
  <c r="I45" i="32"/>
  <c r="H50" i="32"/>
  <c r="E51" i="32"/>
  <c r="I51" i="32"/>
  <c r="E164" i="32"/>
  <c r="I164" i="32"/>
  <c r="E170" i="32"/>
  <c r="I170" i="32"/>
  <c r="H177" i="32"/>
  <c r="H183" i="32"/>
  <c r="E187" i="32"/>
  <c r="AC22" i="75" s="1"/>
  <c r="I187" i="32"/>
  <c r="E193" i="32"/>
  <c r="I193" i="32"/>
  <c r="F32" i="32"/>
  <c r="F38" i="32"/>
  <c r="F164" i="32"/>
  <c r="F170" i="32"/>
  <c r="G32" i="32"/>
  <c r="G38" i="32"/>
  <c r="G45" i="32"/>
  <c r="G51" i="32"/>
  <c r="G164" i="32"/>
  <c r="G170" i="32"/>
  <c r="G187" i="32"/>
  <c r="G193" i="32"/>
  <c r="E19" i="32"/>
  <c r="E25" i="32"/>
  <c r="E33" i="32"/>
  <c r="E39" i="32"/>
  <c r="E175" i="32"/>
  <c r="AB22" i="75" s="1"/>
  <c r="E181" i="32"/>
  <c r="E188" i="32"/>
  <c r="AC23" i="75" s="1"/>
  <c r="E194" i="32"/>
  <c r="C443" i="65"/>
  <c r="C152" i="65"/>
  <c r="C40" i="65"/>
  <c r="C113" i="65"/>
  <c r="C464" i="65"/>
  <c r="C502" i="65"/>
  <c r="C455" i="65"/>
  <c r="C38" i="65"/>
  <c r="C543" i="65"/>
  <c r="D64" i="65"/>
  <c r="D50" i="65"/>
  <c r="C431" i="65"/>
  <c r="F1158" i="67" l="1"/>
  <c r="F1115" i="67"/>
  <c r="H1169" i="67"/>
  <c r="I1115" i="67"/>
  <c r="I1212" i="67"/>
  <c r="H1223" i="67"/>
  <c r="E40" i="67"/>
  <c r="E43" i="67"/>
  <c r="E51" i="67"/>
  <c r="H43" i="67"/>
  <c r="H40" i="67"/>
  <c r="H51" i="67"/>
  <c r="F117" i="45"/>
  <c r="F61" i="45"/>
  <c r="E306" i="31"/>
  <c r="K60" i="45"/>
  <c r="K116" i="45"/>
  <c r="E305" i="31"/>
  <c r="Y34" i="61" s="1"/>
  <c r="A231" i="77" s="1"/>
  <c r="Y11" i="52"/>
  <c r="AG14" i="75"/>
  <c r="Y10" i="52"/>
  <c r="A520" i="77" s="1"/>
  <c r="AC14" i="75"/>
  <c r="AB24" i="66"/>
  <c r="AB23" i="66"/>
  <c r="AC23" i="66"/>
  <c r="AC24" i="66"/>
  <c r="C341" i="65"/>
  <c r="C344" i="65" s="1"/>
  <c r="C336" i="65"/>
  <c r="C339" i="65" s="1"/>
  <c r="C346" i="65"/>
  <c r="C349" i="65" s="1"/>
  <c r="Y10" i="50"/>
  <c r="A518" i="77" s="1"/>
  <c r="Y11" i="50"/>
  <c r="D348" i="65"/>
  <c r="D343" i="65"/>
  <c r="D338" i="65"/>
  <c r="D133" i="65"/>
  <c r="D342" i="65"/>
  <c r="D347" i="65"/>
  <c r="D337" i="65"/>
  <c r="C707" i="65"/>
  <c r="C712" i="65"/>
  <c r="C717" i="65"/>
  <c r="C719" i="65"/>
  <c r="C709" i="65"/>
  <c r="C714" i="65"/>
  <c r="C713" i="65"/>
  <c r="C718" i="65"/>
  <c r="C708" i="65"/>
  <c r="D240" i="65"/>
  <c r="D112" i="65"/>
  <c r="L62" i="32" s="1"/>
  <c r="H62" i="32" s="1"/>
  <c r="D150" i="65"/>
  <c r="D255" i="65"/>
  <c r="D167" i="65"/>
  <c r="D270" i="65"/>
  <c r="D225" i="65"/>
  <c r="D131" i="65"/>
  <c r="D132" i="65"/>
  <c r="AC14" i="66"/>
  <c r="Y10" i="63"/>
  <c r="A523" i="77" s="1"/>
  <c r="AC13" i="66"/>
  <c r="Y10" i="62"/>
  <c r="A522" i="77" s="1"/>
  <c r="AG13" i="66"/>
  <c r="Y11" i="62"/>
  <c r="AG14" i="66"/>
  <c r="Y11" i="63"/>
  <c r="D127" i="65"/>
  <c r="D128" i="65"/>
  <c r="D129" i="65"/>
  <c r="D171" i="65"/>
  <c r="D170" i="65"/>
  <c r="C504" i="65"/>
  <c r="C629" i="65"/>
  <c r="C638" i="65" s="1"/>
  <c r="C281" i="65"/>
  <c r="C398" i="65" s="1"/>
  <c r="C282" i="65"/>
  <c r="C280" i="65"/>
  <c r="C392" i="65" s="1"/>
  <c r="C250" i="65"/>
  <c r="C403" i="65" s="1"/>
  <c r="C249" i="65"/>
  <c r="C397" i="65" s="1"/>
  <c r="C248" i="65"/>
  <c r="C391" i="65" s="1"/>
  <c r="C583" i="65"/>
  <c r="C592" i="65" s="1"/>
  <c r="C236" i="65"/>
  <c r="C384" i="65" s="1"/>
  <c r="C235" i="65"/>
  <c r="C378" i="65" s="1"/>
  <c r="C660" i="65"/>
  <c r="C645" i="65"/>
  <c r="C234" i="65"/>
  <c r="C372" i="65" s="1"/>
  <c r="C416" i="65"/>
  <c r="C608" i="65"/>
  <c r="C267" i="65"/>
  <c r="C266" i="65"/>
  <c r="C379" i="65" s="1"/>
  <c r="C418" i="65"/>
  <c r="C265" i="65"/>
  <c r="C373" i="65" s="1"/>
  <c r="C624" i="65"/>
  <c r="D239" i="65"/>
  <c r="D224" i="65"/>
  <c r="D271" i="65"/>
  <c r="D256" i="65"/>
  <c r="D151" i="65"/>
  <c r="L63" i="32" s="1"/>
  <c r="C607" i="65"/>
  <c r="C622" i="65"/>
  <c r="C623" i="65"/>
  <c r="C606" i="65"/>
  <c r="C41" i="65"/>
  <c r="D65" i="65"/>
  <c r="D111" i="65"/>
  <c r="D53" i="65"/>
  <c r="C465" i="65"/>
  <c r="D452" i="65"/>
  <c r="D454" i="65"/>
  <c r="D430" i="65"/>
  <c r="D428" i="65"/>
  <c r="D440" i="65"/>
  <c r="D442" i="65"/>
  <c r="Y34" i="48" l="1"/>
  <c r="A205" i="77" s="1"/>
  <c r="Y34" i="49"/>
  <c r="D241" i="65"/>
  <c r="D248" i="65" s="1"/>
  <c r="Y34" i="56"/>
  <c r="A235" i="77" s="1"/>
  <c r="Y34" i="55"/>
  <c r="Y34" i="63"/>
  <c r="Y34" i="57"/>
  <c r="Y34" i="62"/>
  <c r="Y34" i="34"/>
  <c r="A201" i="77"/>
  <c r="C422" i="65"/>
  <c r="D735" i="65"/>
  <c r="D730" i="65"/>
  <c r="D725" i="65"/>
  <c r="D724" i="65"/>
  <c r="D729" i="65"/>
  <c r="D734" i="65"/>
  <c r="D733" i="65"/>
  <c r="D723" i="65"/>
  <c r="D728" i="65"/>
  <c r="C653" i="65"/>
  <c r="C761" i="65" s="1"/>
  <c r="C421" i="65"/>
  <c r="C193" i="65" s="1"/>
  <c r="C736" i="65"/>
  <c r="C726" i="65"/>
  <c r="C731" i="65"/>
  <c r="C312" i="65"/>
  <c r="C307" i="65"/>
  <c r="C302" i="65"/>
  <c r="I62" i="32"/>
  <c r="F62" i="32"/>
  <c r="G62" i="32"/>
  <c r="E62" i="32"/>
  <c r="D314" i="65"/>
  <c r="L82" i="32" s="1"/>
  <c r="D309" i="65"/>
  <c r="L76" i="32" s="1"/>
  <c r="D304" i="65"/>
  <c r="L70" i="32" s="1"/>
  <c r="D226" i="65"/>
  <c r="D235" i="65" s="1"/>
  <c r="D303" i="65"/>
  <c r="L69" i="32" s="1"/>
  <c r="D313" i="65"/>
  <c r="L81" i="32" s="1"/>
  <c r="D308" i="65"/>
  <c r="L75" i="32" s="1"/>
  <c r="D483" i="65"/>
  <c r="D482" i="65"/>
  <c r="D518" i="65"/>
  <c r="D519" i="65"/>
  <c r="D557" i="65"/>
  <c r="D556" i="65"/>
  <c r="D478" i="65"/>
  <c r="D479" i="65"/>
  <c r="D523" i="65"/>
  <c r="D522" i="65"/>
  <c r="D561" i="65"/>
  <c r="D560" i="65"/>
  <c r="D113" i="65"/>
  <c r="L56" i="32" s="1"/>
  <c r="C766" i="65"/>
  <c r="C637" i="65"/>
  <c r="C779" i="65" s="1"/>
  <c r="C785" i="65"/>
  <c r="C760" i="65"/>
  <c r="C639" i="65"/>
  <c r="C593" i="65"/>
  <c r="C710" i="65"/>
  <c r="C591" i="65"/>
  <c r="C715" i="65"/>
  <c r="D249" i="65"/>
  <c r="C784" i="65"/>
  <c r="C778" i="65"/>
  <c r="C765" i="65"/>
  <c r="C670" i="65"/>
  <c r="C668" i="65"/>
  <c r="C780" i="65" s="1"/>
  <c r="C655" i="65"/>
  <c r="C669" i="65"/>
  <c r="C786" i="65" s="1"/>
  <c r="E64" i="65"/>
  <c r="C25" i="65"/>
  <c r="C654" i="65"/>
  <c r="C767" i="65" s="1"/>
  <c r="D272" i="65"/>
  <c r="D152" i="65"/>
  <c r="L57" i="32" s="1"/>
  <c r="D257" i="65"/>
  <c r="D503" i="65"/>
  <c r="D628" i="65"/>
  <c r="D613" i="65"/>
  <c r="D542" i="65"/>
  <c r="D659" i="65"/>
  <c r="D644" i="65"/>
  <c r="D658" i="65"/>
  <c r="D643" i="65"/>
  <c r="D581" i="65"/>
  <c r="D596" i="65"/>
  <c r="D582" i="65"/>
  <c r="D597" i="65"/>
  <c r="D627" i="65"/>
  <c r="D612" i="65"/>
  <c r="D464" i="65"/>
  <c r="L205" i="32" s="1"/>
  <c r="C42" i="65"/>
  <c r="C73" i="65" s="1"/>
  <c r="C27" i="65" s="1"/>
  <c r="C417" i="65"/>
  <c r="C419" i="65" s="1"/>
  <c r="D502" i="65"/>
  <c r="D443" i="65"/>
  <c r="D541" i="65"/>
  <c r="D455" i="65"/>
  <c r="D431" i="65"/>
  <c r="D40" i="65"/>
  <c r="D38" i="65"/>
  <c r="D463" i="65"/>
  <c r="E62" i="65"/>
  <c r="D250" i="65" l="1"/>
  <c r="AH13" i="66"/>
  <c r="D346" i="65"/>
  <c r="D349" i="65" s="1"/>
  <c r="D341" i="65"/>
  <c r="D344" i="65" s="1"/>
  <c r="D336" i="65"/>
  <c r="D339" i="65" s="1"/>
  <c r="E348" i="65"/>
  <c r="E343" i="65"/>
  <c r="E338" i="65"/>
  <c r="L207" i="32"/>
  <c r="L206" i="32"/>
  <c r="D92" i="65"/>
  <c r="D234" i="65"/>
  <c r="D372" i="65" s="1"/>
  <c r="L106" i="32" s="1"/>
  <c r="D236" i="65"/>
  <c r="D384" i="65" s="1"/>
  <c r="L118" i="32" s="1"/>
  <c r="D718" i="65"/>
  <c r="L225" i="32" s="1"/>
  <c r="D713" i="65"/>
  <c r="L219" i="32" s="1"/>
  <c r="D708" i="65"/>
  <c r="L213" i="32" s="1"/>
  <c r="D717" i="65"/>
  <c r="L224" i="32" s="1"/>
  <c r="D712" i="65"/>
  <c r="L218" i="32" s="1"/>
  <c r="D707" i="65"/>
  <c r="L212" i="32" s="1"/>
  <c r="D719" i="65"/>
  <c r="L226" i="32" s="1"/>
  <c r="D714" i="65"/>
  <c r="L220" i="32" s="1"/>
  <c r="D709" i="65"/>
  <c r="L214" i="32" s="1"/>
  <c r="C194" i="65"/>
  <c r="C195" i="65" s="1"/>
  <c r="D91" i="65"/>
  <c r="E167" i="65"/>
  <c r="E166" i="65"/>
  <c r="D87" i="65"/>
  <c r="D88" i="65"/>
  <c r="E151" i="65"/>
  <c r="E170" i="65"/>
  <c r="E171" i="65"/>
  <c r="I56" i="32"/>
  <c r="D543" i="65"/>
  <c r="L201" i="32" s="1"/>
  <c r="C762" i="65"/>
  <c r="C759" i="65"/>
  <c r="D281" i="65"/>
  <c r="D282" i="65"/>
  <c r="D280" i="65"/>
  <c r="D392" i="65" s="1"/>
  <c r="L126" i="32" s="1"/>
  <c r="D378" i="65"/>
  <c r="L112" i="32" s="1"/>
  <c r="D265" i="65"/>
  <c r="C787" i="65"/>
  <c r="E256" i="65"/>
  <c r="D397" i="65"/>
  <c r="L131" i="32" s="1"/>
  <c r="C781" i="65"/>
  <c r="D403" i="65"/>
  <c r="L137" i="32" s="1"/>
  <c r="C305" i="65"/>
  <c r="D391" i="65"/>
  <c r="L125" i="32" s="1"/>
  <c r="C310" i="65"/>
  <c r="C768" i="65"/>
  <c r="D266" i="65"/>
  <c r="E271" i="65"/>
  <c r="D267" i="65"/>
  <c r="C208" i="65"/>
  <c r="C209" i="65"/>
  <c r="F63" i="32"/>
  <c r="H63" i="32"/>
  <c r="G63" i="32"/>
  <c r="I63" i="32"/>
  <c r="E63" i="32"/>
  <c r="D418" i="65"/>
  <c r="L204" i="32" s="1"/>
  <c r="E150" i="65"/>
  <c r="E270" i="65"/>
  <c r="E255" i="65"/>
  <c r="D504" i="65"/>
  <c r="L200" i="32" s="1"/>
  <c r="D660" i="65"/>
  <c r="C72" i="65"/>
  <c r="C74" i="65" s="1"/>
  <c r="D39" i="65"/>
  <c r="D598" i="65"/>
  <c r="D645" i="65"/>
  <c r="D614" i="65"/>
  <c r="D629" i="65"/>
  <c r="D583" i="65"/>
  <c r="D465" i="65"/>
  <c r="L199" i="32" s="1"/>
  <c r="D416" i="65"/>
  <c r="E65" i="65"/>
  <c r="D37" i="65"/>
  <c r="E430" i="65"/>
  <c r="D41" i="65"/>
  <c r="E428" i="65"/>
  <c r="E454" i="65"/>
  <c r="E452" i="65"/>
  <c r="E442" i="65"/>
  <c r="E440" i="65"/>
  <c r="E52" i="65"/>
  <c r="E50" i="65"/>
  <c r="D81" i="43"/>
  <c r="D80" i="43"/>
  <c r="G5" i="65"/>
  <c r="I1299" i="67" l="1"/>
  <c r="E1299" i="67"/>
  <c r="G1299" i="67"/>
  <c r="F1299" i="67"/>
  <c r="H1299" i="67"/>
  <c r="I1245" i="67"/>
  <c r="E1245" i="67"/>
  <c r="G1245" i="67"/>
  <c r="F1245" i="67"/>
  <c r="H1245" i="67"/>
  <c r="I1353" i="67"/>
  <c r="E1353" i="67"/>
  <c r="G1353" i="67"/>
  <c r="F1353" i="67"/>
  <c r="H1353" i="67"/>
  <c r="O29" i="75"/>
  <c r="R20" i="75"/>
  <c r="O20" i="75"/>
  <c r="O19" i="75"/>
  <c r="AH14" i="66"/>
  <c r="U19" i="75"/>
  <c r="X20" i="75"/>
  <c r="U20" i="75"/>
  <c r="U29" i="75"/>
  <c r="E735" i="65"/>
  <c r="E725" i="65"/>
  <c r="E730" i="65"/>
  <c r="E724" i="65"/>
  <c r="E734" i="65"/>
  <c r="E729" i="65"/>
  <c r="E733" i="65"/>
  <c r="E723" i="65"/>
  <c r="E728" i="65"/>
  <c r="E75" i="67" s="1"/>
  <c r="E337" i="65"/>
  <c r="E347" i="65"/>
  <c r="E342" i="65"/>
  <c r="D421" i="65"/>
  <c r="D422" i="65"/>
  <c r="D731" i="65"/>
  <c r="D736" i="65"/>
  <c r="D726" i="65"/>
  <c r="D312" i="65"/>
  <c r="L80" i="32" s="1"/>
  <c r="D302" i="65"/>
  <c r="L68" i="32" s="1"/>
  <c r="D307" i="65"/>
  <c r="L74" i="32" s="1"/>
  <c r="E314" i="65"/>
  <c r="E309" i="65"/>
  <c r="E304" i="65"/>
  <c r="O29" i="70"/>
  <c r="R20" i="70"/>
  <c r="O20" i="70"/>
  <c r="O19" i="70"/>
  <c r="U19" i="70"/>
  <c r="U29" i="70"/>
  <c r="X20" i="70"/>
  <c r="U20" i="70"/>
  <c r="U20" i="69"/>
  <c r="U29" i="69"/>
  <c r="X20" i="69"/>
  <c r="U19" i="69"/>
  <c r="O29" i="69"/>
  <c r="O20" i="69"/>
  <c r="O19" i="69"/>
  <c r="R20" i="69"/>
  <c r="E523" i="65"/>
  <c r="E522" i="65"/>
  <c r="E557" i="65"/>
  <c r="E556" i="65"/>
  <c r="E482" i="65"/>
  <c r="E483" i="65"/>
  <c r="E133" i="65"/>
  <c r="E131" i="65"/>
  <c r="E132" i="65"/>
  <c r="E561" i="65"/>
  <c r="E560" i="65"/>
  <c r="A713" i="67"/>
  <c r="A265" i="31"/>
  <c r="A185" i="31"/>
  <c r="A41" i="31"/>
  <c r="U29" i="66"/>
  <c r="U20" i="66"/>
  <c r="A121" i="31"/>
  <c r="U19" i="66"/>
  <c r="B776" i="65"/>
  <c r="X20" i="66"/>
  <c r="A121" i="32"/>
  <c r="A265" i="32"/>
  <c r="A41" i="32"/>
  <c r="B207" i="65"/>
  <c r="B626" i="65"/>
  <c r="B595" i="65"/>
  <c r="B269" i="65"/>
  <c r="B56" i="65"/>
  <c r="A185" i="32"/>
  <c r="B422" i="65"/>
  <c r="B68" i="65"/>
  <c r="B44" i="65"/>
  <c r="B458" i="65"/>
  <c r="B434" i="65"/>
  <c r="B31" i="65"/>
  <c r="B238" i="65"/>
  <c r="B657" i="65"/>
  <c r="B446" i="65"/>
  <c r="E128" i="65"/>
  <c r="E129" i="65"/>
  <c r="E127" i="65"/>
  <c r="A619" i="67"/>
  <c r="O20" i="66"/>
  <c r="O19" i="66"/>
  <c r="A246" i="31"/>
  <c r="A173" i="31"/>
  <c r="B757" i="65"/>
  <c r="A102" i="31"/>
  <c r="A29" i="31"/>
  <c r="O29" i="66"/>
  <c r="A102" i="32"/>
  <c r="R20" i="66"/>
  <c r="A246" i="32"/>
  <c r="B30" i="65"/>
  <c r="B55" i="65"/>
  <c r="A29" i="32"/>
  <c r="B445" i="65"/>
  <c r="B67" i="65"/>
  <c r="B642" i="65"/>
  <c r="B457" i="65"/>
  <c r="A173" i="32"/>
  <c r="B611" i="65"/>
  <c r="B580" i="65"/>
  <c r="B421" i="65"/>
  <c r="B254" i="65"/>
  <c r="B223" i="65"/>
  <c r="B43" i="65"/>
  <c r="B433" i="65"/>
  <c r="B192" i="65"/>
  <c r="E519" i="65"/>
  <c r="E518" i="65"/>
  <c r="E479" i="65"/>
  <c r="E478" i="65"/>
  <c r="G56" i="32"/>
  <c r="F56" i="32"/>
  <c r="H56" i="32"/>
  <c r="E56" i="32"/>
  <c r="E152" i="65"/>
  <c r="F106" i="32"/>
  <c r="F1552" i="67" s="1"/>
  <c r="I112" i="32"/>
  <c r="I1562" i="67" s="1"/>
  <c r="D379" i="65"/>
  <c r="L113" i="32" s="1"/>
  <c r="D398" i="65"/>
  <c r="L132" i="32" s="1"/>
  <c r="D373" i="65"/>
  <c r="L107" i="32" s="1"/>
  <c r="E272" i="65"/>
  <c r="C204" i="65"/>
  <c r="G70" i="32"/>
  <c r="E70" i="32"/>
  <c r="F70" i="32"/>
  <c r="H70" i="32"/>
  <c r="I70" i="32"/>
  <c r="E257" i="65"/>
  <c r="E267" i="65" s="1"/>
  <c r="I76" i="32"/>
  <c r="G76" i="32"/>
  <c r="F76" i="32"/>
  <c r="E76" i="32"/>
  <c r="H76" i="32"/>
  <c r="F81" i="32"/>
  <c r="E81" i="32"/>
  <c r="H81" i="32"/>
  <c r="I81" i="32"/>
  <c r="G81" i="32"/>
  <c r="H75" i="32"/>
  <c r="E75" i="32"/>
  <c r="G75" i="32"/>
  <c r="I75" i="32"/>
  <c r="F75" i="32"/>
  <c r="I69" i="32"/>
  <c r="F69" i="32"/>
  <c r="H69" i="32"/>
  <c r="E69" i="32"/>
  <c r="G69" i="32"/>
  <c r="D670" i="65"/>
  <c r="D715" i="65"/>
  <c r="L217" i="32" s="1"/>
  <c r="C203" i="65"/>
  <c r="C205" i="65"/>
  <c r="C30" i="65"/>
  <c r="D710" i="65"/>
  <c r="L211" i="32" s="1"/>
  <c r="C210" i="65"/>
  <c r="H201" i="32"/>
  <c r="I201" i="32"/>
  <c r="G201" i="32"/>
  <c r="F201" i="32"/>
  <c r="E201" i="32"/>
  <c r="AD14" i="75" s="1"/>
  <c r="G206" i="32"/>
  <c r="F206" i="32"/>
  <c r="H206" i="32"/>
  <c r="E206" i="32"/>
  <c r="AH13" i="75" s="1"/>
  <c r="I206" i="32"/>
  <c r="F57" i="32"/>
  <c r="G57" i="32"/>
  <c r="H57" i="32"/>
  <c r="I57" i="32"/>
  <c r="E57" i="32"/>
  <c r="H205" i="32"/>
  <c r="F205" i="32"/>
  <c r="E205" i="32"/>
  <c r="AH12" i="75" s="1"/>
  <c r="I205" i="32"/>
  <c r="G205" i="32"/>
  <c r="H207" i="32"/>
  <c r="F207" i="32"/>
  <c r="G207" i="32"/>
  <c r="I207" i="32"/>
  <c r="E207" i="32"/>
  <c r="AH14" i="75" s="1"/>
  <c r="D417" i="65"/>
  <c r="L198" i="32" s="1"/>
  <c r="D669" i="65"/>
  <c r="E112" i="65"/>
  <c r="E240" i="65"/>
  <c r="E225" i="65"/>
  <c r="E239" i="65"/>
  <c r="E224" i="65"/>
  <c r="D668" i="65"/>
  <c r="E658" i="65"/>
  <c r="E643" i="65"/>
  <c r="E582" i="65"/>
  <c r="E597" i="65"/>
  <c r="D639" i="65"/>
  <c r="D637" i="65"/>
  <c r="D638" i="65"/>
  <c r="D624" i="65"/>
  <c r="D622" i="65"/>
  <c r="D623" i="65"/>
  <c r="E627" i="65"/>
  <c r="E612" i="65"/>
  <c r="D608" i="65"/>
  <c r="D607" i="65"/>
  <c r="D606" i="65"/>
  <c r="E542" i="65"/>
  <c r="E659" i="65"/>
  <c r="E644" i="65"/>
  <c r="D654" i="65"/>
  <c r="D655" i="65"/>
  <c r="D653" i="65"/>
  <c r="E581" i="65"/>
  <c r="E596" i="65"/>
  <c r="E503" i="65"/>
  <c r="E628" i="65"/>
  <c r="E613" i="65"/>
  <c r="D591" i="65"/>
  <c r="D593" i="65"/>
  <c r="D592" i="65"/>
  <c r="E464" i="65"/>
  <c r="E455" i="65"/>
  <c r="E53" i="65"/>
  <c r="E111" i="65"/>
  <c r="C26" i="65"/>
  <c r="D25" i="65"/>
  <c r="E502" i="65"/>
  <c r="E443" i="65"/>
  <c r="E40" i="65"/>
  <c r="E463" i="65"/>
  <c r="E431" i="65"/>
  <c r="D42" i="65"/>
  <c r="E541" i="65"/>
  <c r="E38" i="65"/>
  <c r="G1342" i="67" l="1"/>
  <c r="G1364" i="67" s="1"/>
  <c r="I1342" i="67"/>
  <c r="I1364" i="67" s="1"/>
  <c r="E1342" i="67"/>
  <c r="E1364" i="67" s="1"/>
  <c r="H1342" i="67"/>
  <c r="H1364" i="67" s="1"/>
  <c r="F1342" i="67"/>
  <c r="F1364" i="67" s="1"/>
  <c r="G1136" i="67"/>
  <c r="I1136" i="67"/>
  <c r="E1136" i="67"/>
  <c r="H1136" i="67"/>
  <c r="F1136" i="67"/>
  <c r="I184" i="67"/>
  <c r="E184" i="67"/>
  <c r="G184" i="67"/>
  <c r="F184" i="67"/>
  <c r="H184" i="67"/>
  <c r="I129" i="67"/>
  <c r="E129" i="67"/>
  <c r="G129" i="67"/>
  <c r="F129" i="67"/>
  <c r="H129" i="67"/>
  <c r="I401" i="67"/>
  <c r="E401" i="67"/>
  <c r="G401" i="67"/>
  <c r="F401" i="67"/>
  <c r="H401" i="67"/>
  <c r="G1234" i="67"/>
  <c r="G1256" i="67" s="1"/>
  <c r="I1234" i="67"/>
  <c r="I1256" i="67" s="1"/>
  <c r="E1234" i="67"/>
  <c r="E1256" i="67" s="1"/>
  <c r="H1234" i="67"/>
  <c r="H1256" i="67" s="1"/>
  <c r="F1234" i="67"/>
  <c r="F1256" i="67" s="1"/>
  <c r="H1082" i="67"/>
  <c r="F1082" i="67"/>
  <c r="I1082" i="67"/>
  <c r="E1082" i="67"/>
  <c r="G1082" i="67"/>
  <c r="I238" i="67"/>
  <c r="E238" i="67"/>
  <c r="G238" i="67"/>
  <c r="F238" i="67"/>
  <c r="H238" i="67"/>
  <c r="I347" i="67"/>
  <c r="E347" i="67"/>
  <c r="G347" i="67"/>
  <c r="F347" i="67"/>
  <c r="H347" i="67"/>
  <c r="G1190" i="67"/>
  <c r="I1190" i="67"/>
  <c r="E1190" i="67"/>
  <c r="H1190" i="67"/>
  <c r="F1190" i="67"/>
  <c r="G1288" i="67"/>
  <c r="G1310" i="67" s="1"/>
  <c r="I1288" i="67"/>
  <c r="I1310" i="67" s="1"/>
  <c r="E1288" i="67"/>
  <c r="E1310" i="67" s="1"/>
  <c r="H1288" i="67"/>
  <c r="H1310" i="67" s="1"/>
  <c r="F1288" i="67"/>
  <c r="F1310" i="67" s="1"/>
  <c r="F75" i="67"/>
  <c r="H75" i="67"/>
  <c r="G75" i="67"/>
  <c r="I75" i="67"/>
  <c r="I292" i="67"/>
  <c r="E292" i="67"/>
  <c r="G292" i="67"/>
  <c r="F292" i="67"/>
  <c r="H292" i="67"/>
  <c r="I455" i="67"/>
  <c r="E455" i="67"/>
  <c r="G455" i="67"/>
  <c r="F455" i="67"/>
  <c r="H455" i="67"/>
  <c r="AD14" i="66"/>
  <c r="AD13" i="66"/>
  <c r="E346" i="65"/>
  <c r="E341" i="65"/>
  <c r="E336" i="65"/>
  <c r="H21" i="67"/>
  <c r="G21" i="67"/>
  <c r="I21" i="67"/>
  <c r="F21" i="67"/>
  <c r="E21" i="67"/>
  <c r="F180" i="32"/>
  <c r="E174" i="32"/>
  <c r="AB21" i="75" s="1"/>
  <c r="G192" i="32"/>
  <c r="F186" i="32"/>
  <c r="E303" i="65"/>
  <c r="E313" i="65"/>
  <c r="E308" i="65"/>
  <c r="E717" i="65"/>
  <c r="E712" i="65"/>
  <c r="E707" i="65"/>
  <c r="E719" i="65"/>
  <c r="E714" i="65"/>
  <c r="E709" i="65"/>
  <c r="E718" i="65"/>
  <c r="E713" i="65"/>
  <c r="E708" i="65"/>
  <c r="F337" i="32"/>
  <c r="G337" i="32"/>
  <c r="H337" i="32"/>
  <c r="I337" i="32"/>
  <c r="E337" i="32"/>
  <c r="E92" i="65"/>
  <c r="E88" i="65"/>
  <c r="E87" i="65"/>
  <c r="E91" i="65"/>
  <c r="E112" i="32"/>
  <c r="E1562" i="67" s="1"/>
  <c r="F112" i="32"/>
  <c r="F1562" i="67" s="1"/>
  <c r="E113" i="32"/>
  <c r="E1592" i="67" s="1"/>
  <c r="G112" i="32"/>
  <c r="G1562" i="67" s="1"/>
  <c r="H112" i="32"/>
  <c r="H1562" i="67" s="1"/>
  <c r="G106" i="32"/>
  <c r="G1552" i="67" s="1"/>
  <c r="E106" i="32"/>
  <c r="E1552" i="67" s="1"/>
  <c r="I106" i="32"/>
  <c r="I1552" i="67" s="1"/>
  <c r="H106" i="32"/>
  <c r="H1552" i="67" s="1"/>
  <c r="E107" i="32"/>
  <c r="E1582" i="67" s="1"/>
  <c r="H132" i="32"/>
  <c r="H1741" i="67" s="1"/>
  <c r="D766" i="65"/>
  <c r="L256" i="32" s="1"/>
  <c r="D760" i="65"/>
  <c r="L250" i="32" s="1"/>
  <c r="D761" i="65"/>
  <c r="L251" i="32" s="1"/>
  <c r="D780" i="65"/>
  <c r="L270" i="32" s="1"/>
  <c r="D779" i="65"/>
  <c r="L269" i="32" s="1"/>
  <c r="D786" i="65"/>
  <c r="L276" i="32" s="1"/>
  <c r="D767" i="65"/>
  <c r="L257" i="32" s="1"/>
  <c r="D785" i="65"/>
  <c r="L275" i="32" s="1"/>
  <c r="E282" i="65"/>
  <c r="E281" i="65"/>
  <c r="E398" i="65" s="1"/>
  <c r="E280" i="65"/>
  <c r="E392" i="65" s="1"/>
  <c r="E266" i="65"/>
  <c r="E379" i="65" s="1"/>
  <c r="C219" i="65"/>
  <c r="C218" i="65"/>
  <c r="C217" i="65"/>
  <c r="D787" i="65"/>
  <c r="D784" i="65"/>
  <c r="L274" i="32" s="1"/>
  <c r="D310" i="65"/>
  <c r="L73" i="32" s="1"/>
  <c r="F212" i="32"/>
  <c r="G212" i="32"/>
  <c r="I212" i="32"/>
  <c r="H212" i="32"/>
  <c r="E212" i="32"/>
  <c r="I137" i="32"/>
  <c r="I1721" i="67" s="1"/>
  <c r="H137" i="32"/>
  <c r="H1721" i="67" s="1"/>
  <c r="E137" i="32"/>
  <c r="E1721" i="67" s="1"/>
  <c r="F137" i="32"/>
  <c r="F1721" i="67" s="1"/>
  <c r="G137" i="32"/>
  <c r="G1721" i="67" s="1"/>
  <c r="D768" i="65"/>
  <c r="D765" i="65"/>
  <c r="L255" i="32" s="1"/>
  <c r="E265" i="65"/>
  <c r="E373" i="65" s="1"/>
  <c r="C31" i="65"/>
  <c r="C374" i="65"/>
  <c r="C371" i="65"/>
  <c r="D305" i="65"/>
  <c r="L67" i="32" s="1"/>
  <c r="F214" i="32"/>
  <c r="G214" i="32"/>
  <c r="I214" i="32"/>
  <c r="H214" i="32"/>
  <c r="E214" i="32"/>
  <c r="G218" i="32"/>
  <c r="F218" i="32"/>
  <c r="I218" i="32"/>
  <c r="E218" i="32"/>
  <c r="H218" i="32"/>
  <c r="I125" i="32"/>
  <c r="I1701" i="67" s="1"/>
  <c r="E125" i="32"/>
  <c r="E1701" i="67" s="1"/>
  <c r="G125" i="32"/>
  <c r="G1701" i="67" s="1"/>
  <c r="H125" i="32"/>
  <c r="H1701" i="67" s="1"/>
  <c r="F125" i="32"/>
  <c r="F1701" i="67" s="1"/>
  <c r="H213" i="32"/>
  <c r="F213" i="32"/>
  <c r="G213" i="32"/>
  <c r="I213" i="32"/>
  <c r="E213" i="32"/>
  <c r="I126" i="32"/>
  <c r="I1731" i="67" s="1"/>
  <c r="F126" i="32"/>
  <c r="F1731" i="67" s="1"/>
  <c r="H126" i="32"/>
  <c r="H1731" i="67" s="1"/>
  <c r="G126" i="32"/>
  <c r="G1731" i="67" s="1"/>
  <c r="E126" i="32"/>
  <c r="E1731" i="67" s="1"/>
  <c r="H131" i="32"/>
  <c r="H1711" i="67" s="1"/>
  <c r="F131" i="32"/>
  <c r="F1711" i="67" s="1"/>
  <c r="I131" i="32"/>
  <c r="I1711" i="67" s="1"/>
  <c r="E131" i="32"/>
  <c r="E1711" i="67" s="1"/>
  <c r="G131" i="32"/>
  <c r="G1711" i="67" s="1"/>
  <c r="C380" i="65"/>
  <c r="C377" i="65"/>
  <c r="D762" i="65"/>
  <c r="D759" i="65"/>
  <c r="L249" i="32" s="1"/>
  <c r="D781" i="65"/>
  <c r="D778" i="65"/>
  <c r="L268" i="32" s="1"/>
  <c r="F118" i="32"/>
  <c r="F1572" i="67" s="1"/>
  <c r="E118" i="32"/>
  <c r="E1572" i="67" s="1"/>
  <c r="I118" i="32"/>
  <c r="I1572" i="67" s="1"/>
  <c r="H118" i="32"/>
  <c r="H1572" i="67" s="1"/>
  <c r="G118" i="32"/>
  <c r="G1572" i="67" s="1"/>
  <c r="G113" i="32"/>
  <c r="G1592" i="67" s="1"/>
  <c r="I113" i="32"/>
  <c r="I1592" i="67" s="1"/>
  <c r="H113" i="32"/>
  <c r="H1592" i="67" s="1"/>
  <c r="F220" i="32"/>
  <c r="G220" i="32"/>
  <c r="I220" i="32"/>
  <c r="E220" i="32"/>
  <c r="H220" i="32"/>
  <c r="I219" i="32"/>
  <c r="F219" i="32"/>
  <c r="G219" i="32"/>
  <c r="E219" i="32"/>
  <c r="H219" i="32"/>
  <c r="F454" i="65"/>
  <c r="F440" i="65"/>
  <c r="E113" i="65"/>
  <c r="F199" i="32"/>
  <c r="E199" i="32"/>
  <c r="AD12" i="75" s="1"/>
  <c r="I199" i="32"/>
  <c r="G199" i="32"/>
  <c r="H199" i="32"/>
  <c r="F200" i="32"/>
  <c r="G200" i="32"/>
  <c r="I200" i="32"/>
  <c r="E200" i="32"/>
  <c r="AD13" i="75" s="1"/>
  <c r="H200" i="32"/>
  <c r="D419" i="65"/>
  <c r="D73" i="65"/>
  <c r="L61" i="32" s="1"/>
  <c r="E204" i="32"/>
  <c r="AH11" i="75" s="1"/>
  <c r="H204" i="32"/>
  <c r="G204" i="32"/>
  <c r="F204" i="32"/>
  <c r="I204" i="32"/>
  <c r="E418" i="65"/>
  <c r="E226" i="65"/>
  <c r="E241" i="65"/>
  <c r="E543" i="65"/>
  <c r="E583" i="65"/>
  <c r="E591" i="65" s="1"/>
  <c r="E504" i="65"/>
  <c r="E37" i="65"/>
  <c r="E598" i="65"/>
  <c r="E614" i="65"/>
  <c r="E645" i="65"/>
  <c r="E629" i="65"/>
  <c r="E660" i="65"/>
  <c r="E465" i="65"/>
  <c r="E416" i="65"/>
  <c r="C28" i="65"/>
  <c r="D72" i="65"/>
  <c r="F452" i="65"/>
  <c r="E39" i="65"/>
  <c r="F442" i="65"/>
  <c r="F428" i="65"/>
  <c r="E41" i="65"/>
  <c r="F430" i="65"/>
  <c r="F64" i="65"/>
  <c r="F62" i="65"/>
  <c r="F52" i="65"/>
  <c r="F50" i="65"/>
  <c r="F548" i="65"/>
  <c r="E548" i="65"/>
  <c r="D548" i="65"/>
  <c r="F510" i="65"/>
  <c r="E510" i="65"/>
  <c r="C510" i="65"/>
  <c r="F470" i="65"/>
  <c r="E470" i="65"/>
  <c r="D470" i="65"/>
  <c r="C470" i="65"/>
  <c r="F588" i="67" l="1"/>
  <c r="F390" i="67"/>
  <c r="F412" i="67" s="1"/>
  <c r="H390" i="67"/>
  <c r="H412" i="67" s="1"/>
  <c r="G390" i="67"/>
  <c r="G412" i="67" s="1"/>
  <c r="E390" i="67"/>
  <c r="E412" i="67" s="1"/>
  <c r="I390" i="67"/>
  <c r="I412" i="67" s="1"/>
  <c r="F118" i="67"/>
  <c r="F140" i="67" s="1"/>
  <c r="H118" i="67"/>
  <c r="H140" i="67" s="1"/>
  <c r="G118" i="67"/>
  <c r="G140" i="67" s="1"/>
  <c r="I118" i="67"/>
  <c r="I140" i="67" s="1"/>
  <c r="E118" i="67"/>
  <c r="E140" i="67" s="1"/>
  <c r="F227" i="67"/>
  <c r="F249" i="67" s="1"/>
  <c r="F220" i="31" s="1"/>
  <c r="H227" i="67"/>
  <c r="H249" i="67" s="1"/>
  <c r="H220" i="31" s="1"/>
  <c r="G227" i="67"/>
  <c r="G249" i="67" s="1"/>
  <c r="G220" i="31" s="1"/>
  <c r="E227" i="67"/>
  <c r="E249" i="67" s="1"/>
  <c r="E220" i="31" s="1"/>
  <c r="I227" i="67"/>
  <c r="I249" i="67" s="1"/>
  <c r="F444" i="67"/>
  <c r="F466" i="67" s="1"/>
  <c r="H444" i="67"/>
  <c r="H466" i="67" s="1"/>
  <c r="G444" i="67"/>
  <c r="G466" i="67" s="1"/>
  <c r="I444" i="67"/>
  <c r="I466" i="67" s="1"/>
  <c r="E444" i="67"/>
  <c r="E466" i="67" s="1"/>
  <c r="I1125" i="67"/>
  <c r="I1147" i="67" s="1"/>
  <c r="E1125" i="67"/>
  <c r="E1147" i="67" s="1"/>
  <c r="G1125" i="67"/>
  <c r="G1147" i="67" s="1"/>
  <c r="F1125" i="67"/>
  <c r="F1147" i="67" s="1"/>
  <c r="H1125" i="67"/>
  <c r="H1147" i="67" s="1"/>
  <c r="F1027" i="67"/>
  <c r="H1027" i="67"/>
  <c r="G1027" i="67"/>
  <c r="I1027" i="67"/>
  <c r="E1027" i="67"/>
  <c r="G588" i="67"/>
  <c r="F571" i="67"/>
  <c r="F173" i="67"/>
  <c r="F195" i="67" s="1"/>
  <c r="H173" i="67"/>
  <c r="H195" i="67" s="1"/>
  <c r="G173" i="67"/>
  <c r="G195" i="67" s="1"/>
  <c r="I173" i="67"/>
  <c r="I195" i="67" s="1"/>
  <c r="I213" i="31" s="1"/>
  <c r="E173" i="67"/>
  <c r="E195" i="67" s="1"/>
  <c r="E214" i="31" s="1"/>
  <c r="F973" i="67"/>
  <c r="F1418" i="67" s="1"/>
  <c r="H973" i="67"/>
  <c r="H1418" i="67" s="1"/>
  <c r="G973" i="67"/>
  <c r="G1418" i="67" s="1"/>
  <c r="I973" i="67"/>
  <c r="E973" i="67"/>
  <c r="E1418" i="67" s="1"/>
  <c r="H571" i="67"/>
  <c r="I571" i="67"/>
  <c r="F281" i="67"/>
  <c r="F303" i="67" s="1"/>
  <c r="H281" i="67"/>
  <c r="H303" i="67" s="1"/>
  <c r="G281" i="67"/>
  <c r="G303" i="67" s="1"/>
  <c r="I281" i="67"/>
  <c r="I303" i="67" s="1"/>
  <c r="E281" i="67"/>
  <c r="E303" i="67" s="1"/>
  <c r="I1179" i="67"/>
  <c r="I1201" i="67" s="1"/>
  <c r="E1179" i="67"/>
  <c r="E1201" i="67" s="1"/>
  <c r="G1179" i="67"/>
  <c r="G1201" i="67" s="1"/>
  <c r="F1179" i="67"/>
  <c r="F1201" i="67" s="1"/>
  <c r="H1179" i="67"/>
  <c r="H1201" i="67" s="1"/>
  <c r="E588" i="67"/>
  <c r="G571" i="67"/>
  <c r="F336" i="67"/>
  <c r="F358" i="67" s="1"/>
  <c r="H336" i="67"/>
  <c r="H358" i="67" s="1"/>
  <c r="G336" i="67"/>
  <c r="G358" i="67" s="1"/>
  <c r="I336" i="67"/>
  <c r="I358" i="67" s="1"/>
  <c r="E336" i="67"/>
  <c r="E358" i="67" s="1"/>
  <c r="G64" i="67"/>
  <c r="G86" i="67" s="1"/>
  <c r="I64" i="67"/>
  <c r="I86" i="67" s="1"/>
  <c r="I218" i="31" s="1"/>
  <c r="E64" i="67"/>
  <c r="H64" i="67"/>
  <c r="H86" i="67" s="1"/>
  <c r="F64" i="67"/>
  <c r="F86" i="67" s="1"/>
  <c r="F218" i="31" s="1"/>
  <c r="F1071" i="67"/>
  <c r="F1093" i="67" s="1"/>
  <c r="H1071" i="67"/>
  <c r="H1093" i="67" s="1"/>
  <c r="G1071" i="67"/>
  <c r="G1093" i="67" s="1"/>
  <c r="E1071" i="67"/>
  <c r="E1093" i="67" s="1"/>
  <c r="I1071" i="67"/>
  <c r="I1093" i="67" s="1"/>
  <c r="G919" i="67"/>
  <c r="I919" i="67"/>
  <c r="E919" i="67"/>
  <c r="H919" i="67"/>
  <c r="F919" i="67"/>
  <c r="H588" i="67"/>
  <c r="I588" i="67"/>
  <c r="E571" i="67"/>
  <c r="I554" i="67"/>
  <c r="E554" i="67"/>
  <c r="H554" i="67"/>
  <c r="G554" i="67"/>
  <c r="F554" i="67"/>
  <c r="E349" i="65"/>
  <c r="AA23" i="66"/>
  <c r="AE23" i="66" s="1"/>
  <c r="F735" i="65"/>
  <c r="F725" i="65"/>
  <c r="F730" i="65"/>
  <c r="F734" i="65"/>
  <c r="F729" i="65"/>
  <c r="F724" i="65"/>
  <c r="F733" i="65"/>
  <c r="F728" i="65"/>
  <c r="F723" i="65"/>
  <c r="E339" i="65"/>
  <c r="E344" i="65"/>
  <c r="F343" i="65"/>
  <c r="F348" i="65"/>
  <c r="F338" i="65"/>
  <c r="F347" i="65"/>
  <c r="F342" i="65"/>
  <c r="F337" i="65"/>
  <c r="E421" i="65"/>
  <c r="E422" i="65"/>
  <c r="D524" i="65"/>
  <c r="D520" i="65"/>
  <c r="E520" i="65"/>
  <c r="E524" i="65"/>
  <c r="C520" i="65"/>
  <c r="C524" i="65"/>
  <c r="E736" i="65"/>
  <c r="E731" i="65"/>
  <c r="E726" i="65"/>
  <c r="G10" i="67"/>
  <c r="F10" i="67"/>
  <c r="I10" i="67"/>
  <c r="E10" i="67"/>
  <c r="H10" i="67"/>
  <c r="L254" i="32"/>
  <c r="G31" i="32"/>
  <c r="G37" i="32"/>
  <c r="G43" i="32"/>
  <c r="F49" i="32"/>
  <c r="L248" i="32"/>
  <c r="L267" i="32"/>
  <c r="L273" i="32"/>
  <c r="E312" i="65"/>
  <c r="E307" i="65"/>
  <c r="E302" i="65"/>
  <c r="E484" i="65"/>
  <c r="E480" i="65"/>
  <c r="D480" i="65"/>
  <c r="D484" i="65"/>
  <c r="C480" i="65"/>
  <c r="C484" i="65"/>
  <c r="H167" i="32"/>
  <c r="F161" i="32"/>
  <c r="D558" i="65"/>
  <c r="D562" i="65"/>
  <c r="E562" i="65"/>
  <c r="E558" i="65"/>
  <c r="F1470" i="67"/>
  <c r="H1470" i="67"/>
  <c r="G1470" i="67"/>
  <c r="I1470" i="67"/>
  <c r="F484" i="65"/>
  <c r="F483" i="65"/>
  <c r="F482" i="65"/>
  <c r="H502" i="67"/>
  <c r="E502" i="67"/>
  <c r="I502" i="67"/>
  <c r="F519" i="67"/>
  <c r="F659" i="65"/>
  <c r="F561" i="65"/>
  <c r="F560" i="65"/>
  <c r="F562" i="65"/>
  <c r="F558" i="65"/>
  <c r="F557" i="65"/>
  <c r="F556" i="65"/>
  <c r="F480" i="65"/>
  <c r="F479" i="65"/>
  <c r="F478" i="65"/>
  <c r="F612" i="65"/>
  <c r="F520" i="65"/>
  <c r="F519" i="65"/>
  <c r="F518" i="65"/>
  <c r="F502" i="67"/>
  <c r="E519" i="67"/>
  <c r="G519" i="67"/>
  <c r="F129" i="65"/>
  <c r="F128" i="65"/>
  <c r="F127" i="65"/>
  <c r="F133" i="65"/>
  <c r="F132" i="65"/>
  <c r="F131" i="65"/>
  <c r="F167" i="65"/>
  <c r="F166" i="65"/>
  <c r="F171" i="65"/>
  <c r="F170" i="65"/>
  <c r="F524" i="65"/>
  <c r="F523" i="65"/>
  <c r="F522" i="65"/>
  <c r="G502" i="67"/>
  <c r="E1470" i="67"/>
  <c r="I519" i="67"/>
  <c r="H519" i="67"/>
  <c r="F113" i="32"/>
  <c r="F1592" i="67" s="1"/>
  <c r="G132" i="32"/>
  <c r="G1741" i="67" s="1"/>
  <c r="E132" i="32"/>
  <c r="E1741" i="67" s="1"/>
  <c r="I132" i="32"/>
  <c r="I1741" i="67" s="1"/>
  <c r="F132" i="32"/>
  <c r="F1741" i="67" s="1"/>
  <c r="F107" i="32"/>
  <c r="F1582" i="67" s="1"/>
  <c r="H107" i="32"/>
  <c r="H1582" i="67" s="1"/>
  <c r="H275" i="32"/>
  <c r="H757" i="67" s="1"/>
  <c r="G107" i="32"/>
  <c r="G1582" i="67" s="1"/>
  <c r="I107" i="32"/>
  <c r="I1582" i="67" s="1"/>
  <c r="G269" i="32"/>
  <c r="G747" i="67" s="1"/>
  <c r="I270" i="32"/>
  <c r="I777" i="67" s="1"/>
  <c r="F276" i="32"/>
  <c r="F787" i="67" s="1"/>
  <c r="F256" i="32"/>
  <c r="F663" i="67" s="1"/>
  <c r="H249" i="31"/>
  <c r="F249" i="31"/>
  <c r="G249" i="31"/>
  <c r="I249" i="31"/>
  <c r="E249" i="31"/>
  <c r="G275" i="31"/>
  <c r="F275" i="31"/>
  <c r="I275" i="31"/>
  <c r="E275" i="31"/>
  <c r="H275" i="31"/>
  <c r="H268" i="31"/>
  <c r="F268" i="31"/>
  <c r="G268" i="31"/>
  <c r="I268" i="31"/>
  <c r="E268" i="31"/>
  <c r="E255" i="31"/>
  <c r="I255" i="31"/>
  <c r="G255" i="31"/>
  <c r="F255" i="31"/>
  <c r="H255" i="31"/>
  <c r="I269" i="31"/>
  <c r="F269" i="31"/>
  <c r="E269" i="31"/>
  <c r="G269" i="31"/>
  <c r="H269" i="31"/>
  <c r="F174" i="31"/>
  <c r="H174" i="31"/>
  <c r="I174" i="31"/>
  <c r="G174" i="31"/>
  <c r="E174" i="31"/>
  <c r="F250" i="31"/>
  <c r="E250" i="31"/>
  <c r="G250" i="31"/>
  <c r="H250" i="31"/>
  <c r="I250" i="31"/>
  <c r="H192" i="31"/>
  <c r="F192" i="31"/>
  <c r="G192" i="31"/>
  <c r="I192" i="31"/>
  <c r="E192" i="31"/>
  <c r="D773" i="65"/>
  <c r="L263" i="32" s="1"/>
  <c r="I276" i="31"/>
  <c r="G276" i="31"/>
  <c r="E276" i="31"/>
  <c r="F276" i="31"/>
  <c r="H276" i="31"/>
  <c r="I270" i="31"/>
  <c r="E270" i="31"/>
  <c r="H270" i="31"/>
  <c r="G270" i="31"/>
  <c r="F270" i="31"/>
  <c r="F180" i="31"/>
  <c r="E180" i="31"/>
  <c r="G180" i="31"/>
  <c r="H180" i="31"/>
  <c r="I180" i="31"/>
  <c r="D193" i="65"/>
  <c r="D209" i="65"/>
  <c r="I274" i="31"/>
  <c r="G274" i="31"/>
  <c r="E274" i="31"/>
  <c r="H274" i="31"/>
  <c r="F274" i="31"/>
  <c r="I257" i="31"/>
  <c r="E257" i="31"/>
  <c r="G257" i="31"/>
  <c r="F257" i="31"/>
  <c r="H257" i="31"/>
  <c r="H251" i="31"/>
  <c r="I251" i="31"/>
  <c r="E251" i="31"/>
  <c r="G251" i="31"/>
  <c r="F251" i="31"/>
  <c r="H186" i="31"/>
  <c r="F186" i="31"/>
  <c r="I186" i="31"/>
  <c r="E186" i="31"/>
  <c r="G186" i="31"/>
  <c r="G256" i="31"/>
  <c r="F256" i="31"/>
  <c r="I256" i="31"/>
  <c r="E256" i="31"/>
  <c r="H256" i="31"/>
  <c r="D720" i="65"/>
  <c r="L223" i="32" s="1"/>
  <c r="D771" i="65"/>
  <c r="L261" i="32" s="1"/>
  <c r="D790" i="65"/>
  <c r="L280" i="32" s="1"/>
  <c r="D772" i="65"/>
  <c r="L262" i="32" s="1"/>
  <c r="F502" i="65"/>
  <c r="D791" i="65"/>
  <c r="L281" i="32" s="1"/>
  <c r="C720" i="65"/>
  <c r="C790" i="65"/>
  <c r="C771" i="65"/>
  <c r="C772" i="65"/>
  <c r="C791" i="65"/>
  <c r="C792" i="65"/>
  <c r="C773" i="65"/>
  <c r="D792" i="65"/>
  <c r="L282" i="32" s="1"/>
  <c r="F542" i="65"/>
  <c r="E250" i="65"/>
  <c r="E403" i="65" s="1"/>
  <c r="E249" i="65"/>
  <c r="E397" i="65" s="1"/>
  <c r="E248" i="65"/>
  <c r="E391" i="65" s="1"/>
  <c r="C390" i="65"/>
  <c r="C393" i="65"/>
  <c r="C396" i="65"/>
  <c r="C399" i="65"/>
  <c r="E236" i="65"/>
  <c r="E384" i="65" s="1"/>
  <c r="E759" i="65"/>
  <c r="E250" i="32"/>
  <c r="E653" i="67" s="1"/>
  <c r="G250" i="32"/>
  <c r="G653" i="67" s="1"/>
  <c r="F250" i="32"/>
  <c r="F653" i="67" s="1"/>
  <c r="H250" i="32"/>
  <c r="H653" i="67" s="1"/>
  <c r="I250" i="32"/>
  <c r="I653" i="67" s="1"/>
  <c r="G74" i="32"/>
  <c r="I74" i="32"/>
  <c r="F74" i="32"/>
  <c r="E74" i="32"/>
  <c r="H74" i="32"/>
  <c r="D194" i="65"/>
  <c r="G257" i="32"/>
  <c r="G693" i="67" s="1"/>
  <c r="F257" i="32"/>
  <c r="F693" i="67" s="1"/>
  <c r="H257" i="32"/>
  <c r="H693" i="67" s="1"/>
  <c r="I257" i="32"/>
  <c r="I693" i="67" s="1"/>
  <c r="E257" i="32"/>
  <c r="E693" i="67" s="1"/>
  <c r="F68" i="32"/>
  <c r="I68" i="32"/>
  <c r="E68" i="32"/>
  <c r="H68" i="32"/>
  <c r="G68" i="32"/>
  <c r="F251" i="32"/>
  <c r="F683" i="67" s="1"/>
  <c r="E251" i="32"/>
  <c r="E683" i="67" s="1"/>
  <c r="G251" i="32"/>
  <c r="G683" i="67" s="1"/>
  <c r="I251" i="32"/>
  <c r="I683" i="67" s="1"/>
  <c r="H251" i="32"/>
  <c r="H683" i="67" s="1"/>
  <c r="G217" i="32"/>
  <c r="I217" i="32"/>
  <c r="F217" i="32"/>
  <c r="E217" i="32"/>
  <c r="H217" i="32"/>
  <c r="D208" i="65"/>
  <c r="E211" i="32"/>
  <c r="AA32" i="75" s="1"/>
  <c r="I211" i="32"/>
  <c r="F211" i="32"/>
  <c r="G211" i="32"/>
  <c r="H211" i="32"/>
  <c r="E592" i="65"/>
  <c r="F627" i="65"/>
  <c r="F644" i="65"/>
  <c r="E234" i="65"/>
  <c r="E372" i="65" s="1"/>
  <c r="E593" i="65"/>
  <c r="I174" i="32"/>
  <c r="E715" i="65"/>
  <c r="G174" i="32"/>
  <c r="H174" i="32"/>
  <c r="F174" i="32"/>
  <c r="E720" i="65"/>
  <c r="E710" i="65"/>
  <c r="E235" i="65"/>
  <c r="E378" i="65" s="1"/>
  <c r="G180" i="32"/>
  <c r="I180" i="32"/>
  <c r="E180" i="32"/>
  <c r="H180" i="32"/>
  <c r="D27" i="65"/>
  <c r="L60" i="32" s="1"/>
  <c r="G198" i="32"/>
  <c r="H198" i="32"/>
  <c r="F198" i="32"/>
  <c r="E198" i="32"/>
  <c r="AD11" i="75" s="1"/>
  <c r="I198" i="32"/>
  <c r="H186" i="32"/>
  <c r="F192" i="32"/>
  <c r="I186" i="32"/>
  <c r="G186" i="32"/>
  <c r="E186" i="32"/>
  <c r="AC21" i="75" s="1"/>
  <c r="H192" i="32"/>
  <c r="E192" i="32"/>
  <c r="I192" i="32"/>
  <c r="F151" i="65"/>
  <c r="F271" i="65"/>
  <c r="F256" i="65"/>
  <c r="F112" i="65"/>
  <c r="F240" i="65"/>
  <c r="F225" i="65"/>
  <c r="F239" i="65"/>
  <c r="F224" i="65"/>
  <c r="F270" i="65"/>
  <c r="F255" i="65"/>
  <c r="E417" i="65"/>
  <c r="E419" i="65" s="1"/>
  <c r="H18" i="32"/>
  <c r="E18" i="32"/>
  <c r="I18" i="32"/>
  <c r="G18" i="32"/>
  <c r="F18" i="32"/>
  <c r="H24" i="32"/>
  <c r="I24" i="32"/>
  <c r="G24" i="32"/>
  <c r="F24" i="32"/>
  <c r="E24" i="32"/>
  <c r="E655" i="65"/>
  <c r="E773" i="65" s="1"/>
  <c r="E654" i="65"/>
  <c r="E767" i="65" s="1"/>
  <c r="E653" i="65"/>
  <c r="E761" i="65" s="1"/>
  <c r="F658" i="65"/>
  <c r="F643" i="65"/>
  <c r="E624" i="65"/>
  <c r="E772" i="65" s="1"/>
  <c r="E622" i="65"/>
  <c r="E760" i="65" s="1"/>
  <c r="E623" i="65"/>
  <c r="E766" i="65" s="1"/>
  <c r="F628" i="65"/>
  <c r="F613" i="65"/>
  <c r="E639" i="65"/>
  <c r="E791" i="65" s="1"/>
  <c r="E637" i="65"/>
  <c r="E779" i="65" s="1"/>
  <c r="E638" i="65"/>
  <c r="E785" i="65" s="1"/>
  <c r="F582" i="65"/>
  <c r="F597" i="65"/>
  <c r="F581" i="65"/>
  <c r="F596" i="65"/>
  <c r="E670" i="65"/>
  <c r="E792" i="65" s="1"/>
  <c r="E668" i="65"/>
  <c r="E780" i="65" s="1"/>
  <c r="E669" i="65"/>
  <c r="E786" i="65" s="1"/>
  <c r="E607" i="65"/>
  <c r="E608" i="65"/>
  <c r="E606" i="65"/>
  <c r="F431" i="65"/>
  <c r="F65" i="65"/>
  <c r="F150" i="65"/>
  <c r="F443" i="65"/>
  <c r="F503" i="65"/>
  <c r="F53" i="65"/>
  <c r="F111" i="65"/>
  <c r="F40" i="65"/>
  <c r="F464" i="65"/>
  <c r="F541" i="65"/>
  <c r="F455" i="65"/>
  <c r="E42" i="65"/>
  <c r="E73" i="65" s="1"/>
  <c r="E27" i="65" s="1"/>
  <c r="E25" i="65"/>
  <c r="F38" i="65"/>
  <c r="F463" i="65"/>
  <c r="F158" i="65"/>
  <c r="F168" i="65" s="1"/>
  <c r="E158" i="65"/>
  <c r="D158" i="65"/>
  <c r="C158" i="65"/>
  <c r="F79" i="65"/>
  <c r="E79" i="65"/>
  <c r="D79" i="65"/>
  <c r="C79" i="65"/>
  <c r="AA34" i="75" l="1"/>
  <c r="AA34" i="69"/>
  <c r="AD23" i="66"/>
  <c r="E81" i="31"/>
  <c r="H81" i="31"/>
  <c r="H76" i="31"/>
  <c r="F76" i="31"/>
  <c r="E86" i="67"/>
  <c r="E218" i="31" s="1"/>
  <c r="G589" i="67"/>
  <c r="G572" i="67"/>
  <c r="E572" i="67"/>
  <c r="E23" i="75" s="1"/>
  <c r="I589" i="67"/>
  <c r="I962" i="67"/>
  <c r="I984" i="67" s="1"/>
  <c r="E962" i="67"/>
  <c r="E984" i="67" s="1"/>
  <c r="G962" i="67"/>
  <c r="G984" i="67" s="1"/>
  <c r="F962" i="67"/>
  <c r="F984" i="67" s="1"/>
  <c r="H962" i="67"/>
  <c r="H984" i="67" s="1"/>
  <c r="G1163" i="67"/>
  <c r="I1163" i="67"/>
  <c r="E1163" i="67"/>
  <c r="H1163" i="67"/>
  <c r="F1163" i="67"/>
  <c r="I1326" i="67"/>
  <c r="E1326" i="67"/>
  <c r="G1326" i="67"/>
  <c r="F1326" i="67"/>
  <c r="H1326" i="67"/>
  <c r="G211" i="67"/>
  <c r="I211" i="67"/>
  <c r="E211" i="67"/>
  <c r="H211" i="67"/>
  <c r="F211" i="67"/>
  <c r="G374" i="67"/>
  <c r="I374" i="67"/>
  <c r="E374" i="67"/>
  <c r="H374" i="67"/>
  <c r="F374" i="67"/>
  <c r="C93" i="65"/>
  <c r="I1016" i="67"/>
  <c r="I1038" i="67" s="1"/>
  <c r="G1016" i="67"/>
  <c r="G1038" i="67" s="1"/>
  <c r="F1016" i="67"/>
  <c r="F1038" i="67" s="1"/>
  <c r="H1016" i="67"/>
  <c r="H1038" i="67" s="1"/>
  <c r="E1016" i="67"/>
  <c r="E1038" i="67" s="1"/>
  <c r="G1217" i="67"/>
  <c r="I1217" i="67"/>
  <c r="E1217" i="67"/>
  <c r="H1217" i="67"/>
  <c r="F1217" i="67"/>
  <c r="H102" i="67"/>
  <c r="F102" i="67"/>
  <c r="I102" i="67"/>
  <c r="E102" i="67"/>
  <c r="G102" i="67"/>
  <c r="G265" i="67"/>
  <c r="I265" i="67"/>
  <c r="E265" i="67"/>
  <c r="H265" i="67"/>
  <c r="F265" i="67"/>
  <c r="G482" i="67"/>
  <c r="I482" i="67"/>
  <c r="E482" i="67"/>
  <c r="H482" i="67"/>
  <c r="F482" i="67"/>
  <c r="I572" i="67"/>
  <c r="I1272" i="67"/>
  <c r="E1272" i="67"/>
  <c r="G1272" i="67"/>
  <c r="F1272" i="67"/>
  <c r="H1272" i="67"/>
  <c r="G156" i="67"/>
  <c r="I156" i="67"/>
  <c r="E156" i="67"/>
  <c r="H156" i="67"/>
  <c r="F156" i="67"/>
  <c r="G319" i="67"/>
  <c r="I319" i="67"/>
  <c r="E319" i="67"/>
  <c r="H319" i="67"/>
  <c r="F319" i="67"/>
  <c r="H589" i="67"/>
  <c r="H908" i="67"/>
  <c r="H930" i="67" s="1"/>
  <c r="F908" i="67"/>
  <c r="F930" i="67" s="1"/>
  <c r="I908" i="67"/>
  <c r="I930" i="67" s="1"/>
  <c r="E908" i="67"/>
  <c r="E930" i="67" s="1"/>
  <c r="G908" i="67"/>
  <c r="G930" i="67" s="1"/>
  <c r="H1109" i="67"/>
  <c r="F1109" i="67"/>
  <c r="I1109" i="67"/>
  <c r="E1109" i="67"/>
  <c r="G1109" i="67"/>
  <c r="I1380" i="67"/>
  <c r="E1380" i="67"/>
  <c r="G1380" i="67"/>
  <c r="F1380" i="67"/>
  <c r="H1380" i="67"/>
  <c r="G428" i="67"/>
  <c r="I428" i="67"/>
  <c r="E428" i="67"/>
  <c r="H428" i="67"/>
  <c r="F428" i="67"/>
  <c r="I1418" i="67"/>
  <c r="E589" i="67"/>
  <c r="F572" i="67"/>
  <c r="H572" i="67"/>
  <c r="F589" i="67"/>
  <c r="C89" i="65"/>
  <c r="I32" i="67"/>
  <c r="F32" i="67"/>
  <c r="H32" i="67"/>
  <c r="G32" i="67"/>
  <c r="E32" i="67"/>
  <c r="F341" i="65"/>
  <c r="F336" i="65"/>
  <c r="F346" i="65"/>
  <c r="H218" i="31"/>
  <c r="I48" i="67"/>
  <c r="H48" i="67"/>
  <c r="F48" i="67"/>
  <c r="G48" i="67"/>
  <c r="E48" i="67"/>
  <c r="I226" i="31"/>
  <c r="H82" i="31"/>
  <c r="D89" i="65"/>
  <c r="D93" i="65"/>
  <c r="E172" i="65"/>
  <c r="E168" i="65"/>
  <c r="F172" i="65"/>
  <c r="D168" i="65"/>
  <c r="D172" i="65"/>
  <c r="C168" i="65"/>
  <c r="C172" i="65"/>
  <c r="E89" i="65"/>
  <c r="E93" i="65"/>
  <c r="E219" i="31"/>
  <c r="F314" i="65"/>
  <c r="F309" i="65"/>
  <c r="F304" i="65"/>
  <c r="F303" i="65"/>
  <c r="F313" i="65"/>
  <c r="F308" i="65"/>
  <c r="F717" i="65"/>
  <c r="F712" i="65"/>
  <c r="F707" i="65"/>
  <c r="F718" i="65"/>
  <c r="F713" i="65"/>
  <c r="F708" i="65"/>
  <c r="F719" i="65"/>
  <c r="F714" i="65"/>
  <c r="F709" i="65"/>
  <c r="E213" i="31"/>
  <c r="I214" i="31"/>
  <c r="F219" i="31"/>
  <c r="F70" i="31"/>
  <c r="I75" i="31"/>
  <c r="I76" i="31"/>
  <c r="H70" i="31"/>
  <c r="E76" i="31"/>
  <c r="H75" i="31"/>
  <c r="F520" i="67"/>
  <c r="F217" i="31" s="1"/>
  <c r="H1471" i="67"/>
  <c r="G219" i="31"/>
  <c r="E82" i="31"/>
  <c r="H69" i="31"/>
  <c r="E75" i="31"/>
  <c r="F75" i="31"/>
  <c r="AC12" i="66"/>
  <c r="Y10" i="61"/>
  <c r="A521" i="77" s="1"/>
  <c r="AG12" i="66"/>
  <c r="Y11" i="61"/>
  <c r="F1471" i="67"/>
  <c r="F614" i="65"/>
  <c r="F624" i="65" s="1"/>
  <c r="H219" i="31"/>
  <c r="F69" i="31"/>
  <c r="F660" i="65"/>
  <c r="I219" i="31"/>
  <c r="I220" i="31"/>
  <c r="G214" i="31"/>
  <c r="G213" i="31"/>
  <c r="F88" i="65"/>
  <c r="I1471" i="67"/>
  <c r="I69" i="31"/>
  <c r="I70" i="31"/>
  <c r="H1401" i="67"/>
  <c r="F1401" i="67"/>
  <c r="F87" i="65"/>
  <c r="I82" i="31"/>
  <c r="I81" i="31"/>
  <c r="F91" i="65"/>
  <c r="H213" i="31"/>
  <c r="H214" i="31"/>
  <c r="G82" i="31"/>
  <c r="G81" i="31"/>
  <c r="G76" i="31"/>
  <c r="G75" i="31"/>
  <c r="F81" i="31"/>
  <c r="F82" i="31"/>
  <c r="E70" i="31"/>
  <c r="E1471" i="67"/>
  <c r="E69" i="31"/>
  <c r="E1401" i="67"/>
  <c r="F89" i="65"/>
  <c r="G69" i="31"/>
  <c r="G1471" i="67"/>
  <c r="G70" i="31"/>
  <c r="F93" i="65"/>
  <c r="G1401" i="67"/>
  <c r="F92" i="65"/>
  <c r="I520" i="67"/>
  <c r="I217" i="31" s="1"/>
  <c r="I1401" i="67"/>
  <c r="F213" i="31"/>
  <c r="F214" i="31"/>
  <c r="D210" i="65"/>
  <c r="D217" i="65" s="1"/>
  <c r="I263" i="32"/>
  <c r="I703" i="67" s="1"/>
  <c r="I269" i="32"/>
  <c r="I747" i="67" s="1"/>
  <c r="E269" i="32"/>
  <c r="E747" i="67" s="1"/>
  <c r="G270" i="32"/>
  <c r="G777" i="67" s="1"/>
  <c r="H269" i="32"/>
  <c r="H747" i="67" s="1"/>
  <c r="F269" i="32"/>
  <c r="F747" i="67" s="1"/>
  <c r="E275" i="32"/>
  <c r="E757" i="67" s="1"/>
  <c r="E276" i="32"/>
  <c r="E787" i="67" s="1"/>
  <c r="I275" i="32"/>
  <c r="I757" i="67" s="1"/>
  <c r="H270" i="32"/>
  <c r="H777" i="67" s="1"/>
  <c r="G275" i="32"/>
  <c r="G757" i="67" s="1"/>
  <c r="F275" i="32"/>
  <c r="F757" i="67" s="1"/>
  <c r="G256" i="32"/>
  <c r="G663" i="67" s="1"/>
  <c r="H276" i="32"/>
  <c r="H787" i="67" s="1"/>
  <c r="F270" i="32"/>
  <c r="F777" i="67" s="1"/>
  <c r="H256" i="32"/>
  <c r="H663" i="67" s="1"/>
  <c r="I276" i="32"/>
  <c r="I787" i="67" s="1"/>
  <c r="I256" i="32"/>
  <c r="I663" i="67" s="1"/>
  <c r="E256" i="32"/>
  <c r="E663" i="67" s="1"/>
  <c r="G276" i="32"/>
  <c r="G787" i="67" s="1"/>
  <c r="F504" i="65"/>
  <c r="E270" i="32"/>
  <c r="E777" i="67" s="1"/>
  <c r="E261" i="32"/>
  <c r="E642" i="67" s="1"/>
  <c r="E281" i="31"/>
  <c r="G281" i="31"/>
  <c r="F281" i="31"/>
  <c r="H281" i="31"/>
  <c r="I281" i="31"/>
  <c r="F261" i="31"/>
  <c r="I261" i="31"/>
  <c r="H261" i="31"/>
  <c r="E261" i="31"/>
  <c r="G261" i="31"/>
  <c r="F267" i="31"/>
  <c r="G267" i="31"/>
  <c r="E267" i="31"/>
  <c r="H267" i="31"/>
  <c r="I267" i="31"/>
  <c r="F248" i="31"/>
  <c r="H248" i="31"/>
  <c r="I248" i="31"/>
  <c r="G248" i="31"/>
  <c r="E248" i="31"/>
  <c r="I273" i="31"/>
  <c r="G273" i="31"/>
  <c r="H273" i="31"/>
  <c r="E273" i="31"/>
  <c r="F273" i="31"/>
  <c r="F280" i="32"/>
  <c r="F736" i="67" s="1"/>
  <c r="D195" i="65"/>
  <c r="G282" i="31"/>
  <c r="H282" i="31"/>
  <c r="F282" i="31"/>
  <c r="I282" i="31"/>
  <c r="E282" i="31"/>
  <c r="E262" i="31"/>
  <c r="H262" i="31"/>
  <c r="I262" i="31"/>
  <c r="F262" i="31"/>
  <c r="G262" i="31"/>
  <c r="H254" i="31"/>
  <c r="I254" i="31"/>
  <c r="G254" i="31"/>
  <c r="E254" i="31"/>
  <c r="F254" i="31"/>
  <c r="E263" i="31"/>
  <c r="H263" i="31"/>
  <c r="I263" i="31"/>
  <c r="F263" i="31"/>
  <c r="G263" i="31"/>
  <c r="G161" i="32"/>
  <c r="E31" i="32"/>
  <c r="H49" i="32"/>
  <c r="I37" i="32"/>
  <c r="E37" i="32"/>
  <c r="E49" i="32"/>
  <c r="G49" i="32"/>
  <c r="E43" i="32"/>
  <c r="F43" i="32"/>
  <c r="H43" i="32"/>
  <c r="I43" i="32"/>
  <c r="E404" i="65"/>
  <c r="E385" i="65"/>
  <c r="C315" i="65"/>
  <c r="C383" i="65"/>
  <c r="C404" i="65"/>
  <c r="C385" i="65"/>
  <c r="D315" i="65"/>
  <c r="L79" i="32" s="1"/>
  <c r="D404" i="65"/>
  <c r="L138" i="32" s="1"/>
  <c r="D385" i="65"/>
  <c r="L119" i="32" s="1"/>
  <c r="F543" i="65"/>
  <c r="H31" i="32"/>
  <c r="H37" i="32"/>
  <c r="I49" i="32"/>
  <c r="C793" i="65"/>
  <c r="C774" i="65"/>
  <c r="D793" i="65"/>
  <c r="D774" i="65"/>
  <c r="E225" i="32"/>
  <c r="I225" i="32"/>
  <c r="I342" i="32" s="1"/>
  <c r="H225" i="32"/>
  <c r="H342" i="32" s="1"/>
  <c r="G225" i="32"/>
  <c r="G342" i="32" s="1"/>
  <c r="F225" i="32"/>
  <c r="F342" i="32" s="1"/>
  <c r="F224" i="32"/>
  <c r="F341" i="32" s="1"/>
  <c r="G224" i="32"/>
  <c r="G341" i="32" s="1"/>
  <c r="E224" i="32"/>
  <c r="E341" i="32" s="1"/>
  <c r="I224" i="32"/>
  <c r="I341" i="32" s="1"/>
  <c r="H224" i="32"/>
  <c r="H341" i="32" s="1"/>
  <c r="F37" i="32"/>
  <c r="C402" i="65"/>
  <c r="I226" i="32"/>
  <c r="I343" i="32" s="1"/>
  <c r="E226" i="32"/>
  <c r="G226" i="32"/>
  <c r="G343" i="32" s="1"/>
  <c r="H226" i="32"/>
  <c r="H343" i="32" s="1"/>
  <c r="F226" i="32"/>
  <c r="F343" i="32" s="1"/>
  <c r="D219" i="65"/>
  <c r="F645" i="65"/>
  <c r="E781" i="65"/>
  <c r="E778" i="65"/>
  <c r="G129" i="32"/>
  <c r="H129" i="32"/>
  <c r="I129" i="32"/>
  <c r="F129" i="32"/>
  <c r="E129" i="32"/>
  <c r="G110" i="32"/>
  <c r="F110" i="32"/>
  <c r="I110" i="32"/>
  <c r="E110" i="32"/>
  <c r="H110" i="32"/>
  <c r="G248" i="32"/>
  <c r="E248" i="32"/>
  <c r="AC32" i="75" s="1"/>
  <c r="H248" i="32"/>
  <c r="F248" i="32"/>
  <c r="I248" i="32"/>
  <c r="F268" i="32"/>
  <c r="F716" i="67" s="1"/>
  <c r="H268" i="32"/>
  <c r="H716" i="67" s="1"/>
  <c r="I268" i="32"/>
  <c r="I716" i="67" s="1"/>
  <c r="G268" i="32"/>
  <c r="G716" i="67" s="1"/>
  <c r="E268" i="32"/>
  <c r="E716" i="67" s="1"/>
  <c r="E762" i="65"/>
  <c r="H161" i="32"/>
  <c r="E768" i="65"/>
  <c r="E765" i="65"/>
  <c r="H273" i="32"/>
  <c r="G273" i="32"/>
  <c r="E273" i="32"/>
  <c r="AD34" i="75" s="1"/>
  <c r="AG34" i="75" s="1"/>
  <c r="I273" i="32"/>
  <c r="F273" i="32"/>
  <c r="E161" i="32"/>
  <c r="AC11" i="75" s="1"/>
  <c r="I161" i="32"/>
  <c r="I31" i="32"/>
  <c r="E310" i="65"/>
  <c r="I254" i="32"/>
  <c r="G254" i="32"/>
  <c r="F254" i="32"/>
  <c r="H254" i="32"/>
  <c r="E254" i="32"/>
  <c r="AC34" i="75" s="1"/>
  <c r="I67" i="32"/>
  <c r="E67" i="32"/>
  <c r="H67" i="32"/>
  <c r="F67" i="32"/>
  <c r="G67" i="32"/>
  <c r="E274" i="32"/>
  <c r="E726" i="67" s="1"/>
  <c r="I274" i="32"/>
  <c r="I726" i="67" s="1"/>
  <c r="G274" i="32"/>
  <c r="G726" i="67" s="1"/>
  <c r="F274" i="32"/>
  <c r="F726" i="67" s="1"/>
  <c r="H274" i="32"/>
  <c r="H726" i="67" s="1"/>
  <c r="G267" i="32"/>
  <c r="F267" i="32"/>
  <c r="I267" i="32"/>
  <c r="E267" i="32"/>
  <c r="AD32" i="75" s="1"/>
  <c r="H267" i="32"/>
  <c r="E305" i="65"/>
  <c r="E793" i="65"/>
  <c r="E790" i="65"/>
  <c r="E774" i="65"/>
  <c r="E771" i="65"/>
  <c r="H104" i="32"/>
  <c r="E104" i="32"/>
  <c r="I104" i="32"/>
  <c r="G104" i="32"/>
  <c r="F104" i="32"/>
  <c r="F73" i="32"/>
  <c r="E73" i="32"/>
  <c r="AA34" i="66" s="1"/>
  <c r="I73" i="32"/>
  <c r="H73" i="32"/>
  <c r="G73" i="32"/>
  <c r="E787" i="65"/>
  <c r="E784" i="65"/>
  <c r="F31" i="32"/>
  <c r="E315" i="65"/>
  <c r="G255" i="32"/>
  <c r="G632" i="67" s="1"/>
  <c r="I255" i="32"/>
  <c r="I632" i="67" s="1"/>
  <c r="E255" i="32"/>
  <c r="E632" i="67" s="1"/>
  <c r="F255" i="32"/>
  <c r="F632" i="67" s="1"/>
  <c r="H255" i="32"/>
  <c r="H632" i="67" s="1"/>
  <c r="G249" i="32"/>
  <c r="G622" i="67" s="1"/>
  <c r="H249" i="32"/>
  <c r="H622" i="67" s="1"/>
  <c r="F249" i="32"/>
  <c r="F622" i="67" s="1"/>
  <c r="I249" i="32"/>
  <c r="I622" i="67" s="1"/>
  <c r="E249" i="32"/>
  <c r="E622" i="67" s="1"/>
  <c r="H123" i="32"/>
  <c r="E123" i="32"/>
  <c r="G123" i="32"/>
  <c r="F123" i="32"/>
  <c r="I123" i="32"/>
  <c r="G167" i="32"/>
  <c r="F629" i="65"/>
  <c r="F638" i="65" s="1"/>
  <c r="F167" i="32"/>
  <c r="E167" i="32"/>
  <c r="AG11" i="75" s="1"/>
  <c r="I167" i="32"/>
  <c r="E194" i="65"/>
  <c r="E193" i="65"/>
  <c r="E209" i="65"/>
  <c r="E208" i="65"/>
  <c r="H61" i="32"/>
  <c r="I61" i="32"/>
  <c r="F61" i="32"/>
  <c r="E61" i="32"/>
  <c r="G61" i="32"/>
  <c r="F241" i="65"/>
  <c r="F418" i="65"/>
  <c r="F152" i="65"/>
  <c r="F257" i="65"/>
  <c r="F267" i="65" s="1"/>
  <c r="F226" i="65"/>
  <c r="F272" i="65"/>
  <c r="F39" i="65"/>
  <c r="F583" i="65"/>
  <c r="F598" i="65"/>
  <c r="F465" i="65"/>
  <c r="F416" i="65"/>
  <c r="F113" i="65"/>
  <c r="F41" i="65"/>
  <c r="E72" i="65"/>
  <c r="E74" i="65" s="1"/>
  <c r="F37" i="65"/>
  <c r="C124" i="65"/>
  <c r="C82" i="65"/>
  <c r="C803" i="65" s="1"/>
  <c r="C163" i="65"/>
  <c r="C366" i="65" s="1"/>
  <c r="C162" i="65"/>
  <c r="C360" i="65" s="1"/>
  <c r="C161" i="65"/>
  <c r="C83" i="65"/>
  <c r="C84" i="65"/>
  <c r="C122" i="65"/>
  <c r="C123" i="65"/>
  <c r="C359" i="65" s="1"/>
  <c r="AA23" i="70" l="1"/>
  <c r="E23" i="66"/>
  <c r="C353" i="65"/>
  <c r="C804" i="65"/>
  <c r="C354" i="65"/>
  <c r="C805" i="65"/>
  <c r="E520" i="67"/>
  <c r="E34" i="75" s="1"/>
  <c r="I596" i="67"/>
  <c r="H470" i="67"/>
  <c r="H493" i="67" s="1"/>
  <c r="F470" i="67"/>
  <c r="F493" i="67" s="1"/>
  <c r="I470" i="67"/>
  <c r="I493" i="67" s="1"/>
  <c r="E470" i="67"/>
  <c r="E493" i="67" s="1"/>
  <c r="G470" i="67"/>
  <c r="G493" i="67" s="1"/>
  <c r="H1205" i="67"/>
  <c r="H1228" i="67" s="1"/>
  <c r="F1205" i="67"/>
  <c r="F1228" i="67" s="1"/>
  <c r="I1205" i="67"/>
  <c r="I1228" i="67" s="1"/>
  <c r="E1205" i="67"/>
  <c r="E1228" i="67" s="1"/>
  <c r="G1205" i="67"/>
  <c r="G1228" i="67" s="1"/>
  <c r="F1368" i="67"/>
  <c r="F1391" i="67" s="1"/>
  <c r="H1368" i="67"/>
  <c r="H1391" i="67" s="1"/>
  <c r="G1368" i="67"/>
  <c r="G1391" i="67" s="1"/>
  <c r="E1368" i="67"/>
  <c r="E1391" i="67" s="1"/>
  <c r="I1368" i="67"/>
  <c r="I1391" i="67" s="1"/>
  <c r="H946" i="67"/>
  <c r="F946" i="67"/>
  <c r="I946" i="67"/>
  <c r="E946" i="67"/>
  <c r="G946" i="67"/>
  <c r="H596" i="67"/>
  <c r="F579" i="67"/>
  <c r="G579" i="67"/>
  <c r="H199" i="67"/>
  <c r="H222" i="67" s="1"/>
  <c r="F199" i="67"/>
  <c r="F222" i="67" s="1"/>
  <c r="I199" i="67"/>
  <c r="I222" i="67" s="1"/>
  <c r="E199" i="67"/>
  <c r="E222" i="67" s="1"/>
  <c r="G199" i="67"/>
  <c r="G222" i="67" s="1"/>
  <c r="I90" i="67"/>
  <c r="I113" i="67" s="1"/>
  <c r="E90" i="67"/>
  <c r="E113" i="67" s="1"/>
  <c r="G90" i="67"/>
  <c r="G113" i="67" s="1"/>
  <c r="F90" i="67"/>
  <c r="F113" i="67" s="1"/>
  <c r="H90" i="67"/>
  <c r="H113" i="67" s="1"/>
  <c r="I1097" i="67"/>
  <c r="I1120" i="67" s="1"/>
  <c r="E1097" i="67"/>
  <c r="E1120" i="67" s="1"/>
  <c r="G1097" i="67"/>
  <c r="G1120" i="67" s="1"/>
  <c r="F1097" i="67"/>
  <c r="F1120" i="67" s="1"/>
  <c r="H1097" i="67"/>
  <c r="H1120" i="67" s="1"/>
  <c r="I1000" i="67"/>
  <c r="I1426" i="67" s="1"/>
  <c r="E1000" i="67"/>
  <c r="E1426" i="67" s="1"/>
  <c r="G1000" i="67"/>
  <c r="G1426" i="67" s="1"/>
  <c r="F1000" i="67"/>
  <c r="F1426" i="67" s="1"/>
  <c r="H1000" i="67"/>
  <c r="H1426" i="67" s="1"/>
  <c r="E596" i="67"/>
  <c r="H579" i="67"/>
  <c r="H362" i="67"/>
  <c r="H385" i="67" s="1"/>
  <c r="F362" i="67"/>
  <c r="F385" i="67" s="1"/>
  <c r="I362" i="67"/>
  <c r="I385" i="67" s="1"/>
  <c r="E362" i="67"/>
  <c r="E385" i="67" s="1"/>
  <c r="G362" i="67"/>
  <c r="G385" i="67" s="1"/>
  <c r="H253" i="67"/>
  <c r="H276" i="67" s="1"/>
  <c r="F253" i="67"/>
  <c r="F276" i="67" s="1"/>
  <c r="I253" i="67"/>
  <c r="I276" i="67" s="1"/>
  <c r="E253" i="67"/>
  <c r="E276" i="67" s="1"/>
  <c r="G253" i="67"/>
  <c r="G276" i="67" s="1"/>
  <c r="H144" i="67"/>
  <c r="H167" i="67" s="1"/>
  <c r="F144" i="67"/>
  <c r="F167" i="67" s="1"/>
  <c r="I144" i="67"/>
  <c r="I167" i="67" s="1"/>
  <c r="E144" i="67"/>
  <c r="E167" i="67" s="1"/>
  <c r="G144" i="67"/>
  <c r="G167" i="67" s="1"/>
  <c r="F1260" i="67"/>
  <c r="F1283" i="67" s="1"/>
  <c r="H1260" i="67"/>
  <c r="H1283" i="67" s="1"/>
  <c r="G1260" i="67"/>
  <c r="G1283" i="67" s="1"/>
  <c r="E1260" i="67"/>
  <c r="E1283" i="67" s="1"/>
  <c r="I1260" i="67"/>
  <c r="I1283" i="67" s="1"/>
  <c r="E579" i="67"/>
  <c r="H416" i="67"/>
  <c r="H439" i="67" s="1"/>
  <c r="F416" i="67"/>
  <c r="F439" i="67" s="1"/>
  <c r="I416" i="67"/>
  <c r="I439" i="67" s="1"/>
  <c r="E416" i="67"/>
  <c r="E439" i="67" s="1"/>
  <c r="G416" i="67"/>
  <c r="G439" i="67" s="1"/>
  <c r="H307" i="67"/>
  <c r="H330" i="67" s="1"/>
  <c r="F307" i="67"/>
  <c r="F330" i="67" s="1"/>
  <c r="I307" i="67"/>
  <c r="I330" i="67" s="1"/>
  <c r="E307" i="67"/>
  <c r="E330" i="67" s="1"/>
  <c r="G307" i="67"/>
  <c r="G330" i="67" s="1"/>
  <c r="H1151" i="67"/>
  <c r="H1174" i="67" s="1"/>
  <c r="F1151" i="67"/>
  <c r="F1174" i="67" s="1"/>
  <c r="I1151" i="67"/>
  <c r="I1174" i="67" s="1"/>
  <c r="E1151" i="67"/>
  <c r="E1174" i="67" s="1"/>
  <c r="G1151" i="67"/>
  <c r="G1174" i="67" s="1"/>
  <c r="F1314" i="67"/>
  <c r="F1337" i="67" s="1"/>
  <c r="H1314" i="67"/>
  <c r="H1337" i="67" s="1"/>
  <c r="G1314" i="67"/>
  <c r="G1337" i="67" s="1"/>
  <c r="E1314" i="67"/>
  <c r="E1337" i="67" s="1"/>
  <c r="I1314" i="67"/>
  <c r="I1337" i="67" s="1"/>
  <c r="I1054" i="67"/>
  <c r="E1054" i="67"/>
  <c r="G1054" i="67"/>
  <c r="F1054" i="67"/>
  <c r="H1054" i="67"/>
  <c r="F596" i="67"/>
  <c r="G596" i="67"/>
  <c r="I579" i="67"/>
  <c r="F562" i="67"/>
  <c r="E562" i="67"/>
  <c r="I562" i="67"/>
  <c r="H562" i="67"/>
  <c r="G562" i="67"/>
  <c r="F212" i="31"/>
  <c r="F555" i="67"/>
  <c r="E503" i="67"/>
  <c r="E211" i="31" s="1"/>
  <c r="E555" i="67"/>
  <c r="I212" i="31"/>
  <c r="I555" i="67"/>
  <c r="G212" i="31"/>
  <c r="G555" i="67"/>
  <c r="H212" i="31"/>
  <c r="H555" i="67"/>
  <c r="F349" i="65"/>
  <c r="F1402" i="67"/>
  <c r="F67" i="31" s="1"/>
  <c r="I68" i="31"/>
  <c r="G1402" i="67"/>
  <c r="G67" i="31" s="1"/>
  <c r="H1402" i="67"/>
  <c r="H67" i="31" s="1"/>
  <c r="E212" i="31"/>
  <c r="H503" i="67"/>
  <c r="H211" i="31" s="1"/>
  <c r="G503" i="67"/>
  <c r="G211" i="31" s="1"/>
  <c r="F503" i="67"/>
  <c r="F211" i="31" s="1"/>
  <c r="I503" i="67"/>
  <c r="I211" i="31" s="1"/>
  <c r="AH12" i="66"/>
  <c r="AF32" i="75"/>
  <c r="AG32" i="75"/>
  <c r="AC22" i="66"/>
  <c r="AB22" i="66"/>
  <c r="G226" i="31"/>
  <c r="H520" i="67"/>
  <c r="H217" i="31" s="1"/>
  <c r="G218" i="31"/>
  <c r="G520" i="67"/>
  <c r="G217" i="31" s="1"/>
  <c r="F344" i="65"/>
  <c r="F339" i="65"/>
  <c r="F670" i="65"/>
  <c r="F792" i="65" s="1"/>
  <c r="F422" i="65"/>
  <c r="F654" i="65"/>
  <c r="F767" i="65" s="1"/>
  <c r="F421" i="65"/>
  <c r="F193" i="65" s="1"/>
  <c r="H226" i="31"/>
  <c r="I225" i="31"/>
  <c r="H225" i="31"/>
  <c r="G225" i="31"/>
  <c r="F731" i="65"/>
  <c r="F736" i="65"/>
  <c r="F726" i="65"/>
  <c r="F36" i="67"/>
  <c r="I36" i="67"/>
  <c r="E36" i="67"/>
  <c r="H36" i="67"/>
  <c r="G36" i="67"/>
  <c r="L260" i="32"/>
  <c r="L279" i="32"/>
  <c r="F312" i="65"/>
  <c r="F307" i="65"/>
  <c r="F302" i="65"/>
  <c r="F224" i="31"/>
  <c r="E224" i="31"/>
  <c r="I536" i="67"/>
  <c r="I605" i="67"/>
  <c r="F536" i="67"/>
  <c r="F605" i="67"/>
  <c r="E536" i="67"/>
  <c r="E605" i="67"/>
  <c r="H605" i="67"/>
  <c r="H536" i="67"/>
  <c r="G536" i="67"/>
  <c r="G605" i="67"/>
  <c r="H68" i="31"/>
  <c r="F668" i="65"/>
  <c r="F780" i="65" s="1"/>
  <c r="F669" i="65"/>
  <c r="F786" i="65" s="1"/>
  <c r="H527" i="67"/>
  <c r="D218" i="65"/>
  <c r="D396" i="65" s="1"/>
  <c r="L130" i="32" s="1"/>
  <c r="AD32" i="66"/>
  <c r="AC32" i="66"/>
  <c r="AC34" i="66"/>
  <c r="AD34" i="66"/>
  <c r="AG34" i="66" s="1"/>
  <c r="F623" i="65"/>
  <c r="F766" i="65" s="1"/>
  <c r="H1478" i="67"/>
  <c r="F622" i="65"/>
  <c r="F760" i="65" s="1"/>
  <c r="D31" i="65"/>
  <c r="AA32" i="66"/>
  <c r="E342" i="32"/>
  <c r="AA23" i="75" s="1"/>
  <c r="E527" i="67"/>
  <c r="E544" i="67"/>
  <c r="E343" i="32"/>
  <c r="AA24" i="75" s="1"/>
  <c r="AA22" i="75"/>
  <c r="I527" i="67"/>
  <c r="E1402" i="67"/>
  <c r="AA32" i="70" s="1"/>
  <c r="E68" i="31"/>
  <c r="F527" i="67"/>
  <c r="G544" i="67"/>
  <c r="I544" i="67"/>
  <c r="F1478" i="67"/>
  <c r="H510" i="67"/>
  <c r="F510" i="67"/>
  <c r="I510" i="67"/>
  <c r="G527" i="67"/>
  <c r="F544" i="67"/>
  <c r="E1478" i="67"/>
  <c r="G1478" i="67"/>
  <c r="G510" i="67"/>
  <c r="H544" i="67"/>
  <c r="I1478" i="67"/>
  <c r="E510" i="67"/>
  <c r="H263" i="32"/>
  <c r="H703" i="67" s="1"/>
  <c r="E263" i="32"/>
  <c r="E703" i="67" s="1"/>
  <c r="F263" i="32"/>
  <c r="F703" i="67" s="1"/>
  <c r="G263" i="32"/>
  <c r="G703" i="67" s="1"/>
  <c r="H261" i="32"/>
  <c r="H642" i="67" s="1"/>
  <c r="G261" i="32"/>
  <c r="G642" i="67" s="1"/>
  <c r="F261" i="32"/>
  <c r="F642" i="67" s="1"/>
  <c r="I261" i="32"/>
  <c r="I642" i="67" s="1"/>
  <c r="D203" i="65"/>
  <c r="D204" i="65"/>
  <c r="H280" i="32"/>
  <c r="H736" i="67" s="1"/>
  <c r="F653" i="65"/>
  <c r="F761" i="65" s="1"/>
  <c r="I280" i="32"/>
  <c r="I736" i="67" s="1"/>
  <c r="D205" i="65"/>
  <c r="D30" i="65"/>
  <c r="E280" i="32"/>
  <c r="E736" i="67" s="1"/>
  <c r="G280" i="32"/>
  <c r="G736" i="67" s="1"/>
  <c r="F637" i="65"/>
  <c r="F779" i="65" s="1"/>
  <c r="F280" i="31"/>
  <c r="I280" i="31"/>
  <c r="E280" i="31"/>
  <c r="H280" i="31"/>
  <c r="G280" i="31"/>
  <c r="F282" i="65"/>
  <c r="F404" i="65" s="1"/>
  <c r="F281" i="65"/>
  <c r="F398" i="65" s="1"/>
  <c r="F280" i="65"/>
  <c r="F392" i="65" s="1"/>
  <c r="H281" i="32"/>
  <c r="H767" i="67" s="1"/>
  <c r="I281" i="32"/>
  <c r="I767" i="67" s="1"/>
  <c r="G281" i="32"/>
  <c r="G767" i="67" s="1"/>
  <c r="F281" i="32"/>
  <c r="F767" i="67" s="1"/>
  <c r="E281" i="32"/>
  <c r="E767" i="67" s="1"/>
  <c r="F639" i="65"/>
  <c r="F791" i="65" s="1"/>
  <c r="E262" i="32"/>
  <c r="E673" i="67" s="1"/>
  <c r="G262" i="32"/>
  <c r="G673" i="67" s="1"/>
  <c r="I262" i="32"/>
  <c r="I673" i="67" s="1"/>
  <c r="F262" i="32"/>
  <c r="F673" i="67" s="1"/>
  <c r="H262" i="32"/>
  <c r="H673" i="67" s="1"/>
  <c r="H82" i="32"/>
  <c r="H338" i="32" s="1"/>
  <c r="I82" i="32"/>
  <c r="I338" i="32" s="1"/>
  <c r="G82" i="32"/>
  <c r="G338" i="32" s="1"/>
  <c r="F82" i="32"/>
  <c r="F338" i="32" s="1"/>
  <c r="E82" i="32"/>
  <c r="E338" i="32" s="1"/>
  <c r="H80" i="32"/>
  <c r="H336" i="32" s="1"/>
  <c r="I80" i="32"/>
  <c r="I336" i="32" s="1"/>
  <c r="E80" i="32"/>
  <c r="E336" i="32" s="1"/>
  <c r="F80" i="32"/>
  <c r="F336" i="32" s="1"/>
  <c r="G80" i="32"/>
  <c r="G336" i="32" s="1"/>
  <c r="H223" i="32"/>
  <c r="H340" i="32" s="1"/>
  <c r="I223" i="32"/>
  <c r="I340" i="32" s="1"/>
  <c r="E223" i="32"/>
  <c r="F223" i="32"/>
  <c r="F340" i="32" s="1"/>
  <c r="G223" i="32"/>
  <c r="G340" i="32" s="1"/>
  <c r="E282" i="32"/>
  <c r="E797" i="67" s="1"/>
  <c r="F282" i="32"/>
  <c r="F797" i="67" s="1"/>
  <c r="I282" i="32"/>
  <c r="I797" i="67" s="1"/>
  <c r="G282" i="32"/>
  <c r="G797" i="67" s="1"/>
  <c r="H282" i="32"/>
  <c r="H797" i="67" s="1"/>
  <c r="C386" i="65"/>
  <c r="C405" i="65"/>
  <c r="F250" i="65"/>
  <c r="F403" i="65" s="1"/>
  <c r="F249" i="65"/>
  <c r="F397" i="65" s="1"/>
  <c r="F248" i="65"/>
  <c r="F391" i="65" s="1"/>
  <c r="F785" i="65"/>
  <c r="D390" i="65"/>
  <c r="L124" i="32" s="1"/>
  <c r="D393" i="65"/>
  <c r="F772" i="65"/>
  <c r="F655" i="65"/>
  <c r="F773" i="65" s="1"/>
  <c r="D402" i="65"/>
  <c r="L136" i="32" s="1"/>
  <c r="D405" i="65"/>
  <c r="C146" i="65"/>
  <c r="C365" i="65"/>
  <c r="C364" i="65"/>
  <c r="C358" i="65"/>
  <c r="C352" i="65"/>
  <c r="F385" i="65"/>
  <c r="E210" i="65"/>
  <c r="F715" i="65"/>
  <c r="F720" i="65"/>
  <c r="F710" i="65"/>
  <c r="F265" i="65"/>
  <c r="F373" i="65" s="1"/>
  <c r="E195" i="65"/>
  <c r="F266" i="65"/>
  <c r="F379" i="65" s="1"/>
  <c r="I60" i="32"/>
  <c r="G60" i="32"/>
  <c r="E60" i="32"/>
  <c r="F60" i="32"/>
  <c r="H60" i="32"/>
  <c r="F236" i="65"/>
  <c r="F384" i="65" s="1"/>
  <c r="F234" i="65"/>
  <c r="F372" i="65" s="1"/>
  <c r="F235" i="65"/>
  <c r="F378" i="65" s="1"/>
  <c r="F607" i="65"/>
  <c r="F608" i="65"/>
  <c r="F606" i="65"/>
  <c r="F591" i="65"/>
  <c r="F593" i="65"/>
  <c r="F592" i="65"/>
  <c r="F417" i="65"/>
  <c r="F419" i="65" s="1"/>
  <c r="F25" i="65"/>
  <c r="F42" i="65"/>
  <c r="F73" i="65" s="1"/>
  <c r="F27" i="65" s="1"/>
  <c r="C145" i="65"/>
  <c r="C138" i="65"/>
  <c r="C137" i="65"/>
  <c r="C183" i="65"/>
  <c r="C182" i="65"/>
  <c r="C187" i="65"/>
  <c r="C186" i="65"/>
  <c r="C142" i="65"/>
  <c r="C141" i="65"/>
  <c r="C179" i="65"/>
  <c r="C178" i="65"/>
  <c r="C106" i="65"/>
  <c r="C105" i="65"/>
  <c r="C102" i="65"/>
  <c r="C101" i="65"/>
  <c r="C97" i="65"/>
  <c r="C98" i="65"/>
  <c r="AA33" i="69" l="1"/>
  <c r="AA33" i="75"/>
  <c r="E217" i="31"/>
  <c r="E32" i="75"/>
  <c r="H580" i="67"/>
  <c r="H342" i="31" s="1"/>
  <c r="G1042" i="67"/>
  <c r="G1065" i="67" s="1"/>
  <c r="I1042" i="67"/>
  <c r="I1065" i="67" s="1"/>
  <c r="E1042" i="67"/>
  <c r="E1065" i="67" s="1"/>
  <c r="H1042" i="67"/>
  <c r="H1065" i="67" s="1"/>
  <c r="F1042" i="67"/>
  <c r="F1065" i="67" s="1"/>
  <c r="E597" i="67"/>
  <c r="G597" i="67"/>
  <c r="G343" i="31" s="1"/>
  <c r="H597" i="67"/>
  <c r="H343" i="31" s="1"/>
  <c r="F580" i="67"/>
  <c r="F342" i="31" s="1"/>
  <c r="I934" i="67"/>
  <c r="I957" i="67" s="1"/>
  <c r="E934" i="67"/>
  <c r="E957" i="67" s="1"/>
  <c r="G934" i="67"/>
  <c r="G957" i="67" s="1"/>
  <c r="F934" i="67"/>
  <c r="F957" i="67" s="1"/>
  <c r="H934" i="67"/>
  <c r="H957" i="67" s="1"/>
  <c r="I597" i="67"/>
  <c r="I343" i="31" s="1"/>
  <c r="E580" i="67"/>
  <c r="G988" i="67"/>
  <c r="G1011" i="67" s="1"/>
  <c r="I988" i="67"/>
  <c r="I1011" i="67" s="1"/>
  <c r="E988" i="67"/>
  <c r="E1011" i="67" s="1"/>
  <c r="H988" i="67"/>
  <c r="H1011" i="67" s="1"/>
  <c r="F988" i="67"/>
  <c r="F1011" i="67" s="1"/>
  <c r="G580" i="67"/>
  <c r="G342" i="31" s="1"/>
  <c r="F597" i="67"/>
  <c r="F343" i="31" s="1"/>
  <c r="I580" i="67"/>
  <c r="I342" i="31" s="1"/>
  <c r="AA32" i="69"/>
  <c r="F68" i="31"/>
  <c r="G68" i="31"/>
  <c r="I1402" i="67"/>
  <c r="H59" i="67"/>
  <c r="E59" i="67"/>
  <c r="E563" i="67" s="1"/>
  <c r="I59" i="67"/>
  <c r="G59" i="67"/>
  <c r="F59" i="67"/>
  <c r="AD24" i="75"/>
  <c r="AE24" i="75"/>
  <c r="AD22" i="75"/>
  <c r="AE22" i="75"/>
  <c r="AE23" i="75"/>
  <c r="AD23" i="75"/>
  <c r="AH11" i="66"/>
  <c r="F225" i="31"/>
  <c r="F226" i="31"/>
  <c r="AA23" i="69"/>
  <c r="E225" i="31"/>
  <c r="E226" i="31"/>
  <c r="F1488" i="67"/>
  <c r="G224" i="31"/>
  <c r="H224" i="31"/>
  <c r="I224" i="31"/>
  <c r="I36" i="32"/>
  <c r="G30" i="32"/>
  <c r="I48" i="32"/>
  <c r="E42" i="32"/>
  <c r="H1488" i="67"/>
  <c r="G1488" i="67"/>
  <c r="E1488" i="67"/>
  <c r="I1488" i="67"/>
  <c r="I80" i="31"/>
  <c r="G1453" i="67"/>
  <c r="I1453" i="67"/>
  <c r="I537" i="67"/>
  <c r="I223" i="31" s="1"/>
  <c r="F537" i="67"/>
  <c r="F223" i="31" s="1"/>
  <c r="G537" i="67"/>
  <c r="G223" i="31" s="1"/>
  <c r="F1453" i="67"/>
  <c r="E1453" i="67"/>
  <c r="E24" i="75"/>
  <c r="F24" i="75" s="1"/>
  <c r="E537" i="67"/>
  <c r="E33" i="75" s="1"/>
  <c r="F33" i="75" s="1"/>
  <c r="H1453" i="67"/>
  <c r="H537" i="67"/>
  <c r="H223" i="31" s="1"/>
  <c r="F1479" i="67"/>
  <c r="F337" i="31" s="1"/>
  <c r="G1479" i="67"/>
  <c r="G337" i="31" s="1"/>
  <c r="E1479" i="67"/>
  <c r="D399" i="65"/>
  <c r="I613" i="67"/>
  <c r="G528" i="67"/>
  <c r="I545" i="67"/>
  <c r="E32" i="66"/>
  <c r="E32" i="70"/>
  <c r="F528" i="67"/>
  <c r="F545" i="67"/>
  <c r="H1479" i="67"/>
  <c r="H337" i="31" s="1"/>
  <c r="H613" i="67"/>
  <c r="F613" i="67"/>
  <c r="E545" i="67"/>
  <c r="E33" i="69" s="1"/>
  <c r="E613" i="67"/>
  <c r="E340" i="32"/>
  <c r="AA21" i="75" s="1"/>
  <c r="H528" i="67"/>
  <c r="E1409" i="67"/>
  <c r="E1461" i="67"/>
  <c r="G545" i="67"/>
  <c r="I1461" i="67"/>
  <c r="I1409" i="67"/>
  <c r="H545" i="67"/>
  <c r="E67" i="31"/>
  <c r="AG32" i="66"/>
  <c r="I528" i="67"/>
  <c r="G1461" i="67"/>
  <c r="G1409" i="67"/>
  <c r="I1479" i="67"/>
  <c r="I337" i="31" s="1"/>
  <c r="G613" i="67"/>
  <c r="E528" i="67"/>
  <c r="E34" i="69" s="1"/>
  <c r="F1409" i="67"/>
  <c r="F1461" i="67"/>
  <c r="H1409" i="67"/>
  <c r="H1461" i="67"/>
  <c r="AF32" i="66"/>
  <c r="AA24" i="66"/>
  <c r="AA22" i="66"/>
  <c r="D371" i="65"/>
  <c r="L105" i="32" s="1"/>
  <c r="D374" i="65"/>
  <c r="D377" i="65"/>
  <c r="L111" i="32" s="1"/>
  <c r="D380" i="65"/>
  <c r="I30" i="31"/>
  <c r="D383" i="65"/>
  <c r="L117" i="32" s="1"/>
  <c r="D386" i="65"/>
  <c r="G260" i="31"/>
  <c r="F260" i="31"/>
  <c r="E260" i="31"/>
  <c r="H260" i="31"/>
  <c r="I260" i="31"/>
  <c r="F30" i="31"/>
  <c r="G279" i="31"/>
  <c r="F279" i="31"/>
  <c r="I279" i="31"/>
  <c r="E279" i="31"/>
  <c r="H279" i="31"/>
  <c r="I260" i="32"/>
  <c r="E260" i="32"/>
  <c r="AC33" i="75" s="1"/>
  <c r="AF33" i="75" s="1"/>
  <c r="F260" i="32"/>
  <c r="G260" i="32"/>
  <c r="H260" i="32"/>
  <c r="I279" i="32"/>
  <c r="E279" i="32"/>
  <c r="AD33" i="75" s="1"/>
  <c r="AG33" i="75" s="1"/>
  <c r="G279" i="32"/>
  <c r="H279" i="32"/>
  <c r="F279" i="32"/>
  <c r="H138" i="32"/>
  <c r="H1751" i="67" s="1"/>
  <c r="E138" i="32"/>
  <c r="E1751" i="67" s="1"/>
  <c r="G138" i="32"/>
  <c r="G1751" i="67" s="1"/>
  <c r="F138" i="32"/>
  <c r="F1751" i="67" s="1"/>
  <c r="I138" i="32"/>
  <c r="I1751" i="67" s="1"/>
  <c r="F116" i="32"/>
  <c r="I116" i="32"/>
  <c r="G116" i="32"/>
  <c r="E116" i="32"/>
  <c r="H116" i="32"/>
  <c r="F135" i="32"/>
  <c r="G135" i="32"/>
  <c r="I135" i="32"/>
  <c r="E135" i="32"/>
  <c r="H135" i="32"/>
  <c r="F79" i="32"/>
  <c r="F335" i="32" s="1"/>
  <c r="H79" i="32"/>
  <c r="H335" i="32" s="1"/>
  <c r="E79" i="32"/>
  <c r="AA33" i="66" s="1"/>
  <c r="G79" i="32"/>
  <c r="G335" i="32" s="1"/>
  <c r="I79" i="32"/>
  <c r="I335" i="32" s="1"/>
  <c r="H119" i="32"/>
  <c r="H1602" i="67" s="1"/>
  <c r="E119" i="32"/>
  <c r="E1602" i="67" s="1"/>
  <c r="I119" i="32"/>
  <c r="I1602" i="67" s="1"/>
  <c r="G119" i="32"/>
  <c r="G1602" i="67" s="1"/>
  <c r="F119" i="32"/>
  <c r="F1602" i="67" s="1"/>
  <c r="E31" i="65"/>
  <c r="E219" i="65"/>
  <c r="E218" i="65"/>
  <c r="E217" i="65"/>
  <c r="F771" i="65"/>
  <c r="F774" i="65"/>
  <c r="F787" i="65"/>
  <c r="F784" i="65"/>
  <c r="F765" i="65"/>
  <c r="F768" i="65"/>
  <c r="F793" i="65"/>
  <c r="F790" i="65"/>
  <c r="F305" i="65"/>
  <c r="F759" i="65"/>
  <c r="F762" i="65"/>
  <c r="F315" i="65"/>
  <c r="F781" i="65"/>
  <c r="F778" i="65"/>
  <c r="F310" i="65"/>
  <c r="F194" i="65"/>
  <c r="F195" i="65" s="1"/>
  <c r="E204" i="65"/>
  <c r="E205" i="65"/>
  <c r="E203" i="65"/>
  <c r="E30" i="65"/>
  <c r="F208" i="65"/>
  <c r="F209" i="65"/>
  <c r="F72" i="65"/>
  <c r="F74" i="65" s="1"/>
  <c r="C553" i="65"/>
  <c r="C754" i="65" s="1"/>
  <c r="C551" i="65"/>
  <c r="C552" i="65"/>
  <c r="C748" i="65" s="1"/>
  <c r="C475" i="65"/>
  <c r="C473" i="65"/>
  <c r="C474" i="65"/>
  <c r="C515" i="65"/>
  <c r="C753" i="65" s="1"/>
  <c r="C513" i="65"/>
  <c r="C514" i="65"/>
  <c r="C747" i="65" s="1"/>
  <c r="D63" i="43"/>
  <c r="E337" i="31" l="1"/>
  <c r="E23" i="70"/>
  <c r="E342" i="31"/>
  <c r="E23" i="69"/>
  <c r="F23" i="69" s="1"/>
  <c r="C797" i="65"/>
  <c r="C742" i="65"/>
  <c r="C799" i="65"/>
  <c r="C741" i="65"/>
  <c r="C798" i="65"/>
  <c r="F34" i="75"/>
  <c r="I67" i="31"/>
  <c r="I563" i="67"/>
  <c r="I341" i="31" s="1"/>
  <c r="F511" i="67"/>
  <c r="F563" i="67"/>
  <c r="F341" i="31" s="1"/>
  <c r="H511" i="67"/>
  <c r="H563" i="67"/>
  <c r="H341" i="31" s="1"/>
  <c r="G563" i="67"/>
  <c r="G341" i="31" s="1"/>
  <c r="H606" i="67"/>
  <c r="F1410" i="67"/>
  <c r="H1410" i="67"/>
  <c r="G1410" i="67"/>
  <c r="I511" i="67"/>
  <c r="G511" i="67"/>
  <c r="E511" i="67"/>
  <c r="E32" i="69" s="1"/>
  <c r="F34" i="69" s="1"/>
  <c r="F23" i="75"/>
  <c r="E22" i="75"/>
  <c r="F22" i="75" s="1"/>
  <c r="F32" i="75"/>
  <c r="AD21" i="75"/>
  <c r="AE21" i="75"/>
  <c r="AC21" i="66"/>
  <c r="F606" i="67"/>
  <c r="G606" i="67"/>
  <c r="AA22" i="69"/>
  <c r="I606" i="67"/>
  <c r="H48" i="32"/>
  <c r="E48" i="32"/>
  <c r="F48" i="32"/>
  <c r="G48" i="32"/>
  <c r="E24" i="66"/>
  <c r="F24" i="66" s="1"/>
  <c r="AA24" i="70"/>
  <c r="I1436" i="67"/>
  <c r="H1436" i="67"/>
  <c r="H80" i="31"/>
  <c r="E223" i="31"/>
  <c r="F1436" i="67"/>
  <c r="F80" i="31"/>
  <c r="E80" i="31"/>
  <c r="E1436" i="67"/>
  <c r="AA33" i="70" s="1"/>
  <c r="AA24" i="69"/>
  <c r="E606" i="67"/>
  <c r="E21" i="75" s="1"/>
  <c r="F21" i="75" s="1"/>
  <c r="G80" i="31"/>
  <c r="G1436" i="67"/>
  <c r="I42" i="32"/>
  <c r="G42" i="32"/>
  <c r="F42" i="32"/>
  <c r="H42" i="32"/>
  <c r="E36" i="32"/>
  <c r="H36" i="32"/>
  <c r="AD33" i="66"/>
  <c r="AG33" i="66" s="1"/>
  <c r="AC33" i="66"/>
  <c r="AF33" i="66" s="1"/>
  <c r="E24" i="69"/>
  <c r="E341" i="31"/>
  <c r="E22" i="69"/>
  <c r="E335" i="32"/>
  <c r="AE22" i="66"/>
  <c r="AD22" i="66"/>
  <c r="AE24" i="66"/>
  <c r="AD24" i="66"/>
  <c r="I1410" i="67"/>
  <c r="E343" i="31"/>
  <c r="E614" i="67"/>
  <c r="F36" i="32"/>
  <c r="G36" i="32"/>
  <c r="H30" i="32"/>
  <c r="G30" i="31"/>
  <c r="E30" i="32"/>
  <c r="H30" i="31"/>
  <c r="F30" i="32"/>
  <c r="I111" i="32"/>
  <c r="I1531" i="67" s="1"/>
  <c r="I30" i="32"/>
  <c r="H117" i="32"/>
  <c r="H1541" i="67" s="1"/>
  <c r="I136" i="32"/>
  <c r="I1690" i="67" s="1"/>
  <c r="E136" i="32"/>
  <c r="E1690" i="67" s="1"/>
  <c r="G136" i="32"/>
  <c r="G1690" i="67" s="1"/>
  <c r="F136" i="32"/>
  <c r="F1690" i="67" s="1"/>
  <c r="H136" i="32"/>
  <c r="H1690" i="67" s="1"/>
  <c r="E402" i="65"/>
  <c r="E405" i="65"/>
  <c r="E130" i="32"/>
  <c r="E1680" i="67" s="1"/>
  <c r="G130" i="32"/>
  <c r="G1680" i="67" s="1"/>
  <c r="F130" i="32"/>
  <c r="F1680" i="67" s="1"/>
  <c r="H130" i="32"/>
  <c r="H1680" i="67" s="1"/>
  <c r="I130" i="32"/>
  <c r="I1680" i="67" s="1"/>
  <c r="E390" i="65"/>
  <c r="E393" i="65"/>
  <c r="E396" i="65"/>
  <c r="E399" i="65"/>
  <c r="I124" i="32"/>
  <c r="I1670" i="67" s="1"/>
  <c r="G124" i="32"/>
  <c r="G1670" i="67" s="1"/>
  <c r="F124" i="32"/>
  <c r="F1670" i="67" s="1"/>
  <c r="H124" i="32"/>
  <c r="H1670" i="67" s="1"/>
  <c r="E124" i="32"/>
  <c r="E1670" i="67" s="1"/>
  <c r="C740" i="65"/>
  <c r="E386" i="65"/>
  <c r="E383" i="65"/>
  <c r="C752" i="65"/>
  <c r="E380" i="65"/>
  <c r="E377" i="65"/>
  <c r="I105" i="32"/>
  <c r="I1521" i="67" s="1"/>
  <c r="G105" i="32"/>
  <c r="G1521" i="67" s="1"/>
  <c r="E105" i="32"/>
  <c r="E1521" i="67" s="1"/>
  <c r="F105" i="32"/>
  <c r="F1521" i="67" s="1"/>
  <c r="H105" i="32"/>
  <c r="H1521" i="67" s="1"/>
  <c r="F204" i="65"/>
  <c r="C746" i="65"/>
  <c r="E374" i="65"/>
  <c r="E371" i="65"/>
  <c r="F205" i="65"/>
  <c r="F30" i="65"/>
  <c r="F203" i="65"/>
  <c r="F210" i="65"/>
  <c r="C536" i="65"/>
  <c r="C538" i="65" s="1"/>
  <c r="C537" i="65"/>
  <c r="C571" i="65"/>
  <c r="C570" i="65"/>
  <c r="C529" i="65"/>
  <c r="C528" i="65"/>
  <c r="C567" i="65"/>
  <c r="C566" i="65"/>
  <c r="C532" i="65"/>
  <c r="C533" i="65"/>
  <c r="C574" i="65"/>
  <c r="C575" i="65"/>
  <c r="C489" i="65"/>
  <c r="C488" i="65"/>
  <c r="C497" i="65"/>
  <c r="C496" i="65"/>
  <c r="C493" i="65"/>
  <c r="C492" i="65"/>
  <c r="D163" i="65"/>
  <c r="L157" i="32" s="1"/>
  <c r="D162" i="65"/>
  <c r="L151" i="32" s="1"/>
  <c r="D161" i="65"/>
  <c r="D124" i="65"/>
  <c r="L156" i="32" s="1"/>
  <c r="D123" i="65"/>
  <c r="L150" i="32" s="1"/>
  <c r="D122" i="65"/>
  <c r="C534" i="65" l="1"/>
  <c r="C530" i="65"/>
  <c r="L144" i="32"/>
  <c r="D804" i="65"/>
  <c r="L145" i="32"/>
  <c r="D805" i="65"/>
  <c r="F33" i="69"/>
  <c r="I79" i="31"/>
  <c r="G79" i="31"/>
  <c r="H79" i="31"/>
  <c r="F79" i="31"/>
  <c r="G614" i="67"/>
  <c r="G340" i="31" s="1"/>
  <c r="E1410" i="67"/>
  <c r="F614" i="67"/>
  <c r="F340" i="31" s="1"/>
  <c r="I614" i="67"/>
  <c r="I340" i="31" s="1"/>
  <c r="H614" i="67"/>
  <c r="H340" i="31" s="1"/>
  <c r="AB21" i="66"/>
  <c r="AF34" i="75"/>
  <c r="AA21" i="66"/>
  <c r="AE21" i="66" s="1"/>
  <c r="F22" i="69"/>
  <c r="F24" i="69"/>
  <c r="E79" i="31"/>
  <c r="E33" i="66"/>
  <c r="E33" i="70"/>
  <c r="F32" i="69"/>
  <c r="AA21" i="69"/>
  <c r="E340" i="31"/>
  <c r="E21" i="69"/>
  <c r="O142" i="32"/>
  <c r="N142" i="32"/>
  <c r="N154" i="32"/>
  <c r="O148" i="32"/>
  <c r="N148" i="32"/>
  <c r="O154" i="32"/>
  <c r="AF34" i="66"/>
  <c r="H111" i="32"/>
  <c r="H1531" i="67" s="1"/>
  <c r="E111" i="32"/>
  <c r="E1531" i="67" s="1"/>
  <c r="F111" i="32"/>
  <c r="F1531" i="67" s="1"/>
  <c r="F117" i="32"/>
  <c r="F1541" i="67" s="1"/>
  <c r="G111" i="32"/>
  <c r="G1531" i="67" s="1"/>
  <c r="G117" i="32"/>
  <c r="G1541" i="67" s="1"/>
  <c r="E117" i="32"/>
  <c r="E1541" i="67" s="1"/>
  <c r="I117" i="32"/>
  <c r="I1541" i="67" s="1"/>
  <c r="D360" i="65"/>
  <c r="L94" i="32" s="1"/>
  <c r="D354" i="65"/>
  <c r="L88" i="32" s="1"/>
  <c r="D353" i="65"/>
  <c r="L87" i="32" s="1"/>
  <c r="D359" i="65"/>
  <c r="L93" i="32" s="1"/>
  <c r="D366" i="65"/>
  <c r="L100" i="32" s="1"/>
  <c r="D365" i="65"/>
  <c r="L99" i="32" s="1"/>
  <c r="F31" i="65"/>
  <c r="F219" i="65"/>
  <c r="F218" i="65"/>
  <c r="F217" i="65"/>
  <c r="F383" i="65"/>
  <c r="F386" i="65"/>
  <c r="F377" i="65"/>
  <c r="F380" i="65"/>
  <c r="F371" i="65"/>
  <c r="F374" i="65"/>
  <c r="D142" i="65"/>
  <c r="D141" i="65"/>
  <c r="D187" i="65"/>
  <c r="D186" i="65"/>
  <c r="D145" i="65"/>
  <c r="D146" i="65"/>
  <c r="D179" i="65"/>
  <c r="D178" i="65"/>
  <c r="D137" i="65"/>
  <c r="D138" i="65"/>
  <c r="D182" i="65"/>
  <c r="D183" i="65"/>
  <c r="E124" i="65"/>
  <c r="E365" i="65" s="1"/>
  <c r="E123" i="65"/>
  <c r="E359" i="65" s="1"/>
  <c r="E122" i="65"/>
  <c r="E163" i="65"/>
  <c r="E366" i="65" s="1"/>
  <c r="E162" i="65"/>
  <c r="E360" i="65" s="1"/>
  <c r="E161" i="65"/>
  <c r="D35" i="43"/>
  <c r="D34" i="43"/>
  <c r="D33" i="43"/>
  <c r="D32" i="43"/>
  <c r="A458" i="77"/>
  <c r="A457" i="77"/>
  <c r="E354" i="65" l="1"/>
  <c r="E805" i="65"/>
  <c r="E353" i="65"/>
  <c r="E804" i="65"/>
  <c r="C1950" i="67"/>
  <c r="C1949" i="67"/>
  <c r="A1069" i="67"/>
  <c r="B429" i="31"/>
  <c r="Y37" i="57"/>
  <c r="B3037" i="67"/>
  <c r="B3032" i="67"/>
  <c r="B428" i="32"/>
  <c r="G33" i="73"/>
  <c r="B1857" i="67"/>
  <c r="B1874" i="67"/>
  <c r="B1871" i="67"/>
  <c r="B1860" i="67"/>
  <c r="Y37" i="56"/>
  <c r="Y37" i="55"/>
  <c r="Y37" i="62"/>
  <c r="Y37" i="63"/>
  <c r="A906" i="67"/>
  <c r="X37" i="57"/>
  <c r="B3022" i="67"/>
  <c r="B428" i="31"/>
  <c r="B3027" i="67"/>
  <c r="B33" i="73"/>
  <c r="B1859" i="67"/>
  <c r="B1870" i="67"/>
  <c r="B1873" i="67"/>
  <c r="B1856" i="67"/>
  <c r="X37" i="63"/>
  <c r="X37" i="56"/>
  <c r="X37" i="55"/>
  <c r="X37" i="62"/>
  <c r="A1232" i="67"/>
  <c r="Z37" i="57"/>
  <c r="B3047" i="67"/>
  <c r="B3042" i="67"/>
  <c r="B429" i="32"/>
  <c r="B430" i="31"/>
  <c r="L33" i="73"/>
  <c r="B1861" i="67"/>
  <c r="B1875" i="67"/>
  <c r="B1872" i="67"/>
  <c r="B1858" i="67"/>
  <c r="Z37" i="55"/>
  <c r="Z37" i="62"/>
  <c r="Z37" i="63"/>
  <c r="Z37" i="56"/>
  <c r="A3021" i="67"/>
  <c r="A33" i="73"/>
  <c r="AD21" i="66"/>
  <c r="A390" i="31"/>
  <c r="A382" i="31"/>
  <c r="A386" i="32"/>
  <c r="A386" i="31"/>
  <c r="A390" i="32"/>
  <c r="A382" i="32"/>
  <c r="A11" i="73"/>
  <c r="A1972" i="67"/>
  <c r="A2335" i="67"/>
  <c r="A1979" i="67"/>
  <c r="B2438" i="67"/>
  <c r="B2337" i="67"/>
  <c r="B1931" i="67"/>
  <c r="B1930" i="67"/>
  <c r="B286" i="65"/>
  <c r="B1939" i="67"/>
  <c r="B1938" i="67"/>
  <c r="A2099" i="67"/>
  <c r="C397" i="31"/>
  <c r="B382" i="31"/>
  <c r="C8" i="57"/>
  <c r="B2041" i="67"/>
  <c r="B2027" i="67"/>
  <c r="B11" i="73"/>
  <c r="C1972" i="67"/>
  <c r="C1979" i="67"/>
  <c r="A2085" i="67"/>
  <c r="B2470" i="67"/>
  <c r="B2369" i="67"/>
  <c r="B1940" i="67"/>
  <c r="B291" i="65"/>
  <c r="B1932" i="67"/>
  <c r="A2104" i="67"/>
  <c r="C398" i="31"/>
  <c r="C398" i="32"/>
  <c r="B386" i="32"/>
  <c r="B2030" i="67"/>
  <c r="B386" i="31"/>
  <c r="B2044" i="67"/>
  <c r="G11" i="73"/>
  <c r="C1980" i="67"/>
  <c r="A2090" i="67"/>
  <c r="C1973" i="67"/>
  <c r="B2502" i="67"/>
  <c r="B2401" i="67"/>
  <c r="B1933" i="67"/>
  <c r="B1941" i="67"/>
  <c r="B296" i="65"/>
  <c r="C399" i="31"/>
  <c r="C399" i="32"/>
  <c r="A2109" i="67"/>
  <c r="B390" i="31"/>
  <c r="B2033" i="67"/>
  <c r="L11" i="73"/>
  <c r="B390" i="32"/>
  <c r="B2047" i="67"/>
  <c r="C1974" i="67"/>
  <c r="C1981" i="67"/>
  <c r="A2095" i="67"/>
  <c r="F21" i="69"/>
  <c r="B124" i="37"/>
  <c r="C23" i="70"/>
  <c r="C13" i="70"/>
  <c r="B141" i="37"/>
  <c r="C24" i="70"/>
  <c r="C14" i="70"/>
  <c r="A1971" i="67"/>
  <c r="A1978" i="67"/>
  <c r="A1929" i="67"/>
  <c r="A1849" i="67"/>
  <c r="B106" i="37"/>
  <c r="C21" i="70"/>
  <c r="C11" i="70"/>
  <c r="B107" i="37"/>
  <c r="C12" i="70"/>
  <c r="C22" i="70"/>
  <c r="C23" i="66"/>
  <c r="C13" i="66"/>
  <c r="C14" i="66"/>
  <c r="C24" i="66"/>
  <c r="C12" i="66"/>
  <c r="C22" i="66"/>
  <c r="C11" i="66"/>
  <c r="C21" i="66"/>
  <c r="B1483" i="67"/>
  <c r="B1783" i="67"/>
  <c r="Z37" i="61"/>
  <c r="A151" i="31"/>
  <c r="A126" i="31"/>
  <c r="A107" i="31"/>
  <c r="A88" i="31"/>
  <c r="A63" i="31"/>
  <c r="A57" i="31"/>
  <c r="A51" i="31"/>
  <c r="A45" i="31"/>
  <c r="A138" i="31"/>
  <c r="A119" i="31"/>
  <c r="A100" i="31"/>
  <c r="A76" i="31"/>
  <c r="A26" i="31"/>
  <c r="A20" i="31"/>
  <c r="A151" i="32"/>
  <c r="A82" i="31"/>
  <c r="A39" i="31"/>
  <c r="A157" i="32"/>
  <c r="A132" i="32"/>
  <c r="A119" i="32"/>
  <c r="A94" i="32"/>
  <c r="A88" i="32"/>
  <c r="A157" i="31"/>
  <c r="A70" i="31"/>
  <c r="A145" i="32"/>
  <c r="A126" i="32"/>
  <c r="A113" i="32"/>
  <c r="A107" i="32"/>
  <c r="A145" i="31"/>
  <c r="A33" i="31"/>
  <c r="A132" i="31"/>
  <c r="A113" i="31"/>
  <c r="A94" i="31"/>
  <c r="A138" i="32"/>
  <c r="A100" i="32"/>
  <c r="A82" i="32"/>
  <c r="A76" i="32"/>
  <c r="A70" i="32"/>
  <c r="B385" i="65"/>
  <c r="B360" i="65"/>
  <c r="A63" i="32"/>
  <c r="A57" i="32"/>
  <c r="A20" i="32"/>
  <c r="B58" i="65"/>
  <c r="B398" i="65"/>
  <c r="B373" i="65"/>
  <c r="B309" i="65"/>
  <c r="B253" i="65"/>
  <c r="A39" i="32"/>
  <c r="A26" i="32"/>
  <c r="B379" i="65"/>
  <c r="B314" i="65"/>
  <c r="A45" i="32"/>
  <c r="A33" i="32"/>
  <c r="B392" i="65"/>
  <c r="B366" i="65"/>
  <c r="B304" i="65"/>
  <c r="A51" i="32"/>
  <c r="B404" i="65"/>
  <c r="B354" i="65"/>
  <c r="A1501" i="67"/>
  <c r="A905" i="67"/>
  <c r="A142" i="31"/>
  <c r="A79" i="31"/>
  <c r="A36" i="31"/>
  <c r="A30" i="31"/>
  <c r="A154" i="32"/>
  <c r="A154" i="31"/>
  <c r="A129" i="31"/>
  <c r="A110" i="31"/>
  <c r="A91" i="31"/>
  <c r="A67" i="31"/>
  <c r="A142" i="32"/>
  <c r="A73" i="31"/>
  <c r="A17" i="31"/>
  <c r="A148" i="32"/>
  <c r="A123" i="32"/>
  <c r="A110" i="32"/>
  <c r="A104" i="32"/>
  <c r="A148" i="31"/>
  <c r="A60" i="31"/>
  <c r="A48" i="31"/>
  <c r="A135" i="31"/>
  <c r="A116" i="31"/>
  <c r="A97" i="31"/>
  <c r="A23" i="31"/>
  <c r="A135" i="32"/>
  <c r="A97" i="32"/>
  <c r="A79" i="32"/>
  <c r="A73" i="32"/>
  <c r="A67" i="32"/>
  <c r="A123" i="31"/>
  <c r="A104" i="31"/>
  <c r="A85" i="31"/>
  <c r="A54" i="31"/>
  <c r="A42" i="31"/>
  <c r="A129" i="32"/>
  <c r="A91" i="32"/>
  <c r="A116" i="32"/>
  <c r="A85" i="32"/>
  <c r="A17" i="32"/>
  <c r="A36" i="32"/>
  <c r="A54" i="32"/>
  <c r="A42" i="32"/>
  <c r="A30" i="32"/>
  <c r="A48" i="32"/>
  <c r="A23" i="32"/>
  <c r="A60" i="32"/>
  <c r="B1761" i="67"/>
  <c r="B1449" i="67"/>
  <c r="A136" i="31"/>
  <c r="A117" i="31"/>
  <c r="A98" i="31"/>
  <c r="A74" i="31"/>
  <c r="A24" i="31"/>
  <c r="A18" i="31"/>
  <c r="X37" i="61"/>
  <c r="A149" i="31"/>
  <c r="A124" i="31"/>
  <c r="A105" i="31"/>
  <c r="A86" i="31"/>
  <c r="A61" i="31"/>
  <c r="A55" i="31"/>
  <c r="A49" i="31"/>
  <c r="A43" i="31"/>
  <c r="A130" i="31"/>
  <c r="A111" i="31"/>
  <c r="A92" i="31"/>
  <c r="A80" i="31"/>
  <c r="A37" i="31"/>
  <c r="A155" i="31"/>
  <c r="A68" i="31"/>
  <c r="A143" i="31"/>
  <c r="A31" i="31"/>
  <c r="B396" i="65"/>
  <c r="B371" i="65"/>
  <c r="B307" i="65"/>
  <c r="B34" i="65"/>
  <c r="B383" i="65"/>
  <c r="B358" i="65"/>
  <c r="B390" i="65"/>
  <c r="B364" i="65"/>
  <c r="B302" i="65"/>
  <c r="B191" i="65"/>
  <c r="B402" i="65"/>
  <c r="B377" i="65"/>
  <c r="B352" i="65"/>
  <c r="B312" i="65"/>
  <c r="B1772" i="67"/>
  <c r="B1466" i="67"/>
  <c r="A156" i="31"/>
  <c r="A131" i="31"/>
  <c r="A112" i="31"/>
  <c r="A93" i="31"/>
  <c r="A69" i="31"/>
  <c r="A144" i="32"/>
  <c r="A144" i="31"/>
  <c r="A81" i="31"/>
  <c r="A38" i="31"/>
  <c r="A32" i="31"/>
  <c r="A156" i="32"/>
  <c r="A150" i="31"/>
  <c r="A62" i="31"/>
  <c r="A50" i="31"/>
  <c r="A137" i="32"/>
  <c r="A99" i="32"/>
  <c r="A81" i="32"/>
  <c r="A75" i="32"/>
  <c r="A69" i="32"/>
  <c r="A137" i="31"/>
  <c r="A118" i="31"/>
  <c r="A99" i="31"/>
  <c r="A25" i="31"/>
  <c r="A131" i="32"/>
  <c r="A118" i="32"/>
  <c r="A93" i="32"/>
  <c r="A87" i="32"/>
  <c r="Y37" i="61"/>
  <c r="A125" i="31"/>
  <c r="A106" i="31"/>
  <c r="A87" i="31"/>
  <c r="A56" i="31"/>
  <c r="A44" i="31"/>
  <c r="A125" i="32"/>
  <c r="A112" i="32"/>
  <c r="A106" i="32"/>
  <c r="A75" i="31"/>
  <c r="A19" i="31"/>
  <c r="A150" i="32"/>
  <c r="B403" i="65"/>
  <c r="B378" i="65"/>
  <c r="B353" i="65"/>
  <c r="B313" i="65"/>
  <c r="A38" i="32"/>
  <c r="A25" i="32"/>
  <c r="B365" i="65"/>
  <c r="A19" i="32"/>
  <c r="B397" i="65"/>
  <c r="B372" i="65"/>
  <c r="A50" i="32"/>
  <c r="B384" i="65"/>
  <c r="B359" i="65"/>
  <c r="A62" i="32"/>
  <c r="A56" i="32"/>
  <c r="B222" i="65"/>
  <c r="A44" i="32"/>
  <c r="A32" i="32"/>
  <c r="B391" i="65"/>
  <c r="B303" i="65"/>
  <c r="B46" i="65"/>
  <c r="B308" i="65"/>
  <c r="G87" i="32"/>
  <c r="H100" i="32"/>
  <c r="F99" i="32"/>
  <c r="H88" i="32"/>
  <c r="I150" i="32"/>
  <c r="F150" i="32"/>
  <c r="E150" i="32"/>
  <c r="V16" i="62" s="1"/>
  <c r="G150" i="32"/>
  <c r="H150" i="32"/>
  <c r="E151" i="32"/>
  <c r="V16" i="63" s="1"/>
  <c r="F151" i="32"/>
  <c r="G151" i="32"/>
  <c r="H151" i="32"/>
  <c r="I151" i="32"/>
  <c r="H156" i="32"/>
  <c r="F156" i="32"/>
  <c r="I156" i="32"/>
  <c r="G156" i="32"/>
  <c r="E156" i="32"/>
  <c r="V14" i="62" s="1"/>
  <c r="I157" i="32"/>
  <c r="F157" i="32"/>
  <c r="H157" i="32"/>
  <c r="G157" i="32"/>
  <c r="E157" i="32"/>
  <c r="V14" i="63" s="1"/>
  <c r="G145" i="32"/>
  <c r="H145" i="32"/>
  <c r="F145" i="32"/>
  <c r="E145" i="32"/>
  <c r="V12" i="63" s="1"/>
  <c r="I145" i="32"/>
  <c r="I144" i="32"/>
  <c r="G144" i="32"/>
  <c r="H144" i="32"/>
  <c r="F144" i="32"/>
  <c r="E144" i="32"/>
  <c r="V12" i="62" s="1"/>
  <c r="F390" i="65"/>
  <c r="F393" i="65"/>
  <c r="F396" i="65"/>
  <c r="F399" i="65"/>
  <c r="F402" i="65"/>
  <c r="F405" i="65"/>
  <c r="I100" i="32"/>
  <c r="H93" i="32"/>
  <c r="I93" i="32"/>
  <c r="G93" i="32"/>
  <c r="E93" i="32"/>
  <c r="F93" i="32"/>
  <c r="F94" i="32"/>
  <c r="H94" i="32"/>
  <c r="G94" i="32"/>
  <c r="E94" i="32"/>
  <c r="I94" i="32"/>
  <c r="B149" i="65"/>
  <c r="C8" i="62"/>
  <c r="B110" i="65"/>
  <c r="B71" i="65"/>
  <c r="C6" i="56"/>
  <c r="B23" i="65"/>
  <c r="E187" i="65"/>
  <c r="E186" i="65"/>
  <c r="E138" i="65"/>
  <c r="E137" i="65"/>
  <c r="E142" i="65"/>
  <c r="E141" i="65"/>
  <c r="E179" i="65"/>
  <c r="E178" i="65"/>
  <c r="E146" i="65"/>
  <c r="E145" i="65"/>
  <c r="E183" i="65"/>
  <c r="E182" i="65"/>
  <c r="F163" i="65"/>
  <c r="F366" i="65" s="1"/>
  <c r="F162" i="65"/>
  <c r="F360" i="65" s="1"/>
  <c r="F161" i="65"/>
  <c r="F124" i="65"/>
  <c r="F365" i="65" s="1"/>
  <c r="F123" i="65"/>
  <c r="F359" i="65" s="1"/>
  <c r="F122" i="65"/>
  <c r="C8" i="56"/>
  <c r="C8" i="61"/>
  <c r="C6" i="63"/>
  <c r="C8" i="63"/>
  <c r="C6" i="61"/>
  <c r="C6" i="57"/>
  <c r="C6" i="62"/>
  <c r="C6" i="55"/>
  <c r="C8" i="55"/>
  <c r="I21" i="37"/>
  <c r="H21" i="37"/>
  <c r="G21" i="37"/>
  <c r="F21" i="37"/>
  <c r="E21" i="37"/>
  <c r="I20" i="37"/>
  <c r="H20" i="37"/>
  <c r="G20" i="37"/>
  <c r="F20" i="37"/>
  <c r="E20" i="37"/>
  <c r="I19" i="37"/>
  <c r="I1" i="67" s="1"/>
  <c r="H19" i="37"/>
  <c r="H1" i="67" s="1"/>
  <c r="G19" i="37"/>
  <c r="G1" i="67" s="1"/>
  <c r="F19" i="37"/>
  <c r="F1" i="67" s="1"/>
  <c r="E19" i="37"/>
  <c r="E1" i="67" s="1"/>
  <c r="F353" i="65" l="1"/>
  <c r="F804" i="65"/>
  <c r="F354" i="65"/>
  <c r="F805" i="65"/>
  <c r="G1291" i="67"/>
  <c r="G1296" i="67" s="1"/>
  <c r="G1297" i="67" s="1"/>
  <c r="G1301" i="67"/>
  <c r="G1307" i="67" s="1"/>
  <c r="E1128" i="67"/>
  <c r="E1133" i="67" s="1"/>
  <c r="E1134" i="67" s="1"/>
  <c r="E1138" i="67"/>
  <c r="E1144" i="67" s="1"/>
  <c r="I1355" i="67"/>
  <c r="I1361" i="67" s="1"/>
  <c r="I1345" i="67"/>
  <c r="I1350" i="67" s="1"/>
  <c r="I1351" i="67" s="1"/>
  <c r="G1084" i="67"/>
  <c r="G1090" i="67" s="1"/>
  <c r="G1074" i="67"/>
  <c r="G1079" i="67" s="1"/>
  <c r="G1080" i="67" s="1"/>
  <c r="H1301" i="67"/>
  <c r="H1307" i="67" s="1"/>
  <c r="H1291" i="67"/>
  <c r="H1296" i="67" s="1"/>
  <c r="H1297" i="67" s="1"/>
  <c r="G1138" i="67"/>
  <c r="G1144" i="67" s="1"/>
  <c r="G1128" i="67"/>
  <c r="G1133" i="67" s="1"/>
  <c r="G1134" i="67" s="1"/>
  <c r="H1247" i="67"/>
  <c r="H1253" i="67" s="1"/>
  <c r="H1237" i="67"/>
  <c r="H1242" i="67" s="1"/>
  <c r="H1243" i="67" s="1"/>
  <c r="I1301" i="67"/>
  <c r="I1307" i="67" s="1"/>
  <c r="I1291" i="67"/>
  <c r="I1296" i="67" s="1"/>
  <c r="I1297" i="67" s="1"/>
  <c r="F1291" i="67"/>
  <c r="F1296" i="67" s="1"/>
  <c r="F1297" i="67" s="1"/>
  <c r="F1301" i="67"/>
  <c r="F1307" i="67" s="1"/>
  <c r="I1128" i="67"/>
  <c r="I1133" i="67" s="1"/>
  <c r="I1134" i="67" s="1"/>
  <c r="I1138" i="67"/>
  <c r="I1144" i="67" s="1"/>
  <c r="F1192" i="67"/>
  <c r="F1198" i="67" s="1"/>
  <c r="F1182" i="67"/>
  <c r="F1187" i="67" s="1"/>
  <c r="F1188" i="67" s="1"/>
  <c r="E1301" i="67"/>
  <c r="E1307" i="67" s="1"/>
  <c r="E1291" i="67"/>
  <c r="E1296" i="67" s="1"/>
  <c r="E1297" i="67" s="1"/>
  <c r="F1138" i="67"/>
  <c r="F1144" i="67" s="1"/>
  <c r="F1128" i="67"/>
  <c r="F1133" i="67" s="1"/>
  <c r="F1134" i="67" s="1"/>
  <c r="H1128" i="67"/>
  <c r="H1133" i="67" s="1"/>
  <c r="H1134" i="67" s="1"/>
  <c r="H1138" i="67"/>
  <c r="H1144" i="67" s="1"/>
  <c r="H1355" i="67"/>
  <c r="H1361" i="67" s="1"/>
  <c r="H1345" i="67"/>
  <c r="H1350" i="67" s="1"/>
  <c r="H1351" i="67" s="1"/>
  <c r="I87" i="32"/>
  <c r="G100" i="32"/>
  <c r="E100" i="32"/>
  <c r="F87" i="32"/>
  <c r="E87" i="32"/>
  <c r="H87" i="32"/>
  <c r="E99" i="32"/>
  <c r="E88" i="32"/>
  <c r="I88" i="32"/>
  <c r="F100" i="32"/>
  <c r="F88" i="32"/>
  <c r="G88" i="32"/>
  <c r="G99" i="32"/>
  <c r="I99" i="32"/>
  <c r="H99" i="32"/>
  <c r="F142" i="65"/>
  <c r="F141" i="65"/>
  <c r="F187" i="65"/>
  <c r="F186" i="65"/>
  <c r="F146" i="65"/>
  <c r="F145" i="65"/>
  <c r="F179" i="65"/>
  <c r="F178" i="65"/>
  <c r="F138" i="65"/>
  <c r="F137" i="65"/>
  <c r="F183" i="65"/>
  <c r="F182" i="65"/>
  <c r="E18" i="33"/>
  <c r="K28" i="28"/>
  <c r="F1237" i="67" l="1"/>
  <c r="F1242" i="67" s="1"/>
  <c r="F1243" i="67" s="1"/>
  <c r="F1247" i="67"/>
  <c r="F1253" i="67" s="1"/>
  <c r="I1328" i="67"/>
  <c r="I1334" i="67" s="1"/>
  <c r="I1335" i="67" s="1"/>
  <c r="I1308" i="67"/>
  <c r="I1311" i="67" s="1"/>
  <c r="I2413" i="67" s="1"/>
  <c r="G1237" i="67"/>
  <c r="G1242" i="67" s="1"/>
  <c r="G1243" i="67" s="1"/>
  <c r="G1247" i="67"/>
  <c r="G1253" i="67" s="1"/>
  <c r="E1247" i="67"/>
  <c r="E1253" i="67" s="1"/>
  <c r="E1237" i="67"/>
  <c r="E1242" i="67" s="1"/>
  <c r="E1243" i="67" s="1"/>
  <c r="F1074" i="67"/>
  <c r="F1079" i="67" s="1"/>
  <c r="F1080" i="67" s="1"/>
  <c r="F1084" i="67"/>
  <c r="F1090" i="67" s="1"/>
  <c r="H1165" i="67"/>
  <c r="H1171" i="67" s="1"/>
  <c r="H1172" i="67" s="1"/>
  <c r="H1145" i="67"/>
  <c r="H1148" i="67" s="1"/>
  <c r="H2381" i="67" s="1"/>
  <c r="I1165" i="67"/>
  <c r="I1171" i="67" s="1"/>
  <c r="I1172" i="67" s="1"/>
  <c r="I1145" i="67"/>
  <c r="I1148" i="67" s="1"/>
  <c r="I2381" i="67" s="1"/>
  <c r="E1165" i="67"/>
  <c r="E1171" i="67" s="1"/>
  <c r="E1172" i="67" s="1"/>
  <c r="E1145" i="67"/>
  <c r="E1148" i="67" s="1"/>
  <c r="E2381" i="67" s="1"/>
  <c r="H1182" i="67"/>
  <c r="H1187" i="67" s="1"/>
  <c r="H1188" i="67" s="1"/>
  <c r="H1192" i="67"/>
  <c r="H1198" i="67" s="1"/>
  <c r="E1182" i="67"/>
  <c r="E1187" i="67" s="1"/>
  <c r="E1188" i="67" s="1"/>
  <c r="E1192" i="67"/>
  <c r="E1198" i="67" s="1"/>
  <c r="E1355" i="67"/>
  <c r="E1361" i="67" s="1"/>
  <c r="E1345" i="67"/>
  <c r="E1350" i="67" s="1"/>
  <c r="E1351" i="67" s="1"/>
  <c r="G1165" i="67"/>
  <c r="G1171" i="67" s="1"/>
  <c r="G1172" i="67" s="1"/>
  <c r="G1145" i="67"/>
  <c r="G1148" i="67" s="1"/>
  <c r="G2381" i="67" s="1"/>
  <c r="I1182" i="67"/>
  <c r="I1187" i="67" s="1"/>
  <c r="I1188" i="67" s="1"/>
  <c r="I1192" i="67"/>
  <c r="I1198" i="67" s="1"/>
  <c r="H1084" i="67"/>
  <c r="H1090" i="67" s="1"/>
  <c r="H1074" i="67"/>
  <c r="H1079" i="67" s="1"/>
  <c r="H1080" i="67" s="1"/>
  <c r="G1345" i="67"/>
  <c r="G1350" i="67" s="1"/>
  <c r="G1351" i="67" s="1"/>
  <c r="G1355" i="67"/>
  <c r="G1361" i="67" s="1"/>
  <c r="F1328" i="67"/>
  <c r="F1334" i="67" s="1"/>
  <c r="F1335" i="67" s="1"/>
  <c r="F1308" i="67"/>
  <c r="F1311" i="67" s="1"/>
  <c r="F2413" i="67" s="1"/>
  <c r="G1328" i="67"/>
  <c r="G1334" i="67" s="1"/>
  <c r="G1335" i="67" s="1"/>
  <c r="G1308" i="67"/>
  <c r="G1311" i="67" s="1"/>
  <c r="G2413" i="67" s="1"/>
  <c r="E1328" i="67"/>
  <c r="E1334" i="67" s="1"/>
  <c r="E1335" i="67" s="1"/>
  <c r="E1308" i="67"/>
  <c r="E1311" i="67" s="1"/>
  <c r="E2413" i="67" s="1"/>
  <c r="G1111" i="67"/>
  <c r="G1117" i="67" s="1"/>
  <c r="G1118" i="67" s="1"/>
  <c r="G1091" i="67"/>
  <c r="G1094" i="67" s="1"/>
  <c r="G2372" i="67" s="1"/>
  <c r="F1345" i="67"/>
  <c r="F1350" i="67" s="1"/>
  <c r="F1351" i="67" s="1"/>
  <c r="F1355" i="67"/>
  <c r="F1361" i="67" s="1"/>
  <c r="G1192" i="67"/>
  <c r="G1198" i="67" s="1"/>
  <c r="G1182" i="67"/>
  <c r="G1187" i="67" s="1"/>
  <c r="G1188" i="67" s="1"/>
  <c r="I1247" i="67"/>
  <c r="I1253" i="67" s="1"/>
  <c r="I1237" i="67"/>
  <c r="I1242" i="67" s="1"/>
  <c r="I1243" i="67" s="1"/>
  <c r="E1074" i="67"/>
  <c r="E1079" i="67" s="1"/>
  <c r="E1080" i="67" s="1"/>
  <c r="E1084" i="67"/>
  <c r="E1090" i="67" s="1"/>
  <c r="I1074" i="67"/>
  <c r="I1079" i="67" s="1"/>
  <c r="I1080" i="67" s="1"/>
  <c r="I1084" i="67"/>
  <c r="I1090" i="67" s="1"/>
  <c r="H1382" i="67"/>
  <c r="H1388" i="67" s="1"/>
  <c r="H1389" i="67" s="1"/>
  <c r="H1362" i="67"/>
  <c r="H1365" i="67" s="1"/>
  <c r="H2422" i="67" s="1"/>
  <c r="F1165" i="67"/>
  <c r="F1171" i="67" s="1"/>
  <c r="F1172" i="67" s="1"/>
  <c r="F1145" i="67"/>
  <c r="F1148" i="67" s="1"/>
  <c r="F2381" i="67" s="1"/>
  <c r="F1219" i="67"/>
  <c r="F1225" i="67" s="1"/>
  <c r="F1226" i="67" s="1"/>
  <c r="F1199" i="67"/>
  <c r="F1202" i="67" s="1"/>
  <c r="F2390" i="67" s="1"/>
  <c r="H1274" i="67"/>
  <c r="H1280" i="67" s="1"/>
  <c r="H1281" i="67" s="1"/>
  <c r="H1254" i="67"/>
  <c r="H1257" i="67" s="1"/>
  <c r="H2404" i="67" s="1"/>
  <c r="H1328" i="67"/>
  <c r="H1334" i="67" s="1"/>
  <c r="H1335" i="67" s="1"/>
  <c r="H1308" i="67"/>
  <c r="H1311" i="67" s="1"/>
  <c r="H2413" i="67" s="1"/>
  <c r="I1382" i="67"/>
  <c r="I1388" i="67" s="1"/>
  <c r="I1389" i="67" s="1"/>
  <c r="I1362" i="67"/>
  <c r="I1365" i="67" s="1"/>
  <c r="I2422" i="67" s="1"/>
  <c r="H1485" i="67"/>
  <c r="E82" i="65"/>
  <c r="D473" i="65"/>
  <c r="D474" i="65"/>
  <c r="D475" i="65"/>
  <c r="D551" i="65"/>
  <c r="D553" i="65"/>
  <c r="L301" i="32" s="1"/>
  <c r="D552" i="65"/>
  <c r="L295" i="32" s="1"/>
  <c r="D513" i="65"/>
  <c r="D514" i="65"/>
  <c r="L294" i="32" s="1"/>
  <c r="D515" i="65"/>
  <c r="L300" i="32" s="1"/>
  <c r="A450" i="77"/>
  <c r="A449" i="77"/>
  <c r="D78" i="43"/>
  <c r="D77" i="43"/>
  <c r="D76" i="43"/>
  <c r="E204" i="45"/>
  <c r="E203" i="45"/>
  <c r="E202" i="45"/>
  <c r="E201" i="45"/>
  <c r="E200" i="45"/>
  <c r="E199" i="45"/>
  <c r="E198" i="45"/>
  <c r="E190" i="45"/>
  <c r="E189" i="45"/>
  <c r="E188" i="45"/>
  <c r="E187" i="45"/>
  <c r="E186" i="45"/>
  <c r="E185" i="45"/>
  <c r="E184" i="45"/>
  <c r="E183" i="45"/>
  <c r="E176" i="45"/>
  <c r="E175" i="45"/>
  <c r="E174" i="45"/>
  <c r="E173" i="45"/>
  <c r="E172" i="45"/>
  <c r="E171" i="45"/>
  <c r="E170" i="45"/>
  <c r="I44" i="45"/>
  <c r="E161" i="45"/>
  <c r="G74" i="45"/>
  <c r="L289" i="32" l="1"/>
  <c r="D799" i="65"/>
  <c r="M298" i="32"/>
  <c r="L299" i="32"/>
  <c r="M292" i="32"/>
  <c r="L293" i="32"/>
  <c r="D797" i="65"/>
  <c r="L287" i="32"/>
  <c r="M286" i="32"/>
  <c r="L288" i="32"/>
  <c r="D798" i="65"/>
  <c r="I2427" i="67"/>
  <c r="I2428" i="67"/>
  <c r="F2386" i="67"/>
  <c r="F2387" i="67"/>
  <c r="F2418" i="67"/>
  <c r="F2419" i="67"/>
  <c r="G2386" i="67"/>
  <c r="G2387" i="67"/>
  <c r="E2387" i="67"/>
  <c r="E2386" i="67"/>
  <c r="H2386" i="67"/>
  <c r="H2387" i="67"/>
  <c r="I2418" i="67"/>
  <c r="I2419" i="67"/>
  <c r="H2418" i="67"/>
  <c r="H2419" i="67"/>
  <c r="F2396" i="67"/>
  <c r="F2395" i="67"/>
  <c r="H2427" i="67"/>
  <c r="H2428" i="67"/>
  <c r="G2377" i="67"/>
  <c r="G2378" i="67"/>
  <c r="G2418" i="67"/>
  <c r="G2419" i="67"/>
  <c r="I2386" i="67"/>
  <c r="I2387" i="67"/>
  <c r="H2410" i="67"/>
  <c r="H2409" i="67"/>
  <c r="E2418" i="67"/>
  <c r="E2419" i="67"/>
  <c r="F1149" i="67"/>
  <c r="F1176" i="67"/>
  <c r="E1339" i="67"/>
  <c r="E1312" i="67"/>
  <c r="C32" i="75"/>
  <c r="A1070" i="67"/>
  <c r="A1233" i="67"/>
  <c r="C3089" i="67"/>
  <c r="C3072" i="67"/>
  <c r="C3063" i="67"/>
  <c r="C3081" i="67"/>
  <c r="C3098" i="67"/>
  <c r="A907" i="67"/>
  <c r="A335" i="67"/>
  <c r="A172" i="67"/>
  <c r="H33" i="73"/>
  <c r="C26" i="73"/>
  <c r="H26" i="73"/>
  <c r="C33" i="73"/>
  <c r="M26" i="73"/>
  <c r="M33" i="73"/>
  <c r="C2813" i="67"/>
  <c r="C2777" i="67"/>
  <c r="C2786" i="67"/>
  <c r="C2931" i="67"/>
  <c r="C2895" i="67"/>
  <c r="C2849" i="67"/>
  <c r="C2795" i="67"/>
  <c r="C2922" i="67"/>
  <c r="C2886" i="67"/>
  <c r="C2876" i="67"/>
  <c r="C2840" i="67"/>
  <c r="C2913" i="67"/>
  <c r="C2867" i="67"/>
  <c r="C2831" i="67"/>
  <c r="C2804" i="67"/>
  <c r="C2904" i="67"/>
  <c r="C2858" i="67"/>
  <c r="C2822" i="67"/>
  <c r="H1258" i="67"/>
  <c r="H1285" i="67"/>
  <c r="G1382" i="67"/>
  <c r="G1388" i="67" s="1"/>
  <c r="G1389" i="67" s="1"/>
  <c r="G1362" i="67"/>
  <c r="G1365" i="67" s="1"/>
  <c r="G2422" i="67" s="1"/>
  <c r="I1339" i="67"/>
  <c r="I1312" i="67"/>
  <c r="C34" i="75"/>
  <c r="A1287" i="67"/>
  <c r="C3099" i="67"/>
  <c r="A389" i="67"/>
  <c r="A226" i="67"/>
  <c r="C3082" i="67"/>
  <c r="A1124" i="67"/>
  <c r="C3090" i="67"/>
  <c r="A63" i="67"/>
  <c r="C3073" i="67"/>
  <c r="A961" i="67"/>
  <c r="C3064" i="67"/>
  <c r="N33" i="73"/>
  <c r="I26" i="73"/>
  <c r="D33" i="73"/>
  <c r="N26" i="73"/>
  <c r="I33" i="73"/>
  <c r="D26" i="73"/>
  <c r="C2923" i="67"/>
  <c r="C2905" i="67"/>
  <c r="C2887" i="67"/>
  <c r="C2877" i="67"/>
  <c r="C2859" i="67"/>
  <c r="C2841" i="67"/>
  <c r="C2823" i="67"/>
  <c r="C2932" i="67"/>
  <c r="C2914" i="67"/>
  <c r="C2896" i="67"/>
  <c r="C2868" i="67"/>
  <c r="C2850" i="67"/>
  <c r="C2832" i="67"/>
  <c r="C2805" i="67"/>
  <c r="C2796" i="67"/>
  <c r="C2814" i="67"/>
  <c r="C2787" i="67"/>
  <c r="C2778" i="67"/>
  <c r="I1274" i="67"/>
  <c r="I1280" i="67" s="1"/>
  <c r="I1281" i="67" s="1"/>
  <c r="I1254" i="67"/>
  <c r="I1257" i="67" s="1"/>
  <c r="I2404" i="67" s="1"/>
  <c r="F1312" i="67"/>
  <c r="F1339" i="67"/>
  <c r="H1219" i="67"/>
  <c r="H1225" i="67" s="1"/>
  <c r="H1226" i="67" s="1"/>
  <c r="H1199" i="67"/>
  <c r="H1202" i="67" s="1"/>
  <c r="H2390" i="67" s="1"/>
  <c r="E1274" i="67"/>
  <c r="E1280" i="67" s="1"/>
  <c r="E1281" i="67" s="1"/>
  <c r="E1254" i="67"/>
  <c r="E1257" i="67" s="1"/>
  <c r="E2404" i="67" s="1"/>
  <c r="I1393" i="67"/>
  <c r="I1366" i="67"/>
  <c r="I1111" i="67"/>
  <c r="I1117" i="67" s="1"/>
  <c r="I1118" i="67" s="1"/>
  <c r="I1091" i="67"/>
  <c r="I1094" i="67" s="1"/>
  <c r="I2372" i="67" s="1"/>
  <c r="F1382" i="67"/>
  <c r="F1388" i="67" s="1"/>
  <c r="F1389" i="67" s="1"/>
  <c r="F1362" i="67"/>
  <c r="F1365" i="67" s="1"/>
  <c r="F2422" i="67" s="1"/>
  <c r="H1312" i="67"/>
  <c r="H1339" i="67"/>
  <c r="I1219" i="67"/>
  <c r="I1225" i="67" s="1"/>
  <c r="I1226" i="67" s="1"/>
  <c r="I1199" i="67"/>
  <c r="I1202" i="67" s="1"/>
  <c r="I2390" i="67" s="1"/>
  <c r="I1176" i="67"/>
  <c r="I1149" i="67"/>
  <c r="H1149" i="67"/>
  <c r="H1176" i="67"/>
  <c r="A1178" i="67"/>
  <c r="A1341" i="67"/>
  <c r="C3074" i="67"/>
  <c r="C3065" i="67"/>
  <c r="A1015" i="67"/>
  <c r="C3091" i="67"/>
  <c r="A117" i="67"/>
  <c r="C3100" i="67"/>
  <c r="A443" i="67"/>
  <c r="A280" i="67"/>
  <c r="C3083" i="67"/>
  <c r="F1203" i="67"/>
  <c r="F1230" i="67"/>
  <c r="H1366" i="67"/>
  <c r="H1393" i="67"/>
  <c r="E1111" i="67"/>
  <c r="E1117" i="67" s="1"/>
  <c r="E1118" i="67" s="1"/>
  <c r="E1091" i="67"/>
  <c r="E1094" i="67" s="1"/>
  <c r="E2372" i="67" s="1"/>
  <c r="G1122" i="67"/>
  <c r="G1095" i="67"/>
  <c r="G1339" i="67"/>
  <c r="G1312" i="67"/>
  <c r="G1176" i="67"/>
  <c r="G1149" i="67"/>
  <c r="E1382" i="67"/>
  <c r="E1388" i="67" s="1"/>
  <c r="E1389" i="67" s="1"/>
  <c r="E1362" i="67"/>
  <c r="E1365" i="67" s="1"/>
  <c r="E2422" i="67" s="1"/>
  <c r="F1111" i="67"/>
  <c r="F1117" i="67" s="1"/>
  <c r="F1118" i="67" s="1"/>
  <c r="F1091" i="67"/>
  <c r="F1094" i="67" s="1"/>
  <c r="F2372" i="67" s="1"/>
  <c r="G1274" i="67"/>
  <c r="G1280" i="67" s="1"/>
  <c r="G1281" i="67" s="1"/>
  <c r="G1254" i="67"/>
  <c r="G1257" i="67" s="1"/>
  <c r="G2404" i="67" s="1"/>
  <c r="F1274" i="67"/>
  <c r="F1280" i="67" s="1"/>
  <c r="F1281" i="67" s="1"/>
  <c r="F1254" i="67"/>
  <c r="F1257" i="67" s="1"/>
  <c r="F2404" i="67" s="1"/>
  <c r="G1219" i="67"/>
  <c r="G1225" i="67" s="1"/>
  <c r="G1226" i="67" s="1"/>
  <c r="G1199" i="67"/>
  <c r="G1202" i="67" s="1"/>
  <c r="G2390" i="67" s="1"/>
  <c r="H1111" i="67"/>
  <c r="H1117" i="67" s="1"/>
  <c r="H1118" i="67" s="1"/>
  <c r="H1091" i="67"/>
  <c r="H1094" i="67" s="1"/>
  <c r="H2372" i="67" s="1"/>
  <c r="E1219" i="67"/>
  <c r="E1225" i="67" s="1"/>
  <c r="E1226" i="67" s="1"/>
  <c r="E1199" i="67"/>
  <c r="E1202" i="67" s="1"/>
  <c r="E2390" i="67" s="1"/>
  <c r="E1176" i="67"/>
  <c r="E1149" i="67"/>
  <c r="C33" i="75"/>
  <c r="J33" i="73"/>
  <c r="E33" i="73"/>
  <c r="O26" i="73"/>
  <c r="J26" i="73"/>
  <c r="E26" i="73"/>
  <c r="O33" i="73"/>
  <c r="C2906" i="67"/>
  <c r="C2869" i="67"/>
  <c r="C2833" i="67"/>
  <c r="C2797" i="67"/>
  <c r="C2788" i="67"/>
  <c r="C2933" i="67"/>
  <c r="C2815" i="67"/>
  <c r="C2915" i="67"/>
  <c r="C2878" i="67"/>
  <c r="C2842" i="67"/>
  <c r="C2824" i="67"/>
  <c r="C2924" i="67"/>
  <c r="C2888" i="67"/>
  <c r="C2851" i="67"/>
  <c r="C2897" i="67"/>
  <c r="C2860" i="67"/>
  <c r="C2806" i="67"/>
  <c r="C2779" i="67"/>
  <c r="E267" i="45"/>
  <c r="F267" i="45" s="1"/>
  <c r="E253" i="45"/>
  <c r="F253" i="45" s="1"/>
  <c r="E211" i="45"/>
  <c r="F211" i="45" s="1"/>
  <c r="E197" i="45"/>
  <c r="B2338" i="67"/>
  <c r="B2503" i="67"/>
  <c r="B2471" i="67"/>
  <c r="B2439" i="67"/>
  <c r="B2402" i="67"/>
  <c r="B2370" i="67"/>
  <c r="B335" i="65"/>
  <c r="B722" i="65"/>
  <c r="B329" i="65"/>
  <c r="B324" i="65"/>
  <c r="B319" i="65"/>
  <c r="B700" i="65"/>
  <c r="B695" i="65"/>
  <c r="B690" i="65"/>
  <c r="B297" i="65"/>
  <c r="B674" i="65"/>
  <c r="B292" i="65"/>
  <c r="B287" i="65"/>
  <c r="B684" i="65"/>
  <c r="B679" i="65"/>
  <c r="C11" i="73"/>
  <c r="M11" i="73"/>
  <c r="H4" i="73"/>
  <c r="C4" i="73"/>
  <c r="M4" i="73"/>
  <c r="H11" i="73"/>
  <c r="B331" i="32"/>
  <c r="B323" i="32"/>
  <c r="B2298" i="67"/>
  <c r="B323" i="31"/>
  <c r="B2266" i="67"/>
  <c r="B327" i="32"/>
  <c r="B327" i="31"/>
  <c r="B2234" i="67"/>
  <c r="B2165" i="67"/>
  <c r="B2133" i="67"/>
  <c r="B331" i="31"/>
  <c r="B2197" i="67"/>
  <c r="B2411" i="67"/>
  <c r="B2379" i="67"/>
  <c r="B2512" i="67"/>
  <c r="B2480" i="67"/>
  <c r="B2448" i="67"/>
  <c r="B2347" i="67"/>
  <c r="B330" i="65"/>
  <c r="B325" i="65"/>
  <c r="B320" i="65"/>
  <c r="B701" i="65"/>
  <c r="B696" i="65"/>
  <c r="B691" i="65"/>
  <c r="C16" i="57"/>
  <c r="B340" i="65"/>
  <c r="B727" i="65"/>
  <c r="B675" i="65"/>
  <c r="B298" i="65"/>
  <c r="B288" i="65"/>
  <c r="B685" i="65"/>
  <c r="B680" i="65"/>
  <c r="B293" i="65"/>
  <c r="I11" i="73"/>
  <c r="D4" i="73"/>
  <c r="N4" i="73"/>
  <c r="N11" i="73"/>
  <c r="I4" i="73"/>
  <c r="D11" i="73"/>
  <c r="B328" i="32"/>
  <c r="B324" i="31"/>
  <c r="B2307" i="67"/>
  <c r="B2243" i="67"/>
  <c r="B328" i="31"/>
  <c r="B2174" i="67"/>
  <c r="B2142" i="67"/>
  <c r="B332" i="32"/>
  <c r="B324" i="32"/>
  <c r="B332" i="31"/>
  <c r="B2275" i="67"/>
  <c r="B2206" i="67"/>
  <c r="B2420" i="67"/>
  <c r="B2388" i="67"/>
  <c r="B2356" i="67"/>
  <c r="B2521" i="67"/>
  <c r="B2489" i="67"/>
  <c r="B2457" i="67"/>
  <c r="B345" i="65"/>
  <c r="B732" i="65"/>
  <c r="B331" i="65"/>
  <c r="B326" i="65"/>
  <c r="B702" i="65"/>
  <c r="B692" i="65"/>
  <c r="B321" i="65"/>
  <c r="B697" i="65"/>
  <c r="B289" i="65"/>
  <c r="B686" i="65"/>
  <c r="B681" i="65"/>
  <c r="B676" i="65"/>
  <c r="B294" i="65"/>
  <c r="B299" i="65"/>
  <c r="O11" i="73"/>
  <c r="J4" i="73"/>
  <c r="E11" i="73"/>
  <c r="O4" i="73"/>
  <c r="J11" i="73"/>
  <c r="E4" i="73"/>
  <c r="B333" i="32"/>
  <c r="B325" i="32"/>
  <c r="B329" i="31"/>
  <c r="B2183" i="67"/>
  <c r="B2151" i="67"/>
  <c r="B333" i="31"/>
  <c r="B2284" i="67"/>
  <c r="B2215" i="67"/>
  <c r="B329" i="32"/>
  <c r="B325" i="31"/>
  <c r="B2316" i="67"/>
  <c r="B2252" i="67"/>
  <c r="E251" i="45"/>
  <c r="F251" i="45" s="1"/>
  <c r="E266" i="45"/>
  <c r="F266" i="45" s="1"/>
  <c r="E252" i="45"/>
  <c r="F252" i="45" s="1"/>
  <c r="E265" i="45"/>
  <c r="F265" i="45" s="1"/>
  <c r="E209" i="45"/>
  <c r="F209" i="45" s="1"/>
  <c r="E210" i="45"/>
  <c r="F210" i="45" s="1"/>
  <c r="C32" i="69"/>
  <c r="C32" i="70"/>
  <c r="C34" i="69"/>
  <c r="C34" i="70"/>
  <c r="C33" i="69"/>
  <c r="C33" i="70"/>
  <c r="N292" i="32"/>
  <c r="O292" i="32"/>
  <c r="O286" i="32"/>
  <c r="N298" i="32"/>
  <c r="O298" i="32"/>
  <c r="N286" i="32"/>
  <c r="C882" i="67"/>
  <c r="C846" i="67"/>
  <c r="C825" i="67"/>
  <c r="C892" i="67"/>
  <c r="C866" i="67"/>
  <c r="C860" i="67"/>
  <c r="C836" i="67"/>
  <c r="C814" i="67"/>
  <c r="C877" i="67"/>
  <c r="C842" i="67"/>
  <c r="C888" i="67"/>
  <c r="C809" i="67"/>
  <c r="C820" i="67"/>
  <c r="C855" i="67"/>
  <c r="C831" i="67"/>
  <c r="C871" i="67"/>
  <c r="C1773" i="67"/>
  <c r="C1767" i="67"/>
  <c r="B498" i="67"/>
  <c r="C1796" i="67"/>
  <c r="C1784" i="67"/>
  <c r="C1778" i="67"/>
  <c r="B1397" i="67"/>
  <c r="C1762" i="67"/>
  <c r="B622" i="67"/>
  <c r="C1800" i="67"/>
  <c r="B87" i="65"/>
  <c r="B518" i="65"/>
  <c r="B127" i="65"/>
  <c r="B556" i="65"/>
  <c r="B170" i="65"/>
  <c r="A9" i="67"/>
  <c r="B319" i="31"/>
  <c r="B319" i="32"/>
  <c r="B311" i="32"/>
  <c r="B522" i="65"/>
  <c r="B166" i="65"/>
  <c r="C1789" i="67"/>
  <c r="B482" i="65"/>
  <c r="B91" i="65"/>
  <c r="B478" i="65"/>
  <c r="B560" i="65"/>
  <c r="B311" i="31"/>
  <c r="B315" i="32"/>
  <c r="B131" i="65"/>
  <c r="B315" i="31"/>
  <c r="C12" i="51"/>
  <c r="C12" i="62"/>
  <c r="C12" i="57"/>
  <c r="A285" i="31"/>
  <c r="A122" i="31"/>
  <c r="A103" i="31"/>
  <c r="A84" i="31"/>
  <c r="A285" i="32"/>
  <c r="B248" i="65"/>
  <c r="C12" i="34"/>
  <c r="C12" i="55"/>
  <c r="A210" i="31"/>
  <c r="B280" i="65"/>
  <c r="B217" i="65"/>
  <c r="C12" i="52"/>
  <c r="C12" i="49"/>
  <c r="C12" i="63"/>
  <c r="C12" i="56"/>
  <c r="C12" i="50"/>
  <c r="C12" i="61"/>
  <c r="C32" i="66"/>
  <c r="A141" i="31"/>
  <c r="B212" i="65"/>
  <c r="A84" i="32"/>
  <c r="A266" i="31"/>
  <c r="A247" i="31"/>
  <c r="A228" i="31"/>
  <c r="B243" i="65"/>
  <c r="A210" i="32"/>
  <c r="A122" i="32"/>
  <c r="A103" i="32"/>
  <c r="C12" i="48"/>
  <c r="B275" i="65"/>
  <c r="A266" i="32"/>
  <c r="A247" i="32"/>
  <c r="A228" i="32"/>
  <c r="A66" i="31"/>
  <c r="A141" i="32"/>
  <c r="A66" i="32"/>
  <c r="B389" i="65"/>
  <c r="B617" i="65"/>
  <c r="B601" i="65"/>
  <c r="B591" i="65"/>
  <c r="B351" i="65"/>
  <c r="B758" i="65"/>
  <c r="B301" i="65"/>
  <c r="B706" i="65"/>
  <c r="B265" i="65"/>
  <c r="B234" i="65"/>
  <c r="B198" i="65"/>
  <c r="B663" i="65"/>
  <c r="B203" i="65"/>
  <c r="B668" i="65"/>
  <c r="B586" i="65"/>
  <c r="B117" i="65"/>
  <c r="B260" i="65"/>
  <c r="B229" i="65"/>
  <c r="B648" i="65"/>
  <c r="B632" i="65"/>
  <c r="B622" i="65"/>
  <c r="B606" i="65"/>
  <c r="B777" i="65"/>
  <c r="B739" i="65"/>
  <c r="B653" i="65"/>
  <c r="B637" i="65"/>
  <c r="B370" i="65"/>
  <c r="C894" i="67"/>
  <c r="C868" i="67"/>
  <c r="C862" i="67"/>
  <c r="C838" i="67"/>
  <c r="C816" i="67"/>
  <c r="C884" i="67"/>
  <c r="C848" i="67"/>
  <c r="C827" i="67"/>
  <c r="C890" i="67"/>
  <c r="C857" i="67"/>
  <c r="C873" i="67"/>
  <c r="C822" i="67"/>
  <c r="C879" i="67"/>
  <c r="C844" i="67"/>
  <c r="C811" i="67"/>
  <c r="C833" i="67"/>
  <c r="C1802" i="67"/>
  <c r="C1791" i="67"/>
  <c r="C1764" i="67"/>
  <c r="C1798" i="67"/>
  <c r="C1786" i="67"/>
  <c r="C1780" i="67"/>
  <c r="B1431" i="67"/>
  <c r="B532" i="67"/>
  <c r="C1775" i="67"/>
  <c r="B558" i="65"/>
  <c r="B480" i="65"/>
  <c r="B168" i="65"/>
  <c r="C1769" i="67"/>
  <c r="B93" i="65"/>
  <c r="B562" i="65"/>
  <c r="B129" i="65"/>
  <c r="B313" i="31"/>
  <c r="B321" i="32"/>
  <c r="B313" i="32"/>
  <c r="B133" i="65"/>
  <c r="B321" i="31"/>
  <c r="B317" i="32"/>
  <c r="B524" i="65"/>
  <c r="B484" i="65"/>
  <c r="B317" i="31"/>
  <c r="B89" i="65"/>
  <c r="B172" i="65"/>
  <c r="B520" i="65"/>
  <c r="C14" i="50"/>
  <c r="C14" i="48"/>
  <c r="C33" i="66"/>
  <c r="A222" i="31"/>
  <c r="B282" i="65"/>
  <c r="B219" i="65"/>
  <c r="C14" i="52"/>
  <c r="C14" i="49"/>
  <c r="A297" i="31"/>
  <c r="A134" i="31"/>
  <c r="A115" i="31"/>
  <c r="A96" i="31"/>
  <c r="A297" i="32"/>
  <c r="B250" i="65"/>
  <c r="C14" i="34"/>
  <c r="C14" i="63"/>
  <c r="C14" i="55"/>
  <c r="A278" i="31"/>
  <c r="A259" i="31"/>
  <c r="A240" i="31"/>
  <c r="B245" i="65"/>
  <c r="A278" i="32"/>
  <c r="A259" i="32"/>
  <c r="A240" i="32"/>
  <c r="C14" i="51"/>
  <c r="C14" i="61"/>
  <c r="C14" i="57"/>
  <c r="B277" i="65"/>
  <c r="C14" i="62"/>
  <c r="C14" i="56"/>
  <c r="A78" i="31"/>
  <c r="A153" i="32"/>
  <c r="A96" i="32"/>
  <c r="A78" i="32"/>
  <c r="A153" i="31"/>
  <c r="A115" i="32"/>
  <c r="A222" i="32"/>
  <c r="B214" i="65"/>
  <c r="A134" i="32"/>
  <c r="B363" i="65"/>
  <c r="B311" i="65"/>
  <c r="B267" i="65"/>
  <c r="B236" i="65"/>
  <c r="B200" i="65"/>
  <c r="B665" i="65"/>
  <c r="B655" i="65"/>
  <c r="B639" i="65"/>
  <c r="B119" i="65"/>
  <c r="B401" i="65"/>
  <c r="B593" i="65"/>
  <c r="B262" i="65"/>
  <c r="B231" i="65"/>
  <c r="B650" i="65"/>
  <c r="B634" i="65"/>
  <c r="B382" i="65"/>
  <c r="B770" i="65"/>
  <c r="B205" i="65"/>
  <c r="B670" i="65"/>
  <c r="B588" i="65"/>
  <c r="B789" i="65"/>
  <c r="B619" i="65"/>
  <c r="B603" i="65"/>
  <c r="B751" i="65"/>
  <c r="B716" i="65"/>
  <c r="B624" i="65"/>
  <c r="B608" i="65"/>
  <c r="C889" i="67"/>
  <c r="C856" i="67"/>
  <c r="C832" i="67"/>
  <c r="C810" i="67"/>
  <c r="C878" i="67"/>
  <c r="C872" i="67"/>
  <c r="C843" i="67"/>
  <c r="C821" i="67"/>
  <c r="C826" i="67"/>
  <c r="C861" i="67"/>
  <c r="C837" i="67"/>
  <c r="C847" i="67"/>
  <c r="C893" i="67"/>
  <c r="C867" i="67"/>
  <c r="C815" i="67"/>
  <c r="C883" i="67"/>
  <c r="C1797" i="67"/>
  <c r="C1785" i="67"/>
  <c r="C1779" i="67"/>
  <c r="B1414" i="67"/>
  <c r="C1801" i="67"/>
  <c r="C1790" i="67"/>
  <c r="C1774" i="67"/>
  <c r="C1768" i="67"/>
  <c r="B92" i="65"/>
  <c r="B523" i="65"/>
  <c r="B132" i="65"/>
  <c r="B515" i="67"/>
  <c r="C1763" i="67"/>
  <c r="B519" i="65"/>
  <c r="B479" i="65"/>
  <c r="B316" i="32"/>
  <c r="B316" i="31"/>
  <c r="B320" i="32"/>
  <c r="B312" i="32"/>
  <c r="B557" i="65"/>
  <c r="B171" i="65"/>
  <c r="B561" i="65"/>
  <c r="B128" i="65"/>
  <c r="B167" i="65"/>
  <c r="B312" i="31"/>
  <c r="B483" i="65"/>
  <c r="B88" i="65"/>
  <c r="B320" i="31"/>
  <c r="C16" i="34"/>
  <c r="C16" i="49"/>
  <c r="C16" i="63"/>
  <c r="C16" i="55"/>
  <c r="A147" i="31"/>
  <c r="B276" i="65"/>
  <c r="B213" i="65"/>
  <c r="C16" i="51"/>
  <c r="C16" i="61"/>
  <c r="C16" i="62"/>
  <c r="C16" i="56"/>
  <c r="A272" i="31"/>
  <c r="A253" i="31"/>
  <c r="A234" i="31"/>
  <c r="A72" i="31"/>
  <c r="A147" i="32"/>
  <c r="B244" i="65"/>
  <c r="C16" i="50"/>
  <c r="C34" i="66"/>
  <c r="B281" i="65"/>
  <c r="A216" i="32"/>
  <c r="A128" i="32"/>
  <c r="A109" i="32"/>
  <c r="C16" i="48"/>
  <c r="A128" i="31"/>
  <c r="A109" i="31"/>
  <c r="A90" i="31"/>
  <c r="A272" i="32"/>
  <c r="A253" i="32"/>
  <c r="A234" i="32"/>
  <c r="A72" i="32"/>
  <c r="C16" i="52"/>
  <c r="A216" i="31"/>
  <c r="B218" i="65"/>
  <c r="A291" i="31"/>
  <c r="A291" i="32"/>
  <c r="B249" i="65"/>
  <c r="A90" i="32"/>
  <c r="B261" i="65"/>
  <c r="B230" i="65"/>
  <c r="B649" i="65"/>
  <c r="B633" i="65"/>
  <c r="B623" i="65"/>
  <c r="B607" i="65"/>
  <c r="B783" i="65"/>
  <c r="B204" i="65"/>
  <c r="B395" i="65"/>
  <c r="B745" i="65"/>
  <c r="B711" i="65"/>
  <c r="B618" i="65"/>
  <c r="B592" i="65"/>
  <c r="B357" i="65"/>
  <c r="B306" i="65"/>
  <c r="B266" i="65"/>
  <c r="B235" i="65"/>
  <c r="B199" i="65"/>
  <c r="B664" i="65"/>
  <c r="B654" i="65"/>
  <c r="B638" i="65"/>
  <c r="B376" i="65"/>
  <c r="B764" i="65"/>
  <c r="B669" i="65"/>
  <c r="B587" i="65"/>
  <c r="B118" i="65"/>
  <c r="B602" i="65"/>
  <c r="F1485" i="67"/>
  <c r="E1485" i="67"/>
  <c r="H1484" i="67"/>
  <c r="F1468" i="67"/>
  <c r="G1485" i="67"/>
  <c r="I1468" i="67"/>
  <c r="I1485" i="67"/>
  <c r="G1468" i="67"/>
  <c r="E1468" i="67"/>
  <c r="H1468" i="67"/>
  <c r="D741" i="65"/>
  <c r="L231" i="32" s="1"/>
  <c r="D748" i="65"/>
  <c r="L238" i="32" s="1"/>
  <c r="D753" i="65"/>
  <c r="L243" i="32" s="1"/>
  <c r="D754" i="65"/>
  <c r="L244" i="32" s="1"/>
  <c r="D747" i="65"/>
  <c r="L237" i="32" s="1"/>
  <c r="D742" i="65"/>
  <c r="L232" i="32" s="1"/>
  <c r="D752" i="65"/>
  <c r="L242" i="32" s="1"/>
  <c r="D746" i="65"/>
  <c r="L236" i="32" s="1"/>
  <c r="D740" i="65"/>
  <c r="L230" i="32" s="1"/>
  <c r="E98" i="65"/>
  <c r="E352" i="65"/>
  <c r="E84" i="65"/>
  <c r="E803" i="65" s="1"/>
  <c r="E26" i="65"/>
  <c r="E83" i="65"/>
  <c r="E475" i="65"/>
  <c r="E515" i="65"/>
  <c r="E753" i="65" s="1"/>
  <c r="E97" i="65"/>
  <c r="D533" i="65"/>
  <c r="D532" i="65"/>
  <c r="D567" i="65"/>
  <c r="D566" i="65"/>
  <c r="D528" i="65"/>
  <c r="D529" i="65"/>
  <c r="D496" i="65"/>
  <c r="D497" i="65"/>
  <c r="D570" i="65"/>
  <c r="D571" i="65"/>
  <c r="D492" i="65"/>
  <c r="D493" i="65"/>
  <c r="D537" i="65"/>
  <c r="D536" i="65"/>
  <c r="D574" i="65"/>
  <c r="D575" i="65"/>
  <c r="D489" i="65"/>
  <c r="D488" i="65"/>
  <c r="E551" i="65"/>
  <c r="E552" i="65"/>
  <c r="E748" i="65" s="1"/>
  <c r="E553" i="65"/>
  <c r="E754" i="65" s="1"/>
  <c r="B495" i="65"/>
  <c r="B185" i="65"/>
  <c r="B573" i="65"/>
  <c r="B144" i="65"/>
  <c r="B535" i="65"/>
  <c r="B104" i="65"/>
  <c r="F2" i="65"/>
  <c r="B510" i="65"/>
  <c r="B553" i="65"/>
  <c r="B475" i="65"/>
  <c r="B548" i="65"/>
  <c r="B470" i="65"/>
  <c r="B515" i="65"/>
  <c r="B124" i="65"/>
  <c r="B163" i="65"/>
  <c r="B158" i="65"/>
  <c r="B84" i="65"/>
  <c r="B79" i="65"/>
  <c r="B531" i="65"/>
  <c r="B181" i="65"/>
  <c r="B100" i="65"/>
  <c r="B569" i="65"/>
  <c r="B491" i="65"/>
  <c r="B140" i="65"/>
  <c r="E2" i="65"/>
  <c r="B552" i="65"/>
  <c r="B514" i="65"/>
  <c r="B474" i="65"/>
  <c r="B547" i="65"/>
  <c r="B509" i="65"/>
  <c r="B469" i="65"/>
  <c r="B157" i="65"/>
  <c r="B78" i="65"/>
  <c r="B162" i="65"/>
  <c r="B123" i="65"/>
  <c r="B83" i="65"/>
  <c r="B565" i="65"/>
  <c r="B136" i="65"/>
  <c r="B177" i="65"/>
  <c r="B96" i="65"/>
  <c r="B487" i="65"/>
  <c r="B527" i="65"/>
  <c r="D2" i="65"/>
  <c r="B513" i="65"/>
  <c r="B546" i="65"/>
  <c r="B468" i="65"/>
  <c r="B551" i="65"/>
  <c r="B473" i="65"/>
  <c r="B508" i="65"/>
  <c r="B156" i="65"/>
  <c r="B122" i="65"/>
  <c r="B161" i="65"/>
  <c r="B77" i="65"/>
  <c r="B82" i="65"/>
  <c r="E195" i="45"/>
  <c r="D62" i="43"/>
  <c r="D61" i="43"/>
  <c r="D530" i="65" l="1"/>
  <c r="L169" i="32"/>
  <c r="L163" i="32"/>
  <c r="D538" i="65"/>
  <c r="D534" i="65"/>
  <c r="E742" i="65"/>
  <c r="E799" i="65"/>
  <c r="F3336" i="67"/>
  <c r="F3338" i="67" s="1"/>
  <c r="H3360" i="67"/>
  <c r="H3361" i="67" s="1"/>
  <c r="F3360" i="67"/>
  <c r="F3363" i="67" s="1"/>
  <c r="F3324" i="67"/>
  <c r="F3328" i="67" s="1"/>
  <c r="E3360" i="67"/>
  <c r="E3362" i="67" s="1"/>
  <c r="E3324" i="67"/>
  <c r="E3327" i="67" s="1"/>
  <c r="G3324" i="67"/>
  <c r="G3328" i="67" s="1"/>
  <c r="G3312" i="67"/>
  <c r="G3313" i="67" s="1"/>
  <c r="I3372" i="67"/>
  <c r="I3374" i="67" s="1"/>
  <c r="I3360" i="67"/>
  <c r="I3362" i="67" s="1"/>
  <c r="H1154" i="67"/>
  <c r="H1160" i="67" s="1"/>
  <c r="H1161" i="67" s="1"/>
  <c r="H1175" i="67" s="1"/>
  <c r="H2482" i="67" s="1"/>
  <c r="H2488" i="67" s="1"/>
  <c r="H3318" i="67"/>
  <c r="H1263" i="67"/>
  <c r="H1269" i="67" s="1"/>
  <c r="H1270" i="67" s="1"/>
  <c r="H1284" i="67" s="1"/>
  <c r="H2505" i="67" s="1"/>
  <c r="H2510" i="67" s="1"/>
  <c r="H3342" i="67"/>
  <c r="F1154" i="67"/>
  <c r="F1160" i="67" s="1"/>
  <c r="F1161" i="67" s="1"/>
  <c r="F1175" i="67" s="1"/>
  <c r="F2482" i="67" s="1"/>
  <c r="F2488" i="67" s="1"/>
  <c r="F3318" i="67"/>
  <c r="G3360" i="67"/>
  <c r="F1208" i="67"/>
  <c r="F1214" i="67" s="1"/>
  <c r="F1215" i="67" s="1"/>
  <c r="F1229" i="67" s="1"/>
  <c r="F2491" i="67" s="1"/>
  <c r="F2496" i="67" s="1"/>
  <c r="F3330" i="67"/>
  <c r="I3324" i="67"/>
  <c r="H1317" i="67"/>
  <c r="H1323" i="67" s="1"/>
  <c r="H1324" i="67" s="1"/>
  <c r="H1338" i="67" s="1"/>
  <c r="H2514" i="67" s="1"/>
  <c r="H2519" i="67" s="1"/>
  <c r="H3354" i="67"/>
  <c r="F1317" i="67"/>
  <c r="F1323" i="67" s="1"/>
  <c r="F1324" i="67" s="1"/>
  <c r="F1338" i="67" s="1"/>
  <c r="F2514" i="67" s="1"/>
  <c r="F2520" i="67" s="1"/>
  <c r="F3354" i="67"/>
  <c r="E1317" i="67"/>
  <c r="E1323" i="67" s="1"/>
  <c r="E1324" i="67" s="1"/>
  <c r="E1338" i="67" s="1"/>
  <c r="E2514" i="67" s="1"/>
  <c r="E2519" i="67" s="1"/>
  <c r="E3354" i="67"/>
  <c r="H1371" i="67"/>
  <c r="H1377" i="67" s="1"/>
  <c r="H1378" i="67" s="1"/>
  <c r="H1392" i="67" s="1"/>
  <c r="H2523" i="67" s="1"/>
  <c r="H2529" i="67" s="1"/>
  <c r="H3366" i="67"/>
  <c r="G1317" i="67"/>
  <c r="G1323" i="67" s="1"/>
  <c r="G1324" i="67" s="1"/>
  <c r="G1338" i="67" s="1"/>
  <c r="G2514" i="67" s="1"/>
  <c r="G2520" i="67" s="1"/>
  <c r="G3354" i="67"/>
  <c r="I1154" i="67"/>
  <c r="I1160" i="67" s="1"/>
  <c r="I1161" i="67" s="1"/>
  <c r="I1175" i="67" s="1"/>
  <c r="I2482" i="67" s="1"/>
  <c r="I2487" i="67" s="1"/>
  <c r="I3318" i="67"/>
  <c r="H2431" i="67"/>
  <c r="E1154" i="67"/>
  <c r="E1160" i="67" s="1"/>
  <c r="E1161" i="67" s="1"/>
  <c r="E1175" i="67" s="1"/>
  <c r="E2482" i="67" s="1"/>
  <c r="E2487" i="67" s="1"/>
  <c r="E3318" i="67"/>
  <c r="G1154" i="67"/>
  <c r="G1160" i="67" s="1"/>
  <c r="G1161" i="67" s="1"/>
  <c r="G1175" i="67" s="1"/>
  <c r="G2482" i="67" s="1"/>
  <c r="G2487" i="67" s="1"/>
  <c r="G3318" i="67"/>
  <c r="G1100" i="67"/>
  <c r="G1106" i="67" s="1"/>
  <c r="G1107" i="67" s="1"/>
  <c r="G1121" i="67" s="1"/>
  <c r="G2473" i="67" s="1"/>
  <c r="G2478" i="67" s="1"/>
  <c r="G3306" i="67"/>
  <c r="H3372" i="67"/>
  <c r="H3324" i="67"/>
  <c r="I1371" i="67"/>
  <c r="I1377" i="67" s="1"/>
  <c r="I1378" i="67" s="1"/>
  <c r="I1392" i="67" s="1"/>
  <c r="I2523" i="67" s="1"/>
  <c r="I2529" i="67" s="1"/>
  <c r="I3366" i="67"/>
  <c r="I1317" i="67"/>
  <c r="I1323" i="67" s="1"/>
  <c r="I1324" i="67" s="1"/>
  <c r="I1338" i="67" s="1"/>
  <c r="I2514" i="67" s="1"/>
  <c r="I2519" i="67" s="1"/>
  <c r="I3354" i="67"/>
  <c r="H3348" i="67"/>
  <c r="G2395" i="67"/>
  <c r="G2398" i="67" s="1"/>
  <c r="G2396" i="67"/>
  <c r="G2399" i="67" s="1"/>
  <c r="G2410" i="67"/>
  <c r="G2409" i="67"/>
  <c r="E2427" i="67"/>
  <c r="E2428" i="67"/>
  <c r="E2377" i="67"/>
  <c r="E2378" i="67"/>
  <c r="I2377" i="67"/>
  <c r="I2378" i="67"/>
  <c r="E2409" i="67"/>
  <c r="E2410" i="67"/>
  <c r="G2427" i="67"/>
  <c r="G2428" i="67"/>
  <c r="H2430" i="67"/>
  <c r="E2396" i="67"/>
  <c r="E2395" i="67"/>
  <c r="H2378" i="67"/>
  <c r="H2377" i="67"/>
  <c r="F2409" i="67"/>
  <c r="F2410" i="67"/>
  <c r="F2378" i="67"/>
  <c r="F2399" i="67" s="1"/>
  <c r="F2377" i="67"/>
  <c r="F2398" i="67" s="1"/>
  <c r="I2395" i="67"/>
  <c r="I2396" i="67"/>
  <c r="F2427" i="67"/>
  <c r="F2428" i="67"/>
  <c r="H2395" i="67"/>
  <c r="H2396" i="67"/>
  <c r="I2409" i="67"/>
  <c r="I2430" i="67" s="1"/>
  <c r="I2410" i="67"/>
  <c r="I2431" i="67" s="1"/>
  <c r="G1230" i="67"/>
  <c r="G1203" i="67"/>
  <c r="E1366" i="67"/>
  <c r="E1393" i="67"/>
  <c r="E1230" i="67"/>
  <c r="E1203" i="67"/>
  <c r="G1285" i="67"/>
  <c r="G1258" i="67"/>
  <c r="F1366" i="67"/>
  <c r="F1393" i="67"/>
  <c r="E1122" i="67"/>
  <c r="E1095" i="67"/>
  <c r="I1122" i="67"/>
  <c r="I1095" i="67"/>
  <c r="E1258" i="67"/>
  <c r="E1285" i="67"/>
  <c r="I1285" i="67"/>
  <c r="I1258" i="67"/>
  <c r="H1122" i="67"/>
  <c r="H1095" i="67"/>
  <c r="F1258" i="67"/>
  <c r="F1285" i="67"/>
  <c r="F1122" i="67"/>
  <c r="F1095" i="67"/>
  <c r="I1230" i="67"/>
  <c r="I1203" i="67"/>
  <c r="H1203" i="67"/>
  <c r="H1230" i="67"/>
  <c r="G1393" i="67"/>
  <c r="G1366" i="67"/>
  <c r="E16" i="63"/>
  <c r="G16" i="63" s="1"/>
  <c r="E16" i="62"/>
  <c r="G16" i="62" s="1"/>
  <c r="I29" i="75"/>
  <c r="I19" i="75"/>
  <c r="L20" i="75"/>
  <c r="I20" i="75"/>
  <c r="L292" i="32"/>
  <c r="E292" i="32" s="1"/>
  <c r="L298" i="32"/>
  <c r="I298" i="32" s="1"/>
  <c r="L286" i="32"/>
  <c r="G286" i="32" s="1"/>
  <c r="L241" i="32"/>
  <c r="L229" i="32"/>
  <c r="L235" i="32"/>
  <c r="V16" i="56"/>
  <c r="V16" i="55"/>
  <c r="E12" i="62"/>
  <c r="F1467" i="67"/>
  <c r="I1484" i="67"/>
  <c r="E14" i="62"/>
  <c r="G14" i="62" s="1"/>
  <c r="G1484" i="67"/>
  <c r="E35" i="45"/>
  <c r="E32" i="45"/>
  <c r="I29" i="70"/>
  <c r="L20" i="70"/>
  <c r="I20" i="70"/>
  <c r="I19" i="70"/>
  <c r="F288" i="32"/>
  <c r="G288" i="32"/>
  <c r="H288" i="32"/>
  <c r="E288" i="32"/>
  <c r="V12" i="51" s="1"/>
  <c r="I288" i="32"/>
  <c r="I29" i="69"/>
  <c r="I20" i="69"/>
  <c r="L20" i="69"/>
  <c r="I19" i="69"/>
  <c r="G287" i="32"/>
  <c r="H287" i="32"/>
  <c r="E287" i="32"/>
  <c r="I287" i="32"/>
  <c r="F287" i="32"/>
  <c r="H300" i="32"/>
  <c r="E300" i="32"/>
  <c r="I300" i="32"/>
  <c r="F300" i="32"/>
  <c r="G300" i="32"/>
  <c r="F295" i="32"/>
  <c r="G295" i="32"/>
  <c r="H295" i="32"/>
  <c r="E295" i="32"/>
  <c r="V16" i="52" s="1"/>
  <c r="I295" i="32"/>
  <c r="H293" i="32"/>
  <c r="E293" i="32"/>
  <c r="I293" i="32"/>
  <c r="F293" i="32"/>
  <c r="G293" i="32"/>
  <c r="E299" i="32"/>
  <c r="I299" i="32"/>
  <c r="F299" i="32"/>
  <c r="G299" i="32"/>
  <c r="H299" i="32"/>
  <c r="G301" i="32"/>
  <c r="H301" i="32"/>
  <c r="E301" i="32"/>
  <c r="I301" i="32"/>
  <c r="F301" i="32"/>
  <c r="E289" i="32"/>
  <c r="V12" i="52" s="1"/>
  <c r="I289" i="32"/>
  <c r="F289" i="32"/>
  <c r="G289" i="32"/>
  <c r="H289" i="32"/>
  <c r="G294" i="32"/>
  <c r="H294" i="32"/>
  <c r="E294" i="32"/>
  <c r="I294" i="32"/>
  <c r="F294" i="32"/>
  <c r="A7" i="67"/>
  <c r="I29" i="66"/>
  <c r="I20" i="66"/>
  <c r="L20" i="66"/>
  <c r="I19" i="66"/>
  <c r="E1484" i="67"/>
  <c r="F1484" i="67"/>
  <c r="G1467" i="67"/>
  <c r="I1467" i="67"/>
  <c r="H1467" i="67"/>
  <c r="H1486" i="67"/>
  <c r="E1467" i="67"/>
  <c r="E12" i="63"/>
  <c r="F231" i="32"/>
  <c r="G237" i="32"/>
  <c r="I243" i="32"/>
  <c r="G232" i="32"/>
  <c r="F238" i="32"/>
  <c r="E101" i="65"/>
  <c r="E358" i="65"/>
  <c r="G244" i="32"/>
  <c r="E244" i="32"/>
  <c r="I244" i="32"/>
  <c r="H244" i="32"/>
  <c r="F244" i="32"/>
  <c r="H237" i="32"/>
  <c r="E106" i="65"/>
  <c r="E364" i="65"/>
  <c r="E752" i="65"/>
  <c r="E28" i="65"/>
  <c r="E105" i="65"/>
  <c r="F26" i="65"/>
  <c r="E102" i="65"/>
  <c r="F551" i="65"/>
  <c r="E473" i="65"/>
  <c r="E474" i="65"/>
  <c r="E513" i="65"/>
  <c r="E514" i="65"/>
  <c r="E566" i="65"/>
  <c r="E567" i="65"/>
  <c r="E574" i="65"/>
  <c r="E575" i="65"/>
  <c r="F513" i="65"/>
  <c r="F514" i="65"/>
  <c r="F747" i="65" s="1"/>
  <c r="F515" i="65"/>
  <c r="F753" i="65" s="1"/>
  <c r="E497" i="65"/>
  <c r="E496" i="65"/>
  <c r="F475" i="65"/>
  <c r="F474" i="65"/>
  <c r="F473" i="65"/>
  <c r="E571" i="65"/>
  <c r="E570" i="65"/>
  <c r="E536" i="65"/>
  <c r="E537" i="65"/>
  <c r="B3" i="65"/>
  <c r="C41" i="52"/>
  <c r="C41" i="50"/>
  <c r="C41" i="51"/>
  <c r="C41" i="48"/>
  <c r="C41" i="49"/>
  <c r="C41" i="34"/>
  <c r="D56" i="43"/>
  <c r="D55" i="43"/>
  <c r="D54" i="43"/>
  <c r="D53" i="43"/>
  <c r="D48" i="43"/>
  <c r="D47" i="43"/>
  <c r="D46" i="43"/>
  <c r="D45" i="43"/>
  <c r="F204" i="45"/>
  <c r="F203" i="45"/>
  <c r="F202" i="45"/>
  <c r="F201" i="45"/>
  <c r="F200" i="45"/>
  <c r="F199" i="45"/>
  <c r="F198" i="45"/>
  <c r="F197" i="45"/>
  <c r="F195" i="45"/>
  <c r="F190" i="45"/>
  <c r="F189" i="45"/>
  <c r="F188" i="45"/>
  <c r="F187" i="45"/>
  <c r="F186" i="45"/>
  <c r="F185" i="45"/>
  <c r="F184" i="45"/>
  <c r="F183" i="45"/>
  <c r="F176" i="45"/>
  <c r="F175" i="45"/>
  <c r="F174" i="45"/>
  <c r="F173" i="45"/>
  <c r="F172" i="45"/>
  <c r="F171" i="45"/>
  <c r="E163" i="45"/>
  <c r="E162" i="45"/>
  <c r="F170" i="45"/>
  <c r="G163" i="32" l="1"/>
  <c r="E163" i="32"/>
  <c r="I163" i="32"/>
  <c r="H163" i="32"/>
  <c r="F163" i="32"/>
  <c r="G169" i="32"/>
  <c r="H169" i="32"/>
  <c r="I169" i="32"/>
  <c r="E169" i="32"/>
  <c r="F169" i="32"/>
  <c r="F742" i="65"/>
  <c r="E798" i="65"/>
  <c r="F741" i="65"/>
  <c r="F798" i="65"/>
  <c r="F797" i="65"/>
  <c r="E797" i="65"/>
  <c r="F3337" i="67"/>
  <c r="F3339" i="67"/>
  <c r="F3340" i="67"/>
  <c r="E3363" i="67"/>
  <c r="H3362" i="67"/>
  <c r="H1598" i="67" s="1"/>
  <c r="E2488" i="67"/>
  <c r="H3364" i="67"/>
  <c r="E3364" i="67"/>
  <c r="G3314" i="67"/>
  <c r="G1558" i="67" s="1"/>
  <c r="F3326" i="67"/>
  <c r="E2430" i="67"/>
  <c r="Y18" i="63" s="1"/>
  <c r="F3364" i="67"/>
  <c r="F1747" i="67" s="1"/>
  <c r="F3361" i="67"/>
  <c r="G3325" i="67"/>
  <c r="F3362" i="67"/>
  <c r="G2519" i="67"/>
  <c r="H3363" i="67"/>
  <c r="F3327" i="67"/>
  <c r="F1717" i="67" s="1"/>
  <c r="F3325" i="67"/>
  <c r="E2431" i="67"/>
  <c r="Y20" i="63" s="1"/>
  <c r="H3336" i="67"/>
  <c r="H3337" i="67" s="1"/>
  <c r="E3348" i="67"/>
  <c r="E3349" i="67" s="1"/>
  <c r="E3372" i="67"/>
  <c r="E3376" i="67" s="1"/>
  <c r="I2520" i="67"/>
  <c r="H2511" i="67"/>
  <c r="I2488" i="67"/>
  <c r="I3364" i="67"/>
  <c r="E3325" i="67"/>
  <c r="G3327" i="67"/>
  <c r="G1717" i="67" s="1"/>
  <c r="I3361" i="67"/>
  <c r="I1598" i="67" s="1"/>
  <c r="F2487" i="67"/>
  <c r="E3361" i="67"/>
  <c r="E1598" i="67" s="1"/>
  <c r="I3363" i="67"/>
  <c r="E3326" i="67"/>
  <c r="I2528" i="67"/>
  <c r="E3328" i="67"/>
  <c r="E1717" i="67" s="1"/>
  <c r="H2528" i="67"/>
  <c r="H2531" i="67" s="1"/>
  <c r="I3375" i="67"/>
  <c r="H2487" i="67"/>
  <c r="F2519" i="67"/>
  <c r="F1578" i="67"/>
  <c r="H2399" i="67"/>
  <c r="F2497" i="67"/>
  <c r="E2398" i="67"/>
  <c r="Y18" i="62" s="1"/>
  <c r="G3315" i="67"/>
  <c r="G3326" i="67"/>
  <c r="I3376" i="67"/>
  <c r="G2488" i="67"/>
  <c r="F2431" i="67"/>
  <c r="I3373" i="67"/>
  <c r="I1608" i="67" s="1"/>
  <c r="G3316" i="67"/>
  <c r="G3372" i="67"/>
  <c r="G3373" i="67" s="1"/>
  <c r="I3336" i="67"/>
  <c r="I3338" i="67" s="1"/>
  <c r="I3348" i="67"/>
  <c r="I3352" i="67" s="1"/>
  <c r="I3312" i="67"/>
  <c r="I3313" i="67" s="1"/>
  <c r="E3336" i="67"/>
  <c r="E3338" i="67" s="1"/>
  <c r="G3336" i="67"/>
  <c r="G3340" i="67" s="1"/>
  <c r="H2432" i="67"/>
  <c r="F1263" i="67"/>
  <c r="F1269" i="67" s="1"/>
  <c r="F1270" i="67" s="1"/>
  <c r="F1284" i="67" s="1"/>
  <c r="F2505" i="67" s="1"/>
  <c r="F2510" i="67" s="1"/>
  <c r="F3342" i="67"/>
  <c r="F1371" i="67"/>
  <c r="F1377" i="67" s="1"/>
  <c r="F1378" i="67" s="1"/>
  <c r="F1392" i="67" s="1"/>
  <c r="F2523" i="67" s="1"/>
  <c r="F2528" i="67" s="1"/>
  <c r="F3366" i="67"/>
  <c r="G3358" i="67"/>
  <c r="G3355" i="67"/>
  <c r="G3356" i="67"/>
  <c r="G3357" i="67"/>
  <c r="H3343" i="67"/>
  <c r="H3344" i="67"/>
  <c r="H3346" i="67"/>
  <c r="H3345" i="67"/>
  <c r="I2398" i="67"/>
  <c r="G2431" i="67"/>
  <c r="I3356" i="67"/>
  <c r="I3355" i="67"/>
  <c r="I3357" i="67"/>
  <c r="I3358" i="67"/>
  <c r="G3321" i="67"/>
  <c r="G3322" i="67"/>
  <c r="G3319" i="67"/>
  <c r="G3320" i="67"/>
  <c r="G3363" i="67"/>
  <c r="G3364" i="67"/>
  <c r="G3362" i="67"/>
  <c r="G3361" i="67"/>
  <c r="H1208" i="67"/>
  <c r="H1214" i="67" s="1"/>
  <c r="H1215" i="67" s="1"/>
  <c r="H1229" i="67" s="1"/>
  <c r="H2491" i="67" s="1"/>
  <c r="H2496" i="67" s="1"/>
  <c r="H3330" i="67"/>
  <c r="F3312" i="67"/>
  <c r="H3312" i="67"/>
  <c r="E1263" i="67"/>
  <c r="E1269" i="67" s="1"/>
  <c r="E1270" i="67" s="1"/>
  <c r="E1284" i="67" s="1"/>
  <c r="E2505" i="67" s="1"/>
  <c r="E2510" i="67" s="1"/>
  <c r="E3342" i="67"/>
  <c r="E3312" i="67"/>
  <c r="G3348" i="67"/>
  <c r="E1371" i="67"/>
  <c r="E1377" i="67" s="1"/>
  <c r="E1378" i="67" s="1"/>
  <c r="E1392" i="67" s="1"/>
  <c r="E2523" i="67" s="1"/>
  <c r="E2529" i="67" s="1"/>
  <c r="E3366" i="67"/>
  <c r="G2479" i="67"/>
  <c r="E2520" i="67"/>
  <c r="H2520" i="67"/>
  <c r="H3376" i="67"/>
  <c r="H3373" i="67"/>
  <c r="H3375" i="67"/>
  <c r="H3374" i="67"/>
  <c r="I3319" i="67"/>
  <c r="I3320" i="67"/>
  <c r="I3322" i="67"/>
  <c r="I3321" i="67"/>
  <c r="H3367" i="67"/>
  <c r="H3370" i="67"/>
  <c r="H3369" i="67"/>
  <c r="H3368" i="67"/>
  <c r="F3355" i="67"/>
  <c r="F3358" i="67"/>
  <c r="F3357" i="67"/>
  <c r="F3356" i="67"/>
  <c r="I3328" i="67"/>
  <c r="I3327" i="67"/>
  <c r="I3326" i="67"/>
  <c r="I3325" i="67"/>
  <c r="F3322" i="67"/>
  <c r="F3321" i="67"/>
  <c r="F3320" i="67"/>
  <c r="F3319" i="67"/>
  <c r="H3320" i="67"/>
  <c r="H3322" i="67"/>
  <c r="H3319" i="67"/>
  <c r="H3321" i="67"/>
  <c r="H3352" i="67"/>
  <c r="H3351" i="67"/>
  <c r="H3350" i="67"/>
  <c r="H3349" i="67"/>
  <c r="E3356" i="67"/>
  <c r="E3358" i="67"/>
  <c r="E3357" i="67"/>
  <c r="E3355" i="67"/>
  <c r="H3357" i="67"/>
  <c r="H3356" i="67"/>
  <c r="H3358" i="67"/>
  <c r="H3355" i="67"/>
  <c r="F1100" i="67"/>
  <c r="F1106" i="67" s="1"/>
  <c r="F1107" i="67" s="1"/>
  <c r="F1121" i="67" s="1"/>
  <c r="F2473" i="67" s="1"/>
  <c r="F2478" i="67" s="1"/>
  <c r="F3306" i="67"/>
  <c r="H1100" i="67"/>
  <c r="H1106" i="67" s="1"/>
  <c r="H1107" i="67" s="1"/>
  <c r="H1121" i="67" s="1"/>
  <c r="H2473" i="67" s="1"/>
  <c r="H2479" i="67" s="1"/>
  <c r="H3306" i="67"/>
  <c r="E1100" i="67"/>
  <c r="E1106" i="67" s="1"/>
  <c r="E1107" i="67" s="1"/>
  <c r="E1121" i="67" s="1"/>
  <c r="E2473" i="67" s="1"/>
  <c r="E2479" i="67" s="1"/>
  <c r="E3306" i="67"/>
  <c r="G1263" i="67"/>
  <c r="G1269" i="67" s="1"/>
  <c r="G1270" i="67" s="1"/>
  <c r="G1284" i="67" s="1"/>
  <c r="G2505" i="67" s="1"/>
  <c r="G2510" i="67" s="1"/>
  <c r="G3342" i="67"/>
  <c r="H3325" i="67"/>
  <c r="H3328" i="67"/>
  <c r="H3327" i="67"/>
  <c r="H3326" i="67"/>
  <c r="G1371" i="67"/>
  <c r="G1377" i="67" s="1"/>
  <c r="G1378" i="67" s="1"/>
  <c r="G1392" i="67" s="1"/>
  <c r="G2523" i="67" s="1"/>
  <c r="G2528" i="67" s="1"/>
  <c r="G3366" i="67"/>
  <c r="I1208" i="67"/>
  <c r="I1214" i="67" s="1"/>
  <c r="I1215" i="67" s="1"/>
  <c r="I1229" i="67" s="1"/>
  <c r="I2491" i="67" s="1"/>
  <c r="I2496" i="67" s="1"/>
  <c r="I3330" i="67"/>
  <c r="F3348" i="67"/>
  <c r="I1263" i="67"/>
  <c r="I1269" i="67" s="1"/>
  <c r="I1270" i="67" s="1"/>
  <c r="I1284" i="67" s="1"/>
  <c r="I2505" i="67" s="1"/>
  <c r="I2511" i="67" s="1"/>
  <c r="I3342" i="67"/>
  <c r="I1100" i="67"/>
  <c r="I1106" i="67" s="1"/>
  <c r="I1107" i="67" s="1"/>
  <c r="I1121" i="67" s="1"/>
  <c r="I2473" i="67" s="1"/>
  <c r="I2478" i="67" s="1"/>
  <c r="I3306" i="67"/>
  <c r="F3372" i="67"/>
  <c r="E1208" i="67"/>
  <c r="E1214" i="67" s="1"/>
  <c r="E1215" i="67" s="1"/>
  <c r="E1229" i="67" s="1"/>
  <c r="E2491" i="67" s="1"/>
  <c r="E2497" i="67" s="1"/>
  <c r="E3330" i="67"/>
  <c r="G1208" i="67"/>
  <c r="G1214" i="67" s="1"/>
  <c r="G1215" i="67" s="1"/>
  <c r="G1229" i="67" s="1"/>
  <c r="G2491" i="67" s="1"/>
  <c r="G2496" i="67" s="1"/>
  <c r="G2499" i="67" s="1"/>
  <c r="G3330" i="67"/>
  <c r="E2399" i="67"/>
  <c r="Y20" i="62" s="1"/>
  <c r="I3370" i="67"/>
  <c r="I3368" i="67"/>
  <c r="I3369" i="67"/>
  <c r="I3367" i="67"/>
  <c r="G3307" i="67"/>
  <c r="G3310" i="67"/>
  <c r="G3309" i="67"/>
  <c r="G3308" i="67"/>
  <c r="E3319" i="67"/>
  <c r="E3321" i="67"/>
  <c r="E3322" i="67"/>
  <c r="E3320" i="67"/>
  <c r="F3332" i="67"/>
  <c r="F3333" i="67"/>
  <c r="F3334" i="67"/>
  <c r="F3331" i="67"/>
  <c r="G2400" i="67"/>
  <c r="F2400" i="67"/>
  <c r="H2398" i="67"/>
  <c r="I2399" i="67"/>
  <c r="G2430" i="67"/>
  <c r="I2432" i="67"/>
  <c r="F2430" i="67"/>
  <c r="G12" i="63"/>
  <c r="A124" i="77"/>
  <c r="A120" i="77"/>
  <c r="A126" i="77"/>
  <c r="A123" i="77"/>
  <c r="G12" i="62"/>
  <c r="A125" i="77"/>
  <c r="A121" i="77"/>
  <c r="A119" i="77"/>
  <c r="A122" i="77"/>
  <c r="I447" i="67"/>
  <c r="I452" i="67" s="1"/>
  <c r="I453" i="67" s="1"/>
  <c r="I457" i="67"/>
  <c r="I463" i="67" s="1"/>
  <c r="F447" i="67"/>
  <c r="F452" i="67" s="1"/>
  <c r="F453" i="67" s="1"/>
  <c r="F457" i="67"/>
  <c r="F463" i="67" s="1"/>
  <c r="G447" i="67"/>
  <c r="G452" i="67" s="1"/>
  <c r="G453" i="67" s="1"/>
  <c r="G457" i="67"/>
  <c r="G463" i="67" s="1"/>
  <c r="F403" i="67"/>
  <c r="F409" i="67" s="1"/>
  <c r="F393" i="67"/>
  <c r="F398" i="67" s="1"/>
  <c r="F399" i="67" s="1"/>
  <c r="F186" i="67"/>
  <c r="F176" i="67"/>
  <c r="H457" i="67"/>
  <c r="H463" i="67" s="1"/>
  <c r="H447" i="67"/>
  <c r="H452" i="67" s="1"/>
  <c r="H453" i="67" s="1"/>
  <c r="G339" i="67"/>
  <c r="G344" i="67" s="1"/>
  <c r="G345" i="67" s="1"/>
  <c r="G349" i="67"/>
  <c r="G355" i="67" s="1"/>
  <c r="I294" i="67"/>
  <c r="I300" i="67" s="1"/>
  <c r="I284" i="67"/>
  <c r="H240" i="67"/>
  <c r="H246" i="67" s="1"/>
  <c r="H230" i="67"/>
  <c r="E447" i="67"/>
  <c r="E452" i="67" s="1"/>
  <c r="E453" i="67" s="1"/>
  <c r="E457" i="67"/>
  <c r="E463" i="67" s="1"/>
  <c r="G240" i="67"/>
  <c r="G246" i="67" s="1"/>
  <c r="G230" i="67"/>
  <c r="G1486" i="67"/>
  <c r="O13" i="66"/>
  <c r="P13" i="66" s="1"/>
  <c r="F1486" i="67"/>
  <c r="H1490" i="67"/>
  <c r="O14" i="66"/>
  <c r="P14" i="66" s="1"/>
  <c r="I1486" i="67"/>
  <c r="F1472" i="67"/>
  <c r="E14" i="63"/>
  <c r="G14" i="63" s="1"/>
  <c r="E16" i="55"/>
  <c r="G16" i="55" s="1"/>
  <c r="E16" i="56"/>
  <c r="G16" i="56" s="1"/>
  <c r="V16" i="50"/>
  <c r="V12" i="50"/>
  <c r="H151" i="31"/>
  <c r="G151" i="31"/>
  <c r="I151" i="31"/>
  <c r="H145" i="31"/>
  <c r="F151" i="31"/>
  <c r="E151" i="31"/>
  <c r="E150" i="31"/>
  <c r="E286" i="32"/>
  <c r="E298" i="32"/>
  <c r="F286" i="32"/>
  <c r="F1469" i="67"/>
  <c r="V12" i="56"/>
  <c r="H1493" i="67"/>
  <c r="V14" i="55"/>
  <c r="V14" i="56"/>
  <c r="T4" i="62"/>
  <c r="T4" i="61"/>
  <c r="T4" i="63"/>
  <c r="T4" i="55"/>
  <c r="T4" i="56"/>
  <c r="T4" i="57"/>
  <c r="H298" i="32"/>
  <c r="H292" i="32"/>
  <c r="F292" i="32"/>
  <c r="I292" i="32"/>
  <c r="G292" i="32"/>
  <c r="AH13" i="70"/>
  <c r="F298" i="32"/>
  <c r="G298" i="32"/>
  <c r="I286" i="32"/>
  <c r="AH14" i="70"/>
  <c r="H286" i="32"/>
  <c r="F237" i="32"/>
  <c r="E1486" i="67"/>
  <c r="F243" i="32"/>
  <c r="H231" i="32"/>
  <c r="G231" i="32"/>
  <c r="I231" i="32"/>
  <c r="E231" i="32"/>
  <c r="E243" i="32"/>
  <c r="G243" i="32"/>
  <c r="I232" i="32"/>
  <c r="E1469" i="67"/>
  <c r="E1472" i="67"/>
  <c r="L13" i="66" s="1"/>
  <c r="M13" i="66" s="1"/>
  <c r="G1472" i="67"/>
  <c r="G1469" i="67"/>
  <c r="E237" i="32"/>
  <c r="I237" i="32"/>
  <c r="V14" i="52"/>
  <c r="V14" i="50"/>
  <c r="H1472" i="67"/>
  <c r="H1469" i="67"/>
  <c r="I1472" i="67"/>
  <c r="I1469" i="67"/>
  <c r="V14" i="51"/>
  <c r="V12" i="55"/>
  <c r="H243" i="32"/>
  <c r="F232" i="32"/>
  <c r="E232" i="32"/>
  <c r="H238" i="32"/>
  <c r="H232" i="32"/>
  <c r="E238" i="32"/>
  <c r="G238" i="32"/>
  <c r="I238" i="32"/>
  <c r="F746" i="65"/>
  <c r="E533" i="65"/>
  <c r="E747" i="65"/>
  <c r="G236" i="32"/>
  <c r="F236" i="32"/>
  <c r="H236" i="32"/>
  <c r="E236" i="32"/>
  <c r="I236" i="32"/>
  <c r="G242" i="32"/>
  <c r="H242" i="32"/>
  <c r="F242" i="32"/>
  <c r="I242" i="32"/>
  <c r="E242" i="32"/>
  <c r="F740" i="65"/>
  <c r="E488" i="65"/>
  <c r="E740" i="65"/>
  <c r="G241" i="32"/>
  <c r="F241" i="32"/>
  <c r="H241" i="32"/>
  <c r="I241" i="32"/>
  <c r="E241" i="32"/>
  <c r="AB33" i="75" s="1"/>
  <c r="H235" i="32"/>
  <c r="I235" i="32"/>
  <c r="F235" i="32"/>
  <c r="G235" i="32"/>
  <c r="E235" i="32"/>
  <c r="AB34" i="75" s="1"/>
  <c r="F229" i="32"/>
  <c r="G229" i="32"/>
  <c r="H229" i="32"/>
  <c r="E229" i="32"/>
  <c r="AB32" i="75" s="1"/>
  <c r="I229" i="32"/>
  <c r="I97" i="32"/>
  <c r="G97" i="32"/>
  <c r="F97" i="32"/>
  <c r="H97" i="32"/>
  <c r="E97" i="32"/>
  <c r="F752" i="65"/>
  <c r="E529" i="65"/>
  <c r="E741" i="65"/>
  <c r="G85" i="32"/>
  <c r="E85" i="32"/>
  <c r="H85" i="32"/>
  <c r="F85" i="32"/>
  <c r="I85" i="32"/>
  <c r="E493" i="65"/>
  <c r="E746" i="65"/>
  <c r="G230" i="32"/>
  <c r="I230" i="32"/>
  <c r="F230" i="32"/>
  <c r="E230" i="32"/>
  <c r="H230" i="32"/>
  <c r="I91" i="32"/>
  <c r="H91" i="32"/>
  <c r="F91" i="32"/>
  <c r="G91" i="32"/>
  <c r="E91" i="32"/>
  <c r="F29" i="65"/>
  <c r="F28" i="65"/>
  <c r="F84" i="65"/>
  <c r="F420" i="65"/>
  <c r="F82" i="65"/>
  <c r="F83" i="65"/>
  <c r="E492" i="65"/>
  <c r="F552" i="65"/>
  <c r="F553" i="65"/>
  <c r="E489" i="65"/>
  <c r="E532" i="65"/>
  <c r="E528" i="65"/>
  <c r="F489" i="65"/>
  <c r="F488" i="65"/>
  <c r="F533" i="65"/>
  <c r="F532" i="65"/>
  <c r="F493" i="65"/>
  <c r="F492" i="65"/>
  <c r="F529" i="65"/>
  <c r="F528" i="65"/>
  <c r="F497" i="65"/>
  <c r="F496" i="65"/>
  <c r="F566" i="65"/>
  <c r="F567" i="65"/>
  <c r="F536" i="65"/>
  <c r="F537" i="65"/>
  <c r="E23" i="45"/>
  <c r="AE34" i="75" l="1"/>
  <c r="Y10" i="51"/>
  <c r="A519" i="77" s="1"/>
  <c r="AC13" i="75"/>
  <c r="AG13" i="75"/>
  <c r="Y11" i="51"/>
  <c r="F799" i="65"/>
  <c r="F803" i="65"/>
  <c r="Y25" i="63"/>
  <c r="Y25" i="62"/>
  <c r="H3338" i="67"/>
  <c r="H1578" i="67" s="1"/>
  <c r="E1747" i="67"/>
  <c r="F1727" i="67"/>
  <c r="F1568" i="67"/>
  <c r="H3340" i="67"/>
  <c r="E2528" i="67"/>
  <c r="E2531" i="67" s="1"/>
  <c r="G1568" i="67"/>
  <c r="H1747" i="67"/>
  <c r="E3352" i="67"/>
  <c r="E2432" i="67"/>
  <c r="E3375" i="67"/>
  <c r="E1757" i="67" s="1"/>
  <c r="I3315" i="67"/>
  <c r="I1747" i="67"/>
  <c r="I1757" i="67"/>
  <c r="F1598" i="67"/>
  <c r="F1742" i="67"/>
  <c r="F1744" i="67" s="1"/>
  <c r="F1746" i="67" s="1"/>
  <c r="F1749" i="67" s="1"/>
  <c r="I3351" i="67"/>
  <c r="I1737" i="67" s="1"/>
  <c r="H1563" i="67"/>
  <c r="H1565" i="67" s="1"/>
  <c r="H1567" i="67" s="1"/>
  <c r="H1757" i="67"/>
  <c r="E3351" i="67"/>
  <c r="G1742" i="67"/>
  <c r="G1744" i="67" s="1"/>
  <c r="G1785" i="67" s="1"/>
  <c r="H1752" i="67"/>
  <c r="H1754" i="67" s="1"/>
  <c r="H1786" i="67" s="1"/>
  <c r="E3350" i="67"/>
  <c r="E1588" i="67" s="1"/>
  <c r="F2499" i="67"/>
  <c r="H2532" i="67"/>
  <c r="H2533" i="67" s="1"/>
  <c r="H3339" i="67"/>
  <c r="H1712" i="67"/>
  <c r="H1714" i="67" s="1"/>
  <c r="H1716" i="67" s="1"/>
  <c r="E2400" i="67"/>
  <c r="I3337" i="67"/>
  <c r="I1578" i="67" s="1"/>
  <c r="G1747" i="67"/>
  <c r="G1712" i="67"/>
  <c r="G1714" i="67" s="1"/>
  <c r="G1774" i="67" s="1"/>
  <c r="E3373" i="67"/>
  <c r="I3316" i="67"/>
  <c r="E2478" i="67"/>
  <c r="H1742" i="67"/>
  <c r="H1744" i="67" s="1"/>
  <c r="I3350" i="67"/>
  <c r="E3374" i="67"/>
  <c r="E1568" i="67"/>
  <c r="F1722" i="67"/>
  <c r="F1724" i="67" s="1"/>
  <c r="E1712" i="67"/>
  <c r="E1714" i="67" s="1"/>
  <c r="I2532" i="67"/>
  <c r="I3349" i="67"/>
  <c r="H1717" i="67"/>
  <c r="I1717" i="67"/>
  <c r="G1707" i="67"/>
  <c r="E2496" i="67"/>
  <c r="I1752" i="67"/>
  <c r="I1754" i="67" s="1"/>
  <c r="H1568" i="67"/>
  <c r="E1593" i="67"/>
  <c r="E1595" i="67" s="1"/>
  <c r="H1737" i="67"/>
  <c r="I1712" i="67"/>
  <c r="I1714" i="67" s="1"/>
  <c r="G1563" i="67"/>
  <c r="G1565" i="67" s="1"/>
  <c r="I1742" i="67"/>
  <c r="I1744" i="67" s="1"/>
  <c r="F1712" i="67"/>
  <c r="F1714" i="67" s="1"/>
  <c r="G3376" i="67"/>
  <c r="H2400" i="67"/>
  <c r="H2478" i="67"/>
  <c r="H2499" i="67" s="1"/>
  <c r="G1702" i="67"/>
  <c r="G1704" i="67" s="1"/>
  <c r="G1706" i="67" s="1"/>
  <c r="E1742" i="67"/>
  <c r="E1744" i="67" s="1"/>
  <c r="H1608" i="67"/>
  <c r="H1732" i="67"/>
  <c r="H1734" i="67" s="1"/>
  <c r="I3314" i="67"/>
  <c r="I1558" i="67" s="1"/>
  <c r="G1553" i="67"/>
  <c r="G1555" i="67" s="1"/>
  <c r="H1603" i="67"/>
  <c r="H1605" i="67" s="1"/>
  <c r="G3339" i="67"/>
  <c r="G1727" i="67" s="1"/>
  <c r="I2479" i="67"/>
  <c r="F2511" i="67"/>
  <c r="E2511" i="67"/>
  <c r="E2532" i="67" s="1"/>
  <c r="H1588" i="67"/>
  <c r="E3339" i="67"/>
  <c r="F1563" i="67"/>
  <c r="F1565" i="67" s="1"/>
  <c r="I1568" i="67"/>
  <c r="H1583" i="67"/>
  <c r="H1585" i="67" s="1"/>
  <c r="G1593" i="67"/>
  <c r="G1595" i="67" s="1"/>
  <c r="G3375" i="67"/>
  <c r="F1573" i="67"/>
  <c r="F1575" i="67" s="1"/>
  <c r="E1563" i="67"/>
  <c r="E1565" i="67" s="1"/>
  <c r="F1593" i="67"/>
  <c r="F1595" i="67" s="1"/>
  <c r="I1593" i="67"/>
  <c r="I1595" i="67" s="1"/>
  <c r="I2497" i="67"/>
  <c r="I1603" i="67"/>
  <c r="I1605" i="67" s="1"/>
  <c r="H1593" i="67"/>
  <c r="H1595" i="67" s="1"/>
  <c r="E3340" i="67"/>
  <c r="I1563" i="67"/>
  <c r="I1565" i="67" s="1"/>
  <c r="G1598" i="67"/>
  <c r="G2529" i="67"/>
  <c r="I3340" i="67"/>
  <c r="G3338" i="67"/>
  <c r="G2497" i="67"/>
  <c r="G2500" i="67" s="1"/>
  <c r="G2501" i="67" s="1"/>
  <c r="H2497" i="67"/>
  <c r="H2500" i="67" s="1"/>
  <c r="F2479" i="67"/>
  <c r="F2500" i="67" s="1"/>
  <c r="E3337" i="67"/>
  <c r="E1578" i="67" s="1"/>
  <c r="I3339" i="67"/>
  <c r="F2432" i="67"/>
  <c r="G3337" i="67"/>
  <c r="G3374" i="67"/>
  <c r="G1608" i="67" s="1"/>
  <c r="G3331" i="67"/>
  <c r="G3334" i="67"/>
  <c r="G3333" i="67"/>
  <c r="G3332" i="67"/>
  <c r="F3374" i="67"/>
  <c r="F3375" i="67"/>
  <c r="F3376" i="67"/>
  <c r="F3373" i="67"/>
  <c r="G3368" i="67"/>
  <c r="G3367" i="67"/>
  <c r="G3370" i="67"/>
  <c r="G3369" i="67"/>
  <c r="E3314" i="67"/>
  <c r="E3316" i="67"/>
  <c r="E3315" i="67"/>
  <c r="E3313" i="67"/>
  <c r="I2510" i="67"/>
  <c r="I2531" i="67" s="1"/>
  <c r="G2511" i="67"/>
  <c r="I3309" i="67"/>
  <c r="I3310" i="67"/>
  <c r="I3307" i="67"/>
  <c r="I3308" i="67"/>
  <c r="F3350" i="67"/>
  <c r="F3351" i="67"/>
  <c r="F3352" i="67"/>
  <c r="F3349" i="67"/>
  <c r="E3309" i="67"/>
  <c r="E3310" i="67"/>
  <c r="E3307" i="67"/>
  <c r="E3308" i="67"/>
  <c r="E3346" i="67"/>
  <c r="E3343" i="67"/>
  <c r="E3345" i="67"/>
  <c r="E3344" i="67"/>
  <c r="H3334" i="67"/>
  <c r="H3331" i="67"/>
  <c r="H3332" i="67"/>
  <c r="H3333" i="67"/>
  <c r="E2500" i="67"/>
  <c r="I2400" i="67"/>
  <c r="F2529" i="67"/>
  <c r="E3333" i="67"/>
  <c r="E3334" i="67"/>
  <c r="E3331" i="67"/>
  <c r="E3332" i="67"/>
  <c r="I3333" i="67"/>
  <c r="I3332" i="67"/>
  <c r="I3331" i="67"/>
  <c r="I3334" i="67"/>
  <c r="F3345" i="67"/>
  <c r="F3344" i="67"/>
  <c r="F3343" i="67"/>
  <c r="F3346" i="67"/>
  <c r="F3313" i="67"/>
  <c r="F3314" i="67"/>
  <c r="F3316" i="67"/>
  <c r="F3315" i="67"/>
  <c r="F3369" i="67"/>
  <c r="F3370" i="67"/>
  <c r="F3367" i="67"/>
  <c r="F3368" i="67"/>
  <c r="F2531" i="67"/>
  <c r="F3308" i="67"/>
  <c r="F3309" i="67"/>
  <c r="F3310" i="67"/>
  <c r="F3307" i="67"/>
  <c r="E3370" i="67"/>
  <c r="E3367" i="67"/>
  <c r="E3369" i="67"/>
  <c r="E3368" i="67"/>
  <c r="I3346" i="67"/>
  <c r="I3344" i="67"/>
  <c r="I3345" i="67"/>
  <c r="I3343" i="67"/>
  <c r="G3344" i="67"/>
  <c r="G3346" i="67"/>
  <c r="G3345" i="67"/>
  <c r="G3343" i="67"/>
  <c r="H3310" i="67"/>
  <c r="H3309" i="67"/>
  <c r="H3308" i="67"/>
  <c r="H3307" i="67"/>
  <c r="G3349" i="67"/>
  <c r="G3351" i="67"/>
  <c r="G3352" i="67"/>
  <c r="G3350" i="67"/>
  <c r="H3315" i="67"/>
  <c r="H3316" i="67"/>
  <c r="H3313" i="67"/>
  <c r="H3314" i="67"/>
  <c r="G2432" i="67"/>
  <c r="G2531" i="67"/>
  <c r="I2499" i="67"/>
  <c r="F131" i="67"/>
  <c r="F121" i="67"/>
  <c r="E67" i="67"/>
  <c r="E77" i="67"/>
  <c r="I403" i="67"/>
  <c r="I409" i="67" s="1"/>
  <c r="I393" i="67"/>
  <c r="I398" i="67" s="1"/>
  <c r="I399" i="67" s="1"/>
  <c r="H393" i="67"/>
  <c r="H398" i="67" s="1"/>
  <c r="H399" i="67" s="1"/>
  <c r="H403" i="67"/>
  <c r="H409" i="67" s="1"/>
  <c r="E230" i="67"/>
  <c r="E235" i="67" s="1"/>
  <c r="E236" i="67" s="1"/>
  <c r="E240" i="67"/>
  <c r="E246" i="67" s="1"/>
  <c r="E186" i="67"/>
  <c r="E176" i="67"/>
  <c r="F284" i="67"/>
  <c r="F294" i="67"/>
  <c r="F300" i="67" s="1"/>
  <c r="E484" i="67"/>
  <c r="E490" i="67" s="1"/>
  <c r="E491" i="67" s="1"/>
  <c r="E464" i="67"/>
  <c r="E467" i="67" s="1"/>
  <c r="E2217" i="67" s="1"/>
  <c r="F464" i="67"/>
  <c r="F467" i="67" s="1"/>
  <c r="F2217" i="67" s="1"/>
  <c r="F484" i="67"/>
  <c r="F490" i="67" s="1"/>
  <c r="F491" i="67" s="1"/>
  <c r="H121" i="67"/>
  <c r="H131" i="67"/>
  <c r="H67" i="67"/>
  <c r="H77" i="67"/>
  <c r="G403" i="67"/>
  <c r="G409" i="67" s="1"/>
  <c r="G393" i="67"/>
  <c r="G398" i="67" s="1"/>
  <c r="G399" i="67" s="1"/>
  <c r="G586" i="67" s="1"/>
  <c r="E349" i="67"/>
  <c r="E355" i="67" s="1"/>
  <c r="E339" i="67"/>
  <c r="E344" i="67" s="1"/>
  <c r="E345" i="67" s="1"/>
  <c r="H294" i="67"/>
  <c r="H300" i="67" s="1"/>
  <c r="H284" i="67"/>
  <c r="I349" i="67"/>
  <c r="I355" i="67" s="1"/>
  <c r="I339" i="67"/>
  <c r="I344" i="67" s="1"/>
  <c r="I345" i="67" s="1"/>
  <c r="I186" i="67"/>
  <c r="I176" i="67"/>
  <c r="I321" i="67"/>
  <c r="I327" i="67" s="1"/>
  <c r="I328" i="67" s="1"/>
  <c r="I301" i="67"/>
  <c r="H484" i="67"/>
  <c r="H490" i="67" s="1"/>
  <c r="H491" i="67" s="1"/>
  <c r="H464" i="67"/>
  <c r="H467" i="67" s="1"/>
  <c r="H2217" i="67" s="1"/>
  <c r="F430" i="67"/>
  <c r="F436" i="67" s="1"/>
  <c r="F437" i="67" s="1"/>
  <c r="F410" i="67"/>
  <c r="F413" i="67" s="1"/>
  <c r="F2208" i="67" s="1"/>
  <c r="E131" i="67"/>
  <c r="E121" i="67"/>
  <c r="G121" i="67"/>
  <c r="G131" i="67"/>
  <c r="F67" i="67"/>
  <c r="F77" i="67"/>
  <c r="E403" i="67"/>
  <c r="E409" i="67" s="1"/>
  <c r="E393" i="67"/>
  <c r="E398" i="67" s="1"/>
  <c r="E399" i="67" s="1"/>
  <c r="G284" i="67"/>
  <c r="G294" i="67"/>
  <c r="G300" i="67" s="1"/>
  <c r="G176" i="67"/>
  <c r="G186" i="67"/>
  <c r="F240" i="67"/>
  <c r="F246" i="67" s="1"/>
  <c r="F230" i="67"/>
  <c r="G376" i="67"/>
  <c r="G382" i="67" s="1"/>
  <c r="G383" i="67" s="1"/>
  <c r="G356" i="67"/>
  <c r="G359" i="67" s="1"/>
  <c r="G2199" i="67" s="1"/>
  <c r="G464" i="67"/>
  <c r="G467" i="67" s="1"/>
  <c r="G2217" i="67" s="1"/>
  <c r="G484" i="67"/>
  <c r="G490" i="67" s="1"/>
  <c r="G491" i="67" s="1"/>
  <c r="I484" i="67"/>
  <c r="I490" i="67" s="1"/>
  <c r="I491" i="67" s="1"/>
  <c r="I464" i="67"/>
  <c r="I467" i="67" s="1"/>
  <c r="I2217" i="67" s="1"/>
  <c r="I121" i="67"/>
  <c r="I131" i="67"/>
  <c r="I67" i="67"/>
  <c r="I77" i="67"/>
  <c r="G77" i="67"/>
  <c r="G67" i="67"/>
  <c r="H349" i="67"/>
  <c r="H355" i="67" s="1"/>
  <c r="H339" i="67"/>
  <c r="H344" i="67" s="1"/>
  <c r="H345" i="67" s="1"/>
  <c r="F339" i="67"/>
  <c r="F344" i="67" s="1"/>
  <c r="F345" i="67" s="1"/>
  <c r="F349" i="67"/>
  <c r="F355" i="67" s="1"/>
  <c r="I230" i="67"/>
  <c r="I240" i="67"/>
  <c r="I246" i="67" s="1"/>
  <c r="E294" i="67"/>
  <c r="E300" i="67" s="1"/>
  <c r="E284" i="67"/>
  <c r="E289" i="67" s="1"/>
  <c r="E290" i="67" s="1"/>
  <c r="H186" i="67"/>
  <c r="H176" i="67"/>
  <c r="G267" i="67"/>
  <c r="G273" i="67" s="1"/>
  <c r="G274" i="67" s="1"/>
  <c r="G247" i="67"/>
  <c r="H247" i="67"/>
  <c r="H267" i="67"/>
  <c r="H273" i="67" s="1"/>
  <c r="H274" i="67" s="1"/>
  <c r="I13" i="66"/>
  <c r="I1473" i="67"/>
  <c r="G1473" i="67"/>
  <c r="I14" i="66"/>
  <c r="F1473" i="67"/>
  <c r="F1490" i="67"/>
  <c r="H1473" i="67"/>
  <c r="I1493" i="67"/>
  <c r="I1490" i="67"/>
  <c r="G1490" i="67"/>
  <c r="AE33" i="75"/>
  <c r="E14" i="56"/>
  <c r="G14" i="56" s="1"/>
  <c r="AE32" i="75"/>
  <c r="X18" i="55"/>
  <c r="E156" i="31"/>
  <c r="T4" i="34"/>
  <c r="T4" i="49"/>
  <c r="T4" i="48"/>
  <c r="AB34" i="66"/>
  <c r="AE34" i="66" s="1"/>
  <c r="AB32" i="66"/>
  <c r="AE32" i="66" s="1"/>
  <c r="AB33" i="66"/>
  <c r="AE33" i="66" s="1"/>
  <c r="Z11" i="62"/>
  <c r="Y11" i="56"/>
  <c r="AG13" i="70"/>
  <c r="AD14" i="70"/>
  <c r="AD13" i="70"/>
  <c r="E1490" i="67"/>
  <c r="E14" i="66" s="1"/>
  <c r="G13" i="67"/>
  <c r="G23" i="67"/>
  <c r="F23" i="67"/>
  <c r="F13" i="67"/>
  <c r="F1493" i="67"/>
  <c r="I23" i="67"/>
  <c r="I13" i="67"/>
  <c r="H13" i="67"/>
  <c r="H23" i="67"/>
  <c r="E1493" i="67"/>
  <c r="E1473" i="67"/>
  <c r="E13" i="66" s="1"/>
  <c r="E23" i="67"/>
  <c r="E13" i="67"/>
  <c r="G1493" i="67"/>
  <c r="F101" i="65"/>
  <c r="F358" i="65"/>
  <c r="F575" i="65"/>
  <c r="F754" i="65"/>
  <c r="F570" i="65"/>
  <c r="F748" i="65"/>
  <c r="F97" i="65"/>
  <c r="F352" i="65"/>
  <c r="F105" i="65"/>
  <c r="F364" i="65"/>
  <c r="F106" i="65"/>
  <c r="F98" i="65"/>
  <c r="F102" i="65"/>
  <c r="F571" i="65"/>
  <c r="F574" i="65"/>
  <c r="A57" i="27"/>
  <c r="A41" i="27"/>
  <c r="X19" i="56" l="1"/>
  <c r="Y19" i="62"/>
  <c r="Y19" i="63"/>
  <c r="X19" i="55"/>
  <c r="H1727" i="67"/>
  <c r="E1737" i="67"/>
  <c r="E1608" i="67"/>
  <c r="F1785" i="67"/>
  <c r="G1737" i="67"/>
  <c r="F1702" i="67"/>
  <c r="F1704" i="67" s="1"/>
  <c r="F1706" i="67" s="1"/>
  <c r="I2533" i="67"/>
  <c r="I1707" i="67"/>
  <c r="F2501" i="67"/>
  <c r="I2500" i="67"/>
  <c r="I2501" i="67" s="1"/>
  <c r="G1716" i="67"/>
  <c r="G1719" i="67" s="1"/>
  <c r="G1779" i="67" s="1"/>
  <c r="H1707" i="67"/>
  <c r="H1626" i="67"/>
  <c r="E1553" i="67"/>
  <c r="E1555" i="67" s="1"/>
  <c r="E1625" i="67" s="1"/>
  <c r="I1553" i="67"/>
  <c r="I1555" i="67" s="1"/>
  <c r="I1557" i="67" s="1"/>
  <c r="I1560" i="67" s="1"/>
  <c r="H1756" i="67"/>
  <c r="H1759" i="67" s="1"/>
  <c r="G1746" i="67"/>
  <c r="G1749" i="67" s="1"/>
  <c r="G132" i="31" s="1"/>
  <c r="E2499" i="67"/>
  <c r="E2501" i="67" s="1"/>
  <c r="Y19" i="56" s="1"/>
  <c r="F1752" i="67"/>
  <c r="F1754" i="67" s="1"/>
  <c r="F1756" i="67" s="1"/>
  <c r="H1722" i="67"/>
  <c r="H1724" i="67" s="1"/>
  <c r="H1775" i="67" s="1"/>
  <c r="F1757" i="67"/>
  <c r="H1774" i="67"/>
  <c r="G1732" i="67"/>
  <c r="G1734" i="67" s="1"/>
  <c r="G1736" i="67" s="1"/>
  <c r="I1583" i="67"/>
  <c r="I1585" i="67" s="1"/>
  <c r="I1587" i="67" s="1"/>
  <c r="F1603" i="67"/>
  <c r="F1605" i="67" s="1"/>
  <c r="F1638" i="67" s="1"/>
  <c r="I1588" i="67"/>
  <c r="G1583" i="67"/>
  <c r="G1585" i="67" s="1"/>
  <c r="G1587" i="67" s="1"/>
  <c r="I1732" i="67"/>
  <c r="I1734" i="67" s="1"/>
  <c r="I1784" i="67" s="1"/>
  <c r="E1702" i="67"/>
  <c r="E1704" i="67" s="1"/>
  <c r="E1706" i="67" s="1"/>
  <c r="I1702" i="67"/>
  <c r="I1704" i="67" s="1"/>
  <c r="I1706" i="67" s="1"/>
  <c r="F132" i="31"/>
  <c r="F1790" i="67"/>
  <c r="E1746" i="67"/>
  <c r="E1749" i="67" s="1"/>
  <c r="E1785" i="67"/>
  <c r="E1716" i="67"/>
  <c r="E1719" i="67" s="1"/>
  <c r="E1774" i="67"/>
  <c r="I1716" i="67"/>
  <c r="I1719" i="67" s="1"/>
  <c r="I1774" i="67"/>
  <c r="F1726" i="67"/>
  <c r="F1729" i="67" s="1"/>
  <c r="F1775" i="67"/>
  <c r="E1722" i="67"/>
  <c r="E1724" i="67" s="1"/>
  <c r="I1746" i="67"/>
  <c r="I1749" i="67" s="1"/>
  <c r="I1785" i="67"/>
  <c r="G1709" i="67"/>
  <c r="H1719" i="67"/>
  <c r="H131" i="31" s="1"/>
  <c r="H1736" i="67"/>
  <c r="H1739" i="67" s="1"/>
  <c r="H1789" i="67" s="1"/>
  <c r="H1784" i="67"/>
  <c r="F1732" i="67"/>
  <c r="F1734" i="67" s="1"/>
  <c r="F1716" i="67"/>
  <c r="F1719" i="67" s="1"/>
  <c r="F1774" i="67"/>
  <c r="I1756" i="67"/>
  <c r="I1759" i="67" s="1"/>
  <c r="I138" i="31" s="1"/>
  <c r="I1786" i="67"/>
  <c r="H1746" i="67"/>
  <c r="H1749" i="67" s="1"/>
  <c r="H1785" i="67"/>
  <c r="E2533" i="67"/>
  <c r="Y19" i="55" s="1"/>
  <c r="E1752" i="67"/>
  <c r="E1754" i="67" s="1"/>
  <c r="F2532" i="67"/>
  <c r="F2533" i="67" s="1"/>
  <c r="I1727" i="67"/>
  <c r="E1727" i="67"/>
  <c r="I1607" i="67"/>
  <c r="I1610" i="67" s="1"/>
  <c r="I1638" i="67"/>
  <c r="G1557" i="67"/>
  <c r="G1560" i="67" s="1"/>
  <c r="G1625" i="67"/>
  <c r="G1573" i="67"/>
  <c r="G1575" i="67" s="1"/>
  <c r="E1567" i="67"/>
  <c r="E1570" i="67" s="1"/>
  <c r="E1626" i="67"/>
  <c r="G1588" i="67"/>
  <c r="H1553" i="67"/>
  <c r="H1555" i="67" s="1"/>
  <c r="F1707" i="67"/>
  <c r="I1722" i="67"/>
  <c r="I1724" i="67" s="1"/>
  <c r="E1573" i="67"/>
  <c r="E1575" i="67" s="1"/>
  <c r="E1583" i="67"/>
  <c r="E1585" i="67" s="1"/>
  <c r="F1737" i="67"/>
  <c r="E1707" i="67"/>
  <c r="G1722" i="67"/>
  <c r="G1724" i="67" s="1"/>
  <c r="I1597" i="67"/>
  <c r="I1600" i="67" s="1"/>
  <c r="I1637" i="67"/>
  <c r="F1577" i="67"/>
  <c r="F1580" i="67" s="1"/>
  <c r="F1627" i="67"/>
  <c r="H1587" i="67"/>
  <c r="H1590" i="67" s="1"/>
  <c r="H1636" i="67"/>
  <c r="H1607" i="67"/>
  <c r="H1610" i="67" s="1"/>
  <c r="H1638" i="67"/>
  <c r="G1757" i="67"/>
  <c r="G1567" i="67"/>
  <c r="G1570" i="67" s="1"/>
  <c r="G1626" i="67"/>
  <c r="H1570" i="67"/>
  <c r="H1631" i="67" s="1"/>
  <c r="I1567" i="67"/>
  <c r="I1570" i="67" s="1"/>
  <c r="I1626" i="67"/>
  <c r="F1597" i="67"/>
  <c r="F1600" i="67" s="1"/>
  <c r="F1637" i="67"/>
  <c r="H1702" i="67"/>
  <c r="H1704" i="67" s="1"/>
  <c r="I1573" i="67"/>
  <c r="I1575" i="67" s="1"/>
  <c r="F1583" i="67"/>
  <c r="F1585" i="67" s="1"/>
  <c r="E1732" i="67"/>
  <c r="E1734" i="67" s="1"/>
  <c r="G2532" i="67"/>
  <c r="G2533" i="67" s="1"/>
  <c r="G1752" i="67"/>
  <c r="G1754" i="67" s="1"/>
  <c r="H1597" i="67"/>
  <c r="H1600" i="67" s="1"/>
  <c r="H1637" i="67"/>
  <c r="G1597" i="67"/>
  <c r="G1600" i="67" s="1"/>
  <c r="G1637" i="67"/>
  <c r="F1567" i="67"/>
  <c r="F1570" i="67" s="1"/>
  <c r="F1626" i="67"/>
  <c r="E1597" i="67"/>
  <c r="E1600" i="67" s="1"/>
  <c r="E1637" i="67"/>
  <c r="G1578" i="67"/>
  <c r="F1553" i="67"/>
  <c r="F1555" i="67" s="1"/>
  <c r="F1558" i="67"/>
  <c r="H1573" i="67"/>
  <c r="H1575" i="67" s="1"/>
  <c r="E1558" i="67"/>
  <c r="G1603" i="67"/>
  <c r="G1605" i="67" s="1"/>
  <c r="F1608" i="67"/>
  <c r="H1558" i="67"/>
  <c r="E1603" i="67"/>
  <c r="E1605" i="67" s="1"/>
  <c r="F1588" i="67"/>
  <c r="H2501" i="67"/>
  <c r="G2205" i="67"/>
  <c r="G2204" i="67"/>
  <c r="F2214" i="67"/>
  <c r="F2213" i="67"/>
  <c r="E2223" i="67"/>
  <c r="E2222" i="67"/>
  <c r="G2223" i="67"/>
  <c r="G2222" i="67"/>
  <c r="I2223" i="67"/>
  <c r="I2222" i="67"/>
  <c r="H2223" i="67"/>
  <c r="H2222" i="67"/>
  <c r="F2222" i="67"/>
  <c r="F2223" i="67"/>
  <c r="F14" i="66"/>
  <c r="A320" i="77"/>
  <c r="J13" i="66"/>
  <c r="M23" i="66" s="1"/>
  <c r="A323" i="77"/>
  <c r="F13" i="66"/>
  <c r="A319" i="77"/>
  <c r="J14" i="66"/>
  <c r="M24" i="66" s="1"/>
  <c r="A324" i="77"/>
  <c r="L23" i="66"/>
  <c r="H468" i="67"/>
  <c r="H495" i="67"/>
  <c r="I468" i="67"/>
  <c r="I495" i="67"/>
  <c r="I247" i="67"/>
  <c r="I267" i="67"/>
  <c r="I273" i="67" s="1"/>
  <c r="I274" i="67" s="1"/>
  <c r="H586" i="67"/>
  <c r="F441" i="67"/>
  <c r="F414" i="67"/>
  <c r="H321" i="67"/>
  <c r="H327" i="67" s="1"/>
  <c r="H328" i="67" s="1"/>
  <c r="H301" i="67"/>
  <c r="G410" i="67"/>
  <c r="G413" i="67" s="1"/>
  <c r="G2208" i="67" s="1"/>
  <c r="G430" i="67"/>
  <c r="G436" i="67" s="1"/>
  <c r="G437" i="67" s="1"/>
  <c r="G593" i="67" s="1"/>
  <c r="G598" i="67" s="1"/>
  <c r="H430" i="67"/>
  <c r="H436" i="67" s="1"/>
  <c r="H437" i="67" s="1"/>
  <c r="H410" i="67"/>
  <c r="H413" i="67" s="1"/>
  <c r="H2208" i="67" s="1"/>
  <c r="G468" i="67"/>
  <c r="G495" i="67"/>
  <c r="H356" i="67"/>
  <c r="H376" i="67"/>
  <c r="H382" i="67" s="1"/>
  <c r="H383" i="67" s="1"/>
  <c r="E410" i="67"/>
  <c r="E413" i="67" s="1"/>
  <c r="E2208" i="67" s="1"/>
  <c r="E430" i="67"/>
  <c r="E436" i="67" s="1"/>
  <c r="E437" i="67" s="1"/>
  <c r="I586" i="67"/>
  <c r="E586" i="67"/>
  <c r="G360" i="67"/>
  <c r="G387" i="67"/>
  <c r="F356" i="67"/>
  <c r="F585" i="67" s="1"/>
  <c r="F376" i="67"/>
  <c r="F382" i="67" s="1"/>
  <c r="F383" i="67" s="1"/>
  <c r="F593" i="67" s="1"/>
  <c r="F598" i="67" s="1"/>
  <c r="G321" i="67"/>
  <c r="G327" i="67" s="1"/>
  <c r="G328" i="67" s="1"/>
  <c r="G301" i="67"/>
  <c r="E495" i="67"/>
  <c r="E468" i="67"/>
  <c r="I376" i="67"/>
  <c r="I382" i="67" s="1"/>
  <c r="I383" i="67" s="1"/>
  <c r="I356" i="67"/>
  <c r="E376" i="67"/>
  <c r="E382" i="67" s="1"/>
  <c r="E383" i="67" s="1"/>
  <c r="E356" i="67"/>
  <c r="F495" i="67"/>
  <c r="F468" i="67"/>
  <c r="F321" i="67"/>
  <c r="F327" i="67" s="1"/>
  <c r="F328" i="67" s="1"/>
  <c r="F301" i="67"/>
  <c r="E267" i="67"/>
  <c r="E273" i="67" s="1"/>
  <c r="E274" i="67" s="1"/>
  <c r="E247" i="67"/>
  <c r="E250" i="67" s="1"/>
  <c r="E2176" i="67" s="1"/>
  <c r="E301" i="67"/>
  <c r="E304" i="67" s="1"/>
  <c r="E2185" i="67" s="1"/>
  <c r="E321" i="67"/>
  <c r="E327" i="67" s="1"/>
  <c r="E328" i="67" s="1"/>
  <c r="F586" i="67"/>
  <c r="F267" i="67"/>
  <c r="F273" i="67" s="1"/>
  <c r="F274" i="67" s="1"/>
  <c r="F247" i="67"/>
  <c r="I430" i="67"/>
  <c r="I436" i="67" s="1"/>
  <c r="I437" i="67" s="1"/>
  <c r="I410" i="67"/>
  <c r="I413" i="67" s="1"/>
  <c r="I2208" i="67" s="1"/>
  <c r="L24" i="66"/>
  <c r="E12" i="55"/>
  <c r="G12" i="55" s="1"/>
  <c r="X18" i="56"/>
  <c r="X20" i="56"/>
  <c r="X25" i="56" s="1"/>
  <c r="G145" i="31"/>
  <c r="I145" i="31"/>
  <c r="F145" i="31"/>
  <c r="A485" i="77"/>
  <c r="E145" i="31"/>
  <c r="AC14" i="70"/>
  <c r="Z10" i="63"/>
  <c r="Y10" i="55"/>
  <c r="Z10" i="62"/>
  <c r="Y10" i="56"/>
  <c r="AC13" i="70"/>
  <c r="K34" i="28"/>
  <c r="K33" i="28"/>
  <c r="K32" i="28"/>
  <c r="K31" i="28"/>
  <c r="K30" i="28"/>
  <c r="K29" i="28"/>
  <c r="C33" i="44"/>
  <c r="I37" i="44"/>
  <c r="I39" i="44"/>
  <c r="I41" i="44"/>
  <c r="I43" i="44"/>
  <c r="I45" i="44"/>
  <c r="I47" i="44"/>
  <c r="I49" i="44"/>
  <c r="I51" i="44"/>
  <c r="I53" i="44"/>
  <c r="I55" i="44"/>
  <c r="C68" i="44"/>
  <c r="C97" i="44"/>
  <c r="E97" i="44"/>
  <c r="G97" i="44"/>
  <c r="I97" i="44"/>
  <c r="G1636" i="67" l="1"/>
  <c r="G131" i="31"/>
  <c r="H1726" i="67"/>
  <c r="H1729" i="67" s="1"/>
  <c r="H1780" i="67" s="1"/>
  <c r="F1607" i="67"/>
  <c r="F1610" i="67" s="1"/>
  <c r="F1643" i="67" s="1"/>
  <c r="I1709" i="67"/>
  <c r="G1739" i="67"/>
  <c r="G126" i="31" s="1"/>
  <c r="G1790" i="67"/>
  <c r="F1709" i="67"/>
  <c r="I1636" i="67"/>
  <c r="I1639" i="67" s="1"/>
  <c r="I1640" i="67" s="1"/>
  <c r="E1557" i="67"/>
  <c r="E1560" i="67" s="1"/>
  <c r="I1736" i="67"/>
  <c r="I1739" i="67" s="1"/>
  <c r="I1789" i="67" s="1"/>
  <c r="H112" i="31"/>
  <c r="I1625" i="67"/>
  <c r="E1709" i="67"/>
  <c r="I1590" i="67"/>
  <c r="I1641" i="67" s="1"/>
  <c r="F1786" i="67"/>
  <c r="G1784" i="67"/>
  <c r="H126" i="31"/>
  <c r="F1759" i="67"/>
  <c r="I1787" i="67"/>
  <c r="I1788" i="67" s="1"/>
  <c r="H1787" i="67"/>
  <c r="H1788" i="67" s="1"/>
  <c r="I1779" i="67"/>
  <c r="I131" i="31"/>
  <c r="I1726" i="67"/>
  <c r="I1729" i="67" s="1"/>
  <c r="I1775" i="67"/>
  <c r="I1790" i="67"/>
  <c r="I132" i="31"/>
  <c r="E131" i="31"/>
  <c r="E1779" i="67"/>
  <c r="E1736" i="67"/>
  <c r="E1739" i="67" s="1"/>
  <c r="E1784" i="67"/>
  <c r="H1639" i="67"/>
  <c r="H1640" i="67" s="1"/>
  <c r="F1736" i="67"/>
  <c r="F1739" i="67" s="1"/>
  <c r="F1784" i="67"/>
  <c r="E1726" i="67"/>
  <c r="E1729" i="67" s="1"/>
  <c r="E1775" i="67"/>
  <c r="H138" i="31"/>
  <c r="H1706" i="67"/>
  <c r="H1709" i="67" s="1"/>
  <c r="H1779" i="67"/>
  <c r="I3263" i="67"/>
  <c r="I3264" i="67" s="1"/>
  <c r="G1756" i="67"/>
  <c r="G1759" i="67" s="1"/>
  <c r="G138" i="31" s="1"/>
  <c r="G1786" i="67"/>
  <c r="G1726" i="67"/>
  <c r="G1729" i="67" s="1"/>
  <c r="G1775" i="67"/>
  <c r="G1590" i="67"/>
  <c r="E1756" i="67"/>
  <c r="E1759" i="67" s="1"/>
  <c r="E138" i="31" s="1"/>
  <c r="E1786" i="67"/>
  <c r="H132" i="31"/>
  <c r="H1790" i="67"/>
  <c r="F131" i="31"/>
  <c r="F1779" i="67"/>
  <c r="F137" i="31"/>
  <c r="F1780" i="67"/>
  <c r="E1790" i="67"/>
  <c r="E132" i="31"/>
  <c r="I1630" i="67"/>
  <c r="I106" i="31"/>
  <c r="I1631" i="67"/>
  <c r="I112" i="31"/>
  <c r="G1642" i="67"/>
  <c r="G113" i="31"/>
  <c r="H1641" i="67"/>
  <c r="H107" i="31"/>
  <c r="E1607" i="67"/>
  <c r="E1610" i="67" s="1"/>
  <c r="E1638" i="67"/>
  <c r="F1557" i="67"/>
  <c r="F1560" i="67" s="1"/>
  <c r="F1630" i="67" s="1"/>
  <c r="F1625" i="67"/>
  <c r="F1628" i="67" s="1"/>
  <c r="F1629" i="67" s="1"/>
  <c r="H1642" i="67"/>
  <c r="H113" i="31"/>
  <c r="G1631" i="67"/>
  <c r="G112" i="31"/>
  <c r="H1643" i="67"/>
  <c r="H119" i="31"/>
  <c r="E1642" i="67"/>
  <c r="E113" i="31"/>
  <c r="F1587" i="67"/>
  <c r="F1590" i="67" s="1"/>
  <c r="F1636" i="67"/>
  <c r="F1639" i="67" s="1"/>
  <c r="F1640" i="67" s="1"/>
  <c r="F1631" i="67"/>
  <c r="F112" i="31"/>
  <c r="I1577" i="67"/>
  <c r="I1580" i="67" s="1"/>
  <c r="I1627" i="67"/>
  <c r="F1642" i="67"/>
  <c r="F113" i="31"/>
  <c r="F1632" i="67"/>
  <c r="F118" i="31"/>
  <c r="E1577" i="67"/>
  <c r="E1580" i="67" s="1"/>
  <c r="E1627" i="67"/>
  <c r="E1628" i="67" s="1"/>
  <c r="E1629" i="67" s="1"/>
  <c r="G1607" i="67"/>
  <c r="G1610" i="67" s="1"/>
  <c r="G1638" i="67"/>
  <c r="G1639" i="67" s="1"/>
  <c r="G1640" i="67" s="1"/>
  <c r="E1631" i="67"/>
  <c r="E112" i="31"/>
  <c r="I1643" i="67"/>
  <c r="I119" i="31"/>
  <c r="I1642" i="67"/>
  <c r="I113" i="31"/>
  <c r="G1577" i="67"/>
  <c r="G1580" i="67" s="1"/>
  <c r="G1627" i="67"/>
  <c r="G1628" i="67" s="1"/>
  <c r="G1629" i="67" s="1"/>
  <c r="G1630" i="67"/>
  <c r="G106" i="31"/>
  <c r="H1577" i="67"/>
  <c r="H1580" i="67" s="1"/>
  <c r="H1627" i="67"/>
  <c r="E1587" i="67"/>
  <c r="E1590" i="67" s="1"/>
  <c r="E1636" i="67"/>
  <c r="H1557" i="67"/>
  <c r="H1560" i="67" s="1"/>
  <c r="H1625" i="67"/>
  <c r="G1773" i="67"/>
  <c r="G3239" i="67"/>
  <c r="G3242" i="67" s="1"/>
  <c r="G3263" i="67"/>
  <c r="G3264" i="67" s="1"/>
  <c r="I1773" i="67"/>
  <c r="E1773" i="67"/>
  <c r="F473" i="67"/>
  <c r="F479" i="67" s="1"/>
  <c r="F480" i="67" s="1"/>
  <c r="F494" i="67" s="1"/>
  <c r="F2318" i="67" s="1"/>
  <c r="F2324" i="67" s="1"/>
  <c r="F3257" i="67"/>
  <c r="F419" i="67"/>
  <c r="F425" i="67" s="1"/>
  <c r="F426" i="67" s="1"/>
  <c r="F440" i="67" s="1"/>
  <c r="F2309" i="67" s="1"/>
  <c r="F2315" i="67" s="1"/>
  <c r="F3245" i="67"/>
  <c r="H473" i="67"/>
  <c r="H479" i="67" s="1"/>
  <c r="H480" i="67" s="1"/>
  <c r="H494" i="67" s="1"/>
  <c r="H2318" i="67" s="1"/>
  <c r="H2323" i="67" s="1"/>
  <c r="H3257" i="67"/>
  <c r="F3263" i="67"/>
  <c r="G365" i="67"/>
  <c r="G371" i="67" s="1"/>
  <c r="G372" i="67" s="1"/>
  <c r="G386" i="67" s="1"/>
  <c r="G2300" i="67" s="1"/>
  <c r="G3233" i="67"/>
  <c r="G473" i="67"/>
  <c r="G479" i="67" s="1"/>
  <c r="G480" i="67" s="1"/>
  <c r="G494" i="67" s="1"/>
  <c r="G2318" i="67" s="1"/>
  <c r="G2324" i="67" s="1"/>
  <c r="G3257" i="67"/>
  <c r="F3251" i="67"/>
  <c r="E473" i="67"/>
  <c r="E479" i="67" s="1"/>
  <c r="E480" i="67" s="1"/>
  <c r="E494" i="67" s="1"/>
  <c r="E2318" i="67" s="1"/>
  <c r="E2323" i="67" s="1"/>
  <c r="E3257" i="67"/>
  <c r="I473" i="67"/>
  <c r="I479" i="67" s="1"/>
  <c r="I480" i="67" s="1"/>
  <c r="I494" i="67" s="1"/>
  <c r="I2318" i="67" s="1"/>
  <c r="I2324" i="67" s="1"/>
  <c r="I3257" i="67"/>
  <c r="E3263" i="67"/>
  <c r="H3263" i="67"/>
  <c r="E2190" i="67"/>
  <c r="E2191" i="67"/>
  <c r="E2182" i="67"/>
  <c r="E2181" i="67"/>
  <c r="H2213" i="67"/>
  <c r="H2214" i="67"/>
  <c r="I2213" i="67"/>
  <c r="I2214" i="67"/>
  <c r="E2213" i="67"/>
  <c r="E2214" i="67"/>
  <c r="G2214" i="67"/>
  <c r="G2213" i="67"/>
  <c r="A492" i="77"/>
  <c r="X20" i="55"/>
  <c r="X25" i="55" s="1"/>
  <c r="E585" i="67"/>
  <c r="E587" i="67" s="1"/>
  <c r="E591" i="67" s="1"/>
  <c r="E593" i="67"/>
  <c r="E598" i="67" s="1"/>
  <c r="H585" i="67"/>
  <c r="H587" i="67" s="1"/>
  <c r="H591" i="67" s="1"/>
  <c r="E305" i="67"/>
  <c r="E332" i="67"/>
  <c r="V14" i="48"/>
  <c r="E251" i="67"/>
  <c r="E278" i="67"/>
  <c r="V16" i="48"/>
  <c r="I441" i="67"/>
  <c r="I414" i="67"/>
  <c r="F587" i="67"/>
  <c r="F591" i="67" s="1"/>
  <c r="F590" i="67"/>
  <c r="E359" i="67"/>
  <c r="E2199" i="67" s="1"/>
  <c r="F359" i="67"/>
  <c r="F2199" i="67" s="1"/>
  <c r="H359" i="67"/>
  <c r="H2199" i="67" s="1"/>
  <c r="E414" i="67"/>
  <c r="E441" i="67"/>
  <c r="I359" i="67"/>
  <c r="I2199" i="67" s="1"/>
  <c r="I585" i="67"/>
  <c r="G441" i="67"/>
  <c r="G414" i="67"/>
  <c r="I593" i="67"/>
  <c r="I598" i="67" s="1"/>
  <c r="I170" i="31" s="1"/>
  <c r="H593" i="67"/>
  <c r="H598" i="67" s="1"/>
  <c r="H414" i="67"/>
  <c r="H441" i="67"/>
  <c r="G585" i="67"/>
  <c r="I23" i="66"/>
  <c r="J23" i="66"/>
  <c r="I24" i="66"/>
  <c r="J24" i="66"/>
  <c r="A477" i="77"/>
  <c r="G100" i="31"/>
  <c r="F244" i="31"/>
  <c r="V14" i="49"/>
  <c r="F238" i="31"/>
  <c r="E100" i="31"/>
  <c r="E14" i="52"/>
  <c r="G14" i="52" s="1"/>
  <c r="A163" i="77" s="1"/>
  <c r="I100" i="31"/>
  <c r="G232" i="31"/>
  <c r="G170" i="31"/>
  <c r="F207" i="31"/>
  <c r="H100" i="31"/>
  <c r="D24" i="43"/>
  <c r="D25" i="43"/>
  <c r="C3" i="75" s="1"/>
  <c r="D26" i="43"/>
  <c r="D27" i="43"/>
  <c r="D28" i="43"/>
  <c r="D30" i="43"/>
  <c r="D37" i="43"/>
  <c r="D38" i="43"/>
  <c r="D39" i="43"/>
  <c r="D40" i="43"/>
  <c r="D64" i="43"/>
  <c r="D65" i="43"/>
  <c r="D66" i="43"/>
  <c r="D68" i="43"/>
  <c r="D71" i="43"/>
  <c r="D72" i="43"/>
  <c r="D73" i="43"/>
  <c r="D74" i="43"/>
  <c r="C3108" i="67" l="1"/>
  <c r="C3147" i="67"/>
  <c r="C3112" i="67"/>
  <c r="C3143" i="67"/>
  <c r="B798" i="65"/>
  <c r="C1831" i="67"/>
  <c r="C1811" i="67"/>
  <c r="C1828" i="67"/>
  <c r="C1808" i="67"/>
  <c r="A2711" i="67"/>
  <c r="A3197" i="67"/>
  <c r="A746" i="67"/>
  <c r="C3129" i="67"/>
  <c r="C3125" i="67"/>
  <c r="H137" i="31"/>
  <c r="G1789" i="67"/>
  <c r="E1776" i="67"/>
  <c r="X23" i="66" s="1"/>
  <c r="G1776" i="67"/>
  <c r="G1777" i="67" s="1"/>
  <c r="E1630" i="67"/>
  <c r="E106" i="31"/>
  <c r="I126" i="31"/>
  <c r="E3215" i="67"/>
  <c r="E3217" i="67" s="1"/>
  <c r="I3265" i="67"/>
  <c r="I709" i="67" s="1"/>
  <c r="I3267" i="67"/>
  <c r="G3243" i="67"/>
  <c r="G783" i="67" s="1"/>
  <c r="F2323" i="67"/>
  <c r="G3241" i="67"/>
  <c r="I1628" i="67"/>
  <c r="I1629" i="67" s="1"/>
  <c r="E1787" i="67"/>
  <c r="X24" i="66" s="1"/>
  <c r="G1787" i="67"/>
  <c r="G1788" i="67" s="1"/>
  <c r="F1787" i="67"/>
  <c r="F1788" i="67" s="1"/>
  <c r="G3266" i="67"/>
  <c r="F1633" i="67"/>
  <c r="F1634" i="67" s="1"/>
  <c r="F32" i="31" s="1"/>
  <c r="I107" i="31"/>
  <c r="I1776" i="67"/>
  <c r="I1777" i="67" s="1"/>
  <c r="H3251" i="67"/>
  <c r="H3252" i="67" s="1"/>
  <c r="E3251" i="67"/>
  <c r="E3252" i="67" s="1"/>
  <c r="H590" i="67"/>
  <c r="E2324" i="67"/>
  <c r="G3267" i="67"/>
  <c r="G803" i="67" s="1"/>
  <c r="G3240" i="67"/>
  <c r="F1789" i="67"/>
  <c r="F126" i="31"/>
  <c r="I137" i="31"/>
  <c r="I1780" i="67"/>
  <c r="I3266" i="67"/>
  <c r="I1644" i="67"/>
  <c r="H1644" i="67"/>
  <c r="G1641" i="67"/>
  <c r="G107" i="31"/>
  <c r="E1780" i="67"/>
  <c r="E137" i="31"/>
  <c r="E126" i="31"/>
  <c r="E1789" i="67"/>
  <c r="F119" i="31"/>
  <c r="G137" i="31"/>
  <c r="G1780" i="67"/>
  <c r="H1628" i="67"/>
  <c r="H1629" i="67" s="1"/>
  <c r="H1630" i="67"/>
  <c r="H106" i="31"/>
  <c r="G1632" i="67"/>
  <c r="G1633" i="67" s="1"/>
  <c r="G1634" i="67" s="1"/>
  <c r="G32" i="31" s="1"/>
  <c r="G118" i="31"/>
  <c r="F1641" i="67"/>
  <c r="F1644" i="67" s="1"/>
  <c r="F107" i="31"/>
  <c r="E1641" i="67"/>
  <c r="E107" i="31"/>
  <c r="H1632" i="67"/>
  <c r="H118" i="31"/>
  <c r="E1632" i="67"/>
  <c r="E118" i="31"/>
  <c r="G1643" i="67"/>
  <c r="G119" i="31"/>
  <c r="I1632" i="67"/>
  <c r="I1633" i="67" s="1"/>
  <c r="I1634" i="67" s="1"/>
  <c r="I32" i="31" s="1"/>
  <c r="I118" i="31"/>
  <c r="G3265" i="67"/>
  <c r="G709" i="67" s="1"/>
  <c r="F106" i="31"/>
  <c r="E1639" i="67"/>
  <c r="AB23" i="70"/>
  <c r="AD23" i="70" s="1"/>
  <c r="O23" i="66"/>
  <c r="E1643" i="67"/>
  <c r="E119" i="31"/>
  <c r="H1773" i="67"/>
  <c r="E3227" i="67"/>
  <c r="E3229" i="67" s="1"/>
  <c r="F2314" i="67"/>
  <c r="F1773" i="67"/>
  <c r="I125" i="31"/>
  <c r="I1778" i="67"/>
  <c r="F138" i="31"/>
  <c r="H125" i="31"/>
  <c r="H1778" i="67"/>
  <c r="I3251" i="67"/>
  <c r="I3253" i="67" s="1"/>
  <c r="G2323" i="67"/>
  <c r="H2324" i="67"/>
  <c r="E125" i="31"/>
  <c r="E1778" i="67"/>
  <c r="G125" i="31"/>
  <c r="G1778" i="67"/>
  <c r="E310" i="67"/>
  <c r="E316" i="67" s="1"/>
  <c r="E317" i="67" s="1"/>
  <c r="E331" i="67" s="1"/>
  <c r="E2286" i="67" s="1"/>
  <c r="E2291" i="67" s="1"/>
  <c r="E3221" i="67"/>
  <c r="I2323" i="67"/>
  <c r="E3258" i="67"/>
  <c r="E3260" i="67"/>
  <c r="E3261" i="67"/>
  <c r="E3259" i="67"/>
  <c r="H419" i="67"/>
  <c r="H425" i="67" s="1"/>
  <c r="H426" i="67" s="1"/>
  <c r="H440" i="67" s="1"/>
  <c r="H2309" i="67" s="1"/>
  <c r="H2315" i="67" s="1"/>
  <c r="H3245" i="67"/>
  <c r="G3251" i="67"/>
  <c r="E419" i="67"/>
  <c r="E425" i="67" s="1"/>
  <c r="E426" i="67" s="1"/>
  <c r="E440" i="67" s="1"/>
  <c r="E2309" i="67" s="1"/>
  <c r="E2315" i="67" s="1"/>
  <c r="E3245" i="67"/>
  <c r="E256" i="67"/>
  <c r="E262" i="67" s="1"/>
  <c r="E263" i="67" s="1"/>
  <c r="E277" i="67" s="1"/>
  <c r="E2277" i="67" s="1"/>
  <c r="E2283" i="67" s="1"/>
  <c r="E3209" i="67"/>
  <c r="G3236" i="67"/>
  <c r="G3234" i="67"/>
  <c r="G3235" i="67"/>
  <c r="G3237" i="67"/>
  <c r="F3247" i="67"/>
  <c r="F3249" i="67"/>
  <c r="F3248" i="67"/>
  <c r="F3246" i="67"/>
  <c r="H3264" i="67"/>
  <c r="H3266" i="67"/>
  <c r="H3267" i="67"/>
  <c r="H3265" i="67"/>
  <c r="I3258" i="67"/>
  <c r="I3260" i="67"/>
  <c r="I3259" i="67"/>
  <c r="I3261" i="67"/>
  <c r="F3252" i="67"/>
  <c r="F3254" i="67"/>
  <c r="F3255" i="67"/>
  <c r="F3253" i="67"/>
  <c r="G419" i="67"/>
  <c r="G425" i="67" s="1"/>
  <c r="G426" i="67" s="1"/>
  <c r="G440" i="67" s="1"/>
  <c r="G2309" i="67" s="1"/>
  <c r="G2314" i="67" s="1"/>
  <c r="G3245" i="67"/>
  <c r="I419" i="67"/>
  <c r="I425" i="67" s="1"/>
  <c r="I426" i="67" s="1"/>
  <c r="I440" i="67" s="1"/>
  <c r="I2309" i="67" s="1"/>
  <c r="I2315" i="67" s="1"/>
  <c r="I3245" i="67"/>
  <c r="E3267" i="67"/>
  <c r="E3266" i="67"/>
  <c r="E3265" i="67"/>
  <c r="E3264" i="67"/>
  <c r="G3260" i="67"/>
  <c r="G3259" i="67"/>
  <c r="G3258" i="67"/>
  <c r="G3261" i="67"/>
  <c r="F3266" i="67"/>
  <c r="F3264" i="67"/>
  <c r="F3265" i="67"/>
  <c r="F3267" i="67"/>
  <c r="H3259" i="67"/>
  <c r="H3261" i="67"/>
  <c r="H3258" i="67"/>
  <c r="H3260" i="67"/>
  <c r="F3261" i="67"/>
  <c r="F3260" i="67"/>
  <c r="F3259" i="67"/>
  <c r="F3258" i="67"/>
  <c r="I2205" i="67"/>
  <c r="I2204" i="67"/>
  <c r="E2205" i="67"/>
  <c r="E2204" i="67"/>
  <c r="H2204" i="67"/>
  <c r="H2205" i="67"/>
  <c r="G2306" i="67"/>
  <c r="G2305" i="67"/>
  <c r="F2205" i="67"/>
  <c r="F2204" i="67"/>
  <c r="O14" i="75"/>
  <c r="P14" i="75" s="1"/>
  <c r="A487" i="77"/>
  <c r="E590" i="67"/>
  <c r="L14" i="75" s="1"/>
  <c r="M14" i="75" s="1"/>
  <c r="A484" i="77"/>
  <c r="A479" i="77"/>
  <c r="A425" i="31"/>
  <c r="A422" i="31"/>
  <c r="A424" i="32"/>
  <c r="A421" i="32"/>
  <c r="A419" i="31"/>
  <c r="A418" i="32"/>
  <c r="A26" i="73"/>
  <c r="A400" i="32"/>
  <c r="A412" i="32"/>
  <c r="A413" i="31"/>
  <c r="A406" i="32"/>
  <c r="A407" i="31"/>
  <c r="A401" i="31"/>
  <c r="C21" i="75"/>
  <c r="C11" i="75"/>
  <c r="B567" i="67"/>
  <c r="A171" i="67"/>
  <c r="A334" i="67"/>
  <c r="B584" i="67"/>
  <c r="A2994" i="67"/>
  <c r="B425" i="31"/>
  <c r="B424" i="32"/>
  <c r="L26" i="73"/>
  <c r="B1844" i="67"/>
  <c r="B1840" i="67"/>
  <c r="A2602" i="67"/>
  <c r="B1841" i="67"/>
  <c r="B1839" i="67"/>
  <c r="B1824" i="67"/>
  <c r="D1910" i="67"/>
  <c r="D1884" i="67"/>
  <c r="A2911" i="67"/>
  <c r="D1885" i="67"/>
  <c r="A2902" i="67"/>
  <c r="D1890" i="67"/>
  <c r="A2929" i="67"/>
  <c r="A2893" i="67"/>
  <c r="A2920" i="67"/>
  <c r="A2883" i="67"/>
  <c r="B412" i="32"/>
  <c r="B413" i="31"/>
  <c r="C24" i="75"/>
  <c r="C14" i="75"/>
  <c r="A354" i="31"/>
  <c r="B550" i="67"/>
  <c r="B419" i="31"/>
  <c r="A2942" i="67"/>
  <c r="F360" i="67"/>
  <c r="F387" i="67"/>
  <c r="I587" i="67"/>
  <c r="I591" i="67" s="1"/>
  <c r="I590" i="67"/>
  <c r="H387" i="67"/>
  <c r="H360" i="67"/>
  <c r="E360" i="67"/>
  <c r="E387" i="67"/>
  <c r="G590" i="67"/>
  <c r="G587" i="67"/>
  <c r="G591" i="67" s="1"/>
  <c r="I387" i="67"/>
  <c r="I360" i="67"/>
  <c r="B422" i="31"/>
  <c r="A2968" i="67"/>
  <c r="B421" i="32"/>
  <c r="G26" i="73"/>
  <c r="B1837" i="67"/>
  <c r="B1823" i="67"/>
  <c r="A2865" i="67"/>
  <c r="A2847" i="67"/>
  <c r="A2828" i="67"/>
  <c r="A2571" i="67"/>
  <c r="D1883" i="67"/>
  <c r="B1843" i="67"/>
  <c r="B1838" i="67"/>
  <c r="B1836" i="67"/>
  <c r="D1909" i="67"/>
  <c r="D1882" i="67"/>
  <c r="A2874" i="67"/>
  <c r="A2856" i="67"/>
  <c r="A2838" i="67"/>
  <c r="D1889" i="67"/>
  <c r="B407" i="31"/>
  <c r="B406" i="32"/>
  <c r="C13" i="75"/>
  <c r="C23" i="75"/>
  <c r="B26" i="73"/>
  <c r="B1842" i="67"/>
  <c r="B1834" i="67"/>
  <c r="D1908" i="67"/>
  <c r="A2820" i="67"/>
  <c r="A2784" i="67"/>
  <c r="D1888" i="67"/>
  <c r="A2811" i="67"/>
  <c r="A2774" i="67"/>
  <c r="D1880" i="67"/>
  <c r="B1835" i="67"/>
  <c r="B1833" i="67"/>
  <c r="B1822" i="67"/>
  <c r="D1881" i="67"/>
  <c r="A2802" i="67"/>
  <c r="A2540" i="67"/>
  <c r="A2793" i="67"/>
  <c r="B401" i="31"/>
  <c r="C22" i="75"/>
  <c r="C12" i="75"/>
  <c r="A486" i="77"/>
  <c r="B699" i="65"/>
  <c r="B348" i="65"/>
  <c r="B343" i="65"/>
  <c r="B735" i="65"/>
  <c r="B725" i="65"/>
  <c r="B328" i="65"/>
  <c r="B338" i="65"/>
  <c r="B730" i="65"/>
  <c r="B683" i="65"/>
  <c r="B347" i="65"/>
  <c r="B342" i="65"/>
  <c r="B337" i="65"/>
  <c r="B734" i="65"/>
  <c r="B729" i="65"/>
  <c r="B724" i="65"/>
  <c r="B323" i="65"/>
  <c r="B694" i="65"/>
  <c r="B678" i="65"/>
  <c r="B689" i="65"/>
  <c r="B346" i="65"/>
  <c r="B341" i="65"/>
  <c r="B336" i="65"/>
  <c r="B733" i="65"/>
  <c r="B728" i="65"/>
  <c r="B723" i="65"/>
  <c r="B318" i="65"/>
  <c r="B1923" i="67"/>
  <c r="B1903" i="67"/>
  <c r="B673" i="65"/>
  <c r="F100" i="31"/>
  <c r="A478" i="77"/>
  <c r="G289" i="31"/>
  <c r="F295" i="31"/>
  <c r="H301" i="31"/>
  <c r="G244" i="31"/>
  <c r="F301" i="31"/>
  <c r="E301" i="31"/>
  <c r="E14" i="49" s="1"/>
  <c r="G14" i="49" s="1"/>
  <c r="A200" i="77" s="1"/>
  <c r="I301" i="31"/>
  <c r="G301" i="31"/>
  <c r="G94" i="31"/>
  <c r="E94" i="31"/>
  <c r="H238" i="31"/>
  <c r="B78" i="37"/>
  <c r="B1819" i="67"/>
  <c r="B1820" i="67"/>
  <c r="C396" i="31"/>
  <c r="C396" i="32"/>
  <c r="B1821" i="67"/>
  <c r="B378" i="32"/>
  <c r="B2016" i="67"/>
  <c r="B378" i="31"/>
  <c r="L4" i="73"/>
  <c r="B1996" i="67"/>
  <c r="C1957" i="67"/>
  <c r="B2297" i="67"/>
  <c r="C1966" i="67"/>
  <c r="B2196" i="67"/>
  <c r="A2080" i="67"/>
  <c r="A2066" i="67"/>
  <c r="B51" i="37"/>
  <c r="B1817" i="67"/>
  <c r="C395" i="32"/>
  <c r="B1818" i="67"/>
  <c r="B1816" i="67"/>
  <c r="C395" i="31"/>
  <c r="G4" i="73"/>
  <c r="B374" i="31"/>
  <c r="B374" i="32"/>
  <c r="B2011" i="67"/>
  <c r="B1991" i="67"/>
  <c r="B2164" i="67"/>
  <c r="A2061" i="67"/>
  <c r="B2265" i="67"/>
  <c r="C1965" i="67"/>
  <c r="A2075" i="67"/>
  <c r="C1956" i="67"/>
  <c r="A374" i="32"/>
  <c r="A370" i="31"/>
  <c r="A378" i="31"/>
  <c r="A4" i="73"/>
  <c r="A374" i="31"/>
  <c r="A370" i="32"/>
  <c r="A378" i="32"/>
  <c r="A2130" i="67"/>
  <c r="A1985" i="67"/>
  <c r="B1815" i="67"/>
  <c r="B1813" i="67"/>
  <c r="B1814" i="67"/>
  <c r="C394" i="31"/>
  <c r="B1986" i="67"/>
  <c r="B370" i="31"/>
  <c r="B2006" i="67"/>
  <c r="B4" i="73"/>
  <c r="B2233" i="67"/>
  <c r="A2070" i="67"/>
  <c r="A2056" i="67"/>
  <c r="C1955" i="67"/>
  <c r="B2132" i="67"/>
  <c r="C1964" i="67"/>
  <c r="E244" i="31"/>
  <c r="I244" i="31"/>
  <c r="G88" i="31"/>
  <c r="F170" i="31"/>
  <c r="G207" i="31"/>
  <c r="H244" i="31"/>
  <c r="F94" i="31"/>
  <c r="I207" i="31"/>
  <c r="V16" i="49"/>
  <c r="E16" i="52"/>
  <c r="G16" i="52" s="1"/>
  <c r="A162" i="77" s="1"/>
  <c r="A1954" i="67"/>
  <c r="A1806" i="67"/>
  <c r="A1887" i="67"/>
  <c r="C3" i="69"/>
  <c r="C3" i="70"/>
  <c r="Z11" i="49"/>
  <c r="O14" i="69"/>
  <c r="AH14" i="69"/>
  <c r="C24" i="69"/>
  <c r="C14" i="69"/>
  <c r="A351" i="31"/>
  <c r="A351" i="32"/>
  <c r="C23" i="69"/>
  <c r="C13" i="69"/>
  <c r="A348" i="31"/>
  <c r="A348" i="32"/>
  <c r="C12" i="69"/>
  <c r="C22" i="69"/>
  <c r="A345" i="31"/>
  <c r="C21" i="69"/>
  <c r="C11" i="69"/>
  <c r="A620" i="67"/>
  <c r="A714" i="67"/>
  <c r="A601" i="67"/>
  <c r="A5" i="67"/>
  <c r="A279" i="31"/>
  <c r="A260" i="31"/>
  <c r="A241" i="31"/>
  <c r="A217" i="31"/>
  <c r="A292" i="31"/>
  <c r="A267" i="31"/>
  <c r="A248" i="31"/>
  <c r="A229" i="31"/>
  <c r="A204" i="31"/>
  <c r="A198" i="31"/>
  <c r="A167" i="31"/>
  <c r="A161" i="31"/>
  <c r="A298" i="31"/>
  <c r="A211" i="31"/>
  <c r="A192" i="31"/>
  <c r="A174" i="31"/>
  <c r="A292" i="32"/>
  <c r="A286" i="31"/>
  <c r="A273" i="32"/>
  <c r="A260" i="32"/>
  <c r="A248" i="32"/>
  <c r="A235" i="32"/>
  <c r="A223" i="32"/>
  <c r="A273" i="31"/>
  <c r="A254" i="31"/>
  <c r="A235" i="31"/>
  <c r="A298" i="32"/>
  <c r="A286" i="32"/>
  <c r="A223" i="31"/>
  <c r="A186" i="31"/>
  <c r="A180" i="31"/>
  <c r="A254" i="32"/>
  <c r="A211" i="32"/>
  <c r="A229" i="32"/>
  <c r="A267" i="32"/>
  <c r="A241" i="32"/>
  <c r="A279" i="32"/>
  <c r="A217" i="32"/>
  <c r="A180" i="32"/>
  <c r="A174" i="32"/>
  <c r="A167" i="32"/>
  <c r="A198" i="32"/>
  <c r="A186" i="32"/>
  <c r="A161" i="32"/>
  <c r="A204" i="32"/>
  <c r="A192" i="32"/>
  <c r="B23" i="37"/>
  <c r="C3" i="66"/>
  <c r="B876" i="67"/>
  <c r="B830" i="67"/>
  <c r="A682" i="67"/>
  <c r="A289" i="31"/>
  <c r="A226" i="31"/>
  <c r="A195" i="31"/>
  <c r="A282" i="32"/>
  <c r="A276" i="32"/>
  <c r="A270" i="32"/>
  <c r="A263" i="32"/>
  <c r="A257" i="32"/>
  <c r="A251" i="32"/>
  <c r="A244" i="32"/>
  <c r="A238" i="32"/>
  <c r="A232" i="32"/>
  <c r="A226" i="32"/>
  <c r="A220" i="32"/>
  <c r="A301" i="31"/>
  <c r="A276" i="31"/>
  <c r="A257" i="31"/>
  <c r="A238" i="31"/>
  <c r="A214" i="31"/>
  <c r="A189" i="31"/>
  <c r="A183" i="31"/>
  <c r="A301" i="32"/>
  <c r="A295" i="32"/>
  <c r="A289" i="32"/>
  <c r="A220" i="31"/>
  <c r="A214" i="32"/>
  <c r="A295" i="31"/>
  <c r="A207" i="31"/>
  <c r="A177" i="31"/>
  <c r="A170" i="31"/>
  <c r="A282" i="31"/>
  <c r="A263" i="31"/>
  <c r="A244" i="31"/>
  <c r="A270" i="31"/>
  <c r="A251" i="31"/>
  <c r="A232" i="31"/>
  <c r="A201" i="31"/>
  <c r="A164" i="31"/>
  <c r="B754" i="65"/>
  <c r="B748" i="65"/>
  <c r="B719" i="65"/>
  <c r="B714" i="65"/>
  <c r="B641" i="65"/>
  <c r="B448" i="65"/>
  <c r="B767" i="65"/>
  <c r="A164" i="32"/>
  <c r="B792" i="65"/>
  <c r="B786" i="65"/>
  <c r="B773" i="65"/>
  <c r="B761" i="65"/>
  <c r="A207" i="32"/>
  <c r="A177" i="32"/>
  <c r="A189" i="32"/>
  <c r="A183" i="32"/>
  <c r="A195" i="32"/>
  <c r="B780" i="65"/>
  <c r="B742" i="65"/>
  <c r="B709" i="65"/>
  <c r="A201" i="32"/>
  <c r="A170" i="32"/>
  <c r="B819" i="67"/>
  <c r="B865" i="67"/>
  <c r="A652" i="67"/>
  <c r="A294" i="31"/>
  <c r="A269" i="31"/>
  <c r="A250" i="31"/>
  <c r="A231" i="31"/>
  <c r="A206" i="31"/>
  <c r="A200" i="31"/>
  <c r="A188" i="31"/>
  <c r="A182" i="31"/>
  <c r="A169" i="31"/>
  <c r="A163" i="31"/>
  <c r="A281" i="31"/>
  <c r="A262" i="31"/>
  <c r="A243" i="31"/>
  <c r="A219" i="31"/>
  <c r="A194" i="31"/>
  <c r="A288" i="31"/>
  <c r="A275" i="32"/>
  <c r="A262" i="32"/>
  <c r="A250" i="32"/>
  <c r="A237" i="32"/>
  <c r="A225" i="32"/>
  <c r="A275" i="31"/>
  <c r="A256" i="31"/>
  <c r="A237" i="31"/>
  <c r="A300" i="32"/>
  <c r="A288" i="32"/>
  <c r="A213" i="32"/>
  <c r="A225" i="31"/>
  <c r="A281" i="32"/>
  <c r="A269" i="32"/>
  <c r="A256" i="32"/>
  <c r="A243" i="32"/>
  <c r="A231" i="32"/>
  <c r="A219" i="32"/>
  <c r="A300" i="31"/>
  <c r="A213" i="31"/>
  <c r="A176" i="31"/>
  <c r="A294" i="32"/>
  <c r="B791" i="65"/>
  <c r="B785" i="65"/>
  <c r="B779" i="65"/>
  <c r="B772" i="65"/>
  <c r="B760" i="65"/>
  <c r="B741" i="65"/>
  <c r="B708" i="65"/>
  <c r="A206" i="32"/>
  <c r="A200" i="32"/>
  <c r="A194" i="32"/>
  <c r="A163" i="32"/>
  <c r="B436" i="65"/>
  <c r="A188" i="32"/>
  <c r="B753" i="65"/>
  <c r="B747" i="65"/>
  <c r="B718" i="65"/>
  <c r="B713" i="65"/>
  <c r="A176" i="32"/>
  <c r="A169" i="32"/>
  <c r="B766" i="65"/>
  <c r="A182" i="32"/>
  <c r="B610" i="65"/>
  <c r="B854" i="67"/>
  <c r="B808" i="67"/>
  <c r="A621" i="67"/>
  <c r="A715" i="67"/>
  <c r="A8" i="67"/>
  <c r="A299" i="31"/>
  <c r="A274" i="31"/>
  <c r="A255" i="31"/>
  <c r="A236" i="31"/>
  <c r="A212" i="31"/>
  <c r="A193" i="31"/>
  <c r="A175" i="31"/>
  <c r="A287" i="31"/>
  <c r="A224" i="31"/>
  <c r="A187" i="31"/>
  <c r="A181" i="31"/>
  <c r="A268" i="31"/>
  <c r="A249" i="31"/>
  <c r="A230" i="31"/>
  <c r="A199" i="31"/>
  <c r="A162" i="31"/>
  <c r="A218" i="31"/>
  <c r="A293" i="31"/>
  <c r="A205" i="31"/>
  <c r="A168" i="31"/>
  <c r="A280" i="31"/>
  <c r="A261" i="31"/>
  <c r="A242" i="31"/>
  <c r="B765" i="65"/>
  <c r="B579" i="65"/>
  <c r="B746" i="65"/>
  <c r="B790" i="65"/>
  <c r="B784" i="65"/>
  <c r="B778" i="65"/>
  <c r="B771" i="65"/>
  <c r="B759" i="65"/>
  <c r="B740" i="65"/>
  <c r="B707" i="65"/>
  <c r="B752" i="65"/>
  <c r="B717" i="65"/>
  <c r="B712" i="65"/>
  <c r="B424" i="65"/>
  <c r="B24" i="37"/>
  <c r="E207" i="31"/>
  <c r="I14" i="75"/>
  <c r="A244" i="77" s="1"/>
  <c r="V12" i="49"/>
  <c r="E12" i="52"/>
  <c r="H207" i="31"/>
  <c r="H170" i="31"/>
  <c r="B501" i="65"/>
  <c r="B462" i="65"/>
  <c r="B414" i="65"/>
  <c r="B540" i="65"/>
  <c r="C3" i="63"/>
  <c r="C3" i="61"/>
  <c r="C3" i="62"/>
  <c r="C3" i="57"/>
  <c r="C3" i="55"/>
  <c r="C3" i="56"/>
  <c r="C8" i="49"/>
  <c r="C8" i="52"/>
  <c r="C8" i="48"/>
  <c r="C8" i="51"/>
  <c r="C6" i="51"/>
  <c r="C6" i="52"/>
  <c r="C3" i="51"/>
  <c r="C3" i="52"/>
  <c r="C8" i="50"/>
  <c r="C6" i="49"/>
  <c r="C6" i="50"/>
  <c r="C3" i="49"/>
  <c r="C3" i="50"/>
  <c r="C6" i="34"/>
  <c r="C6" i="48"/>
  <c r="C3" i="34"/>
  <c r="C3" i="48"/>
  <c r="C8" i="34"/>
  <c r="K27" i="28"/>
  <c r="D15" i="38"/>
  <c r="I25" i="28"/>
  <c r="H25" i="28"/>
  <c r="K26" i="28"/>
  <c r="F19" i="42"/>
  <c r="F20" i="42"/>
  <c r="F21" i="42"/>
  <c r="F22" i="42"/>
  <c r="F23" i="42"/>
  <c r="F24" i="42"/>
  <c r="F25" i="42"/>
  <c r="F26" i="42"/>
  <c r="F27" i="42"/>
  <c r="F28" i="42"/>
  <c r="D34" i="42"/>
  <c r="D37" i="42"/>
  <c r="E1777" i="67" l="1"/>
  <c r="U23" i="66" s="1"/>
  <c r="E3254" i="67"/>
  <c r="E3253" i="67"/>
  <c r="E3219" i="67"/>
  <c r="I803" i="67"/>
  <c r="E1788" i="67"/>
  <c r="AC24" i="70" s="1"/>
  <c r="AE24" i="70" s="1"/>
  <c r="H3253" i="67"/>
  <c r="H699" i="67" s="1"/>
  <c r="E1633" i="67"/>
  <c r="E1634" i="67" s="1"/>
  <c r="E32" i="31" s="1"/>
  <c r="E3216" i="67"/>
  <c r="E669" i="67" s="1"/>
  <c r="E3218" i="67"/>
  <c r="H3254" i="67"/>
  <c r="H3255" i="67"/>
  <c r="G689" i="67"/>
  <c r="E3255" i="67"/>
  <c r="E793" i="67" s="1"/>
  <c r="I1781" i="67"/>
  <c r="I1782" i="67" s="1"/>
  <c r="I44" i="31" s="1"/>
  <c r="G1644" i="67"/>
  <c r="E2282" i="67"/>
  <c r="E3230" i="67"/>
  <c r="E3228" i="67"/>
  <c r="E679" i="67" s="1"/>
  <c r="I2314" i="67"/>
  <c r="E2292" i="67"/>
  <c r="E3231" i="67"/>
  <c r="E773" i="67" s="1"/>
  <c r="H1633" i="67"/>
  <c r="H1634" i="67" s="1"/>
  <c r="H32" i="31" s="1"/>
  <c r="Y24" i="66"/>
  <c r="A338" i="77"/>
  <c r="G1781" i="67"/>
  <c r="G1782" i="67" s="1"/>
  <c r="G44" i="31" s="1"/>
  <c r="H1776" i="67"/>
  <c r="H1777" i="67" s="1"/>
  <c r="E1644" i="67"/>
  <c r="P23" i="66"/>
  <c r="A326" i="77"/>
  <c r="F3239" i="67"/>
  <c r="F3242" i="67" s="1"/>
  <c r="F709" i="67"/>
  <c r="E1640" i="67"/>
  <c r="R24" i="66"/>
  <c r="G2315" i="67"/>
  <c r="F694" i="67"/>
  <c r="F696" i="67" s="1"/>
  <c r="F698" i="67" s="1"/>
  <c r="I3255" i="67"/>
  <c r="I3252" i="67"/>
  <c r="I699" i="67" s="1"/>
  <c r="E798" i="67"/>
  <c r="E800" i="67" s="1"/>
  <c r="E879" i="67" s="1"/>
  <c r="I3254" i="67"/>
  <c r="F125" i="31"/>
  <c r="F1778" i="67"/>
  <c r="F803" i="67"/>
  <c r="G798" i="67"/>
  <c r="G800" i="67" s="1"/>
  <c r="G802" i="67" s="1"/>
  <c r="G805" i="67" s="1"/>
  <c r="G884" i="67" s="1"/>
  <c r="F788" i="67"/>
  <c r="F790" i="67" s="1"/>
  <c r="F878" i="67" s="1"/>
  <c r="E704" i="67"/>
  <c r="E706" i="67" s="1"/>
  <c r="E833" i="67" s="1"/>
  <c r="Y23" i="66"/>
  <c r="A337" i="77"/>
  <c r="G594" i="67"/>
  <c r="G595" i="67" s="1"/>
  <c r="G599" i="67" s="1"/>
  <c r="H2314" i="67"/>
  <c r="E699" i="67"/>
  <c r="I798" i="67"/>
  <c r="I800" i="67" s="1"/>
  <c r="I879" i="67" s="1"/>
  <c r="AC23" i="70"/>
  <c r="AE23" i="70" s="1"/>
  <c r="F793" i="67"/>
  <c r="H803" i="67"/>
  <c r="E1781" i="67"/>
  <c r="H1781" i="67"/>
  <c r="H1782" i="67" s="1"/>
  <c r="H44" i="31" s="1"/>
  <c r="F1776" i="67"/>
  <c r="F1777" i="67" s="1"/>
  <c r="E3248" i="67"/>
  <c r="E3247" i="67"/>
  <c r="E3246" i="67"/>
  <c r="E3249" i="67"/>
  <c r="F365" i="67"/>
  <c r="F371" i="67" s="1"/>
  <c r="F372" i="67" s="1"/>
  <c r="F386" i="67" s="1"/>
  <c r="F2300" i="67" s="1"/>
  <c r="F3233" i="67"/>
  <c r="F699" i="67"/>
  <c r="I232" i="31"/>
  <c r="I3239" i="67"/>
  <c r="E365" i="67"/>
  <c r="E371" i="67" s="1"/>
  <c r="E372" i="67" s="1"/>
  <c r="E386" i="67" s="1"/>
  <c r="E3233" i="67"/>
  <c r="E2314" i="67"/>
  <c r="F798" i="67"/>
  <c r="F800" i="67" s="1"/>
  <c r="H704" i="67"/>
  <c r="H706" i="67" s="1"/>
  <c r="E803" i="67"/>
  <c r="G684" i="67"/>
  <c r="G686" i="67" s="1"/>
  <c r="H3249" i="67"/>
  <c r="H3247" i="67"/>
  <c r="H3248" i="67"/>
  <c r="H3246" i="67"/>
  <c r="H365" i="67"/>
  <c r="H371" i="67" s="1"/>
  <c r="H372" i="67" s="1"/>
  <c r="H594" i="67" s="1"/>
  <c r="H595" i="67" s="1"/>
  <c r="H599" i="67" s="1"/>
  <c r="H164" i="31" s="1"/>
  <c r="H3233" i="67"/>
  <c r="I3248" i="67"/>
  <c r="I3246" i="67"/>
  <c r="I3247" i="67"/>
  <c r="I3249" i="67"/>
  <c r="H88" i="31"/>
  <c r="H3239" i="67"/>
  <c r="F704" i="67"/>
  <c r="F706" i="67" s="1"/>
  <c r="E709" i="67"/>
  <c r="H709" i="67"/>
  <c r="E3222" i="67"/>
  <c r="E3224" i="67"/>
  <c r="E3223" i="67"/>
  <c r="E3225" i="67"/>
  <c r="I365" i="67"/>
  <c r="I371" i="67" s="1"/>
  <c r="I372" i="67" s="1"/>
  <c r="I594" i="67" s="1"/>
  <c r="I595" i="67" s="1"/>
  <c r="I599" i="67" s="1"/>
  <c r="I3233" i="67"/>
  <c r="E232" i="31"/>
  <c r="E3239" i="67"/>
  <c r="H798" i="67"/>
  <c r="H800" i="67" s="1"/>
  <c r="G704" i="67"/>
  <c r="G706" i="67" s="1"/>
  <c r="G3246" i="67"/>
  <c r="G3248" i="67"/>
  <c r="G3247" i="67"/>
  <c r="G3249" i="67"/>
  <c r="I704" i="67"/>
  <c r="I706" i="67" s="1"/>
  <c r="G778" i="67"/>
  <c r="G780" i="67" s="1"/>
  <c r="E3212" i="67"/>
  <c r="E3211" i="67"/>
  <c r="E3213" i="67"/>
  <c r="E3210" i="67"/>
  <c r="G3255" i="67"/>
  <c r="G3253" i="67"/>
  <c r="G3254" i="67"/>
  <c r="G3252" i="67"/>
  <c r="I88" i="31"/>
  <c r="G12" i="52"/>
  <c r="A161" i="77" s="1"/>
  <c r="A111" i="77"/>
  <c r="A115" i="77"/>
  <c r="A114" i="77"/>
  <c r="A117" i="77"/>
  <c r="P14" i="69"/>
  <c r="L24" i="75"/>
  <c r="J14" i="75"/>
  <c r="F2225" i="67"/>
  <c r="I2226" i="67"/>
  <c r="G2225" i="67"/>
  <c r="G2226" i="67"/>
  <c r="I2225" i="67"/>
  <c r="F2226" i="67"/>
  <c r="E88" i="31"/>
  <c r="H232" i="31"/>
  <c r="E2226" i="67"/>
  <c r="X20" i="49" s="1"/>
  <c r="X25" i="49" s="1"/>
  <c r="E2225" i="67"/>
  <c r="X18" i="49" s="1"/>
  <c r="H2226" i="67"/>
  <c r="H2225" i="67"/>
  <c r="G295" i="31"/>
  <c r="H295" i="31"/>
  <c r="E295" i="31"/>
  <c r="G238" i="31"/>
  <c r="E238" i="31"/>
  <c r="H94" i="31"/>
  <c r="Z11" i="52"/>
  <c r="Y11" i="49"/>
  <c r="AG14" i="69"/>
  <c r="E170" i="31"/>
  <c r="L14" i="69"/>
  <c r="AD14" i="69"/>
  <c r="E14" i="75"/>
  <c r="A240" i="77" s="1"/>
  <c r="I94" i="31"/>
  <c r="I238" i="31"/>
  <c r="F232" i="31"/>
  <c r="F88" i="31"/>
  <c r="K25" i="28"/>
  <c r="D14" i="42"/>
  <c r="E763" i="67" l="1"/>
  <c r="U24" i="66"/>
  <c r="A334" i="77" s="1"/>
  <c r="E594" i="67"/>
  <c r="E595" i="67" s="1"/>
  <c r="E599" i="67" s="1"/>
  <c r="Z10" i="49" s="1"/>
  <c r="F792" i="67"/>
  <c r="F795" i="67" s="1"/>
  <c r="F883" i="67" s="1"/>
  <c r="O23" i="70"/>
  <c r="P23" i="70" s="1"/>
  <c r="H793" i="67"/>
  <c r="F832" i="67"/>
  <c r="F3241" i="67"/>
  <c r="E802" i="67"/>
  <c r="E805" i="67" s="1"/>
  <c r="E884" i="67" s="1"/>
  <c r="I694" i="67"/>
  <c r="I696" i="67" s="1"/>
  <c r="I698" i="67" s="1"/>
  <c r="I701" i="67" s="1"/>
  <c r="I837" i="67" s="1"/>
  <c r="F3243" i="67"/>
  <c r="F783" i="67" s="1"/>
  <c r="F3240" i="67"/>
  <c r="G201" i="31"/>
  <c r="H386" i="67"/>
  <c r="H2300" i="67" s="1"/>
  <c r="H2305" i="67" s="1"/>
  <c r="I802" i="67"/>
  <c r="I805" i="67" s="1"/>
  <c r="I884" i="67" s="1"/>
  <c r="F594" i="67"/>
  <c r="F595" i="67" s="1"/>
  <c r="F599" i="67" s="1"/>
  <c r="I386" i="67"/>
  <c r="I2300" i="67" s="1"/>
  <c r="I2305" i="67" s="1"/>
  <c r="E758" i="67"/>
  <c r="E760" i="67" s="1"/>
  <c r="E867" i="67" s="1"/>
  <c r="G788" i="67"/>
  <c r="G790" i="67" s="1"/>
  <c r="G792" i="67" s="1"/>
  <c r="E674" i="67"/>
  <c r="E676" i="67" s="1"/>
  <c r="E678" i="67" s="1"/>
  <c r="E681" i="67" s="1"/>
  <c r="E827" i="67" s="1"/>
  <c r="S24" i="66"/>
  <c r="A331" i="77"/>
  <c r="AB24" i="70"/>
  <c r="AD24" i="70" s="1"/>
  <c r="O24" i="66"/>
  <c r="E768" i="67"/>
  <c r="E770" i="67" s="1"/>
  <c r="E868" i="67" s="1"/>
  <c r="E708" i="67"/>
  <c r="E711" i="67" s="1"/>
  <c r="E838" i="67" s="1"/>
  <c r="I793" i="67"/>
  <c r="G879" i="67"/>
  <c r="V23" i="66"/>
  <c r="A333" i="77"/>
  <c r="X23" i="70"/>
  <c r="E1782" i="67"/>
  <c r="F1781" i="67"/>
  <c r="F1782" i="67" s="1"/>
  <c r="F44" i="31" s="1"/>
  <c r="F802" i="67"/>
  <c r="F805" i="67" s="1"/>
  <c r="F884" i="67" s="1"/>
  <c r="F879" i="67"/>
  <c r="I708" i="67"/>
  <c r="I711" i="67" s="1"/>
  <c r="I838" i="67" s="1"/>
  <c r="I833" i="67"/>
  <c r="I788" i="67"/>
  <c r="I790" i="67" s="1"/>
  <c r="F3237" i="67"/>
  <c r="F3236" i="67"/>
  <c r="F3235" i="67"/>
  <c r="F3234" i="67"/>
  <c r="G793" i="67"/>
  <c r="H802" i="67"/>
  <c r="H805" i="67" s="1"/>
  <c r="H884" i="67" s="1"/>
  <c r="H879" i="67"/>
  <c r="H3240" i="67"/>
  <c r="H3242" i="67"/>
  <c r="H3243" i="67"/>
  <c r="H3241" i="67"/>
  <c r="H788" i="67"/>
  <c r="H790" i="67" s="1"/>
  <c r="H708" i="67"/>
  <c r="H711" i="67" s="1"/>
  <c r="H838" i="67" s="1"/>
  <c r="H833" i="67"/>
  <c r="F701" i="67"/>
  <c r="F837" i="67" s="1"/>
  <c r="E694" i="67"/>
  <c r="E696" i="67" s="1"/>
  <c r="G782" i="67"/>
  <c r="G785" i="67" s="1"/>
  <c r="G882" i="67" s="1"/>
  <c r="G877" i="67"/>
  <c r="E3243" i="67"/>
  <c r="E3241" i="67"/>
  <c r="E3242" i="67"/>
  <c r="E3240" i="67"/>
  <c r="G688" i="67"/>
  <c r="G691" i="67" s="1"/>
  <c r="G836" i="67" s="1"/>
  <c r="G831" i="67"/>
  <c r="I3243" i="67"/>
  <c r="I3242" i="67"/>
  <c r="I3241" i="67"/>
  <c r="I3240" i="67"/>
  <c r="H3235" i="67"/>
  <c r="H3237" i="67"/>
  <c r="H3236" i="67"/>
  <c r="H3234" i="67"/>
  <c r="E788" i="67"/>
  <c r="E790" i="67" s="1"/>
  <c r="G699" i="67"/>
  <c r="E664" i="67"/>
  <c r="E666" i="67" s="1"/>
  <c r="G694" i="67"/>
  <c r="G696" i="67" s="1"/>
  <c r="G708" i="67"/>
  <c r="G711" i="67" s="1"/>
  <c r="G838" i="67" s="1"/>
  <c r="G833" i="67"/>
  <c r="I3234" i="67"/>
  <c r="I3236" i="67"/>
  <c r="I3235" i="67"/>
  <c r="I3237" i="67"/>
  <c r="F708" i="67"/>
  <c r="F711" i="67" s="1"/>
  <c r="F838" i="67" s="1"/>
  <c r="F833" i="67"/>
  <c r="H694" i="67"/>
  <c r="H696" i="67" s="1"/>
  <c r="E3234" i="67"/>
  <c r="E3236" i="67"/>
  <c r="E3237" i="67"/>
  <c r="E3235" i="67"/>
  <c r="F2306" i="67"/>
  <c r="F2305" i="67"/>
  <c r="E289" i="31"/>
  <c r="E12" i="49" s="1"/>
  <c r="G12" i="49" s="1"/>
  <c r="A198" i="77" s="1"/>
  <c r="E2300" i="67"/>
  <c r="Y18" i="52"/>
  <c r="I24" i="75"/>
  <c r="F14" i="75"/>
  <c r="J24" i="75" s="1"/>
  <c r="F2227" i="67"/>
  <c r="I2227" i="67"/>
  <c r="G2227" i="67"/>
  <c r="E2227" i="67"/>
  <c r="F289" i="31"/>
  <c r="Y20" i="52"/>
  <c r="G2326" i="67"/>
  <c r="G2327" i="67"/>
  <c r="I295" i="31"/>
  <c r="E16" i="49"/>
  <c r="G16" i="49" s="1"/>
  <c r="A199" i="77" s="1"/>
  <c r="M14" i="69"/>
  <c r="G164" i="31"/>
  <c r="H2227" i="67"/>
  <c r="H201" i="31"/>
  <c r="Z10" i="52"/>
  <c r="Y10" i="49"/>
  <c r="AC14" i="69"/>
  <c r="Q1" i="39"/>
  <c r="E12" i="39"/>
  <c r="F12" i="39"/>
  <c r="G12" i="39"/>
  <c r="G15" i="39" s="1"/>
  <c r="H12" i="39"/>
  <c r="H15" i="39" s="1"/>
  <c r="I12" i="39"/>
  <c r="J12" i="39"/>
  <c r="K12" i="39"/>
  <c r="K15" i="39" s="1"/>
  <c r="L12" i="39"/>
  <c r="L15" i="39" s="1"/>
  <c r="M12" i="39"/>
  <c r="N12" i="39"/>
  <c r="E15" i="39"/>
  <c r="F15" i="39"/>
  <c r="I15" i="39"/>
  <c r="J15" i="39"/>
  <c r="M15" i="39"/>
  <c r="N15" i="39"/>
  <c r="E23" i="39"/>
  <c r="F23" i="39"/>
  <c r="G23" i="39"/>
  <c r="H23" i="39"/>
  <c r="I23" i="39"/>
  <c r="J23" i="39"/>
  <c r="K23" i="39"/>
  <c r="L23" i="39"/>
  <c r="M23" i="39"/>
  <c r="N23" i="39"/>
  <c r="E31" i="39"/>
  <c r="F31" i="39"/>
  <c r="I31" i="39"/>
  <c r="J31" i="39"/>
  <c r="M31" i="39"/>
  <c r="N31" i="39"/>
  <c r="E39" i="39"/>
  <c r="F39" i="39"/>
  <c r="G39" i="39"/>
  <c r="H39" i="39"/>
  <c r="I39" i="39"/>
  <c r="J39" i="39"/>
  <c r="K39" i="39"/>
  <c r="L39" i="39"/>
  <c r="M39" i="39"/>
  <c r="N39" i="39"/>
  <c r="E47" i="39"/>
  <c r="F47" i="39"/>
  <c r="I47" i="39"/>
  <c r="J47" i="39"/>
  <c r="M47" i="39"/>
  <c r="N47" i="39"/>
  <c r="Q1" i="38"/>
  <c r="E23" i="38"/>
  <c r="F23" i="38"/>
  <c r="F25" i="38" s="1"/>
  <c r="G23" i="38"/>
  <c r="G25" i="38" s="1"/>
  <c r="H23" i="38"/>
  <c r="I23" i="38"/>
  <c r="J23" i="38"/>
  <c r="J25" i="38" s="1"/>
  <c r="K23" i="38"/>
  <c r="K25" i="38" s="1"/>
  <c r="L23" i="38"/>
  <c r="M23" i="38"/>
  <c r="N23" i="38"/>
  <c r="N25" i="38" s="1"/>
  <c r="E25" i="38"/>
  <c r="H25" i="38"/>
  <c r="I25" i="38"/>
  <c r="L25" i="38"/>
  <c r="M25" i="38"/>
  <c r="A366" i="77" l="1"/>
  <c r="X19" i="49"/>
  <c r="Y19" i="52"/>
  <c r="A437" i="77"/>
  <c r="I14" i="69"/>
  <c r="A284" i="77" s="1"/>
  <c r="V24" i="66"/>
  <c r="F689" i="67"/>
  <c r="E201" i="31"/>
  <c r="I832" i="67"/>
  <c r="H2306" i="67"/>
  <c r="H2327" i="67" s="1"/>
  <c r="E822" i="67"/>
  <c r="I2306" i="67"/>
  <c r="H289" i="31"/>
  <c r="E762" i="67"/>
  <c r="E765" i="67" s="1"/>
  <c r="E872" i="67" s="1"/>
  <c r="E772" i="67"/>
  <c r="E775" i="67" s="1"/>
  <c r="E873" i="67" s="1"/>
  <c r="I289" i="31"/>
  <c r="P24" i="66"/>
  <c r="A327" i="77"/>
  <c r="G878" i="67"/>
  <c r="G880" i="67" s="1"/>
  <c r="G881" i="67" s="1"/>
  <c r="I684" i="67"/>
  <c r="I686" i="67" s="1"/>
  <c r="I688" i="67" s="1"/>
  <c r="I689" i="67"/>
  <c r="E783" i="67"/>
  <c r="E44" i="31"/>
  <c r="U23" i="70"/>
  <c r="F684" i="67"/>
  <c r="F686" i="67" s="1"/>
  <c r="F831" i="67" s="1"/>
  <c r="F834" i="67" s="1"/>
  <c r="F835" i="67" s="1"/>
  <c r="A377" i="77"/>
  <c r="Y23" i="70"/>
  <c r="E698" i="67"/>
  <c r="E701" i="67" s="1"/>
  <c r="E837" i="67" s="1"/>
  <c r="E832" i="67"/>
  <c r="G698" i="67"/>
  <c r="G701" i="67" s="1"/>
  <c r="G837" i="67" s="1"/>
  <c r="G839" i="67" s="1"/>
  <c r="G840" i="67" s="1"/>
  <c r="G832" i="67"/>
  <c r="G834" i="67" s="1"/>
  <c r="G835" i="67" s="1"/>
  <c r="H778" i="67"/>
  <c r="H780" i="67" s="1"/>
  <c r="H689" i="67"/>
  <c r="F778" i="67"/>
  <c r="F780" i="67" s="1"/>
  <c r="E684" i="67"/>
  <c r="E686" i="67" s="1"/>
  <c r="H698" i="67"/>
  <c r="H701" i="67" s="1"/>
  <c r="H837" i="67" s="1"/>
  <c r="H832" i="67"/>
  <c r="E668" i="67"/>
  <c r="E671" i="67" s="1"/>
  <c r="E826" i="67" s="1"/>
  <c r="E821" i="67"/>
  <c r="E792" i="67"/>
  <c r="E795" i="67" s="1"/>
  <c r="E883" i="67" s="1"/>
  <c r="E878" i="67"/>
  <c r="H684" i="67"/>
  <c r="H686" i="67" s="1"/>
  <c r="G795" i="67"/>
  <c r="G883" i="67" s="1"/>
  <c r="G885" i="67" s="1"/>
  <c r="G886" i="67" s="1"/>
  <c r="I783" i="67"/>
  <c r="H783" i="67"/>
  <c r="I792" i="67"/>
  <c r="I795" i="67" s="1"/>
  <c r="I883" i="67" s="1"/>
  <c r="I878" i="67"/>
  <c r="H792" i="67"/>
  <c r="H795" i="67" s="1"/>
  <c r="H883" i="67" s="1"/>
  <c r="H878" i="67"/>
  <c r="E778" i="67"/>
  <c r="E780" i="67" s="1"/>
  <c r="I778" i="67"/>
  <c r="I780" i="67" s="1"/>
  <c r="E689" i="67"/>
  <c r="E2306" i="67"/>
  <c r="E2327" i="67" s="1"/>
  <c r="Y20" i="49" s="1"/>
  <c r="Y25" i="49" s="1"/>
  <c r="E2305" i="67"/>
  <c r="E2326" i="67" s="1"/>
  <c r="Y18" i="49" s="1"/>
  <c r="Y25" i="52"/>
  <c r="A444" i="77" s="1"/>
  <c r="A439" i="77"/>
  <c r="H2326" i="67"/>
  <c r="F2327" i="67"/>
  <c r="F2326" i="67"/>
  <c r="G2328" i="67"/>
  <c r="E164" i="31"/>
  <c r="E14" i="69"/>
  <c r="I201" i="31"/>
  <c r="I164" i="31"/>
  <c r="F164" i="31"/>
  <c r="F201" i="31"/>
  <c r="L47" i="39"/>
  <c r="H47" i="39"/>
  <c r="L31" i="39"/>
  <c r="H31" i="39"/>
  <c r="K47" i="39"/>
  <c r="G47" i="39"/>
  <c r="K31" i="39"/>
  <c r="G31" i="39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83" i="36"/>
  <c r="H84" i="36"/>
  <c r="H85" i="36"/>
  <c r="H86" i="36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102" i="36"/>
  <c r="H103" i="36"/>
  <c r="H104" i="36"/>
  <c r="H105" i="36"/>
  <c r="H106" i="36"/>
  <c r="H107" i="36"/>
  <c r="H108" i="36"/>
  <c r="H109" i="36"/>
  <c r="H110" i="36"/>
  <c r="H111" i="36"/>
  <c r="H112" i="36"/>
  <c r="H113" i="36"/>
  <c r="H114" i="36"/>
  <c r="H115" i="36"/>
  <c r="H116" i="36"/>
  <c r="H117" i="36"/>
  <c r="H118" i="36"/>
  <c r="H119" i="36"/>
  <c r="H120" i="36"/>
  <c r="H121" i="36"/>
  <c r="H122" i="36"/>
  <c r="H123" i="36"/>
  <c r="H124" i="36"/>
  <c r="H125" i="36"/>
  <c r="H126" i="36"/>
  <c r="H127" i="36"/>
  <c r="H128" i="36"/>
  <c r="H129" i="36"/>
  <c r="H130" i="36"/>
  <c r="H131" i="36"/>
  <c r="H132" i="36"/>
  <c r="H133" i="36"/>
  <c r="H134" i="36"/>
  <c r="H135" i="36"/>
  <c r="H136" i="36"/>
  <c r="H137" i="36"/>
  <c r="H138" i="36"/>
  <c r="H139" i="36"/>
  <c r="H140" i="36"/>
  <c r="H141" i="36"/>
  <c r="H142" i="36"/>
  <c r="H143" i="36"/>
  <c r="H144" i="36"/>
  <c r="H145" i="36"/>
  <c r="H146" i="36"/>
  <c r="H147" i="36"/>
  <c r="H148" i="36"/>
  <c r="H149" i="36"/>
  <c r="H150" i="36"/>
  <c r="H151" i="36"/>
  <c r="H152" i="36"/>
  <c r="H153" i="36"/>
  <c r="H154" i="36"/>
  <c r="H155" i="36"/>
  <c r="H156" i="36"/>
  <c r="H157" i="36"/>
  <c r="H158" i="36"/>
  <c r="H159" i="36"/>
  <c r="H160" i="36"/>
  <c r="H161" i="36"/>
  <c r="H162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H277" i="36"/>
  <c r="H278" i="36"/>
  <c r="H279" i="36"/>
  <c r="H280" i="36"/>
  <c r="H281" i="36"/>
  <c r="H282" i="36"/>
  <c r="H283" i="36"/>
  <c r="H284" i="36"/>
  <c r="I831" i="67" l="1"/>
  <c r="I834" i="67" s="1"/>
  <c r="I835" i="67" s="1"/>
  <c r="A438" i="77"/>
  <c r="J14" i="69"/>
  <c r="M24" i="69" s="1"/>
  <c r="L24" i="69"/>
  <c r="I691" i="67"/>
  <c r="I836" i="67" s="1"/>
  <c r="I839" i="67" s="1"/>
  <c r="I840" i="67" s="1"/>
  <c r="F688" i="67"/>
  <c r="F691" i="67" s="1"/>
  <c r="F836" i="67" s="1"/>
  <c r="F839" i="67" s="1"/>
  <c r="F840" i="67" s="1"/>
  <c r="V23" i="70"/>
  <c r="A373" i="77"/>
  <c r="E688" i="67"/>
  <c r="E691" i="67" s="1"/>
  <c r="E836" i="67" s="1"/>
  <c r="E839" i="67" s="1"/>
  <c r="E831" i="67"/>
  <c r="E834" i="67" s="1"/>
  <c r="I782" i="67"/>
  <c r="I785" i="67" s="1"/>
  <c r="I882" i="67" s="1"/>
  <c r="I885" i="67" s="1"/>
  <c r="I886" i="67" s="1"/>
  <c r="I877" i="67"/>
  <c r="I880" i="67" s="1"/>
  <c r="I881" i="67" s="1"/>
  <c r="H688" i="67"/>
  <c r="H691" i="67" s="1"/>
  <c r="H836" i="67" s="1"/>
  <c r="H839" i="67" s="1"/>
  <c r="H840" i="67" s="1"/>
  <c r="H831" i="67"/>
  <c r="H834" i="67" s="1"/>
  <c r="H835" i="67" s="1"/>
  <c r="F782" i="67"/>
  <c r="F785" i="67" s="1"/>
  <c r="F882" i="67" s="1"/>
  <c r="F885" i="67" s="1"/>
  <c r="F886" i="67" s="1"/>
  <c r="F877" i="67"/>
  <c r="F880" i="67" s="1"/>
  <c r="F881" i="67" s="1"/>
  <c r="H782" i="67"/>
  <c r="H785" i="67" s="1"/>
  <c r="H882" i="67" s="1"/>
  <c r="H885" i="67" s="1"/>
  <c r="H886" i="67" s="1"/>
  <c r="H877" i="67"/>
  <c r="H880" i="67" s="1"/>
  <c r="H881" i="67" s="1"/>
  <c r="E782" i="67"/>
  <c r="E785" i="67" s="1"/>
  <c r="E882" i="67" s="1"/>
  <c r="E885" i="67" s="1"/>
  <c r="E877" i="67"/>
  <c r="E880" i="67" s="1"/>
  <c r="A461" i="77"/>
  <c r="I2327" i="67"/>
  <c r="F14" i="69"/>
  <c r="J24" i="69" s="1"/>
  <c r="A280" i="77"/>
  <c r="A468" i="77"/>
  <c r="A463" i="77"/>
  <c r="I2326" i="67"/>
  <c r="H2328" i="67"/>
  <c r="E2328" i="67"/>
  <c r="Y19" i="49" s="1"/>
  <c r="A462" i="77" s="1"/>
  <c r="F2328" i="67"/>
  <c r="A14" i="31"/>
  <c r="X24" i="75" l="1"/>
  <c r="E881" i="67"/>
  <c r="E886" i="67"/>
  <c r="U24" i="69" s="1"/>
  <c r="X24" i="69"/>
  <c r="R24" i="75"/>
  <c r="E835" i="67"/>
  <c r="R24" i="69"/>
  <c r="E840" i="67"/>
  <c r="O24" i="69" s="1"/>
  <c r="I2328" i="67"/>
  <c r="D20" i="30"/>
  <c r="D21" i="30"/>
  <c r="D22" i="30"/>
  <c r="B27" i="30"/>
  <c r="E30" i="30"/>
  <c r="G33" i="30"/>
  <c r="I30" i="30"/>
  <c r="J27" i="30"/>
  <c r="K27" i="30"/>
  <c r="D29" i="30"/>
  <c r="D30" i="30"/>
  <c r="D31" i="30"/>
  <c r="D32" i="30"/>
  <c r="D33" i="30"/>
  <c r="D34" i="30"/>
  <c r="D35" i="30"/>
  <c r="D36" i="30"/>
  <c r="D37" i="30"/>
  <c r="D38" i="30"/>
  <c r="K16" i="29"/>
  <c r="K17" i="29"/>
  <c r="K19" i="29"/>
  <c r="L19" i="29"/>
  <c r="E19" i="29" s="1"/>
  <c r="M19" i="29"/>
  <c r="F19" i="29" s="1"/>
  <c r="N19" i="29"/>
  <c r="G19" i="29" s="1"/>
  <c r="O19" i="29"/>
  <c r="H19" i="29" s="1"/>
  <c r="P19" i="29"/>
  <c r="I19" i="29" s="1"/>
  <c r="K20" i="29"/>
  <c r="L20" i="29"/>
  <c r="E20" i="29" s="1"/>
  <c r="M20" i="29"/>
  <c r="F20" i="29" s="1"/>
  <c r="N20" i="29"/>
  <c r="G20" i="29" s="1"/>
  <c r="O20" i="29"/>
  <c r="H20" i="29" s="1"/>
  <c r="P20" i="29"/>
  <c r="I20" i="29" s="1"/>
  <c r="K22" i="29"/>
  <c r="L22" i="29"/>
  <c r="E22" i="29" s="1"/>
  <c r="M22" i="29"/>
  <c r="F22" i="29" s="1"/>
  <c r="N22" i="29"/>
  <c r="G22" i="29" s="1"/>
  <c r="O22" i="29"/>
  <c r="H22" i="29" s="1"/>
  <c r="P22" i="29"/>
  <c r="I22" i="29" s="1"/>
  <c r="A251" i="77" l="1"/>
  <c r="S24" i="75"/>
  <c r="A258" i="77"/>
  <c r="Y24" i="75"/>
  <c r="A287" i="77"/>
  <c r="A298" i="77"/>
  <c r="A291" i="77"/>
  <c r="A294" i="77"/>
  <c r="O24" i="75"/>
  <c r="AB24" i="69"/>
  <c r="AD24" i="69" s="1"/>
  <c r="S24" i="69" s="1"/>
  <c r="U24" i="75"/>
  <c r="AC24" i="69"/>
  <c r="AE24" i="69" s="1"/>
  <c r="Y24" i="69" s="1"/>
  <c r="E35" i="30"/>
  <c r="I29" i="30"/>
  <c r="G31" i="30"/>
  <c r="E37" i="30"/>
  <c r="E33" i="30"/>
  <c r="E31" i="30"/>
  <c r="E29" i="30"/>
  <c r="I37" i="30"/>
  <c r="I35" i="30"/>
  <c r="I33" i="30"/>
  <c r="I31" i="30"/>
  <c r="H30" i="30"/>
  <c r="H31" i="30"/>
  <c r="H35" i="30"/>
  <c r="H36" i="30"/>
  <c r="H34" i="30"/>
  <c r="H32" i="30"/>
  <c r="H38" i="30"/>
  <c r="G36" i="30"/>
  <c r="G37" i="30"/>
  <c r="F31" i="30"/>
  <c r="F35" i="30"/>
  <c r="F33" i="30"/>
  <c r="F34" i="30"/>
  <c r="F36" i="30"/>
  <c r="F29" i="30"/>
  <c r="F37" i="30"/>
  <c r="F38" i="30"/>
  <c r="F30" i="30"/>
  <c r="F32" i="30"/>
  <c r="G30" i="30"/>
  <c r="G34" i="30"/>
  <c r="G38" i="30"/>
  <c r="G29" i="30"/>
  <c r="G32" i="30"/>
  <c r="G35" i="30"/>
  <c r="H29" i="30"/>
  <c r="H33" i="30"/>
  <c r="H37" i="30"/>
  <c r="I38" i="30"/>
  <c r="E38" i="30"/>
  <c r="I36" i="30"/>
  <c r="E36" i="30"/>
  <c r="I34" i="30"/>
  <c r="E34" i="30"/>
  <c r="I32" i="30"/>
  <c r="E32" i="30"/>
  <c r="K35" i="28"/>
  <c r="K22" i="28"/>
  <c r="K23" i="28"/>
  <c r="K24" i="28"/>
  <c r="K36" i="28"/>
  <c r="K37" i="28"/>
  <c r="K38" i="28"/>
  <c r="K39" i="28"/>
  <c r="E45" i="28"/>
  <c r="E46" i="28"/>
  <c r="P24" i="69" l="1"/>
  <c r="V24" i="75"/>
  <c r="A254" i="77"/>
  <c r="V24" i="69"/>
  <c r="A247" i="77"/>
  <c r="P24" i="75"/>
  <c r="E47" i="28"/>
  <c r="D47" i="1"/>
  <c r="D43" i="1"/>
  <c r="D41" i="1" l="1"/>
  <c r="D74" i="65"/>
  <c r="L55" i="32" s="1"/>
  <c r="E55" i="32" l="1"/>
  <c r="D83" i="65"/>
  <c r="D420" i="65"/>
  <c r="D82" i="65"/>
  <c r="D26" i="65"/>
  <c r="L54" i="32" s="1"/>
  <c r="D84" i="65"/>
  <c r="D803" i="65" l="1"/>
  <c r="M142" i="32"/>
  <c r="L142" i="32" s="1"/>
  <c r="L143" i="32"/>
  <c r="M154" i="32"/>
  <c r="L154" i="32" s="1"/>
  <c r="L155" i="32"/>
  <c r="L149" i="32"/>
  <c r="M148" i="32"/>
  <c r="L148" i="32" s="1"/>
  <c r="AD12" i="66"/>
  <c r="D101" i="65"/>
  <c r="D358" i="65"/>
  <c r="L92" i="32" s="1"/>
  <c r="D364" i="65"/>
  <c r="L98" i="32" s="1"/>
  <c r="D97" i="65"/>
  <c r="D352" i="65"/>
  <c r="L86" i="32" s="1"/>
  <c r="G55" i="32"/>
  <c r="I55" i="32"/>
  <c r="F55" i="32"/>
  <c r="H55" i="32"/>
  <c r="F54" i="32"/>
  <c r="D102" i="65"/>
  <c r="E29" i="65"/>
  <c r="D29" i="65"/>
  <c r="D98" i="65"/>
  <c r="E420" i="65"/>
  <c r="D28" i="65"/>
  <c r="D106" i="65"/>
  <c r="D105" i="65"/>
  <c r="F154" i="32" l="1"/>
  <c r="G154" i="32"/>
  <c r="H154" i="32"/>
  <c r="I154" i="32"/>
  <c r="E154" i="32"/>
  <c r="I143" i="32"/>
  <c r="E143" i="32"/>
  <c r="V12" i="61" s="1"/>
  <c r="H143" i="32"/>
  <c r="F143" i="32"/>
  <c r="G143" i="32"/>
  <c r="E155" i="32"/>
  <c r="V14" i="61" s="1"/>
  <c r="F155" i="32"/>
  <c r="H155" i="32"/>
  <c r="G155" i="32"/>
  <c r="I155" i="32"/>
  <c r="H149" i="32"/>
  <c r="E149" i="32"/>
  <c r="V16" i="61" s="1"/>
  <c r="I149" i="32"/>
  <c r="G149" i="32"/>
  <c r="F149" i="32"/>
  <c r="G148" i="32"/>
  <c r="H148" i="32"/>
  <c r="F148" i="32"/>
  <c r="I148" i="32"/>
  <c r="E148" i="32"/>
  <c r="H142" i="32"/>
  <c r="I142" i="32"/>
  <c r="G142" i="32"/>
  <c r="E142" i="32"/>
  <c r="F142" i="32"/>
  <c r="I54" i="32"/>
  <c r="E54" i="32"/>
  <c r="H54" i="32"/>
  <c r="G54" i="32"/>
  <c r="AD11" i="66" l="1"/>
  <c r="H86" i="32"/>
  <c r="G86" i="32"/>
  <c r="F86" i="32"/>
  <c r="E86" i="32"/>
  <c r="I86" i="32"/>
  <c r="H98" i="32"/>
  <c r="I98" i="32"/>
  <c r="G98" i="32"/>
  <c r="E98" i="32"/>
  <c r="F98" i="32"/>
  <c r="H92" i="32"/>
  <c r="F92" i="32"/>
  <c r="I92" i="32"/>
  <c r="E92" i="32"/>
  <c r="G92" i="32"/>
  <c r="G17" i="32"/>
  <c r="E17" i="32"/>
  <c r="I17" i="32"/>
  <c r="F17" i="32"/>
  <c r="H17" i="32"/>
  <c r="G23" i="32"/>
  <c r="F23" i="32"/>
  <c r="I23" i="32"/>
  <c r="E23" i="32"/>
  <c r="H23" i="32"/>
  <c r="I975" i="67" l="1"/>
  <c r="I981" i="67" s="1"/>
  <c r="I965" i="67"/>
  <c r="I970" i="67" s="1"/>
  <c r="I971" i="67" s="1"/>
  <c r="G965" i="67"/>
  <c r="G970" i="67" s="1"/>
  <c r="G971" i="67" s="1"/>
  <c r="G975" i="67"/>
  <c r="G981" i="67" s="1"/>
  <c r="H965" i="67"/>
  <c r="H970" i="67" s="1"/>
  <c r="H971" i="67" s="1"/>
  <c r="H975" i="67"/>
  <c r="H981" i="67" s="1"/>
  <c r="I1029" i="67"/>
  <c r="I1035" i="67" s="1"/>
  <c r="I1019" i="67"/>
  <c r="I1024" i="67" s="1"/>
  <c r="I1025" i="67" s="1"/>
  <c r="E975" i="67"/>
  <c r="E981" i="67" s="1"/>
  <c r="E965" i="67"/>
  <c r="E970" i="67" s="1"/>
  <c r="E971" i="67" s="1"/>
  <c r="F1029" i="67"/>
  <c r="F1035" i="67" s="1"/>
  <c r="F1019" i="67"/>
  <c r="F1024" i="67" s="1"/>
  <c r="F1025" i="67" s="1"/>
  <c r="H1019" i="67"/>
  <c r="H1024" i="67" s="1"/>
  <c r="H1025" i="67" s="1"/>
  <c r="H1029" i="67"/>
  <c r="H1035" i="67" s="1"/>
  <c r="E1029" i="67"/>
  <c r="E1035" i="67" s="1"/>
  <c r="E1019" i="67"/>
  <c r="E1024" i="67" s="1"/>
  <c r="E1025" i="67" s="1"/>
  <c r="F975" i="67"/>
  <c r="F981" i="67" s="1"/>
  <c r="F965" i="67"/>
  <c r="F970" i="67" s="1"/>
  <c r="F971" i="67" s="1"/>
  <c r="G1019" i="67"/>
  <c r="G1024" i="67" s="1"/>
  <c r="G1025" i="67" s="1"/>
  <c r="G1029" i="67"/>
  <c r="G1035" i="67" s="1"/>
  <c r="F911" i="67"/>
  <c r="F921" i="67"/>
  <c r="E921" i="67"/>
  <c r="E911" i="67"/>
  <c r="G911" i="67"/>
  <c r="G921" i="67"/>
  <c r="I921" i="67"/>
  <c r="I911" i="67"/>
  <c r="H921" i="67"/>
  <c r="H911" i="67"/>
  <c r="AC11" i="66"/>
  <c r="AG11" i="66"/>
  <c r="G1056" i="67" l="1"/>
  <c r="G1062" i="67" s="1"/>
  <c r="G1063" i="67" s="1"/>
  <c r="G1036" i="67"/>
  <c r="G1039" i="67" s="1"/>
  <c r="G2358" i="67" s="1"/>
  <c r="G1002" i="67"/>
  <c r="G1008" i="67" s="1"/>
  <c r="G1009" i="67" s="1"/>
  <c r="G982" i="67"/>
  <c r="G985" i="67" s="1"/>
  <c r="G2349" i="67" s="1"/>
  <c r="E1056" i="67"/>
  <c r="E1062" i="67" s="1"/>
  <c r="E1063" i="67" s="1"/>
  <c r="E1036" i="67"/>
  <c r="E1039" i="67" s="1"/>
  <c r="E2358" i="67" s="1"/>
  <c r="F1056" i="67"/>
  <c r="F1062" i="67" s="1"/>
  <c r="F1063" i="67" s="1"/>
  <c r="F1036" i="67"/>
  <c r="F1039" i="67" s="1"/>
  <c r="F2358" i="67" s="1"/>
  <c r="I1056" i="67"/>
  <c r="I1062" i="67" s="1"/>
  <c r="I1063" i="67" s="1"/>
  <c r="I1036" i="67"/>
  <c r="I1039" i="67" s="1"/>
  <c r="I2358" i="67" s="1"/>
  <c r="H1056" i="67"/>
  <c r="H1062" i="67" s="1"/>
  <c r="H1063" i="67" s="1"/>
  <c r="H1036" i="67"/>
  <c r="H1039" i="67" s="1"/>
  <c r="H2358" i="67" s="1"/>
  <c r="H1002" i="67"/>
  <c r="H1008" i="67" s="1"/>
  <c r="H1009" i="67" s="1"/>
  <c r="H982" i="67"/>
  <c r="H985" i="67" s="1"/>
  <c r="H2349" i="67" s="1"/>
  <c r="F1002" i="67"/>
  <c r="F1008" i="67" s="1"/>
  <c r="F1009" i="67" s="1"/>
  <c r="F982" i="67"/>
  <c r="F985" i="67" s="1"/>
  <c r="F2349" i="67" s="1"/>
  <c r="E1002" i="67"/>
  <c r="E1008" i="67" s="1"/>
  <c r="E1009" i="67" s="1"/>
  <c r="E982" i="67"/>
  <c r="E985" i="67" s="1"/>
  <c r="E2349" i="67" s="1"/>
  <c r="I1002" i="67"/>
  <c r="I1008" i="67" s="1"/>
  <c r="I1009" i="67" s="1"/>
  <c r="I982" i="67"/>
  <c r="I985" i="67" s="1"/>
  <c r="I2349" i="67" s="1"/>
  <c r="I25" i="37"/>
  <c r="I1955" i="67" s="1"/>
  <c r="H25" i="37"/>
  <c r="F25" i="37"/>
  <c r="F1955" i="67" s="1"/>
  <c r="G25" i="37"/>
  <c r="E25" i="37"/>
  <c r="E1955" i="67" s="1"/>
  <c r="I2355" i="67" l="1"/>
  <c r="I2354" i="67"/>
  <c r="F2354" i="67"/>
  <c r="F2355" i="67"/>
  <c r="H2363" i="67"/>
  <c r="H2364" i="67"/>
  <c r="F2364" i="67"/>
  <c r="F2363" i="67"/>
  <c r="G2354" i="67"/>
  <c r="G2355" i="67"/>
  <c r="E2355" i="67"/>
  <c r="E2354" i="67"/>
  <c r="H2354" i="67"/>
  <c r="H2355" i="67"/>
  <c r="I2363" i="67"/>
  <c r="I2364" i="67"/>
  <c r="E2363" i="67"/>
  <c r="E2364" i="67"/>
  <c r="G2363" i="67"/>
  <c r="G2364" i="67"/>
  <c r="H1067" i="67"/>
  <c r="H1040" i="67"/>
  <c r="E1013" i="67"/>
  <c r="E986" i="67"/>
  <c r="F1040" i="67"/>
  <c r="F1067" i="67"/>
  <c r="F986" i="67"/>
  <c r="F1013" i="67"/>
  <c r="I986" i="67"/>
  <c r="I1013" i="67"/>
  <c r="I1040" i="67"/>
  <c r="I1067" i="67"/>
  <c r="E1067" i="67"/>
  <c r="E1040" i="67"/>
  <c r="G1067" i="67"/>
  <c r="G1040" i="67"/>
  <c r="G1013" i="67"/>
  <c r="G986" i="67"/>
  <c r="H1013" i="67"/>
  <c r="H986" i="67"/>
  <c r="K22" i="34"/>
  <c r="I22" i="50"/>
  <c r="A127" i="77" s="1"/>
  <c r="G1955" i="67"/>
  <c r="G1959" i="67" s="1"/>
  <c r="G362" i="31" s="1"/>
  <c r="H1955" i="67"/>
  <c r="H2058" i="67" s="1"/>
  <c r="F2057" i="67"/>
  <c r="F1947" i="67" s="1"/>
  <c r="F1936" i="67" s="1"/>
  <c r="F1945" i="67" s="1"/>
  <c r="F307" i="31" s="1"/>
  <c r="F2058" i="67"/>
  <c r="F1959" i="67"/>
  <c r="F362" i="31" s="1"/>
  <c r="I1959" i="67"/>
  <c r="I362" i="31" s="1"/>
  <c r="I2057" i="67"/>
  <c r="I1947" i="67" s="1"/>
  <c r="I1936" i="67" s="1"/>
  <c r="I1945" i="67" s="1"/>
  <c r="I307" i="31" s="1"/>
  <c r="I2058" i="67"/>
  <c r="E1959" i="67"/>
  <c r="E2058" i="67"/>
  <c r="X23" i="34" s="1"/>
  <c r="E2057" i="67"/>
  <c r="Y21" i="50"/>
  <c r="A424" i="77" l="1"/>
  <c r="G3288" i="67"/>
  <c r="G3289" i="67" s="1"/>
  <c r="I3300" i="67"/>
  <c r="I3304" i="67" s="1"/>
  <c r="F3288" i="67"/>
  <c r="F3292" i="67" s="1"/>
  <c r="E3300" i="67"/>
  <c r="E3302" i="67" s="1"/>
  <c r="H3300" i="67"/>
  <c r="H3304" i="67" s="1"/>
  <c r="H991" i="67"/>
  <c r="H997" i="67" s="1"/>
  <c r="H998" i="67" s="1"/>
  <c r="H1012" i="67" s="1"/>
  <c r="H2450" i="67" s="1"/>
  <c r="H2456" i="67" s="1"/>
  <c r="H3282" i="67"/>
  <c r="E991" i="67"/>
  <c r="E997" i="67" s="1"/>
  <c r="E998" i="67" s="1"/>
  <c r="E1012" i="67" s="1"/>
  <c r="E2450" i="67" s="1"/>
  <c r="E2456" i="67" s="1"/>
  <c r="E3282" i="67"/>
  <c r="H3288" i="67"/>
  <c r="I1045" i="67"/>
  <c r="I1051" i="67" s="1"/>
  <c r="I1052" i="67" s="1"/>
  <c r="I1066" i="67" s="1"/>
  <c r="I2459" i="67" s="1"/>
  <c r="I2464" i="67" s="1"/>
  <c r="I3294" i="67"/>
  <c r="E3288" i="67"/>
  <c r="G991" i="67"/>
  <c r="G997" i="67" s="1"/>
  <c r="G998" i="67" s="1"/>
  <c r="G1012" i="67" s="1"/>
  <c r="G2450" i="67" s="1"/>
  <c r="G2455" i="67" s="1"/>
  <c r="G3282" i="67"/>
  <c r="E1045" i="67"/>
  <c r="E1051" i="67" s="1"/>
  <c r="E1052" i="67" s="1"/>
  <c r="E1066" i="67" s="1"/>
  <c r="E2459" i="67" s="1"/>
  <c r="E2465" i="67" s="1"/>
  <c r="E3294" i="67"/>
  <c r="I3288" i="67"/>
  <c r="F3300" i="67"/>
  <c r="H1045" i="67"/>
  <c r="H1051" i="67" s="1"/>
  <c r="H1052" i="67" s="1"/>
  <c r="H1066" i="67" s="1"/>
  <c r="H2459" i="67" s="1"/>
  <c r="H2464" i="67" s="1"/>
  <c r="H3294" i="67"/>
  <c r="G1045" i="67"/>
  <c r="G1051" i="67" s="1"/>
  <c r="G1052" i="67" s="1"/>
  <c r="G1066" i="67" s="1"/>
  <c r="G2459" i="67" s="1"/>
  <c r="G2465" i="67" s="1"/>
  <c r="G3294" i="67"/>
  <c r="G3300" i="67"/>
  <c r="F991" i="67"/>
  <c r="F997" i="67" s="1"/>
  <c r="F998" i="67" s="1"/>
  <c r="F1012" i="67" s="1"/>
  <c r="F2450" i="67" s="1"/>
  <c r="F2456" i="67" s="1"/>
  <c r="F3282" i="67"/>
  <c r="I991" i="67"/>
  <c r="I997" i="67" s="1"/>
  <c r="I998" i="67" s="1"/>
  <c r="I1012" i="67" s="1"/>
  <c r="I2450" i="67" s="1"/>
  <c r="I2456" i="67" s="1"/>
  <c r="I3282" i="67"/>
  <c r="F1045" i="67"/>
  <c r="F1051" i="67" s="1"/>
  <c r="F1052" i="67" s="1"/>
  <c r="F1066" i="67" s="1"/>
  <c r="F2459" i="67" s="1"/>
  <c r="F2464" i="67" s="1"/>
  <c r="F3294" i="67"/>
  <c r="E1947" i="67"/>
  <c r="E1904" i="67" s="1"/>
  <c r="E1907" i="67" s="1"/>
  <c r="X22" i="34"/>
  <c r="X35" i="57"/>
  <c r="J117" i="45"/>
  <c r="F116" i="45" s="1"/>
  <c r="E1945" i="67"/>
  <c r="X35" i="55"/>
  <c r="X35" i="56"/>
  <c r="A234" i="77" s="1"/>
  <c r="I1904" i="67"/>
  <c r="I1907" i="67" s="1"/>
  <c r="F1904" i="67"/>
  <c r="F1907" i="67" s="1"/>
  <c r="E916" i="67"/>
  <c r="E917" i="67" s="1"/>
  <c r="I927" i="67"/>
  <c r="F916" i="67"/>
  <c r="F917" i="67" s="1"/>
  <c r="E134" i="67"/>
  <c r="E124" i="67"/>
  <c r="E161" i="67"/>
  <c r="E150" i="67"/>
  <c r="I134" i="67"/>
  <c r="I124" i="67"/>
  <c r="I150" i="67"/>
  <c r="I161" i="67"/>
  <c r="F124" i="67"/>
  <c r="F134" i="67"/>
  <c r="F150" i="67"/>
  <c r="F161" i="67"/>
  <c r="H124" i="67"/>
  <c r="H134" i="67"/>
  <c r="H150" i="67"/>
  <c r="H161" i="67"/>
  <c r="E123" i="67"/>
  <c r="E192" i="67"/>
  <c r="E133" i="67"/>
  <c r="E149" i="67"/>
  <c r="E160" i="67"/>
  <c r="I289" i="67"/>
  <c r="I123" i="67"/>
  <c r="I181" i="67"/>
  <c r="I192" i="67"/>
  <c r="I235" i="67"/>
  <c r="I133" i="67"/>
  <c r="I149" i="67"/>
  <c r="I160" i="67"/>
  <c r="F235" i="67"/>
  <c r="F192" i="67"/>
  <c r="F181" i="67"/>
  <c r="F133" i="67"/>
  <c r="F123" i="67"/>
  <c r="F289" i="67"/>
  <c r="F149" i="67"/>
  <c r="F160" i="67"/>
  <c r="F70" i="67"/>
  <c r="F80" i="67"/>
  <c r="F96" i="67"/>
  <c r="F107" i="67"/>
  <c r="E80" i="67"/>
  <c r="E70" i="67"/>
  <c r="E107" i="67"/>
  <c r="E96" i="67"/>
  <c r="H70" i="67"/>
  <c r="H80" i="67"/>
  <c r="H96" i="67"/>
  <c r="H107" i="67"/>
  <c r="I80" i="67"/>
  <c r="I70" i="67"/>
  <c r="I107" i="67"/>
  <c r="I96" i="67"/>
  <c r="E69" i="67"/>
  <c r="E79" i="67"/>
  <c r="E95" i="67"/>
  <c r="E106" i="67"/>
  <c r="I69" i="67"/>
  <c r="I79" i="67"/>
  <c r="I95" i="67"/>
  <c r="I106" i="67"/>
  <c r="F79" i="67"/>
  <c r="F69" i="67"/>
  <c r="F106" i="67"/>
  <c r="F95" i="67"/>
  <c r="E52" i="67"/>
  <c r="E41" i="67"/>
  <c r="F25" i="67"/>
  <c r="F52" i="67"/>
  <c r="F41" i="67"/>
  <c r="E53" i="67"/>
  <c r="E42" i="67"/>
  <c r="H26" i="67"/>
  <c r="H42" i="67"/>
  <c r="H53" i="67"/>
  <c r="I26" i="67"/>
  <c r="I53" i="67"/>
  <c r="I42" i="67"/>
  <c r="F26" i="67"/>
  <c r="F42" i="67"/>
  <c r="F53" i="67"/>
  <c r="I25" i="67"/>
  <c r="I52" i="67"/>
  <c r="I41" i="67"/>
  <c r="E25" i="67"/>
  <c r="E15" i="67"/>
  <c r="E26" i="67"/>
  <c r="E16" i="67"/>
  <c r="I16" i="67"/>
  <c r="H16" i="67"/>
  <c r="F16" i="67"/>
  <c r="I15" i="67"/>
  <c r="F15" i="67"/>
  <c r="K24" i="34"/>
  <c r="I24" i="50"/>
  <c r="A128" i="77" s="1"/>
  <c r="I26" i="50"/>
  <c r="A129" i="77" s="1"/>
  <c r="K26" i="34"/>
  <c r="G2058" i="67"/>
  <c r="H2057" i="67"/>
  <c r="H1947" i="67" s="1"/>
  <c r="H1936" i="67" s="1"/>
  <c r="H1945" i="67" s="1"/>
  <c r="H307" i="31" s="1"/>
  <c r="G2057" i="67"/>
  <c r="G1947" i="67" s="1"/>
  <c r="G1936" i="67" s="1"/>
  <c r="G1945" i="67" s="1"/>
  <c r="G307" i="31" s="1"/>
  <c r="H1959" i="67"/>
  <c r="H362" i="31" s="1"/>
  <c r="Y22" i="50"/>
  <c r="Y23" i="50"/>
  <c r="E362" i="31"/>
  <c r="A425" i="77" l="1"/>
  <c r="A426" i="77"/>
  <c r="H3303" i="67"/>
  <c r="H1696" i="67" s="1"/>
  <c r="G3290" i="67"/>
  <c r="G1537" i="67" s="1"/>
  <c r="H3301" i="67"/>
  <c r="G3291" i="67"/>
  <c r="H3302" i="67"/>
  <c r="G3292" i="67"/>
  <c r="E3304" i="67"/>
  <c r="I3303" i="67"/>
  <c r="I1696" i="67" s="1"/>
  <c r="G116" i="45"/>
  <c r="E237" i="45" s="1"/>
  <c r="F237" i="45" s="1"/>
  <c r="I2465" i="67"/>
  <c r="H2455" i="67"/>
  <c r="E3303" i="67"/>
  <c r="E3301" i="67"/>
  <c r="E1547" i="67" s="1"/>
  <c r="F3290" i="67"/>
  <c r="I3302" i="67"/>
  <c r="F3289" i="67"/>
  <c r="I3301" i="67"/>
  <c r="F3291" i="67"/>
  <c r="F1686" i="67" s="1"/>
  <c r="G2464" i="67"/>
  <c r="F2465" i="67"/>
  <c r="F2455" i="67"/>
  <c r="I2455" i="67"/>
  <c r="G2456" i="67"/>
  <c r="H2465" i="67"/>
  <c r="G3298" i="67"/>
  <c r="G3297" i="67"/>
  <c r="G3296" i="67"/>
  <c r="G3295" i="67"/>
  <c r="H3286" i="67"/>
  <c r="H3285" i="67"/>
  <c r="H3283" i="67"/>
  <c r="H3284" i="67"/>
  <c r="E2464" i="67"/>
  <c r="E2455" i="67"/>
  <c r="H3297" i="67"/>
  <c r="H3298" i="67"/>
  <c r="H3296" i="67"/>
  <c r="H3295" i="67"/>
  <c r="E3296" i="67"/>
  <c r="E3297" i="67"/>
  <c r="E3298" i="67"/>
  <c r="E3295" i="67"/>
  <c r="E3290" i="67"/>
  <c r="E3289" i="67"/>
  <c r="E3291" i="67"/>
  <c r="E3292" i="67"/>
  <c r="E3285" i="67"/>
  <c r="E3284" i="67"/>
  <c r="E3283" i="67"/>
  <c r="E3286" i="67"/>
  <c r="I3285" i="67"/>
  <c r="I3284" i="67"/>
  <c r="I3283" i="67"/>
  <c r="I3286" i="67"/>
  <c r="G3303" i="67"/>
  <c r="G3304" i="67"/>
  <c r="G3301" i="67"/>
  <c r="G3302" i="67"/>
  <c r="I3296" i="67"/>
  <c r="I3297" i="67"/>
  <c r="I3298" i="67"/>
  <c r="I3295" i="67"/>
  <c r="F3304" i="67"/>
  <c r="F3301" i="67"/>
  <c r="F3303" i="67"/>
  <c r="F3302" i="67"/>
  <c r="G3283" i="67"/>
  <c r="G3285" i="67"/>
  <c r="G3286" i="67"/>
  <c r="G3284" i="67"/>
  <c r="F3295" i="67"/>
  <c r="F3296" i="67"/>
  <c r="F3297" i="67"/>
  <c r="F3298" i="67"/>
  <c r="F3284" i="67"/>
  <c r="F3286" i="67"/>
  <c r="F3285" i="67"/>
  <c r="F3283" i="67"/>
  <c r="I3290" i="67"/>
  <c r="I3292" i="67"/>
  <c r="I3289" i="67"/>
  <c r="I3291" i="67"/>
  <c r="H3291" i="67"/>
  <c r="H3292" i="67"/>
  <c r="H3290" i="67"/>
  <c r="H3289" i="67"/>
  <c r="E72" i="67"/>
  <c r="E73" i="67" s="1"/>
  <c r="X35" i="49"/>
  <c r="Y35" i="52"/>
  <c r="Y35" i="51"/>
  <c r="Y35" i="50"/>
  <c r="X35" i="48"/>
  <c r="A204" i="77" s="1"/>
  <c r="E307" i="31"/>
  <c r="K117" i="45"/>
  <c r="G117" i="45"/>
  <c r="E238" i="45" s="1"/>
  <c r="F238" i="45" s="1"/>
  <c r="F1926" i="67"/>
  <c r="F308" i="31" s="1"/>
  <c r="I1926" i="67"/>
  <c r="I308" i="31" s="1"/>
  <c r="H1904" i="67"/>
  <c r="H1907" i="67" s="1"/>
  <c r="G1904" i="67"/>
  <c r="G1907" i="67" s="1"/>
  <c r="X35" i="34"/>
  <c r="J61" i="45"/>
  <c r="F137" i="67"/>
  <c r="F158" i="67" s="1"/>
  <c r="F1415" i="67"/>
  <c r="F1398" i="67"/>
  <c r="F1451" i="67"/>
  <c r="F1502" i="67" s="1"/>
  <c r="I1415" i="67"/>
  <c r="E1415" i="67"/>
  <c r="I928" i="67"/>
  <c r="I1399" i="67" s="1"/>
  <c r="I1403" i="67" s="1"/>
  <c r="I948" i="67"/>
  <c r="F1416" i="67"/>
  <c r="F1420" i="67" s="1"/>
  <c r="I1432" i="67"/>
  <c r="E1432" i="67"/>
  <c r="E1398" i="67"/>
  <c r="E1451" i="67"/>
  <c r="E1502" i="67" s="1"/>
  <c r="F1432" i="67"/>
  <c r="H927" i="67"/>
  <c r="H916" i="67"/>
  <c r="H917" i="67" s="1"/>
  <c r="F290" i="67"/>
  <c r="F236" i="67"/>
  <c r="I236" i="67"/>
  <c r="I290" i="67"/>
  <c r="E1475" i="67"/>
  <c r="F927" i="67"/>
  <c r="F182" i="67"/>
  <c r="I182" i="67"/>
  <c r="F1475" i="67"/>
  <c r="G927" i="67"/>
  <c r="G916" i="67"/>
  <c r="G917" i="67" s="1"/>
  <c r="I1475" i="67"/>
  <c r="I916" i="67"/>
  <c r="I917" i="67" s="1"/>
  <c r="E927" i="67"/>
  <c r="I83" i="67"/>
  <c r="I72" i="67"/>
  <c r="E213" i="67"/>
  <c r="E193" i="67"/>
  <c r="E568" i="67" s="1"/>
  <c r="F213" i="67"/>
  <c r="F193" i="67"/>
  <c r="I213" i="67"/>
  <c r="I193" i="67"/>
  <c r="F126" i="67"/>
  <c r="G134" i="67"/>
  <c r="G124" i="67"/>
  <c r="G161" i="67"/>
  <c r="G150" i="67"/>
  <c r="E181" i="67"/>
  <c r="G235" i="67"/>
  <c r="G123" i="67"/>
  <c r="G192" i="67"/>
  <c r="G181" i="67"/>
  <c r="G133" i="67"/>
  <c r="G149" i="67"/>
  <c r="G160" i="67"/>
  <c r="H235" i="67"/>
  <c r="H289" i="67"/>
  <c r="H192" i="67"/>
  <c r="H181" i="67"/>
  <c r="H133" i="67"/>
  <c r="H137" i="67" s="1"/>
  <c r="H123" i="67"/>
  <c r="H126" i="67" s="1"/>
  <c r="H160" i="67"/>
  <c r="H149" i="67"/>
  <c r="H79" i="67"/>
  <c r="H83" i="67" s="1"/>
  <c r="H69" i="67"/>
  <c r="H72" i="67" s="1"/>
  <c r="H106" i="67"/>
  <c r="H95" i="67"/>
  <c r="G80" i="67"/>
  <c r="G70" i="67"/>
  <c r="G107" i="67"/>
  <c r="G96" i="67"/>
  <c r="I126" i="67"/>
  <c r="E126" i="67"/>
  <c r="G69" i="67"/>
  <c r="G79" i="67"/>
  <c r="G95" i="67"/>
  <c r="G106" i="67"/>
  <c r="I137" i="67"/>
  <c r="E137" i="67"/>
  <c r="G25" i="67"/>
  <c r="G41" i="67"/>
  <c r="G52" i="67"/>
  <c r="F83" i="67"/>
  <c r="H25" i="67"/>
  <c r="H29" i="67" s="1"/>
  <c r="H41" i="67"/>
  <c r="H52" i="67"/>
  <c r="G26" i="67"/>
  <c r="G53" i="67"/>
  <c r="G42" i="67"/>
  <c r="F72" i="67"/>
  <c r="E83" i="67"/>
  <c r="H15" i="67"/>
  <c r="H18" i="67" s="1"/>
  <c r="G16" i="67"/>
  <c r="G15" i="67"/>
  <c r="E29" i="67"/>
  <c r="I29" i="67"/>
  <c r="F29" i="67"/>
  <c r="E18" i="67"/>
  <c r="E19" i="67" s="1"/>
  <c r="I18" i="67"/>
  <c r="F18" i="67"/>
  <c r="E196" i="45"/>
  <c r="F196" i="45" s="1"/>
  <c r="E20" i="45" s="1"/>
  <c r="H1547" i="67" l="1"/>
  <c r="G1686" i="67"/>
  <c r="F1537" i="67"/>
  <c r="E1696" i="67"/>
  <c r="E29" i="45"/>
  <c r="T3" i="61" s="1"/>
  <c r="G60" i="45"/>
  <c r="E181" i="45" s="1"/>
  <c r="F181" i="45" s="1"/>
  <c r="H1686" i="67"/>
  <c r="I1686" i="67"/>
  <c r="G1696" i="67"/>
  <c r="H1691" i="67"/>
  <c r="H1693" i="67" s="1"/>
  <c r="H1695" i="67" s="1"/>
  <c r="H1698" i="67" s="1"/>
  <c r="I1547" i="67"/>
  <c r="I1681" i="67"/>
  <c r="I1683" i="67" s="1"/>
  <c r="I1685" i="67" s="1"/>
  <c r="E1681" i="67"/>
  <c r="E1683" i="67" s="1"/>
  <c r="E1685" i="67" s="1"/>
  <c r="G1681" i="67"/>
  <c r="G1683" i="67" s="1"/>
  <c r="G1685" i="67" s="1"/>
  <c r="G1688" i="67" s="1"/>
  <c r="G130" i="31" s="1"/>
  <c r="I1691" i="67"/>
  <c r="I1693" i="67" s="1"/>
  <c r="E1691" i="67"/>
  <c r="E1693" i="67" s="1"/>
  <c r="H1681" i="67"/>
  <c r="H1683" i="67" s="1"/>
  <c r="H1685" i="67" s="1"/>
  <c r="G1691" i="67"/>
  <c r="G1693" i="67" s="1"/>
  <c r="F1681" i="67"/>
  <c r="F1683" i="67" s="1"/>
  <c r="F1685" i="67" s="1"/>
  <c r="F1688" i="67" s="1"/>
  <c r="F130" i="31" s="1"/>
  <c r="I1537" i="67"/>
  <c r="F1696" i="67"/>
  <c r="I1542" i="67"/>
  <c r="I1544" i="67" s="1"/>
  <c r="E1537" i="67"/>
  <c r="G1542" i="67"/>
  <c r="G1544" i="67" s="1"/>
  <c r="F1691" i="67"/>
  <c r="F1693" i="67" s="1"/>
  <c r="F1547" i="67"/>
  <c r="G1547" i="67"/>
  <c r="R23" i="70"/>
  <c r="A370" i="77" s="1"/>
  <c r="E1686" i="67"/>
  <c r="F1532" i="67"/>
  <c r="F1534" i="67" s="1"/>
  <c r="E1542" i="67"/>
  <c r="E1544" i="67" s="1"/>
  <c r="F1542" i="67"/>
  <c r="F1544" i="67" s="1"/>
  <c r="I1532" i="67"/>
  <c r="I1534" i="67" s="1"/>
  <c r="E1532" i="67"/>
  <c r="E1534" i="67" s="1"/>
  <c r="H1532" i="67"/>
  <c r="H1534" i="67" s="1"/>
  <c r="G1532" i="67"/>
  <c r="G1534" i="67" s="1"/>
  <c r="H1537" i="67"/>
  <c r="H1542" i="67"/>
  <c r="H1544" i="67" s="1"/>
  <c r="R23" i="66"/>
  <c r="F138" i="67"/>
  <c r="F534" i="67" s="1"/>
  <c r="F538" i="67" s="1"/>
  <c r="Y35" i="55"/>
  <c r="Y35" i="62"/>
  <c r="Y35" i="61"/>
  <c r="A232" i="77" s="1"/>
  <c r="Y35" i="56"/>
  <c r="A236" i="77" s="1"/>
  <c r="Y35" i="63"/>
  <c r="Y35" i="57"/>
  <c r="G1926" i="67"/>
  <c r="G308" i="31" s="1"/>
  <c r="H1926" i="67"/>
  <c r="H308" i="31" s="1"/>
  <c r="E308" i="31"/>
  <c r="K61" i="45"/>
  <c r="G61" i="45"/>
  <c r="E182" i="45" s="1"/>
  <c r="F182" i="45" s="1"/>
  <c r="E14" i="61"/>
  <c r="V14" i="57"/>
  <c r="E928" i="67"/>
  <c r="E948" i="67"/>
  <c r="E954" i="67" s="1"/>
  <c r="E955" i="67" s="1"/>
  <c r="E1407" i="67" s="1"/>
  <c r="E1411" i="67" s="1"/>
  <c r="I62" i="31"/>
  <c r="I1480" i="67"/>
  <c r="I25" i="31" s="1"/>
  <c r="G1415" i="67"/>
  <c r="F928" i="67"/>
  <c r="F948" i="67"/>
  <c r="F954" i="67" s="1"/>
  <c r="F955" i="67" s="1"/>
  <c r="F1407" i="67" s="1"/>
  <c r="F1411" i="67" s="1"/>
  <c r="H1415" i="67"/>
  <c r="H1424" i="67"/>
  <c r="H1428" i="67" s="1"/>
  <c r="H1416" i="67"/>
  <c r="H1420" i="67" s="1"/>
  <c r="G1398" i="67"/>
  <c r="F1480" i="67"/>
  <c r="F25" i="31" s="1"/>
  <c r="F62" i="31"/>
  <c r="E1480" i="67"/>
  <c r="E62" i="31"/>
  <c r="O13" i="70"/>
  <c r="P13" i="70" s="1"/>
  <c r="H1432" i="67"/>
  <c r="F1417" i="67"/>
  <c r="H948" i="67"/>
  <c r="H954" i="67" s="1"/>
  <c r="H955" i="67" s="1"/>
  <c r="H928" i="67"/>
  <c r="H1399" i="67" s="1"/>
  <c r="H1403" i="67" s="1"/>
  <c r="I1424" i="67"/>
  <c r="I1428" i="67" s="1"/>
  <c r="I931" i="67"/>
  <c r="I2340" i="67" s="1"/>
  <c r="I1398" i="67"/>
  <c r="I1400" i="67" s="1"/>
  <c r="I1404" i="67" s="1"/>
  <c r="I1451" i="67"/>
  <c r="I1502" i="67" s="1"/>
  <c r="G948" i="67"/>
  <c r="G928" i="67"/>
  <c r="G1399" i="67" s="1"/>
  <c r="G1403" i="67" s="1"/>
  <c r="H1398" i="67"/>
  <c r="H1451" i="67"/>
  <c r="H1502" i="67" s="1"/>
  <c r="G1475" i="67"/>
  <c r="F127" i="67"/>
  <c r="F533" i="67" s="1"/>
  <c r="I73" i="67"/>
  <c r="E1424" i="67"/>
  <c r="E1428" i="67" s="1"/>
  <c r="I127" i="67"/>
  <c r="I533" i="67" s="1"/>
  <c r="H127" i="67"/>
  <c r="H290" i="67"/>
  <c r="G236" i="67"/>
  <c r="I104" i="67"/>
  <c r="I110" i="67" s="1"/>
  <c r="F569" i="67"/>
  <c r="H182" i="67"/>
  <c r="I569" i="67"/>
  <c r="I954" i="67"/>
  <c r="I955" i="67" s="1"/>
  <c r="I1407" i="67" s="1"/>
  <c r="I1411" i="67" s="1"/>
  <c r="E127" i="67"/>
  <c r="H73" i="67"/>
  <c r="H1475" i="67"/>
  <c r="I250" i="67"/>
  <c r="I2176" i="67" s="1"/>
  <c r="F304" i="67"/>
  <c r="F2185" i="67" s="1"/>
  <c r="F73" i="67"/>
  <c r="F1424" i="67"/>
  <c r="F1428" i="67" s="1"/>
  <c r="H236" i="67"/>
  <c r="G182" i="67"/>
  <c r="E182" i="67"/>
  <c r="E196" i="67" s="1"/>
  <c r="E2167" i="67" s="1"/>
  <c r="I84" i="67"/>
  <c r="I517" i="67" s="1"/>
  <c r="I521" i="67" s="1"/>
  <c r="G1451" i="67"/>
  <c r="G1502" i="67" s="1"/>
  <c r="I304" i="67"/>
  <c r="I2185" i="67" s="1"/>
  <c r="F250" i="67"/>
  <c r="F2176" i="67" s="1"/>
  <c r="E573" i="67"/>
  <c r="F196" i="67"/>
  <c r="F568" i="67"/>
  <c r="I196" i="67"/>
  <c r="I568" i="67"/>
  <c r="G126" i="67"/>
  <c r="G137" i="67"/>
  <c r="G138" i="67" s="1"/>
  <c r="H84" i="67"/>
  <c r="H104" i="67"/>
  <c r="H110" i="67" s="1"/>
  <c r="F104" i="67"/>
  <c r="F110" i="67" s="1"/>
  <c r="F84" i="67"/>
  <c r="E138" i="67"/>
  <c r="E158" i="67"/>
  <c r="E164" i="67" s="1"/>
  <c r="G193" i="67"/>
  <c r="G213" i="67"/>
  <c r="H158" i="67"/>
  <c r="H164" i="67" s="1"/>
  <c r="H138" i="67"/>
  <c r="E84" i="67"/>
  <c r="E104" i="67"/>
  <c r="E110" i="67" s="1"/>
  <c r="I138" i="67"/>
  <c r="I158" i="67"/>
  <c r="I164" i="67" s="1"/>
  <c r="H213" i="67"/>
  <c r="H219" i="67" s="1"/>
  <c r="H193" i="67"/>
  <c r="G72" i="67"/>
  <c r="E219" i="67"/>
  <c r="G289" i="67"/>
  <c r="F219" i="67"/>
  <c r="I219" i="67"/>
  <c r="F164" i="67"/>
  <c r="F30" i="67"/>
  <c r="I30" i="67"/>
  <c r="H30" i="67"/>
  <c r="H19" i="67"/>
  <c r="G83" i="67"/>
  <c r="F19" i="67"/>
  <c r="I19" i="67"/>
  <c r="Y4" i="75"/>
  <c r="T4" i="50"/>
  <c r="E50" i="67"/>
  <c r="E56" i="67" s="1"/>
  <c r="E30" i="67"/>
  <c r="I50" i="67"/>
  <c r="I56" i="67" s="1"/>
  <c r="G29" i="67"/>
  <c r="F50" i="67"/>
  <c r="F56" i="67" s="1"/>
  <c r="G18" i="67"/>
  <c r="H50" i="67"/>
  <c r="H56" i="67" s="1"/>
  <c r="T4" i="51"/>
  <c r="Y4" i="69"/>
  <c r="T4" i="52"/>
  <c r="Y4" i="66"/>
  <c r="Y4" i="70"/>
  <c r="I1688" i="67" l="1"/>
  <c r="I130" i="31" s="1"/>
  <c r="S23" i="70"/>
  <c r="T3" i="55"/>
  <c r="T3" i="62"/>
  <c r="T3" i="56"/>
  <c r="T3" i="57"/>
  <c r="T3" i="63"/>
  <c r="E17" i="45"/>
  <c r="Y3" i="66" s="1"/>
  <c r="H1688" i="67"/>
  <c r="H130" i="31" s="1"/>
  <c r="H1764" i="67"/>
  <c r="H1798" i="67" s="1"/>
  <c r="E1688" i="67"/>
  <c r="E130" i="31" s="1"/>
  <c r="H1769" i="67"/>
  <c r="H136" i="31"/>
  <c r="E1695" i="67"/>
  <c r="E1698" i="67" s="1"/>
  <c r="E1764" i="67"/>
  <c r="E1798" i="67" s="1"/>
  <c r="F1695" i="67"/>
  <c r="F1698" i="67" s="1"/>
  <c r="F136" i="31" s="1"/>
  <c r="F1764" i="67"/>
  <c r="F1798" i="67" s="1"/>
  <c r="I1695" i="67"/>
  <c r="I1698" i="67" s="1"/>
  <c r="I1764" i="67"/>
  <c r="I1798" i="67" s="1"/>
  <c r="G1695" i="67"/>
  <c r="G1698" i="67" s="1"/>
  <c r="G1764" i="67"/>
  <c r="G1798" i="67" s="1"/>
  <c r="H1546" i="67"/>
  <c r="H1549" i="67" s="1"/>
  <c r="H1616" i="67"/>
  <c r="H1649" i="67" s="1"/>
  <c r="E1536" i="67"/>
  <c r="E1539" i="67" s="1"/>
  <c r="E1615" i="67"/>
  <c r="I1536" i="67"/>
  <c r="I1539" i="67" s="1"/>
  <c r="I1615" i="67"/>
  <c r="F1536" i="67"/>
  <c r="F1539" i="67" s="1"/>
  <c r="F1615" i="67"/>
  <c r="G1546" i="67"/>
  <c r="G1549" i="67" s="1"/>
  <c r="G1616" i="67"/>
  <c r="G1649" i="67" s="1"/>
  <c r="H1536" i="67"/>
  <c r="H1539" i="67" s="1"/>
  <c r="H1620" i="67" s="1"/>
  <c r="H1615" i="67"/>
  <c r="E1546" i="67"/>
  <c r="E1549" i="67" s="1"/>
  <c r="E1616" i="67"/>
  <c r="E1649" i="67" s="1"/>
  <c r="I1546" i="67"/>
  <c r="I1549" i="67" s="1"/>
  <c r="I1616" i="67"/>
  <c r="I1649" i="67" s="1"/>
  <c r="G1536" i="67"/>
  <c r="G1539" i="67" s="1"/>
  <c r="G1615" i="67"/>
  <c r="F1546" i="67"/>
  <c r="F1549" i="67" s="1"/>
  <c r="F1616" i="67"/>
  <c r="F1649" i="67" s="1"/>
  <c r="A330" i="77"/>
  <c r="S23" i="66"/>
  <c r="I224" i="67"/>
  <c r="I2167" i="67"/>
  <c r="F2182" i="67"/>
  <c r="F2181" i="67"/>
  <c r="E2173" i="67"/>
  <c r="E2172" i="67"/>
  <c r="I2190" i="67"/>
  <c r="I2191" i="67"/>
  <c r="F2191" i="67"/>
  <c r="F2190" i="67"/>
  <c r="I2345" i="67"/>
  <c r="I2366" i="67" s="1"/>
  <c r="I2346" i="67"/>
  <c r="I2367" i="67" s="1"/>
  <c r="I2435" i="67" s="1"/>
  <c r="F197" i="67"/>
  <c r="F3197" i="67" s="1"/>
  <c r="F2167" i="67"/>
  <c r="I2182" i="67"/>
  <c r="I2181" i="67"/>
  <c r="Y35" i="49"/>
  <c r="Y35" i="48"/>
  <c r="A206" i="77" s="1"/>
  <c r="A202" i="77"/>
  <c r="Y35" i="34"/>
  <c r="G14" i="61"/>
  <c r="A212" i="77" s="1"/>
  <c r="A209" i="77"/>
  <c r="I141" i="67"/>
  <c r="I142" i="67" s="1"/>
  <c r="I3185" i="67" s="1"/>
  <c r="H516" i="67"/>
  <c r="H533" i="67"/>
  <c r="H1400" i="67"/>
  <c r="H1404" i="67" s="1"/>
  <c r="H87" i="67"/>
  <c r="H88" i="67" s="1"/>
  <c r="H3173" i="67" s="1"/>
  <c r="H931" i="67"/>
  <c r="F87" i="67"/>
  <c r="F115" i="67" s="1"/>
  <c r="F517" i="67"/>
  <c r="F521" i="67" s="1"/>
  <c r="H141" i="67"/>
  <c r="H169" i="67" s="1"/>
  <c r="H1417" i="67"/>
  <c r="H1480" i="67"/>
  <c r="H25" i="31" s="1"/>
  <c r="H62" i="31"/>
  <c r="I1416" i="67"/>
  <c r="E1416" i="67"/>
  <c r="G931" i="67"/>
  <c r="G2340" i="67" s="1"/>
  <c r="G1424" i="67"/>
  <c r="G1428" i="67" s="1"/>
  <c r="I932" i="67"/>
  <c r="I959" i="67"/>
  <c r="E1399" i="67"/>
  <c r="E931" i="67"/>
  <c r="E2340" i="67" s="1"/>
  <c r="G1432" i="67"/>
  <c r="H1407" i="67"/>
  <c r="H1411" i="67" s="1"/>
  <c r="G62" i="31"/>
  <c r="G1480" i="67"/>
  <c r="G25" i="31" s="1"/>
  <c r="Z11" i="56"/>
  <c r="L13" i="70"/>
  <c r="M13" i="70" s="1"/>
  <c r="E25" i="31"/>
  <c r="G1400" i="67"/>
  <c r="G1404" i="67" s="1"/>
  <c r="F1399" i="67"/>
  <c r="F931" i="67"/>
  <c r="F2340" i="67" s="1"/>
  <c r="I552" i="67"/>
  <c r="I602" i="67" s="1"/>
  <c r="F165" i="67"/>
  <c r="F542" i="67" s="1"/>
  <c r="F546" i="67" s="1"/>
  <c r="E111" i="67"/>
  <c r="E525" i="67" s="1"/>
  <c r="E529" i="67" s="1"/>
  <c r="I111" i="67"/>
  <c r="I525" i="67" s="1"/>
  <c r="I529" i="67" s="1"/>
  <c r="E220" i="67"/>
  <c r="E576" i="67" s="1"/>
  <c r="E581" i="67" s="1"/>
  <c r="E87" i="67"/>
  <c r="E115" i="67" s="1"/>
  <c r="H569" i="67"/>
  <c r="I305" i="67"/>
  <c r="I3221" i="67" s="1"/>
  <c r="I332" i="67"/>
  <c r="I87" i="67"/>
  <c r="I2144" i="67" s="1"/>
  <c r="I2149" i="67" s="1"/>
  <c r="I551" i="67"/>
  <c r="I556" i="67" s="1"/>
  <c r="F220" i="67"/>
  <c r="F576" i="67" s="1"/>
  <c r="F581" i="67" s="1"/>
  <c r="G73" i="67"/>
  <c r="G516" i="67" s="1"/>
  <c r="I165" i="67"/>
  <c r="I542" i="67" s="1"/>
  <c r="I546" i="67" s="1"/>
  <c r="E165" i="67"/>
  <c r="E542" i="67" s="1"/>
  <c r="E546" i="67" s="1"/>
  <c r="G127" i="67"/>
  <c r="E569" i="67"/>
  <c r="E570" i="67" s="1"/>
  <c r="E574" i="67" s="1"/>
  <c r="H250" i="67"/>
  <c r="H2176" i="67" s="1"/>
  <c r="I278" i="67"/>
  <c r="I251" i="67"/>
  <c r="I3209" i="67" s="1"/>
  <c r="H220" i="67"/>
  <c r="H576" i="67" s="1"/>
  <c r="H581" i="67" s="1"/>
  <c r="H165" i="67"/>
  <c r="H542" i="67" s="1"/>
  <c r="H546" i="67" s="1"/>
  <c r="F305" i="67"/>
  <c r="F3221" i="67" s="1"/>
  <c r="F332" i="67"/>
  <c r="E533" i="67"/>
  <c r="F552" i="67"/>
  <c r="I220" i="67"/>
  <c r="I576" i="67" s="1"/>
  <c r="I581" i="67" s="1"/>
  <c r="I197" i="67"/>
  <c r="I3197" i="67" s="1"/>
  <c r="F111" i="67"/>
  <c r="F525" i="67" s="1"/>
  <c r="F529" i="67" s="1"/>
  <c r="G158" i="67"/>
  <c r="G164" i="67" s="1"/>
  <c r="H304" i="67"/>
  <c r="H2185" i="67" s="1"/>
  <c r="I516" i="67"/>
  <c r="I518" i="67" s="1"/>
  <c r="I522" i="67" s="1"/>
  <c r="G954" i="67"/>
  <c r="G955" i="67" s="1"/>
  <c r="G1407" i="67" s="1"/>
  <c r="G1411" i="67" s="1"/>
  <c r="E516" i="67"/>
  <c r="E551" i="67"/>
  <c r="E552" i="67"/>
  <c r="H552" i="67"/>
  <c r="F551" i="67"/>
  <c r="F556" i="67" s="1"/>
  <c r="G290" i="67"/>
  <c r="G569" i="67" s="1"/>
  <c r="E141" i="67"/>
  <c r="E169" i="67" s="1"/>
  <c r="H111" i="67"/>
  <c r="H525" i="67" s="1"/>
  <c r="H529" i="67" s="1"/>
  <c r="F224" i="67"/>
  <c r="F278" i="67"/>
  <c r="F251" i="67"/>
  <c r="F3209" i="67" s="1"/>
  <c r="G250" i="67"/>
  <c r="G2176" i="67" s="1"/>
  <c r="F141" i="67"/>
  <c r="I573" i="67"/>
  <c r="I570" i="67"/>
  <c r="I574" i="67" s="1"/>
  <c r="H196" i="67"/>
  <c r="H568" i="67"/>
  <c r="H551" i="67"/>
  <c r="G196" i="67"/>
  <c r="G568" i="67"/>
  <c r="F570" i="67"/>
  <c r="F574" i="67" s="1"/>
  <c r="F573" i="67"/>
  <c r="E224" i="67"/>
  <c r="E197" i="67"/>
  <c r="E3197" i="67" s="1"/>
  <c r="V12" i="48"/>
  <c r="G104" i="67"/>
  <c r="G110" i="67" s="1"/>
  <c r="G84" i="67"/>
  <c r="G219" i="67"/>
  <c r="G19" i="67"/>
  <c r="F57" i="67"/>
  <c r="E57" i="67"/>
  <c r="G30" i="67"/>
  <c r="H57" i="67"/>
  <c r="I57" i="67"/>
  <c r="E517" i="67"/>
  <c r="E521" i="67" s="1"/>
  <c r="F535" i="67"/>
  <c r="F539" i="67" s="1"/>
  <c r="E500" i="67"/>
  <c r="E504" i="67" s="1"/>
  <c r="H534" i="67"/>
  <c r="H538" i="67" s="1"/>
  <c r="H517" i="67"/>
  <c r="H521" i="67" s="1"/>
  <c r="E534" i="67"/>
  <c r="E538" i="67" s="1"/>
  <c r="E14" i="51"/>
  <c r="G14" i="51" s="1"/>
  <c r="A151" i="77" s="1"/>
  <c r="E16" i="51"/>
  <c r="G16" i="51" s="1"/>
  <c r="A150" i="77" s="1"/>
  <c r="F500" i="67"/>
  <c r="F504" i="67" s="1"/>
  <c r="I499" i="67"/>
  <c r="F516" i="67"/>
  <c r="I534" i="67"/>
  <c r="I538" i="67" s="1"/>
  <c r="F33" i="67"/>
  <c r="E33" i="67"/>
  <c r="H33" i="67"/>
  <c r="H499" i="67"/>
  <c r="G50" i="67"/>
  <c r="G56" i="67" s="1"/>
  <c r="F499" i="67"/>
  <c r="E499" i="67"/>
  <c r="I33" i="67"/>
  <c r="I500" i="67"/>
  <c r="I504" i="67" s="1"/>
  <c r="H500" i="67"/>
  <c r="T3" i="48" l="1"/>
  <c r="T3" i="52"/>
  <c r="F202" i="67"/>
  <c r="Y3" i="70"/>
  <c r="T3" i="50"/>
  <c r="T3" i="51"/>
  <c r="T3" i="34"/>
  <c r="T3" i="49"/>
  <c r="Y3" i="69"/>
  <c r="Y3" i="75"/>
  <c r="F1769" i="67"/>
  <c r="I136" i="31"/>
  <c r="I1769" i="67"/>
  <c r="V33" i="66"/>
  <c r="AD33" i="70"/>
  <c r="E1769" i="67"/>
  <c r="E136" i="31"/>
  <c r="G136" i="31"/>
  <c r="G1769" i="67"/>
  <c r="E1620" i="67"/>
  <c r="E111" i="31"/>
  <c r="G1621" i="67"/>
  <c r="G117" i="31"/>
  <c r="G1620" i="67"/>
  <c r="G111" i="31"/>
  <c r="E1621" i="67"/>
  <c r="E117" i="31"/>
  <c r="H111" i="31"/>
  <c r="I1621" i="67"/>
  <c r="I117" i="31"/>
  <c r="F1621" i="67"/>
  <c r="F117" i="31"/>
  <c r="F1620" i="67"/>
  <c r="F111" i="31"/>
  <c r="AC33" i="70"/>
  <c r="P33" i="66"/>
  <c r="I1620" i="67"/>
  <c r="I111" i="31"/>
  <c r="H1621" i="67"/>
  <c r="H117" i="31"/>
  <c r="I3203" i="67"/>
  <c r="I3204" i="67" s="1"/>
  <c r="F3215" i="67"/>
  <c r="F3219" i="67" s="1"/>
  <c r="I3186" i="67"/>
  <c r="I3188" i="67"/>
  <c r="I3187" i="67"/>
  <c r="I3189" i="67"/>
  <c r="E3198" i="67"/>
  <c r="E3199" i="67"/>
  <c r="E3200" i="67"/>
  <c r="E3201" i="67"/>
  <c r="E3203" i="67"/>
  <c r="F3211" i="67"/>
  <c r="F3212" i="67"/>
  <c r="F3210" i="67"/>
  <c r="F3213" i="67"/>
  <c r="E242" i="31"/>
  <c r="I3198" i="67"/>
  <c r="I3200" i="67"/>
  <c r="I3199" i="67"/>
  <c r="I3201" i="67"/>
  <c r="F243" i="31"/>
  <c r="F3227" i="67"/>
  <c r="I3212" i="67"/>
  <c r="I3210" i="67"/>
  <c r="I3211" i="67"/>
  <c r="I3213" i="67"/>
  <c r="I3222" i="67"/>
  <c r="I3224" i="67"/>
  <c r="I3223" i="67"/>
  <c r="I3225" i="67"/>
  <c r="F87" i="31"/>
  <c r="F3203" i="67"/>
  <c r="I937" i="67"/>
  <c r="I3270" i="67"/>
  <c r="H3175" i="67"/>
  <c r="H3176" i="67"/>
  <c r="H3174" i="67"/>
  <c r="H3177" i="67"/>
  <c r="F3201" i="67"/>
  <c r="F3199" i="67"/>
  <c r="F3200" i="67"/>
  <c r="F3198" i="67"/>
  <c r="I243" i="31"/>
  <c r="I3227" i="67"/>
  <c r="F3225" i="67"/>
  <c r="F3222" i="67"/>
  <c r="F3224" i="67"/>
  <c r="F3223" i="67"/>
  <c r="I93" i="31"/>
  <c r="I3215" i="67"/>
  <c r="I3276" i="67"/>
  <c r="G197" i="67"/>
  <c r="G3197" i="67" s="1"/>
  <c r="G2167" i="67"/>
  <c r="G2345" i="67"/>
  <c r="G2366" i="67" s="1"/>
  <c r="G2346" i="67"/>
  <c r="G2367" i="67" s="1"/>
  <c r="G2435" i="67" s="1"/>
  <c r="I2368" i="67"/>
  <c r="I2434" i="67"/>
  <c r="I2436" i="67" s="1"/>
  <c r="H2190" i="67"/>
  <c r="H2191" i="67"/>
  <c r="F2345" i="67"/>
  <c r="F2366" i="67" s="1"/>
  <c r="F2346" i="67"/>
  <c r="F2367" i="67" s="1"/>
  <c r="F2435" i="67" s="1"/>
  <c r="H959" i="67"/>
  <c r="H2340" i="67"/>
  <c r="F2173" i="67"/>
  <c r="F2172" i="67"/>
  <c r="I2173" i="67"/>
  <c r="I2172" i="67"/>
  <c r="H224" i="67"/>
  <c r="H2167" i="67"/>
  <c r="G2182" i="67"/>
  <c r="G2181" i="67"/>
  <c r="E2345" i="67"/>
  <c r="E2366" i="67" s="1"/>
  <c r="E2346" i="67"/>
  <c r="E2367" i="67" s="1"/>
  <c r="E2435" i="67" s="1"/>
  <c r="H2181" i="67"/>
  <c r="H2182" i="67"/>
  <c r="E14" i="50"/>
  <c r="G14" i="50" s="1"/>
  <c r="A139" i="77" s="1"/>
  <c r="I99" i="31"/>
  <c r="G87" i="67"/>
  <c r="G88" i="67" s="1"/>
  <c r="G3173" i="67" s="1"/>
  <c r="I237" i="31"/>
  <c r="H602" i="67"/>
  <c r="E142" i="67"/>
  <c r="E3191" i="67" s="1"/>
  <c r="I169" i="67"/>
  <c r="I3191" i="67" s="1"/>
  <c r="E2153" i="67"/>
  <c r="E2159" i="67" s="1"/>
  <c r="H115" i="67"/>
  <c r="V14" i="34"/>
  <c r="H142" i="67"/>
  <c r="H932" i="67"/>
  <c r="F518" i="67"/>
  <c r="F522" i="67" s="1"/>
  <c r="F553" i="67"/>
  <c r="F557" i="67" s="1"/>
  <c r="G224" i="67"/>
  <c r="F88" i="67"/>
  <c r="F3179" i="67" s="1"/>
  <c r="F602" i="67"/>
  <c r="G533" i="67"/>
  <c r="H197" i="67"/>
  <c r="H3197" i="67" s="1"/>
  <c r="I553" i="67"/>
  <c r="I557" i="67" s="1"/>
  <c r="E88" i="67"/>
  <c r="F231" i="31"/>
  <c r="E553" i="67"/>
  <c r="E557" i="67" s="1"/>
  <c r="F1403" i="67"/>
  <c r="F1400" i="67"/>
  <c r="F1404" i="67" s="1"/>
  <c r="I1420" i="67"/>
  <c r="I1417" i="67"/>
  <c r="E1420" i="67"/>
  <c r="E1417" i="67"/>
  <c r="L34" i="66" s="1"/>
  <c r="E1403" i="67"/>
  <c r="E1400" i="67"/>
  <c r="V16" i="57"/>
  <c r="E16" i="61"/>
  <c r="G932" i="67"/>
  <c r="G959" i="67"/>
  <c r="F932" i="67"/>
  <c r="F959" i="67"/>
  <c r="E959" i="67"/>
  <c r="E932" i="67"/>
  <c r="G1416" i="67"/>
  <c r="G202" i="67"/>
  <c r="G552" i="67"/>
  <c r="G602" i="67" s="1"/>
  <c r="E202" i="67"/>
  <c r="F169" i="67"/>
  <c r="F142" i="67"/>
  <c r="F3185" i="67" s="1"/>
  <c r="G165" i="67"/>
  <c r="G542" i="67" s="1"/>
  <c r="G546" i="67" s="1"/>
  <c r="H202" i="67"/>
  <c r="E556" i="67"/>
  <c r="F256" i="67"/>
  <c r="F262" i="67" s="1"/>
  <c r="I202" i="67"/>
  <c r="F99" i="31"/>
  <c r="I559" i="67"/>
  <c r="I564" i="67" s="1"/>
  <c r="G220" i="67"/>
  <c r="G576" i="67" s="1"/>
  <c r="G581" i="67" s="1"/>
  <c r="H93" i="67"/>
  <c r="I147" i="67"/>
  <c r="G304" i="67"/>
  <c r="G2185" i="67" s="1"/>
  <c r="F310" i="67"/>
  <c r="F316" i="67" s="1"/>
  <c r="H278" i="67"/>
  <c r="H251" i="67"/>
  <c r="H3209" i="67" s="1"/>
  <c r="G141" i="67"/>
  <c r="G111" i="67"/>
  <c r="G525" i="67" s="1"/>
  <c r="G529" i="67" s="1"/>
  <c r="G251" i="67"/>
  <c r="G3209" i="67" s="1"/>
  <c r="G278" i="67"/>
  <c r="I256" i="67"/>
  <c r="I262" i="67" s="1"/>
  <c r="I115" i="67"/>
  <c r="I88" i="67"/>
  <c r="I3173" i="67" s="1"/>
  <c r="H559" i="67"/>
  <c r="H564" i="67" s="1"/>
  <c r="V16" i="34"/>
  <c r="H305" i="67"/>
  <c r="H3221" i="67" s="1"/>
  <c r="H332" i="67"/>
  <c r="I310" i="67"/>
  <c r="I316" i="67" s="1"/>
  <c r="G570" i="67"/>
  <c r="G574" i="67" s="1"/>
  <c r="G573" i="67"/>
  <c r="F508" i="67"/>
  <c r="F512" i="67" s="1"/>
  <c r="F559" i="67"/>
  <c r="F611" i="67" s="1"/>
  <c r="F615" i="67" s="1"/>
  <c r="F167" i="31" s="1"/>
  <c r="G551" i="67"/>
  <c r="G603" i="67" s="1"/>
  <c r="G607" i="67" s="1"/>
  <c r="H570" i="67"/>
  <c r="H574" i="67" s="1"/>
  <c r="H573" i="67"/>
  <c r="E508" i="67"/>
  <c r="E512" i="67" s="1"/>
  <c r="E559" i="67"/>
  <c r="E204" i="31" s="1"/>
  <c r="H556" i="67"/>
  <c r="H553" i="67"/>
  <c r="H557" i="67" s="1"/>
  <c r="G57" i="67"/>
  <c r="H2135" i="67"/>
  <c r="H2140" i="67" s="1"/>
  <c r="F2135" i="67"/>
  <c r="F2141" i="67" s="1"/>
  <c r="G534" i="67"/>
  <c r="G538" i="67" s="1"/>
  <c r="E61" i="67"/>
  <c r="V12" i="34"/>
  <c r="E518" i="67"/>
  <c r="L34" i="75" s="1"/>
  <c r="E501" i="67"/>
  <c r="L32" i="75" s="1"/>
  <c r="H535" i="67"/>
  <c r="H539" i="67" s="1"/>
  <c r="H34" i="67"/>
  <c r="H3161" i="67" s="1"/>
  <c r="I603" i="67"/>
  <c r="I607" i="67" s="1"/>
  <c r="H518" i="67"/>
  <c r="H522" i="67" s="1"/>
  <c r="F603" i="67"/>
  <c r="F607" i="67" s="1"/>
  <c r="I2150" i="67"/>
  <c r="E16" i="50"/>
  <c r="G16" i="50" s="1"/>
  <c r="A138" i="77" s="1"/>
  <c r="E92" i="31"/>
  <c r="E535" i="67"/>
  <c r="L33" i="75" s="1"/>
  <c r="E2144" i="67"/>
  <c r="E2150" i="67" s="1"/>
  <c r="O13" i="75"/>
  <c r="P13" i="75" s="1"/>
  <c r="AH13" i="69"/>
  <c r="I2194" i="67"/>
  <c r="F93" i="31"/>
  <c r="F237" i="31"/>
  <c r="F2153" i="67"/>
  <c r="F2159" i="67" s="1"/>
  <c r="E12" i="51"/>
  <c r="I231" i="31"/>
  <c r="I87" i="31"/>
  <c r="G517" i="67"/>
  <c r="G521" i="67" s="1"/>
  <c r="E237" i="31"/>
  <c r="E93" i="31"/>
  <c r="E2135" i="67"/>
  <c r="E2141" i="67" s="1"/>
  <c r="E99" i="31"/>
  <c r="E243" i="31"/>
  <c r="E294" i="31"/>
  <c r="E16" i="48" s="1"/>
  <c r="G16" i="48" s="1"/>
  <c r="A187" i="77" s="1"/>
  <c r="F206" i="31"/>
  <c r="F169" i="31"/>
  <c r="F501" i="67"/>
  <c r="F505" i="67" s="1"/>
  <c r="I206" i="31"/>
  <c r="I169" i="31"/>
  <c r="H169" i="31"/>
  <c r="H206" i="31"/>
  <c r="O13" i="69"/>
  <c r="E206" i="31"/>
  <c r="E34" i="67"/>
  <c r="E3161" i="67" s="1"/>
  <c r="F2144" i="67"/>
  <c r="F2149" i="67" s="1"/>
  <c r="F61" i="67"/>
  <c r="E603" i="67"/>
  <c r="O12" i="75"/>
  <c r="P12" i="75" s="1"/>
  <c r="AH12" i="69"/>
  <c r="G33" i="67"/>
  <c r="H2144" i="67"/>
  <c r="F34" i="67"/>
  <c r="F3161" i="67" s="1"/>
  <c r="H508" i="67"/>
  <c r="H512" i="67" s="1"/>
  <c r="I535" i="67"/>
  <c r="I539" i="67" s="1"/>
  <c r="H242" i="31"/>
  <c r="H2153" i="67"/>
  <c r="H2159" i="67" s="1"/>
  <c r="I2153" i="67"/>
  <c r="H61" i="67"/>
  <c r="E602" i="67"/>
  <c r="E12" i="50"/>
  <c r="I508" i="67"/>
  <c r="I512" i="67" s="1"/>
  <c r="I2135" i="67"/>
  <c r="I2140" i="67" s="1"/>
  <c r="G499" i="67"/>
  <c r="G500" i="67"/>
  <c r="G504" i="67" s="1"/>
  <c r="I501" i="67"/>
  <c r="I505" i="67" s="1"/>
  <c r="I34" i="67"/>
  <c r="I3161" i="67" s="1"/>
  <c r="I61" i="67"/>
  <c r="E98" i="31"/>
  <c r="H603" i="67"/>
  <c r="H607" i="67" s="1"/>
  <c r="H504" i="67"/>
  <c r="H501" i="67"/>
  <c r="H505" i="67" s="1"/>
  <c r="H3167" i="67" l="1"/>
  <c r="H3169" i="67" s="1"/>
  <c r="H727" i="67"/>
  <c r="H729" i="67" s="1"/>
  <c r="H731" i="67" s="1"/>
  <c r="I3205" i="67"/>
  <c r="I659" i="67" s="1"/>
  <c r="I3207" i="67"/>
  <c r="I3206" i="67"/>
  <c r="A353" i="77"/>
  <c r="W33" i="66"/>
  <c r="X33" i="66"/>
  <c r="F3218" i="67"/>
  <c r="F763" i="67" s="1"/>
  <c r="F3216" i="67"/>
  <c r="G3215" i="67"/>
  <c r="G3218" i="67" s="1"/>
  <c r="G3276" i="67"/>
  <c r="G3280" i="67" s="1"/>
  <c r="A347" i="77"/>
  <c r="R33" i="66"/>
  <c r="Q33" i="66"/>
  <c r="F3217" i="67"/>
  <c r="F748" i="67"/>
  <c r="F750" i="67" s="1"/>
  <c r="F752" i="67" s="1"/>
  <c r="H633" i="67"/>
  <c r="H635" i="67" s="1"/>
  <c r="H810" i="67" s="1"/>
  <c r="I654" i="67"/>
  <c r="I656" i="67" s="1"/>
  <c r="I658" i="67" s="1"/>
  <c r="F664" i="67"/>
  <c r="F666" i="67" s="1"/>
  <c r="F668" i="67" s="1"/>
  <c r="E654" i="67"/>
  <c r="E656" i="67" s="1"/>
  <c r="E658" i="67" s="1"/>
  <c r="I748" i="67"/>
  <c r="I750" i="67" s="1"/>
  <c r="I752" i="67" s="1"/>
  <c r="I643" i="67"/>
  <c r="I645" i="67" s="1"/>
  <c r="I647" i="67" s="1"/>
  <c r="H3276" i="67"/>
  <c r="H3277" i="67" s="1"/>
  <c r="F768" i="67"/>
  <c r="F770" i="67" s="1"/>
  <c r="F868" i="67" s="1"/>
  <c r="F3276" i="67"/>
  <c r="F3278" i="67" s="1"/>
  <c r="H3213" i="67"/>
  <c r="H3211" i="67"/>
  <c r="H3212" i="67"/>
  <c r="H3210" i="67"/>
  <c r="E937" i="67"/>
  <c r="E943" i="67" s="1"/>
  <c r="E944" i="67" s="1"/>
  <c r="E958" i="67" s="1"/>
  <c r="E2441" i="67" s="1"/>
  <c r="E3270" i="67"/>
  <c r="H3199" i="67"/>
  <c r="H3200" i="67"/>
  <c r="H3201" i="67"/>
  <c r="H3198" i="67"/>
  <c r="H147" i="67"/>
  <c r="H153" i="67" s="1"/>
  <c r="H3185" i="67"/>
  <c r="I3195" i="67"/>
  <c r="I3194" i="67"/>
  <c r="I3193" i="67"/>
  <c r="I3192" i="67"/>
  <c r="G3210" i="67"/>
  <c r="G3212" i="67"/>
  <c r="G3211" i="67"/>
  <c r="G3213" i="67"/>
  <c r="E3276" i="67"/>
  <c r="E147" i="67"/>
  <c r="E153" i="67" s="1"/>
  <c r="E3185" i="67"/>
  <c r="I3271" i="67"/>
  <c r="I3274" i="67"/>
  <c r="I3272" i="67"/>
  <c r="I3273" i="67"/>
  <c r="I230" i="31"/>
  <c r="I3167" i="67"/>
  <c r="H3223" i="67"/>
  <c r="H3224" i="67"/>
  <c r="H3222" i="67"/>
  <c r="H3225" i="67"/>
  <c r="I3179" i="67"/>
  <c r="F3189" i="67"/>
  <c r="F3187" i="67"/>
  <c r="F3188" i="67"/>
  <c r="F3186" i="67"/>
  <c r="E93" i="67"/>
  <c r="E99" i="67" s="1"/>
  <c r="E3173" i="67"/>
  <c r="H236" i="31"/>
  <c r="H3179" i="67"/>
  <c r="H3203" i="67"/>
  <c r="G3200" i="67"/>
  <c r="G3201" i="67"/>
  <c r="G3199" i="67"/>
  <c r="G3198" i="67"/>
  <c r="F674" i="67"/>
  <c r="F676" i="67" s="1"/>
  <c r="E3179" i="67"/>
  <c r="I768" i="67"/>
  <c r="I770" i="67" s="1"/>
  <c r="I758" i="67"/>
  <c r="I760" i="67" s="1"/>
  <c r="F3230" i="67"/>
  <c r="F3229" i="67"/>
  <c r="F3231" i="67"/>
  <c r="F3228" i="67"/>
  <c r="F758" i="67"/>
  <c r="F760" i="67" s="1"/>
  <c r="E3207" i="67"/>
  <c r="E3206" i="67"/>
  <c r="E3204" i="67"/>
  <c r="E3205" i="67"/>
  <c r="E230" i="31"/>
  <c r="E3167" i="67"/>
  <c r="G87" i="31"/>
  <c r="G3203" i="67"/>
  <c r="G3176" i="67"/>
  <c r="G3177" i="67"/>
  <c r="G3174" i="67"/>
  <c r="G3175" i="67"/>
  <c r="I3217" i="67"/>
  <c r="I3218" i="67"/>
  <c r="I3219" i="67"/>
  <c r="I3216" i="67"/>
  <c r="E3195" i="67"/>
  <c r="E3193" i="67"/>
  <c r="E3194" i="67"/>
  <c r="E3192" i="67"/>
  <c r="F3164" i="67"/>
  <c r="F3162" i="67"/>
  <c r="E3164" i="67"/>
  <c r="E3162" i="67"/>
  <c r="H99" i="31"/>
  <c r="H3227" i="67"/>
  <c r="I3174" i="67"/>
  <c r="I3176" i="67"/>
  <c r="I3175" i="67"/>
  <c r="I3177" i="67"/>
  <c r="H93" i="31"/>
  <c r="H3215" i="67"/>
  <c r="G937" i="67"/>
  <c r="G3270" i="67"/>
  <c r="F3182" i="67"/>
  <c r="F3180" i="67"/>
  <c r="F3183" i="67"/>
  <c r="F3181" i="67"/>
  <c r="I3164" i="67"/>
  <c r="I3162" i="67"/>
  <c r="F86" i="31"/>
  <c r="F3167" i="67"/>
  <c r="H3162" i="67"/>
  <c r="H3164" i="67"/>
  <c r="F242" i="31"/>
  <c r="F3191" i="67"/>
  <c r="F937" i="67"/>
  <c r="F943" i="67" s="1"/>
  <c r="F944" i="67" s="1"/>
  <c r="F3270" i="67"/>
  <c r="F93" i="67"/>
  <c r="F99" i="67" s="1"/>
  <c r="F3173" i="67"/>
  <c r="H937" i="67"/>
  <c r="H943" i="67" s="1"/>
  <c r="H944" i="67" s="1"/>
  <c r="H1459" i="67" s="1"/>
  <c r="H3270" i="67"/>
  <c r="I3280" i="67"/>
  <c r="I3279" i="67"/>
  <c r="I3278" i="67"/>
  <c r="I3277" i="67"/>
  <c r="I3231" i="67"/>
  <c r="I3228" i="67"/>
  <c r="I3230" i="67"/>
  <c r="I3229" i="67"/>
  <c r="F654" i="67"/>
  <c r="F656" i="67" s="1"/>
  <c r="F3206" i="67"/>
  <c r="F3207" i="67"/>
  <c r="F3204" i="67"/>
  <c r="F3205" i="67"/>
  <c r="I674" i="67"/>
  <c r="I676" i="67" s="1"/>
  <c r="I664" i="67"/>
  <c r="I666" i="67" s="1"/>
  <c r="E748" i="67"/>
  <c r="E750" i="67" s="1"/>
  <c r="I737" i="67"/>
  <c r="I739" i="67" s="1"/>
  <c r="H3191" i="67"/>
  <c r="G2368" i="67"/>
  <c r="G2434" i="67"/>
  <c r="G2436" i="67" s="1"/>
  <c r="F3165" i="67"/>
  <c r="F3163" i="67"/>
  <c r="E3165" i="67"/>
  <c r="E3163" i="67"/>
  <c r="H2173" i="67"/>
  <c r="H2194" i="67" s="1"/>
  <c r="H2172" i="67"/>
  <c r="H2193" i="67" s="1"/>
  <c r="G2172" i="67"/>
  <c r="G2173" i="67"/>
  <c r="I3165" i="67"/>
  <c r="I3163" i="67"/>
  <c r="H3163" i="67"/>
  <c r="H3165" i="67"/>
  <c r="G2191" i="67"/>
  <c r="G2190" i="67"/>
  <c r="H2345" i="67"/>
  <c r="H2366" i="67" s="1"/>
  <c r="H2346" i="67"/>
  <c r="H2367" i="67" s="1"/>
  <c r="H2435" i="67" s="1"/>
  <c r="E2434" i="67"/>
  <c r="E2436" i="67" s="1"/>
  <c r="E2368" i="67"/>
  <c r="F2368" i="67"/>
  <c r="F2434" i="67"/>
  <c r="F2436" i="67" s="1"/>
  <c r="F2194" i="67"/>
  <c r="H243" i="31"/>
  <c r="G115" i="67"/>
  <c r="G3179" i="67" s="1"/>
  <c r="H237" i="31"/>
  <c r="H92" i="31"/>
  <c r="E2158" i="67"/>
  <c r="G231" i="31"/>
  <c r="G12" i="51"/>
  <c r="A149" i="77" s="1"/>
  <c r="A116" i="77"/>
  <c r="A112" i="77"/>
  <c r="A113" i="77"/>
  <c r="A110" i="77"/>
  <c r="G12" i="50"/>
  <c r="A137" i="77" s="1"/>
  <c r="A109" i="77"/>
  <c r="M34" i="75"/>
  <c r="A263" i="77"/>
  <c r="M32" i="75"/>
  <c r="A262" i="77"/>
  <c r="M33" i="75"/>
  <c r="A264" i="77"/>
  <c r="G16" i="61"/>
  <c r="A211" i="77" s="1"/>
  <c r="A208" i="77"/>
  <c r="M34" i="66"/>
  <c r="A343" i="77"/>
  <c r="F2193" i="67"/>
  <c r="I1476" i="67"/>
  <c r="F1423" i="67"/>
  <c r="F1425" i="67" s="1"/>
  <c r="F148" i="31" s="1"/>
  <c r="I1440" i="67"/>
  <c r="G1420" i="67"/>
  <c r="G1417" i="67"/>
  <c r="E1440" i="67"/>
  <c r="I150" i="31"/>
  <c r="E1423" i="67"/>
  <c r="E1425" i="67" s="1"/>
  <c r="F156" i="31"/>
  <c r="F150" i="31"/>
  <c r="E1476" i="67"/>
  <c r="F1476" i="67"/>
  <c r="I156" i="31"/>
  <c r="F144" i="31"/>
  <c r="L32" i="66"/>
  <c r="E1404" i="67"/>
  <c r="I208" i="67"/>
  <c r="I943" i="67"/>
  <c r="I944" i="67" s="1"/>
  <c r="G93" i="67"/>
  <c r="F263" i="67"/>
  <c r="I317" i="67"/>
  <c r="I263" i="67"/>
  <c r="H611" i="67"/>
  <c r="H615" i="67" s="1"/>
  <c r="H167" i="31" s="1"/>
  <c r="G169" i="67"/>
  <c r="G142" i="67"/>
  <c r="G3185" i="67" s="1"/>
  <c r="G332" i="67"/>
  <c r="G305" i="67"/>
  <c r="G3221" i="67" s="1"/>
  <c r="F147" i="67"/>
  <c r="F153" i="67" s="1"/>
  <c r="F208" i="67"/>
  <c r="I93" i="67"/>
  <c r="I99" i="67" s="1"/>
  <c r="F317" i="67"/>
  <c r="I92" i="31"/>
  <c r="I236" i="31"/>
  <c r="G559" i="67"/>
  <c r="G564" i="67" s="1"/>
  <c r="H310" i="67"/>
  <c r="H316" i="67" s="1"/>
  <c r="G256" i="67"/>
  <c r="G262" i="67" s="1"/>
  <c r="H256" i="67"/>
  <c r="H262" i="67" s="1"/>
  <c r="G553" i="67"/>
  <c r="G557" i="67" s="1"/>
  <c r="G556" i="67"/>
  <c r="F564" i="67"/>
  <c r="F168" i="31" s="1"/>
  <c r="E564" i="67"/>
  <c r="L12" i="69" s="1"/>
  <c r="H208" i="67"/>
  <c r="F2140" i="67"/>
  <c r="E208" i="67"/>
  <c r="I153" i="67"/>
  <c r="H2141" i="67"/>
  <c r="H39" i="67"/>
  <c r="H45" i="67" s="1"/>
  <c r="H99" i="67"/>
  <c r="G2135" i="67"/>
  <c r="G2141" i="67" s="1"/>
  <c r="E39" i="67"/>
  <c r="E45" i="67" s="1"/>
  <c r="P13" i="69"/>
  <c r="G535" i="67"/>
  <c r="G539" i="67" s="1"/>
  <c r="E86" i="31"/>
  <c r="E522" i="67"/>
  <c r="AB34" i="69" s="1"/>
  <c r="AE34" i="69" s="1"/>
  <c r="I2193" i="67"/>
  <c r="I2195" i="67" s="1"/>
  <c r="E505" i="67"/>
  <c r="AB32" i="69" s="1"/>
  <c r="AE32" i="69" s="1"/>
  <c r="E205" i="31"/>
  <c r="I604" i="67"/>
  <c r="I608" i="67" s="1"/>
  <c r="E236" i="31"/>
  <c r="F604" i="67"/>
  <c r="F608" i="67" s="1"/>
  <c r="F98" i="31"/>
  <c r="O12" i="69"/>
  <c r="P12" i="69" s="1"/>
  <c r="H205" i="31"/>
  <c r="E611" i="67"/>
  <c r="O11" i="69" s="1"/>
  <c r="F2158" i="67"/>
  <c r="E539" i="67"/>
  <c r="E2149" i="67"/>
  <c r="E2140" i="67"/>
  <c r="E87" i="31"/>
  <c r="E231" i="31"/>
  <c r="AD13" i="69"/>
  <c r="I13" i="75"/>
  <c r="G237" i="31"/>
  <c r="G93" i="31"/>
  <c r="E2162" i="67"/>
  <c r="X20" i="34" s="1"/>
  <c r="X25" i="34" s="1"/>
  <c r="H231" i="31"/>
  <c r="H87" i="31"/>
  <c r="E2194" i="67"/>
  <c r="X20" i="48" s="1"/>
  <c r="X25" i="48" s="1"/>
  <c r="E2193" i="67"/>
  <c r="X18" i="48" s="1"/>
  <c r="L13" i="75"/>
  <c r="M13" i="75" s="1"/>
  <c r="Z11" i="51"/>
  <c r="AG13" i="69"/>
  <c r="Y11" i="48"/>
  <c r="G518" i="67"/>
  <c r="G522" i="67" s="1"/>
  <c r="E300" i="31"/>
  <c r="E14" i="48" s="1"/>
  <c r="G14" i="48" s="1"/>
  <c r="A188" i="77" s="1"/>
  <c r="Z11" i="48"/>
  <c r="L13" i="69"/>
  <c r="E169" i="31"/>
  <c r="G169" i="31"/>
  <c r="G206" i="31"/>
  <c r="H168" i="31"/>
  <c r="H204" i="31"/>
  <c r="E604" i="67"/>
  <c r="I12" i="75"/>
  <c r="AD12" i="69"/>
  <c r="H98" i="31"/>
  <c r="G61" i="67"/>
  <c r="G34" i="67"/>
  <c r="F2150" i="67"/>
  <c r="F2162" i="67" s="1"/>
  <c r="Z10" i="50"/>
  <c r="F236" i="31"/>
  <c r="F92" i="31"/>
  <c r="G2153" i="67"/>
  <c r="H2158" i="67"/>
  <c r="F230" i="31"/>
  <c r="H2149" i="67"/>
  <c r="H2150" i="67"/>
  <c r="O11" i="75"/>
  <c r="P11" i="75" s="1"/>
  <c r="E607" i="67"/>
  <c r="AH11" i="69"/>
  <c r="G2144" i="67"/>
  <c r="Z11" i="50"/>
  <c r="AG12" i="69"/>
  <c r="Y11" i="34"/>
  <c r="L12" i="75"/>
  <c r="M12" i="75" s="1"/>
  <c r="G501" i="67"/>
  <c r="G505" i="67" s="1"/>
  <c r="F39" i="67"/>
  <c r="F45" i="67" s="1"/>
  <c r="I2158" i="67"/>
  <c r="I2161" i="67" s="1"/>
  <c r="I2159" i="67"/>
  <c r="I98" i="31"/>
  <c r="I242" i="31"/>
  <c r="H230" i="31"/>
  <c r="H86" i="31"/>
  <c r="F204" i="31"/>
  <c r="F205" i="31"/>
  <c r="I2141" i="67"/>
  <c r="G508" i="67"/>
  <c r="G512" i="67" s="1"/>
  <c r="I39" i="67"/>
  <c r="I45" i="67" s="1"/>
  <c r="I205" i="31"/>
  <c r="I611" i="67"/>
  <c r="I615" i="67" s="1"/>
  <c r="I167" i="31" s="1"/>
  <c r="I204" i="31"/>
  <c r="I168" i="31"/>
  <c r="I86" i="31"/>
  <c r="H604" i="67"/>
  <c r="H608" i="67" s="1"/>
  <c r="G604" i="67"/>
  <c r="G608" i="67" s="1"/>
  <c r="Y19" i="61" l="1"/>
  <c r="X19" i="57"/>
  <c r="H3171" i="67"/>
  <c r="H3170" i="67"/>
  <c r="H3168" i="67"/>
  <c r="H856" i="67"/>
  <c r="E820" i="67"/>
  <c r="E823" i="67" s="1"/>
  <c r="E824" i="67" s="1"/>
  <c r="H3278" i="67"/>
  <c r="H1527" i="67" s="1"/>
  <c r="I661" i="67"/>
  <c r="I825" i="67" s="1"/>
  <c r="I1527" i="67"/>
  <c r="I753" i="67"/>
  <c r="I755" i="67" s="1"/>
  <c r="I871" i="67" s="1"/>
  <c r="G3217" i="67"/>
  <c r="F772" i="67"/>
  <c r="G758" i="67"/>
  <c r="G760" i="67" s="1"/>
  <c r="G762" i="67" s="1"/>
  <c r="I866" i="67"/>
  <c r="F669" i="67"/>
  <c r="F671" i="67" s="1"/>
  <c r="F826" i="67" s="1"/>
  <c r="G3216" i="67"/>
  <c r="Y33" i="66"/>
  <c r="A356" i="77"/>
  <c r="G3277" i="67"/>
  <c r="G3278" i="67"/>
  <c r="G3219" i="67"/>
  <c r="G763" i="67" s="1"/>
  <c r="I820" i="67"/>
  <c r="H3279" i="67"/>
  <c r="I742" i="67"/>
  <c r="I1676" i="67"/>
  <c r="I811" i="67"/>
  <c r="H3280" i="67"/>
  <c r="G3279" i="67"/>
  <c r="G1676" i="67" s="1"/>
  <c r="F821" i="67"/>
  <c r="I1522" i="67"/>
  <c r="I1524" i="67" s="1"/>
  <c r="H674" i="67"/>
  <c r="H676" i="67" s="1"/>
  <c r="H678" i="67" s="1"/>
  <c r="I1671" i="67"/>
  <c r="I1673" i="67" s="1"/>
  <c r="A350" i="77"/>
  <c r="S33" i="66"/>
  <c r="I717" i="67"/>
  <c r="I719" i="67" s="1"/>
  <c r="I721" i="67" s="1"/>
  <c r="H717" i="67"/>
  <c r="H719" i="67" s="1"/>
  <c r="H855" i="67" s="1"/>
  <c r="E623" i="67"/>
  <c r="E625" i="67" s="1"/>
  <c r="E809" i="67" s="1"/>
  <c r="I679" i="67"/>
  <c r="I633" i="67"/>
  <c r="I635" i="67" s="1"/>
  <c r="I810" i="67" s="1"/>
  <c r="H637" i="67"/>
  <c r="I669" i="67"/>
  <c r="F679" i="67"/>
  <c r="F3277" i="67"/>
  <c r="F1527" i="67" s="1"/>
  <c r="F866" i="67"/>
  <c r="H623" i="67"/>
  <c r="H625" i="67" s="1"/>
  <c r="H627" i="67" s="1"/>
  <c r="E717" i="67"/>
  <c r="E719" i="67" s="1"/>
  <c r="E721" i="67" s="1"/>
  <c r="F753" i="67"/>
  <c r="F755" i="67" s="1"/>
  <c r="F871" i="67" s="1"/>
  <c r="G633" i="67"/>
  <c r="G635" i="67" s="1"/>
  <c r="G810" i="67" s="1"/>
  <c r="E659" i="67"/>
  <c r="E661" i="67" s="1"/>
  <c r="E825" i="67" s="1"/>
  <c r="E828" i="67" s="1"/>
  <c r="G748" i="67"/>
  <c r="G750" i="67" s="1"/>
  <c r="G752" i="67" s="1"/>
  <c r="F3279" i="67"/>
  <c r="H628" i="67"/>
  <c r="F638" i="67"/>
  <c r="E648" i="67"/>
  <c r="F3280" i="67"/>
  <c r="F1676" i="67" s="1"/>
  <c r="H768" i="67"/>
  <c r="H770" i="67" s="1"/>
  <c r="H868" i="67" s="1"/>
  <c r="G664" i="67"/>
  <c r="G666" i="67" s="1"/>
  <c r="G821" i="67" s="1"/>
  <c r="H654" i="67"/>
  <c r="H656" i="67" s="1"/>
  <c r="H658" i="67" s="1"/>
  <c r="E753" i="67"/>
  <c r="G654" i="67"/>
  <c r="G656" i="67" s="1"/>
  <c r="G658" i="67" s="1"/>
  <c r="F623" i="67"/>
  <c r="F625" i="67" s="1"/>
  <c r="F809" i="67" s="1"/>
  <c r="I763" i="67"/>
  <c r="G3188" i="67"/>
  <c r="G3186" i="67"/>
  <c r="G3187" i="67"/>
  <c r="G3189" i="67"/>
  <c r="G3181" i="67"/>
  <c r="G3182" i="67"/>
  <c r="G3183" i="67"/>
  <c r="G3180" i="67"/>
  <c r="E3183" i="67"/>
  <c r="E3181" i="67"/>
  <c r="E3182" i="67"/>
  <c r="E3180" i="67"/>
  <c r="H3180" i="67"/>
  <c r="H3182" i="67"/>
  <c r="H3181" i="67"/>
  <c r="H3183" i="67"/>
  <c r="I3183" i="67"/>
  <c r="I3181" i="67"/>
  <c r="I3180" i="67"/>
  <c r="I3182" i="67"/>
  <c r="I668" i="67"/>
  <c r="I821" i="67"/>
  <c r="H3218" i="67"/>
  <c r="H3219" i="67"/>
  <c r="H3216" i="67"/>
  <c r="H3217" i="67"/>
  <c r="F762" i="67"/>
  <c r="F765" i="67" s="1"/>
  <c r="F872" i="67" s="1"/>
  <c r="F867" i="67"/>
  <c r="I3168" i="67"/>
  <c r="I3171" i="67"/>
  <c r="I3170" i="67"/>
  <c r="I3169" i="67"/>
  <c r="E3186" i="67"/>
  <c r="E3188" i="67"/>
  <c r="E3189" i="67"/>
  <c r="E3187" i="67"/>
  <c r="I648" i="67"/>
  <c r="I650" i="67" s="1"/>
  <c r="I816" i="67" s="1"/>
  <c r="G86" i="31"/>
  <c r="G3167" i="67"/>
  <c r="G3224" i="67"/>
  <c r="G3225" i="67"/>
  <c r="G3222" i="67"/>
  <c r="G3223" i="67"/>
  <c r="I623" i="67"/>
  <c r="I625" i="67" s="1"/>
  <c r="H3192" i="67"/>
  <c r="H3194" i="67"/>
  <c r="H3193" i="67"/>
  <c r="H3195" i="67"/>
  <c r="I678" i="67"/>
  <c r="I822" i="67"/>
  <c r="F732" i="67"/>
  <c r="E742" i="67"/>
  <c r="I762" i="67"/>
  <c r="I867" i="67"/>
  <c r="F678" i="67"/>
  <c r="F822" i="67"/>
  <c r="E3174" i="67"/>
  <c r="E3176" i="67"/>
  <c r="E3175" i="67"/>
  <c r="E3177" i="67"/>
  <c r="F643" i="67"/>
  <c r="F645" i="67" s="1"/>
  <c r="E3271" i="67"/>
  <c r="E3273" i="67"/>
  <c r="E3274" i="67"/>
  <c r="E3272" i="67"/>
  <c r="H664" i="67"/>
  <c r="H666" i="67" s="1"/>
  <c r="E752" i="67"/>
  <c r="E866" i="67"/>
  <c r="E869" i="67" s="1"/>
  <c r="H3187" i="67"/>
  <c r="H3186" i="67"/>
  <c r="H3188" i="67"/>
  <c r="H3189" i="67"/>
  <c r="G3191" i="67"/>
  <c r="H3272" i="67"/>
  <c r="H3274" i="67"/>
  <c r="H3273" i="67"/>
  <c r="H3271" i="67"/>
  <c r="F3274" i="67"/>
  <c r="F3273" i="67"/>
  <c r="F3272" i="67"/>
  <c r="F3271" i="67"/>
  <c r="G3205" i="67"/>
  <c r="G3206" i="67"/>
  <c r="G3204" i="67"/>
  <c r="G3207" i="67"/>
  <c r="G3227" i="67"/>
  <c r="F717" i="67"/>
  <c r="F719" i="67" s="1"/>
  <c r="I741" i="67"/>
  <c r="I857" i="67"/>
  <c r="F659" i="67"/>
  <c r="F658" i="67"/>
  <c r="F820" i="67"/>
  <c r="I773" i="67"/>
  <c r="F3177" i="67"/>
  <c r="F3174" i="67"/>
  <c r="F3175" i="67"/>
  <c r="F3176" i="67"/>
  <c r="F3194" i="67"/>
  <c r="F3193" i="67"/>
  <c r="F3192" i="67"/>
  <c r="F3195" i="67"/>
  <c r="F3169" i="67"/>
  <c r="F3168" i="67"/>
  <c r="F3171" i="67"/>
  <c r="F3170" i="67"/>
  <c r="G3273" i="67"/>
  <c r="G3272" i="67"/>
  <c r="G3271" i="67"/>
  <c r="G3274" i="67"/>
  <c r="I727" i="67"/>
  <c r="I729" i="67" s="1"/>
  <c r="H3228" i="67"/>
  <c r="H3230" i="67"/>
  <c r="H3229" i="67"/>
  <c r="H3231" i="67"/>
  <c r="G727" i="67"/>
  <c r="G729" i="67" s="1"/>
  <c r="E3168" i="67"/>
  <c r="E3171" i="67"/>
  <c r="E3169" i="67"/>
  <c r="E3170" i="67"/>
  <c r="F773" i="67"/>
  <c r="I772" i="67"/>
  <c r="I868" i="67"/>
  <c r="H3204" i="67"/>
  <c r="H3205" i="67"/>
  <c r="H3206" i="67"/>
  <c r="H3207" i="67"/>
  <c r="F737" i="67"/>
  <c r="F739" i="67" s="1"/>
  <c r="E3280" i="67"/>
  <c r="E3278" i="67"/>
  <c r="E3279" i="67"/>
  <c r="E3277" i="67"/>
  <c r="H748" i="67"/>
  <c r="H750" i="67" s="1"/>
  <c r="H758" i="67"/>
  <c r="H760" i="67" s="1"/>
  <c r="E2446" i="67"/>
  <c r="E2467" i="67" s="1"/>
  <c r="E2447" i="67"/>
  <c r="E2468" i="67" s="1"/>
  <c r="E2536" i="67" s="1"/>
  <c r="H2434" i="67"/>
  <c r="H2436" i="67" s="1"/>
  <c r="H2368" i="67"/>
  <c r="G943" i="67"/>
  <c r="G944" i="67" s="1"/>
  <c r="G958" i="67" s="1"/>
  <c r="G2441" i="67" s="1"/>
  <c r="G3161" i="67"/>
  <c r="F2230" i="67"/>
  <c r="F2195" i="67"/>
  <c r="H1406" i="67"/>
  <c r="H1408" i="67" s="1"/>
  <c r="H142" i="31" s="1"/>
  <c r="H958" i="67"/>
  <c r="H2441" i="67" s="1"/>
  <c r="J13" i="75"/>
  <c r="M23" i="75" s="1"/>
  <c r="A243" i="77"/>
  <c r="J12" i="75"/>
  <c r="M22" i="75" s="1"/>
  <c r="A242" i="77"/>
  <c r="M32" i="66"/>
  <c r="A342" i="77"/>
  <c r="E1459" i="67"/>
  <c r="E1510" i="67" s="1"/>
  <c r="E1406" i="67"/>
  <c r="E1408" i="67" s="1"/>
  <c r="E1412" i="67" s="1"/>
  <c r="J32" i="70" s="1"/>
  <c r="A379" i="77" s="1"/>
  <c r="H1423" i="67"/>
  <c r="H1425" i="67" s="1"/>
  <c r="H148" i="31" s="1"/>
  <c r="G1423" i="67"/>
  <c r="G1425" i="67" s="1"/>
  <c r="G148" i="31" s="1"/>
  <c r="H150" i="31"/>
  <c r="H156" i="31"/>
  <c r="F958" i="67"/>
  <c r="F2441" i="67" s="1"/>
  <c r="F1459" i="67"/>
  <c r="F1510" i="67" s="1"/>
  <c r="F1406" i="67"/>
  <c r="F1408" i="67" s="1"/>
  <c r="H149" i="31"/>
  <c r="E144" i="31"/>
  <c r="E12" i="56"/>
  <c r="G12" i="56" s="1"/>
  <c r="E155" i="31"/>
  <c r="E14" i="57"/>
  <c r="G14" i="57" s="1"/>
  <c r="G144" i="31"/>
  <c r="I155" i="31"/>
  <c r="I958" i="67"/>
  <c r="I2441" i="67" s="1"/>
  <c r="I1459" i="67"/>
  <c r="I1510" i="67" s="1"/>
  <c r="I1406" i="67"/>
  <c r="I1408" i="67" s="1"/>
  <c r="E1477" i="67"/>
  <c r="L34" i="70"/>
  <c r="A383" i="77" s="1"/>
  <c r="E148" i="31"/>
  <c r="H1440" i="67"/>
  <c r="H1476" i="67"/>
  <c r="I1477" i="67"/>
  <c r="J32" i="66"/>
  <c r="AB32" i="70"/>
  <c r="AE32" i="70" s="1"/>
  <c r="G150" i="31"/>
  <c r="I1423" i="67"/>
  <c r="I1425" i="67" s="1"/>
  <c r="I148" i="31" s="1"/>
  <c r="F1440" i="67"/>
  <c r="F1477" i="67"/>
  <c r="E16" i="57"/>
  <c r="G16" i="57" s="1"/>
  <c r="E149" i="31"/>
  <c r="H155" i="31"/>
  <c r="H144" i="31"/>
  <c r="F149" i="31"/>
  <c r="I144" i="31"/>
  <c r="H100" i="67"/>
  <c r="F100" i="67"/>
  <c r="E154" i="67"/>
  <c r="E541" i="67" s="1"/>
  <c r="E543" i="67" s="1"/>
  <c r="G263" i="67"/>
  <c r="G2193" i="67"/>
  <c r="G2194" i="67"/>
  <c r="E100" i="67"/>
  <c r="I154" i="67"/>
  <c r="G310" i="67"/>
  <c r="G316" i="67" s="1"/>
  <c r="F2161" i="67"/>
  <c r="F2229" i="67" s="1"/>
  <c r="I100" i="67"/>
  <c r="I524" i="67" s="1"/>
  <c r="I526" i="67" s="1"/>
  <c r="H209" i="67"/>
  <c r="H223" i="67" s="1"/>
  <c r="H2268" i="67" s="1"/>
  <c r="H263" i="67"/>
  <c r="H317" i="67"/>
  <c r="G243" i="31"/>
  <c r="G99" i="31"/>
  <c r="F331" i="67"/>
  <c r="F2286" i="67" s="1"/>
  <c r="F209" i="67"/>
  <c r="G147" i="67"/>
  <c r="G153" i="67" s="1"/>
  <c r="I331" i="67"/>
  <c r="I2286" i="67" s="1"/>
  <c r="F154" i="67"/>
  <c r="E209" i="67"/>
  <c r="E223" i="67" s="1"/>
  <c r="H154" i="67"/>
  <c r="I277" i="67"/>
  <c r="I2277" i="67" s="1"/>
  <c r="F277" i="67"/>
  <c r="F2277" i="67" s="1"/>
  <c r="I209" i="67"/>
  <c r="H2162" i="67"/>
  <c r="H2230" i="67" s="1"/>
  <c r="G208" i="67"/>
  <c r="G2140" i="67"/>
  <c r="I46" i="67"/>
  <c r="F46" i="67"/>
  <c r="G39" i="67"/>
  <c r="G45" i="67" s="1"/>
  <c r="G99" i="67"/>
  <c r="E46" i="67"/>
  <c r="H46" i="67"/>
  <c r="J34" i="75"/>
  <c r="A260" i="77" s="1"/>
  <c r="I2229" i="67"/>
  <c r="P11" i="69"/>
  <c r="AB33" i="69"/>
  <c r="AE33" i="69" s="1"/>
  <c r="J33" i="75"/>
  <c r="A261" i="77" s="1"/>
  <c r="J32" i="75"/>
  <c r="M13" i="69"/>
  <c r="J47" i="45"/>
  <c r="F47" i="45" s="1"/>
  <c r="I11" i="75"/>
  <c r="J48" i="45"/>
  <c r="F48" i="45" s="1"/>
  <c r="Z11" i="34"/>
  <c r="E168" i="31"/>
  <c r="E615" i="67"/>
  <c r="E167" i="31" s="1"/>
  <c r="E2230" i="67"/>
  <c r="E2161" i="67"/>
  <c r="X18" i="34" s="1"/>
  <c r="I2162" i="67"/>
  <c r="I2230" i="67" s="1"/>
  <c r="Y20" i="50"/>
  <c r="G230" i="31"/>
  <c r="Y20" i="51"/>
  <c r="L23" i="75"/>
  <c r="E13" i="75"/>
  <c r="A239" i="77" s="1"/>
  <c r="Y10" i="48"/>
  <c r="AC13" i="69"/>
  <c r="Z10" i="51"/>
  <c r="E608" i="67"/>
  <c r="Y18" i="51"/>
  <c r="E2195" i="67"/>
  <c r="X19" i="48" s="1"/>
  <c r="H2195" i="67"/>
  <c r="AD11" i="69"/>
  <c r="AC12" i="69"/>
  <c r="E12" i="75"/>
  <c r="A238" i="77" s="1"/>
  <c r="Y10" i="34"/>
  <c r="L22" i="75"/>
  <c r="M12" i="69"/>
  <c r="G2150" i="67"/>
  <c r="G2149" i="67"/>
  <c r="G2159" i="67"/>
  <c r="G2158" i="67"/>
  <c r="G236" i="31"/>
  <c r="G92" i="31"/>
  <c r="L11" i="75"/>
  <c r="M11" i="75" s="1"/>
  <c r="AG11" i="69"/>
  <c r="H2161" i="67"/>
  <c r="H2229" i="67" s="1"/>
  <c r="G242" i="31"/>
  <c r="G98" i="31"/>
  <c r="G204" i="31"/>
  <c r="G205" i="31"/>
  <c r="G168" i="31"/>
  <c r="G611" i="67"/>
  <c r="G615" i="67" s="1"/>
  <c r="G167" i="31" s="1"/>
  <c r="Y19" i="51" l="1"/>
  <c r="H722" i="67"/>
  <c r="A429" i="77"/>
  <c r="R23" i="75"/>
  <c r="S23" i="75" s="1"/>
  <c r="E842" i="67"/>
  <c r="P32" i="75" s="1"/>
  <c r="G669" i="67"/>
  <c r="F775" i="67"/>
  <c r="F873" i="67" s="1"/>
  <c r="F874" i="67" s="1"/>
  <c r="F875" i="67" s="1"/>
  <c r="F869" i="67"/>
  <c r="F870" i="67" s="1"/>
  <c r="G820" i="67"/>
  <c r="H772" i="67"/>
  <c r="I671" i="67"/>
  <c r="I826" i="67" s="1"/>
  <c r="G668" i="67"/>
  <c r="E627" i="67"/>
  <c r="F1671" i="67"/>
  <c r="F1673" i="67" s="1"/>
  <c r="F1762" i="67" s="1"/>
  <c r="F1796" i="67" s="1"/>
  <c r="G1527" i="67"/>
  <c r="E1671" i="67"/>
  <c r="E1673" i="67" s="1"/>
  <c r="E1675" i="67" s="1"/>
  <c r="H822" i="67"/>
  <c r="G753" i="67"/>
  <c r="G755" i="67" s="1"/>
  <c r="G871" i="67" s="1"/>
  <c r="G867" i="67"/>
  <c r="G637" i="67"/>
  <c r="I844" i="67"/>
  <c r="H1671" i="67"/>
  <c r="H1673" i="67" s="1"/>
  <c r="H1676" i="67"/>
  <c r="I1675" i="67"/>
  <c r="I1678" i="67" s="1"/>
  <c r="I1762" i="67"/>
  <c r="I1796" i="67" s="1"/>
  <c r="H721" i="67"/>
  <c r="G765" i="67"/>
  <c r="G872" i="67" s="1"/>
  <c r="H732" i="67"/>
  <c r="H734" i="67" s="1"/>
  <c r="H861" i="67" s="1"/>
  <c r="F627" i="67"/>
  <c r="G732" i="67"/>
  <c r="G643" i="67"/>
  <c r="G645" i="67" s="1"/>
  <c r="G647" i="67" s="1"/>
  <c r="G737" i="67"/>
  <c r="G739" i="67" s="1"/>
  <c r="G741" i="67" s="1"/>
  <c r="I869" i="67"/>
  <c r="I870" i="67" s="1"/>
  <c r="I744" i="67"/>
  <c r="I862" i="67" s="1"/>
  <c r="H820" i="67"/>
  <c r="E855" i="67"/>
  <c r="E888" i="67" s="1"/>
  <c r="E1527" i="67"/>
  <c r="I775" i="67"/>
  <c r="I873" i="67" s="1"/>
  <c r="H679" i="67"/>
  <c r="H681" i="67" s="1"/>
  <c r="H827" i="67" s="1"/>
  <c r="G1671" i="67"/>
  <c r="G1673" i="67" s="1"/>
  <c r="F661" i="67"/>
  <c r="F825" i="67" s="1"/>
  <c r="E727" i="67"/>
  <c r="E729" i="67" s="1"/>
  <c r="E731" i="67" s="1"/>
  <c r="G843" i="67"/>
  <c r="H763" i="67"/>
  <c r="H809" i="67"/>
  <c r="H638" i="67"/>
  <c r="H640" i="67" s="1"/>
  <c r="H815" i="67" s="1"/>
  <c r="I1526" i="67"/>
  <c r="I1529" i="67" s="1"/>
  <c r="I1614" i="67"/>
  <c r="I843" i="67"/>
  <c r="E1676" i="67"/>
  <c r="F727" i="67"/>
  <c r="F729" i="67" s="1"/>
  <c r="F731" i="67" s="1"/>
  <c r="F734" i="67" s="1"/>
  <c r="F861" i="67" s="1"/>
  <c r="F893" i="67" s="1"/>
  <c r="I855" i="67"/>
  <c r="I888" i="67" s="1"/>
  <c r="I637" i="67"/>
  <c r="F681" i="67"/>
  <c r="F827" i="67" s="1"/>
  <c r="I681" i="67"/>
  <c r="I827" i="67" s="1"/>
  <c r="I828" i="67" s="1"/>
  <c r="I829" i="67" s="1"/>
  <c r="G674" i="67"/>
  <c r="G676" i="67" s="1"/>
  <c r="G678" i="67" s="1"/>
  <c r="E737" i="67"/>
  <c r="E739" i="67" s="1"/>
  <c r="E741" i="67" s="1"/>
  <c r="E744" i="67" s="1"/>
  <c r="E862" i="67" s="1"/>
  <c r="E894" i="67" s="1"/>
  <c r="V33" i="69" s="1"/>
  <c r="G866" i="67"/>
  <c r="R23" i="69"/>
  <c r="A290" i="77" s="1"/>
  <c r="E829" i="67"/>
  <c r="O23" i="69" s="1"/>
  <c r="A286" i="77" s="1"/>
  <c r="F1522" i="67"/>
  <c r="F1524" i="67" s="1"/>
  <c r="G1522" i="67"/>
  <c r="G1524" i="67" s="1"/>
  <c r="H643" i="67"/>
  <c r="H645" i="67" s="1"/>
  <c r="H811" i="67" s="1"/>
  <c r="E1522" i="67"/>
  <c r="E1524" i="67" s="1"/>
  <c r="H1522" i="67"/>
  <c r="H1524" i="67" s="1"/>
  <c r="H737" i="67"/>
  <c r="H739" i="67" s="1"/>
  <c r="H741" i="67" s="1"/>
  <c r="F648" i="67"/>
  <c r="H753" i="67"/>
  <c r="E628" i="67"/>
  <c r="E630" i="67" s="1"/>
  <c r="E814" i="67" s="1"/>
  <c r="I765" i="67"/>
  <c r="I872" i="67" s="1"/>
  <c r="I874" i="67" s="1"/>
  <c r="I875" i="67" s="1"/>
  <c r="E755" i="67"/>
  <c r="E871" i="67" s="1"/>
  <c r="E874" i="67" s="1"/>
  <c r="X23" i="69" s="1"/>
  <c r="I722" i="67"/>
  <c r="I724" i="67" s="1"/>
  <c r="I860" i="67" s="1"/>
  <c r="H630" i="67"/>
  <c r="H814" i="67" s="1"/>
  <c r="G731" i="67"/>
  <c r="G734" i="67" s="1"/>
  <c r="G861" i="67" s="1"/>
  <c r="G856" i="67"/>
  <c r="G3193" i="67"/>
  <c r="G3195" i="67"/>
  <c r="G3194" i="67"/>
  <c r="G3192" i="67"/>
  <c r="X23" i="75"/>
  <c r="E870" i="67"/>
  <c r="F628" i="67"/>
  <c r="G3170" i="67"/>
  <c r="G3168" i="67"/>
  <c r="G3171" i="67"/>
  <c r="G3169" i="67"/>
  <c r="I823" i="67"/>
  <c r="I824" i="67" s="1"/>
  <c r="G1459" i="67"/>
  <c r="G1406" i="67"/>
  <c r="G1408" i="67" s="1"/>
  <c r="G1412" i="67" s="1"/>
  <c r="H752" i="67"/>
  <c r="H866" i="67"/>
  <c r="H888" i="67" s="1"/>
  <c r="E722" i="67"/>
  <c r="E724" i="67" s="1"/>
  <c r="E860" i="67" s="1"/>
  <c r="F742" i="67"/>
  <c r="I890" i="67"/>
  <c r="E633" i="67"/>
  <c r="E635" i="67" s="1"/>
  <c r="H742" i="67"/>
  <c r="F842" i="67"/>
  <c r="I628" i="67"/>
  <c r="I638" i="67"/>
  <c r="E638" i="67"/>
  <c r="AC32" i="69"/>
  <c r="AF32" i="69" s="1"/>
  <c r="F741" i="67"/>
  <c r="F857" i="67"/>
  <c r="O23" i="75"/>
  <c r="AB23" i="69"/>
  <c r="AD23" i="69" s="1"/>
  <c r="F721" i="67"/>
  <c r="F855" i="67"/>
  <c r="F888" i="67" s="1"/>
  <c r="H668" i="67"/>
  <c r="H821" i="67"/>
  <c r="H843" i="67" s="1"/>
  <c r="I627" i="67"/>
  <c r="I809" i="67"/>
  <c r="H762" i="67"/>
  <c r="H867" i="67"/>
  <c r="H889" i="67" s="1"/>
  <c r="E643" i="67"/>
  <c r="E645" i="67" s="1"/>
  <c r="G3162" i="67"/>
  <c r="G3164" i="67"/>
  <c r="H659" i="67"/>
  <c r="H661" i="67" s="1"/>
  <c r="H825" i="67" s="1"/>
  <c r="H773" i="67"/>
  <c r="I731" i="67"/>
  <c r="I856" i="67"/>
  <c r="I889" i="67" s="1"/>
  <c r="F722" i="67"/>
  <c r="F633" i="67"/>
  <c r="F635" i="67" s="1"/>
  <c r="F823" i="67"/>
  <c r="F824" i="67" s="1"/>
  <c r="G3229" i="67"/>
  <c r="G3230" i="67"/>
  <c r="G3231" i="67"/>
  <c r="G3228" i="67"/>
  <c r="G659" i="67"/>
  <c r="G661" i="67" s="1"/>
  <c r="G825" i="67" s="1"/>
  <c r="F647" i="67"/>
  <c r="F811" i="67"/>
  <c r="H648" i="67"/>
  <c r="G768" i="67"/>
  <c r="G770" i="67" s="1"/>
  <c r="H669" i="67"/>
  <c r="I732" i="67"/>
  <c r="E732" i="67"/>
  <c r="G638" i="67"/>
  <c r="H2273" i="67"/>
  <c r="H2274" i="67"/>
  <c r="F2446" i="67"/>
  <c r="F2467" i="67" s="1"/>
  <c r="F2535" i="67" s="1"/>
  <c r="F2447" i="67"/>
  <c r="F2468" i="67" s="1"/>
  <c r="E288" i="31"/>
  <c r="E12" i="48" s="1"/>
  <c r="G12" i="48" s="1"/>
  <c r="A186" i="77" s="1"/>
  <c r="E2268" i="67"/>
  <c r="G2447" i="67"/>
  <c r="G2468" i="67" s="1"/>
  <c r="G2536" i="67" s="1"/>
  <c r="G2446" i="67"/>
  <c r="G2467" i="67" s="1"/>
  <c r="H2446" i="67"/>
  <c r="H2467" i="67" s="1"/>
  <c r="H2447" i="67"/>
  <c r="H2468" i="67" s="1"/>
  <c r="H2536" i="67" s="1"/>
  <c r="G3163" i="67"/>
  <c r="G3165" i="67"/>
  <c r="F2283" i="67"/>
  <c r="F2282" i="67"/>
  <c r="I2446" i="67"/>
  <c r="I2467" i="67" s="1"/>
  <c r="I2447" i="67"/>
  <c r="I2468" i="67" s="1"/>
  <c r="I2536" i="67" s="1"/>
  <c r="I2282" i="67"/>
  <c r="I2283" i="67"/>
  <c r="I2292" i="67"/>
  <c r="I2291" i="67"/>
  <c r="F2291" i="67"/>
  <c r="F2292" i="67"/>
  <c r="E2535" i="67"/>
  <c r="E2537" i="67" s="1"/>
  <c r="E2469" i="67"/>
  <c r="Y19" i="57" s="1"/>
  <c r="I300" i="31"/>
  <c r="F2231" i="67"/>
  <c r="H1412" i="67"/>
  <c r="H524" i="67"/>
  <c r="H526" i="67" s="1"/>
  <c r="H530" i="67" s="1"/>
  <c r="H91" i="31" s="1"/>
  <c r="Y25" i="51"/>
  <c r="A436" i="77" s="1"/>
  <c r="A431" i="77"/>
  <c r="K32" i="75"/>
  <c r="A259" i="77"/>
  <c r="Y25" i="50"/>
  <c r="A428" i="77" s="1"/>
  <c r="A423" i="77"/>
  <c r="L21" i="75"/>
  <c r="A241" i="77"/>
  <c r="K32" i="66"/>
  <c r="A339" i="77"/>
  <c r="E142" i="31"/>
  <c r="L32" i="70"/>
  <c r="H577" i="67"/>
  <c r="H578" i="67" s="1"/>
  <c r="H582" i="67" s="1"/>
  <c r="H163" i="31" s="1"/>
  <c r="I2231" i="67"/>
  <c r="F2163" i="67"/>
  <c r="G1476" i="67"/>
  <c r="F155" i="31"/>
  <c r="H1510" i="67"/>
  <c r="H1477" i="67"/>
  <c r="G1440" i="67"/>
  <c r="F1481" i="67"/>
  <c r="F19" i="31" s="1"/>
  <c r="F56" i="31"/>
  <c r="I149" i="31"/>
  <c r="I56" i="31"/>
  <c r="I1481" i="67"/>
  <c r="I19" i="31" s="1"/>
  <c r="I13" i="70"/>
  <c r="A363" i="77" s="1"/>
  <c r="E1481" i="67"/>
  <c r="E56" i="31"/>
  <c r="I1412" i="67"/>
  <c r="I142" i="31"/>
  <c r="Y20" i="56"/>
  <c r="Y25" i="56" s="1"/>
  <c r="Y18" i="56"/>
  <c r="F1412" i="67"/>
  <c r="F142" i="31"/>
  <c r="G149" i="31"/>
  <c r="G2195" i="67"/>
  <c r="G154" i="67"/>
  <c r="I223" i="67"/>
  <c r="I2268" i="67" s="1"/>
  <c r="I577" i="67"/>
  <c r="I578" i="67" s="1"/>
  <c r="I582" i="67" s="1"/>
  <c r="I163" i="31" s="1"/>
  <c r="I294" i="31"/>
  <c r="E114" i="67"/>
  <c r="E2245" i="67" s="1"/>
  <c r="F114" i="67"/>
  <c r="F2245" i="67" s="1"/>
  <c r="F2250" i="67" s="1"/>
  <c r="H277" i="67"/>
  <c r="H2277" i="67" s="1"/>
  <c r="G100" i="67"/>
  <c r="F524" i="67"/>
  <c r="F526" i="67" s="1"/>
  <c r="F294" i="31"/>
  <c r="H168" i="67"/>
  <c r="F168" i="67"/>
  <c r="F300" i="31"/>
  <c r="I168" i="67"/>
  <c r="E168" i="67"/>
  <c r="E299" i="31" s="1"/>
  <c r="E14" i="34" s="1"/>
  <c r="G14" i="34" s="1"/>
  <c r="A176" i="77" s="1"/>
  <c r="H114" i="67"/>
  <c r="H293" i="31" s="1"/>
  <c r="F560" i="67"/>
  <c r="F561" i="67" s="1"/>
  <c r="F565" i="67" s="1"/>
  <c r="F223" i="67"/>
  <c r="F2268" i="67" s="1"/>
  <c r="F577" i="67"/>
  <c r="F578" i="67" s="1"/>
  <c r="F582" i="67" s="1"/>
  <c r="F163" i="31" s="1"/>
  <c r="G317" i="67"/>
  <c r="G277" i="67"/>
  <c r="G2277" i="67" s="1"/>
  <c r="E560" i="67"/>
  <c r="E561" i="67" s="1"/>
  <c r="E565" i="67" s="1"/>
  <c r="I560" i="67"/>
  <c r="I561" i="67" s="1"/>
  <c r="I565" i="67" s="1"/>
  <c r="I114" i="67"/>
  <c r="I293" i="31" s="1"/>
  <c r="E60" i="67"/>
  <c r="E2236" i="67" s="1"/>
  <c r="E507" i="67"/>
  <c r="E509" i="67" s="1"/>
  <c r="L32" i="69" s="1"/>
  <c r="E524" i="67"/>
  <c r="E526" i="67" s="1"/>
  <c r="L34" i="69" s="1"/>
  <c r="F507" i="67"/>
  <c r="F509" i="67" s="1"/>
  <c r="F286" i="31" s="1"/>
  <c r="G209" i="67"/>
  <c r="G223" i="67" s="1"/>
  <c r="G2268" i="67" s="1"/>
  <c r="E577" i="67"/>
  <c r="E578" i="67" s="1"/>
  <c r="H331" i="67"/>
  <c r="H2286" i="67" s="1"/>
  <c r="H507" i="67"/>
  <c r="H509" i="67" s="1"/>
  <c r="H513" i="67" s="1"/>
  <c r="H560" i="67"/>
  <c r="H561" i="67" s="1"/>
  <c r="H565" i="67" s="1"/>
  <c r="H288" i="31"/>
  <c r="H60" i="67"/>
  <c r="H2236" i="67" s="1"/>
  <c r="G46" i="67"/>
  <c r="Y18" i="50"/>
  <c r="J46" i="45"/>
  <c r="F46" i="45" s="1"/>
  <c r="G47" i="45"/>
  <c r="E168" i="45" s="1"/>
  <c r="F168" i="45" s="1"/>
  <c r="K47" i="45"/>
  <c r="M24" i="75"/>
  <c r="J11" i="75"/>
  <c r="M21" i="75" s="1"/>
  <c r="L11" i="69"/>
  <c r="M11" i="69" s="1"/>
  <c r="E2229" i="67"/>
  <c r="E2231" i="67" s="1"/>
  <c r="E2163" i="67"/>
  <c r="H2231" i="67"/>
  <c r="G2161" i="67"/>
  <c r="G2229" i="67" s="1"/>
  <c r="F60" i="67"/>
  <c r="F2236" i="67" s="1"/>
  <c r="I2163" i="67"/>
  <c r="F13" i="75"/>
  <c r="J23" i="75" s="1"/>
  <c r="I23" i="75"/>
  <c r="E11" i="75"/>
  <c r="A237" i="77" s="1"/>
  <c r="AC11" i="69"/>
  <c r="F12" i="75"/>
  <c r="J22" i="75" s="1"/>
  <c r="I22" i="75"/>
  <c r="H2163" i="67"/>
  <c r="E298" i="31"/>
  <c r="L33" i="69"/>
  <c r="E547" i="67"/>
  <c r="G2162" i="67"/>
  <c r="G2230" i="67" s="1"/>
  <c r="H541" i="67"/>
  <c r="H543" i="67" s="1"/>
  <c r="F541" i="67"/>
  <c r="F543" i="67" s="1"/>
  <c r="I541" i="67"/>
  <c r="I543" i="67" s="1"/>
  <c r="I292" i="31"/>
  <c r="I530" i="67"/>
  <c r="I507" i="67"/>
  <c r="I509" i="67" s="1"/>
  <c r="I60" i="67"/>
  <c r="Y19" i="50" l="1"/>
  <c r="X19" i="34"/>
  <c r="H724" i="67"/>
  <c r="H860" i="67" s="1"/>
  <c r="A250" i="77"/>
  <c r="G640" i="67"/>
  <c r="G815" i="67" s="1"/>
  <c r="A430" i="77"/>
  <c r="A421" i="77"/>
  <c r="H775" i="67"/>
  <c r="H873" i="67" s="1"/>
  <c r="G671" i="67"/>
  <c r="G826" i="67" s="1"/>
  <c r="I640" i="67"/>
  <c r="I815" i="67" s="1"/>
  <c r="I847" i="67" s="1"/>
  <c r="G889" i="67"/>
  <c r="H844" i="67"/>
  <c r="F1675" i="67"/>
  <c r="F1678" i="67" s="1"/>
  <c r="F124" i="31" s="1"/>
  <c r="S23" i="69"/>
  <c r="H842" i="67"/>
  <c r="E1762" i="67"/>
  <c r="E1796" i="67" s="1"/>
  <c r="AD32" i="70" s="1"/>
  <c r="AG32" i="70" s="1"/>
  <c r="G822" i="67"/>
  <c r="G823" i="67" s="1"/>
  <c r="G824" i="67" s="1"/>
  <c r="G893" i="67"/>
  <c r="I894" i="67"/>
  <c r="H857" i="67"/>
  <c r="H858" i="67" s="1"/>
  <c r="H859" i="67" s="1"/>
  <c r="I1767" i="67"/>
  <c r="I1800" i="67" s="1"/>
  <c r="I123" i="31" s="1"/>
  <c r="I124" i="31"/>
  <c r="G1675" i="67"/>
  <c r="G1678" i="67" s="1"/>
  <c r="G1762" i="67"/>
  <c r="G1796" i="67" s="1"/>
  <c r="H765" i="67"/>
  <c r="H872" i="67" s="1"/>
  <c r="H893" i="67" s="1"/>
  <c r="E857" i="67"/>
  <c r="E890" i="67" s="1"/>
  <c r="AD33" i="69" s="1"/>
  <c r="AG33" i="69" s="1"/>
  <c r="F630" i="67"/>
  <c r="F814" i="67" s="1"/>
  <c r="F846" i="67" s="1"/>
  <c r="H1675" i="67"/>
  <c r="H1678" i="67" s="1"/>
  <c r="H1762" i="67"/>
  <c r="H1796" i="67" s="1"/>
  <c r="E1678" i="67"/>
  <c r="E124" i="31" s="1"/>
  <c r="F744" i="67"/>
  <c r="F862" i="67" s="1"/>
  <c r="F894" i="67" s="1"/>
  <c r="G857" i="67"/>
  <c r="H647" i="67"/>
  <c r="H650" i="67" s="1"/>
  <c r="H816" i="67" s="1"/>
  <c r="G811" i="67"/>
  <c r="H744" i="67"/>
  <c r="H862" i="67" s="1"/>
  <c r="I848" i="67"/>
  <c r="I734" i="67"/>
  <c r="I861" i="67" s="1"/>
  <c r="I893" i="67" s="1"/>
  <c r="H1526" i="67"/>
  <c r="H1529" i="67" s="1"/>
  <c r="H1614" i="67"/>
  <c r="F856" i="67"/>
  <c r="F889" i="67" s="1"/>
  <c r="E856" i="67"/>
  <c r="E889" i="67" s="1"/>
  <c r="V34" i="75" s="1"/>
  <c r="E1526" i="67"/>
  <c r="E1529" i="67" s="1"/>
  <c r="E1614" i="67"/>
  <c r="F828" i="67"/>
  <c r="F829" i="67" s="1"/>
  <c r="G1526" i="67"/>
  <c r="G1529" i="67" s="1"/>
  <c r="G1614" i="67"/>
  <c r="I1619" i="67"/>
  <c r="I105" i="31"/>
  <c r="F1526" i="67"/>
  <c r="F1529" i="67" s="1"/>
  <c r="F1614" i="67"/>
  <c r="I630" i="67"/>
  <c r="I814" i="67" s="1"/>
  <c r="I846" i="67" s="1"/>
  <c r="I1617" i="67"/>
  <c r="I1647" i="67"/>
  <c r="I858" i="67"/>
  <c r="I859" i="67" s="1"/>
  <c r="F650" i="67"/>
  <c r="F816" i="67" s="1"/>
  <c r="F848" i="67" s="1"/>
  <c r="G679" i="67"/>
  <c r="G681" i="67" s="1"/>
  <c r="G827" i="67" s="1"/>
  <c r="G507" i="67"/>
  <c r="G509" i="67" s="1"/>
  <c r="G513" i="67" s="1"/>
  <c r="G142" i="31"/>
  <c r="G623" i="67"/>
  <c r="G625" i="67" s="1"/>
  <c r="G627" i="67" s="1"/>
  <c r="H823" i="67"/>
  <c r="H824" i="67" s="1"/>
  <c r="H755" i="67"/>
  <c r="H871" i="67" s="1"/>
  <c r="G722" i="67"/>
  <c r="E875" i="67"/>
  <c r="U23" i="69" s="1"/>
  <c r="A293" i="77" s="1"/>
  <c r="P23" i="69"/>
  <c r="E892" i="67"/>
  <c r="V32" i="69" s="1"/>
  <c r="E846" i="67"/>
  <c r="P32" i="69" s="1"/>
  <c r="F637" i="67"/>
  <c r="F640" i="67" s="1"/>
  <c r="F815" i="67" s="1"/>
  <c r="F847" i="67" s="1"/>
  <c r="F810" i="67"/>
  <c r="F843" i="67" s="1"/>
  <c r="H671" i="67"/>
  <c r="H826" i="67" s="1"/>
  <c r="H847" i="67" s="1"/>
  <c r="A246" i="77"/>
  <c r="P23" i="75"/>
  <c r="I842" i="67"/>
  <c r="I812" i="67"/>
  <c r="I813" i="67" s="1"/>
  <c r="F890" i="67"/>
  <c r="H869" i="67"/>
  <c r="H870" i="67" s="1"/>
  <c r="G772" i="67"/>
  <c r="G868" i="67"/>
  <c r="G869" i="67" s="1"/>
  <c r="G870" i="67" s="1"/>
  <c r="E647" i="67"/>
  <c r="E650" i="67" s="1"/>
  <c r="E816" i="67" s="1"/>
  <c r="E848" i="67" s="1"/>
  <c r="P33" i="69" s="1"/>
  <c r="E811" i="67"/>
  <c r="F724" i="67"/>
  <c r="F860" i="67" s="1"/>
  <c r="AD32" i="69"/>
  <c r="AG32" i="69" s="1"/>
  <c r="V32" i="75"/>
  <c r="H812" i="67"/>
  <c r="H813" i="67" s="1"/>
  <c r="E734" i="67"/>
  <c r="E861" i="67" s="1"/>
  <c r="E893" i="67" s="1"/>
  <c r="V34" i="69" s="1"/>
  <c r="U23" i="75"/>
  <c r="AC23" i="69"/>
  <c r="AE23" i="69" s="1"/>
  <c r="Y23" i="69" s="1"/>
  <c r="G742" i="67"/>
  <c r="G744" i="67" s="1"/>
  <c r="G862" i="67" s="1"/>
  <c r="A313" i="77"/>
  <c r="X33" i="69"/>
  <c r="G717" i="67"/>
  <c r="G719" i="67" s="1"/>
  <c r="F844" i="67"/>
  <c r="G773" i="67"/>
  <c r="A265" i="77"/>
  <c r="Q32" i="75"/>
  <c r="R32" i="75"/>
  <c r="H846" i="67"/>
  <c r="E637" i="67"/>
  <c r="E640" i="67" s="1"/>
  <c r="E815" i="67" s="1"/>
  <c r="E847" i="67" s="1"/>
  <c r="P34" i="69" s="1"/>
  <c r="E810" i="67"/>
  <c r="E843" i="67" s="1"/>
  <c r="I892" i="67"/>
  <c r="G628" i="67"/>
  <c r="A297" i="77"/>
  <c r="A257" i="77"/>
  <c r="Y23" i="75"/>
  <c r="G648" i="67"/>
  <c r="G650" i="67" s="1"/>
  <c r="G816" i="67" s="1"/>
  <c r="H2292" i="67"/>
  <c r="H2291" i="67"/>
  <c r="H2283" i="67"/>
  <c r="H2282" i="67"/>
  <c r="G2274" i="67"/>
  <c r="G2273" i="67"/>
  <c r="G2283" i="67"/>
  <c r="G2282" i="67"/>
  <c r="I2274" i="67"/>
  <c r="I2273" i="67"/>
  <c r="G2469" i="67"/>
  <c r="G2535" i="67"/>
  <c r="G2537" i="67" s="1"/>
  <c r="F2469" i="67"/>
  <c r="F2536" i="67"/>
  <c r="F2537" i="67" s="1"/>
  <c r="E2274" i="67"/>
  <c r="E2295" i="67" s="1"/>
  <c r="Y20" i="48" s="1"/>
  <c r="Y25" i="48" s="1"/>
  <c r="E2273" i="67"/>
  <c r="E2294" i="67" s="1"/>
  <c r="Y18" i="48" s="1"/>
  <c r="A453" i="77" s="1"/>
  <c r="F2273" i="67"/>
  <c r="F2274" i="67"/>
  <c r="I2535" i="67"/>
  <c r="I2537" i="67" s="1"/>
  <c r="I2469" i="67"/>
  <c r="H2469" i="67"/>
  <c r="H2535" i="67"/>
  <c r="H2537" i="67" s="1"/>
  <c r="H235" i="31"/>
  <c r="G294" i="31"/>
  <c r="H292" i="31"/>
  <c r="I2245" i="67"/>
  <c r="I2250" i="67" s="1"/>
  <c r="A508" i="77"/>
  <c r="A503" i="77"/>
  <c r="F288" i="31"/>
  <c r="H200" i="31"/>
  <c r="G60" i="67"/>
  <c r="G287" i="31" s="1"/>
  <c r="H286" i="31"/>
  <c r="F513" i="67"/>
  <c r="F85" i="31" s="1"/>
  <c r="H2245" i="67"/>
  <c r="H2251" i="67" s="1"/>
  <c r="M32" i="70"/>
  <c r="A382" i="77"/>
  <c r="M32" i="69"/>
  <c r="A302" i="77"/>
  <c r="M33" i="69"/>
  <c r="A304" i="77"/>
  <c r="M34" i="69"/>
  <c r="A303" i="77"/>
  <c r="E286" i="31"/>
  <c r="H610" i="67"/>
  <c r="H612" i="67" s="1"/>
  <c r="H616" i="67" s="1"/>
  <c r="H161" i="31" s="1"/>
  <c r="F2251" i="67"/>
  <c r="E292" i="31"/>
  <c r="E293" i="31"/>
  <c r="E16" i="34" s="1"/>
  <c r="G16" i="34" s="1"/>
  <c r="A175" i="77" s="1"/>
  <c r="I288" i="31"/>
  <c r="F200" i="31"/>
  <c r="E610" i="67"/>
  <c r="E612" i="67" s="1"/>
  <c r="K48" i="45" s="1"/>
  <c r="E513" i="67"/>
  <c r="J32" i="69" s="1"/>
  <c r="E530" i="67"/>
  <c r="E91" i="31" s="1"/>
  <c r="I200" i="31"/>
  <c r="E2254" i="67"/>
  <c r="E2259" i="67" s="1"/>
  <c r="F293" i="31"/>
  <c r="G155" i="31"/>
  <c r="G156" i="31"/>
  <c r="E19" i="31"/>
  <c r="E13" i="70"/>
  <c r="I23" i="70" s="1"/>
  <c r="Z10" i="56"/>
  <c r="H1481" i="67"/>
  <c r="H19" i="31" s="1"/>
  <c r="H56" i="31"/>
  <c r="A501" i="77"/>
  <c r="A502" i="77"/>
  <c r="J13" i="70"/>
  <c r="M23" i="70" s="1"/>
  <c r="L23" i="70"/>
  <c r="G1510" i="67"/>
  <c r="G1477" i="67"/>
  <c r="E287" i="31"/>
  <c r="E12" i="34" s="1"/>
  <c r="G12" i="34" s="1"/>
  <c r="A174" i="77" s="1"/>
  <c r="H287" i="31"/>
  <c r="E582" i="67"/>
  <c r="E200" i="31"/>
  <c r="G331" i="67"/>
  <c r="G2286" i="67" s="1"/>
  <c r="F530" i="67"/>
  <c r="F292" i="31"/>
  <c r="G168" i="67"/>
  <c r="G114" i="67"/>
  <c r="H300" i="31"/>
  <c r="G560" i="67"/>
  <c r="G561" i="67" s="1"/>
  <c r="G565" i="67" s="1"/>
  <c r="G577" i="67"/>
  <c r="G578" i="67" s="1"/>
  <c r="G582" i="67" s="1"/>
  <c r="G163" i="31" s="1"/>
  <c r="I13" i="69"/>
  <c r="A283" i="77" s="1"/>
  <c r="H294" i="31"/>
  <c r="G288" i="31"/>
  <c r="G46" i="45"/>
  <c r="E167" i="45" s="1"/>
  <c r="F287" i="31"/>
  <c r="G2231" i="67"/>
  <c r="F610" i="67"/>
  <c r="F612" i="67" s="1"/>
  <c r="F616" i="67" s="1"/>
  <c r="F161" i="31" s="1"/>
  <c r="F11" i="75"/>
  <c r="J21" i="75" s="1"/>
  <c r="I21" i="75"/>
  <c r="I299" i="31"/>
  <c r="I2254" i="67"/>
  <c r="I298" i="31"/>
  <c r="I547" i="67"/>
  <c r="F299" i="31"/>
  <c r="F2254" i="67"/>
  <c r="F298" i="31"/>
  <c r="F547" i="67"/>
  <c r="H547" i="67"/>
  <c r="H298" i="31"/>
  <c r="G2163" i="67"/>
  <c r="G524" i="67"/>
  <c r="G526" i="67" s="1"/>
  <c r="G541" i="67"/>
  <c r="G543" i="67" s="1"/>
  <c r="H299" i="31"/>
  <c r="H2254" i="67"/>
  <c r="E241" i="31"/>
  <c r="E97" i="31"/>
  <c r="E2251" i="67"/>
  <c r="E2250" i="67"/>
  <c r="I235" i="31"/>
  <c r="I91" i="31"/>
  <c r="I12" i="69"/>
  <c r="A282" i="77" s="1"/>
  <c r="E198" i="31"/>
  <c r="E199" i="31"/>
  <c r="I610" i="67"/>
  <c r="I612" i="67" s="1"/>
  <c r="I616" i="67" s="1"/>
  <c r="I161" i="31" s="1"/>
  <c r="F2242" i="67"/>
  <c r="F2241" i="67"/>
  <c r="H85" i="31"/>
  <c r="H229" i="31"/>
  <c r="I513" i="67"/>
  <c r="I286" i="31"/>
  <c r="H2241" i="67"/>
  <c r="H2242" i="67"/>
  <c r="F199" i="31"/>
  <c r="F198" i="31"/>
  <c r="F162" i="31"/>
  <c r="E2242" i="67"/>
  <c r="E2241" i="67"/>
  <c r="I2236" i="67"/>
  <c r="I287" i="31"/>
  <c r="H198" i="31"/>
  <c r="H199" i="31"/>
  <c r="H162" i="31"/>
  <c r="H892" i="67" l="1"/>
  <c r="H863" i="67"/>
  <c r="H864" i="67" s="1"/>
  <c r="G847" i="67"/>
  <c r="A422" i="77"/>
  <c r="G828" i="67"/>
  <c r="G829" i="67" s="1"/>
  <c r="G844" i="67"/>
  <c r="F1767" i="67"/>
  <c r="F1800" i="67" s="1"/>
  <c r="F123" i="31" s="1"/>
  <c r="V32" i="66"/>
  <c r="W32" i="66" s="1"/>
  <c r="H874" i="67"/>
  <c r="H875" i="67" s="1"/>
  <c r="H890" i="67"/>
  <c r="V33" i="75"/>
  <c r="X33" i="75" s="1"/>
  <c r="H124" i="31"/>
  <c r="H1767" i="67"/>
  <c r="H1800" i="67" s="1"/>
  <c r="H123" i="31" s="1"/>
  <c r="G890" i="67"/>
  <c r="H894" i="67"/>
  <c r="E1767" i="67"/>
  <c r="E1800" i="67" s="1"/>
  <c r="V32" i="70" s="1"/>
  <c r="A391" i="77" s="1"/>
  <c r="G1767" i="67"/>
  <c r="G1800" i="67" s="1"/>
  <c r="G123" i="31" s="1"/>
  <c r="G124" i="31"/>
  <c r="F858" i="67"/>
  <c r="F859" i="67" s="1"/>
  <c r="AD34" i="69"/>
  <c r="AG34" i="69" s="1"/>
  <c r="F812" i="67"/>
  <c r="F813" i="67" s="1"/>
  <c r="G286" i="31"/>
  <c r="G630" i="67"/>
  <c r="G814" i="67" s="1"/>
  <c r="G817" i="67" s="1"/>
  <c r="E1619" i="67"/>
  <c r="E105" i="31"/>
  <c r="H1619" i="67"/>
  <c r="H105" i="31"/>
  <c r="I817" i="67"/>
  <c r="I1662" i="67" s="1"/>
  <c r="F1647" i="67"/>
  <c r="F1617" i="67"/>
  <c r="G1617" i="67"/>
  <c r="G1647" i="67"/>
  <c r="E1617" i="67"/>
  <c r="E1655" i="67" s="1"/>
  <c r="E1647" i="67"/>
  <c r="H1647" i="67"/>
  <c r="H1617" i="67"/>
  <c r="F1619" i="67"/>
  <c r="F105" i="31"/>
  <c r="G1619" i="67"/>
  <c r="G105" i="31"/>
  <c r="H828" i="67"/>
  <c r="H829" i="67" s="1"/>
  <c r="I863" i="67"/>
  <c r="I1664" i="67" s="1"/>
  <c r="E858" i="67"/>
  <c r="E896" i="67" s="1"/>
  <c r="I1622" i="67"/>
  <c r="I1651" i="67"/>
  <c r="I104" i="31" s="1"/>
  <c r="G809" i="67"/>
  <c r="G812" i="67" s="1"/>
  <c r="G813" i="67" s="1"/>
  <c r="G775" i="67"/>
  <c r="G873" i="67" s="1"/>
  <c r="G874" i="67" s="1"/>
  <c r="G875" i="67" s="1"/>
  <c r="G848" i="67"/>
  <c r="A268" i="77"/>
  <c r="S32" i="75"/>
  <c r="G721" i="67"/>
  <c r="G724" i="67" s="1"/>
  <c r="G860" i="67" s="1"/>
  <c r="G855" i="67"/>
  <c r="A253" i="77"/>
  <c r="V23" i="75"/>
  <c r="A271" i="77"/>
  <c r="W32" i="75"/>
  <c r="X32" i="75"/>
  <c r="E812" i="67"/>
  <c r="E1661" i="67" s="1"/>
  <c r="E844" i="67"/>
  <c r="W32" i="69"/>
  <c r="A311" i="77"/>
  <c r="X32" i="69"/>
  <c r="AC34" i="69"/>
  <c r="AF34" i="69" s="1"/>
  <c r="P34" i="75"/>
  <c r="H848" i="67"/>
  <c r="H817" i="67"/>
  <c r="F817" i="67"/>
  <c r="Y33" i="69"/>
  <c r="A316" i="77"/>
  <c r="F863" i="67"/>
  <c r="F892" i="67"/>
  <c r="Q32" i="69"/>
  <c r="R32" i="69"/>
  <c r="A305" i="77"/>
  <c r="A306" i="77"/>
  <c r="R34" i="69"/>
  <c r="A272" i="77"/>
  <c r="X34" i="75"/>
  <c r="W34" i="75"/>
  <c r="E817" i="67"/>
  <c r="E1662" i="67" s="1"/>
  <c r="W33" i="69"/>
  <c r="X34" i="69"/>
  <c r="A312" i="77"/>
  <c r="R33" i="69"/>
  <c r="A307" i="77"/>
  <c r="V23" i="69"/>
  <c r="E863" i="67"/>
  <c r="E1665" i="67" s="1"/>
  <c r="G2291" i="67"/>
  <c r="G2292" i="67"/>
  <c r="I2251" i="67"/>
  <c r="G2236" i="67"/>
  <c r="G2241" i="67" s="1"/>
  <c r="H2250" i="67"/>
  <c r="F13" i="70"/>
  <c r="J23" i="70" s="1"/>
  <c r="A359" i="77"/>
  <c r="I2294" i="67"/>
  <c r="E2296" i="67"/>
  <c r="Y19" i="48" s="1"/>
  <c r="A454" i="77" s="1"/>
  <c r="G200" i="31"/>
  <c r="A460" i="77"/>
  <c r="A455" i="77"/>
  <c r="F229" i="31"/>
  <c r="E235" i="31"/>
  <c r="J34" i="69" s="1"/>
  <c r="K32" i="69"/>
  <c r="A299" i="77"/>
  <c r="I11" i="69"/>
  <c r="L21" i="69" s="1"/>
  <c r="E229" i="31"/>
  <c r="E85" i="31"/>
  <c r="F2295" i="67"/>
  <c r="E616" i="67"/>
  <c r="E11" i="69" s="1"/>
  <c r="A277" i="77" s="1"/>
  <c r="E2260" i="67"/>
  <c r="E2263" i="67" s="1"/>
  <c r="E2331" i="67" s="1"/>
  <c r="I2295" i="67"/>
  <c r="G610" i="67"/>
  <c r="G612" i="67" s="1"/>
  <c r="G616" i="67" s="1"/>
  <c r="G161" i="31" s="1"/>
  <c r="G1481" i="67"/>
  <c r="G19" i="31" s="1"/>
  <c r="G56" i="31"/>
  <c r="E163" i="31"/>
  <c r="Z10" i="48"/>
  <c r="E13" i="69"/>
  <c r="H2295" i="67"/>
  <c r="L23" i="69"/>
  <c r="J13" i="69"/>
  <c r="M23" i="69" s="1"/>
  <c r="F235" i="31"/>
  <c r="F91" i="31"/>
  <c r="F2294" i="67"/>
  <c r="G300" i="31"/>
  <c r="L22" i="69"/>
  <c r="J12" i="69"/>
  <c r="M22" i="69" s="1"/>
  <c r="G199" i="31"/>
  <c r="G547" i="67"/>
  <c r="G298" i="31"/>
  <c r="G292" i="31"/>
  <c r="G530" i="67"/>
  <c r="F241" i="31"/>
  <c r="F97" i="31"/>
  <c r="I241" i="31"/>
  <c r="I97" i="31"/>
  <c r="E2262" i="67"/>
  <c r="Y18" i="34" s="1"/>
  <c r="A445" i="77" s="1"/>
  <c r="H2259" i="67"/>
  <c r="H2260" i="67"/>
  <c r="H2263" i="67" s="1"/>
  <c r="G299" i="31"/>
  <c r="G2254" i="67"/>
  <c r="F2259" i="67"/>
  <c r="F2262" i="67" s="1"/>
  <c r="F2260" i="67"/>
  <c r="F2263" i="67" s="1"/>
  <c r="I2260" i="67"/>
  <c r="I2259" i="67"/>
  <c r="K33" i="75"/>
  <c r="J33" i="69"/>
  <c r="G2245" i="67"/>
  <c r="G293" i="31"/>
  <c r="K34" i="75"/>
  <c r="H97" i="31"/>
  <c r="H241" i="31"/>
  <c r="I2241" i="67"/>
  <c r="I2242" i="67"/>
  <c r="I198" i="31"/>
  <c r="I199" i="31"/>
  <c r="I162" i="31"/>
  <c r="G48" i="45"/>
  <c r="E169" i="45" s="1"/>
  <c r="F169" i="45" s="1"/>
  <c r="G85" i="31"/>
  <c r="G229" i="31"/>
  <c r="E162" i="31"/>
  <c r="E12" i="69"/>
  <c r="I22" i="69" s="1"/>
  <c r="Z10" i="34"/>
  <c r="I229" i="31"/>
  <c r="I85" i="31"/>
  <c r="H896" i="67" l="1"/>
  <c r="H1664" i="67"/>
  <c r="X32" i="66"/>
  <c r="A354" i="77" s="1"/>
  <c r="H897" i="67"/>
  <c r="H1665" i="67"/>
  <c r="A351" i="77"/>
  <c r="E123" i="31"/>
  <c r="W34" i="69"/>
  <c r="W33" i="75"/>
  <c r="A273" i="77"/>
  <c r="G846" i="67"/>
  <c r="G894" i="67"/>
  <c r="I1661" i="67"/>
  <c r="I864" i="67"/>
  <c r="E859" i="67"/>
  <c r="X22" i="75"/>
  <c r="A256" i="77" s="1"/>
  <c r="E1664" i="67"/>
  <c r="P32" i="66"/>
  <c r="AC32" i="70"/>
  <c r="AF32" i="70" s="1"/>
  <c r="H1651" i="67"/>
  <c r="H104" i="31" s="1"/>
  <c r="H1622" i="67"/>
  <c r="I896" i="67"/>
  <c r="F1651" i="67"/>
  <c r="F104" i="31" s="1"/>
  <c r="F1622" i="67"/>
  <c r="Q34" i="69"/>
  <c r="I897" i="67"/>
  <c r="G1622" i="67"/>
  <c r="G1651" i="67"/>
  <c r="G104" i="31" s="1"/>
  <c r="I1665" i="67"/>
  <c r="I1655" i="67"/>
  <c r="I1656" i="67"/>
  <c r="I818" i="67"/>
  <c r="I850" i="67"/>
  <c r="I851" i="67"/>
  <c r="E1622" i="67"/>
  <c r="E1656" i="67" s="1"/>
  <c r="E1651" i="67"/>
  <c r="G842" i="67"/>
  <c r="F1662" i="67"/>
  <c r="F1661" i="67"/>
  <c r="F1665" i="67"/>
  <c r="F1664" i="67"/>
  <c r="H1661" i="67"/>
  <c r="H1662" i="67"/>
  <c r="G1661" i="67"/>
  <c r="G1662" i="67"/>
  <c r="E864" i="67"/>
  <c r="U22" i="69" s="1"/>
  <c r="E897" i="67"/>
  <c r="X22" i="69"/>
  <c r="Y33" i="75"/>
  <c r="A276" i="77"/>
  <c r="A275" i="77"/>
  <c r="Y34" i="75"/>
  <c r="AC33" i="69"/>
  <c r="P33" i="75"/>
  <c r="G851" i="67"/>
  <c r="G850" i="67"/>
  <c r="G818" i="67"/>
  <c r="R22" i="75"/>
  <c r="E813" i="67"/>
  <c r="E850" i="67"/>
  <c r="G863" i="67"/>
  <c r="G892" i="67"/>
  <c r="E818" i="67"/>
  <c r="O22" i="69" s="1"/>
  <c r="R22" i="69"/>
  <c r="E851" i="67"/>
  <c r="S32" i="69"/>
  <c r="A308" i="77"/>
  <c r="F851" i="67"/>
  <c r="F818" i="67"/>
  <c r="F850" i="67"/>
  <c r="Y32" i="69"/>
  <c r="A314" i="77"/>
  <c r="A274" i="77"/>
  <c r="Y32" i="75"/>
  <c r="A310" i="77"/>
  <c r="G888" i="67"/>
  <c r="G858" i="67"/>
  <c r="G859" i="67" s="1"/>
  <c r="A266" i="77"/>
  <c r="Q34" i="75"/>
  <c r="R34" i="75"/>
  <c r="F2331" i="67"/>
  <c r="A315" i="77"/>
  <c r="Y34" i="69"/>
  <c r="S34" i="69"/>
  <c r="A309" i="77"/>
  <c r="F864" i="67"/>
  <c r="F896" i="67"/>
  <c r="F897" i="67"/>
  <c r="H818" i="67"/>
  <c r="H851" i="67"/>
  <c r="H850" i="67"/>
  <c r="G2242" i="67"/>
  <c r="H2262" i="67"/>
  <c r="H2264" i="67" s="1"/>
  <c r="I2296" i="67"/>
  <c r="E161" i="31"/>
  <c r="K46" i="45" s="1"/>
  <c r="F13" i="69"/>
  <c r="J23" i="69" s="1"/>
  <c r="A279" i="77"/>
  <c r="J11" i="69"/>
  <c r="M21" i="69" s="1"/>
  <c r="A281" i="77"/>
  <c r="K34" i="69"/>
  <c r="A300" i="77"/>
  <c r="K33" i="69"/>
  <c r="A301" i="77"/>
  <c r="F12" i="69"/>
  <c r="J22" i="69" s="1"/>
  <c r="A278" i="77"/>
  <c r="F2296" i="67"/>
  <c r="F2330" i="67"/>
  <c r="H2294" i="67"/>
  <c r="H2296" i="67" s="1"/>
  <c r="G2295" i="67"/>
  <c r="G2294" i="67"/>
  <c r="H2331" i="67"/>
  <c r="G198" i="31"/>
  <c r="F167" i="45"/>
  <c r="E14" i="45" s="1"/>
  <c r="T2" i="50" s="1"/>
  <c r="G162" i="31"/>
  <c r="Y20" i="34"/>
  <c r="I2263" i="67"/>
  <c r="I2331" i="67" s="1"/>
  <c r="E2330" i="67"/>
  <c r="E2332" i="67" s="1"/>
  <c r="E2264" i="67"/>
  <c r="Y19" i="34" s="1"/>
  <c r="A446" i="77" s="1"/>
  <c r="F2264" i="67"/>
  <c r="I2262" i="67"/>
  <c r="G2259" i="67"/>
  <c r="G2260" i="67"/>
  <c r="G91" i="31"/>
  <c r="G235" i="31"/>
  <c r="G2250" i="67"/>
  <c r="G2251" i="67"/>
  <c r="G241" i="31"/>
  <c r="G97" i="31"/>
  <c r="I21" i="69"/>
  <c r="F11" i="69"/>
  <c r="J21" i="69" s="1"/>
  <c r="G2262" i="67" l="1"/>
  <c r="Y32" i="66"/>
  <c r="Y22" i="75"/>
  <c r="X21" i="75"/>
  <c r="A255" i="77" s="1"/>
  <c r="U22" i="75"/>
  <c r="AC22" i="69"/>
  <c r="AE22" i="69" s="1"/>
  <c r="Y22" i="69" s="1"/>
  <c r="G1655" i="67"/>
  <c r="G1656" i="67"/>
  <c r="E104" i="31"/>
  <c r="P32" i="70"/>
  <c r="H1656" i="67"/>
  <c r="H1655" i="67"/>
  <c r="F1656" i="67"/>
  <c r="F1655" i="67"/>
  <c r="A345" i="77"/>
  <c r="Q32" i="66"/>
  <c r="R32" i="66"/>
  <c r="G1664" i="67"/>
  <c r="G1665" i="67"/>
  <c r="A249" i="77"/>
  <c r="S22" i="75"/>
  <c r="R21" i="75"/>
  <c r="A296" i="77"/>
  <c r="X21" i="69"/>
  <c r="F2332" i="67"/>
  <c r="A289" i="77"/>
  <c r="R21" i="69"/>
  <c r="A285" i="77"/>
  <c r="O22" i="75"/>
  <c r="AB22" i="69"/>
  <c r="AD22" i="69" s="1"/>
  <c r="S22" i="69" s="1"/>
  <c r="AF33" i="69"/>
  <c r="S33" i="69" s="1"/>
  <c r="Q33" i="69"/>
  <c r="A269" i="77"/>
  <c r="S34" i="75"/>
  <c r="G896" i="67"/>
  <c r="G864" i="67"/>
  <c r="G897" i="67"/>
  <c r="Q33" i="75"/>
  <c r="R33" i="75"/>
  <c r="A267" i="77"/>
  <c r="A292" i="77"/>
  <c r="G2263" i="67"/>
  <c r="G2331" i="67" s="1"/>
  <c r="H2330" i="67"/>
  <c r="H2332" i="67" s="1"/>
  <c r="Y25" i="34"/>
  <c r="A452" i="77" s="1"/>
  <c r="A447" i="77"/>
  <c r="G2296" i="67"/>
  <c r="I2264" i="67"/>
  <c r="I2330" i="67"/>
  <c r="I2332" i="67" s="1"/>
  <c r="G2330" i="67"/>
  <c r="Y2" i="75"/>
  <c r="Y2" i="66"/>
  <c r="T2" i="48"/>
  <c r="T2" i="49"/>
  <c r="T2" i="52"/>
  <c r="Y2" i="70"/>
  <c r="T2" i="51"/>
  <c r="T2" i="34"/>
  <c r="Y2" i="69"/>
  <c r="I1435" i="67"/>
  <c r="G1435" i="67"/>
  <c r="H74" i="31"/>
  <c r="E74" i="31"/>
  <c r="V12" i="57"/>
  <c r="F74" i="31"/>
  <c r="I1487" i="67"/>
  <c r="H1443" i="67"/>
  <c r="G1487" i="67"/>
  <c r="G1454" i="67"/>
  <c r="G74" i="31"/>
  <c r="F1444" i="67"/>
  <c r="F1653" i="67" s="1"/>
  <c r="E1435" i="67"/>
  <c r="H1435" i="67"/>
  <c r="H1487" i="67"/>
  <c r="F1443" i="67"/>
  <c r="I74" i="31"/>
  <c r="F1435" i="67"/>
  <c r="F1487" i="67"/>
  <c r="F1462" i="67"/>
  <c r="H1495" i="67"/>
  <c r="H1513" i="67" s="1"/>
  <c r="E1443" i="67"/>
  <c r="G1462" i="67"/>
  <c r="I1763" i="67"/>
  <c r="I1765" i="67" s="1"/>
  <c r="G1443" i="67"/>
  <c r="G1495" i="67"/>
  <c r="G1513" i="67" s="1"/>
  <c r="I1443" i="67"/>
  <c r="I1495" i="67"/>
  <c r="I1513" i="67" s="1"/>
  <c r="I1454" i="67"/>
  <c r="F1495" i="67"/>
  <c r="F1513" i="67" s="1"/>
  <c r="E1495" i="67"/>
  <c r="E1513" i="67" s="1"/>
  <c r="F1763" i="67"/>
  <c r="F1765" i="67" s="1"/>
  <c r="H1763" i="67"/>
  <c r="E1462" i="67"/>
  <c r="F1768" i="67"/>
  <c r="H1768" i="67"/>
  <c r="E12" i="61"/>
  <c r="H1462" i="67"/>
  <c r="G1763" i="67"/>
  <c r="G1765" i="67" s="1"/>
  <c r="I1462" i="67"/>
  <c r="G1419" i="67"/>
  <c r="H1496" i="67"/>
  <c r="H1645" i="67" s="1"/>
  <c r="E1487" i="67"/>
  <c r="F1454" i="67"/>
  <c r="E1454" i="67"/>
  <c r="F1791" i="67"/>
  <c r="E1763" i="67"/>
  <c r="H1419" i="67"/>
  <c r="F143" i="31"/>
  <c r="G143" i="31"/>
  <c r="H1427" i="67"/>
  <c r="H1454" i="67"/>
  <c r="E1496" i="67"/>
  <c r="E1645" i="67" s="1"/>
  <c r="I1433" i="67"/>
  <c r="I1434" i="67" s="1"/>
  <c r="I1438" i="67" s="1"/>
  <c r="H1433" i="67"/>
  <c r="I1419" i="67"/>
  <c r="F1450" i="67"/>
  <c r="F1433" i="67"/>
  <c r="F1419" i="67"/>
  <c r="F1648" i="67" s="1"/>
  <c r="I143" i="31"/>
  <c r="I1444" i="67"/>
  <c r="I1653" i="67" s="1"/>
  <c r="I1768" i="67"/>
  <c r="I1770" i="67" s="1"/>
  <c r="E1768" i="67"/>
  <c r="I1450" i="67"/>
  <c r="I1427" i="67"/>
  <c r="F1427" i="67"/>
  <c r="F1652" i="67" s="1"/>
  <c r="G1427" i="67"/>
  <c r="E12" i="57"/>
  <c r="E143" i="31"/>
  <c r="E1427" i="67"/>
  <c r="I1458" i="67"/>
  <c r="F1458" i="67"/>
  <c r="G1458" i="67"/>
  <c r="H1492" i="67"/>
  <c r="H1450" i="67"/>
  <c r="H143" i="31"/>
  <c r="G1441" i="67"/>
  <c r="H1458" i="67"/>
  <c r="G1433" i="67"/>
  <c r="G1434" i="67" s="1"/>
  <c r="G1438" i="67" s="1"/>
  <c r="G1450" i="67"/>
  <c r="G1768" i="67"/>
  <c r="G1770" i="67" s="1"/>
  <c r="E1458" i="67"/>
  <c r="E1419" i="67"/>
  <c r="AA34" i="70" s="1"/>
  <c r="E1450" i="67"/>
  <c r="E1433" i="67"/>
  <c r="E1434" i="67" s="1"/>
  <c r="E1438" i="67" s="1"/>
  <c r="V22" i="69" l="1"/>
  <c r="V22" i="75"/>
  <c r="A252" i="77"/>
  <c r="Y21" i="75"/>
  <c r="U21" i="75"/>
  <c r="A385" i="77"/>
  <c r="R32" i="70"/>
  <c r="A348" i="77"/>
  <c r="S32" i="66"/>
  <c r="E1429" i="67"/>
  <c r="E1652" i="67"/>
  <c r="P34" i="70" s="1"/>
  <c r="A386" i="77" s="1"/>
  <c r="H336" i="31"/>
  <c r="H1623" i="67"/>
  <c r="H31" i="31" s="1"/>
  <c r="I1429" i="67"/>
  <c r="I1652" i="67"/>
  <c r="I110" i="31" s="1"/>
  <c r="F23" i="66"/>
  <c r="E1618" i="67"/>
  <c r="G73" i="31"/>
  <c r="G1648" i="67"/>
  <c r="I1506" i="67"/>
  <c r="I1618" i="67"/>
  <c r="I73" i="31"/>
  <c r="I1648" i="67"/>
  <c r="H1506" i="67"/>
  <c r="H1618" i="67"/>
  <c r="H73" i="31"/>
  <c r="H1648" i="67"/>
  <c r="F1506" i="67"/>
  <c r="F1618" i="67"/>
  <c r="I336" i="31"/>
  <c r="I1623" i="67"/>
  <c r="I31" i="31" s="1"/>
  <c r="F336" i="31"/>
  <c r="F1623" i="67"/>
  <c r="F31" i="31" s="1"/>
  <c r="F23" i="70"/>
  <c r="E1623" i="67"/>
  <c r="G1506" i="67"/>
  <c r="G1618" i="67"/>
  <c r="E1421" i="67"/>
  <c r="AB34" i="70" s="1"/>
  <c r="AE34" i="70" s="1"/>
  <c r="M34" i="70" s="1"/>
  <c r="E1648" i="67"/>
  <c r="AC34" i="70" s="1"/>
  <c r="G1429" i="67"/>
  <c r="G1652" i="67"/>
  <c r="G110" i="31" s="1"/>
  <c r="H1429" i="67"/>
  <c r="H1652" i="67"/>
  <c r="H110" i="31" s="1"/>
  <c r="G336" i="31"/>
  <c r="G1623" i="67"/>
  <c r="P22" i="75"/>
  <c r="A245" i="77"/>
  <c r="P22" i="69"/>
  <c r="O21" i="75"/>
  <c r="A248" i="77"/>
  <c r="S21" i="75"/>
  <c r="A270" i="77"/>
  <c r="S33" i="75"/>
  <c r="A288" i="77"/>
  <c r="O21" i="69"/>
  <c r="A295" i="77"/>
  <c r="U21" i="69"/>
  <c r="G2332" i="67"/>
  <c r="G2264" i="67"/>
  <c r="G12" i="61"/>
  <c r="A210" i="77" s="1"/>
  <c r="A118" i="77"/>
  <c r="A207" i="77"/>
  <c r="AH12" i="70"/>
  <c r="E1463" i="67"/>
  <c r="L12" i="70" s="1"/>
  <c r="G1452" i="67"/>
  <c r="F61" i="31"/>
  <c r="I1452" i="67"/>
  <c r="I1456" i="67" s="1"/>
  <c r="F1503" i="67"/>
  <c r="F1504" i="67" s="1"/>
  <c r="F1505" i="67"/>
  <c r="H1505" i="67"/>
  <c r="I1489" i="67"/>
  <c r="H1455" i="67"/>
  <c r="I61" i="31"/>
  <c r="H1460" i="67"/>
  <c r="F110" i="31"/>
  <c r="I1505" i="67"/>
  <c r="K32" i="70"/>
  <c r="J34" i="70"/>
  <c r="A380" i="77" s="1"/>
  <c r="J33" i="66"/>
  <c r="AB33" i="70"/>
  <c r="H1489" i="67"/>
  <c r="I1421" i="67"/>
  <c r="H1437" i="67"/>
  <c r="G1437" i="67"/>
  <c r="E22" i="70"/>
  <c r="I1437" i="67"/>
  <c r="G1421" i="67"/>
  <c r="E1801" i="67"/>
  <c r="E1506" i="67"/>
  <c r="AA21" i="70" s="1"/>
  <c r="F1766" i="67"/>
  <c r="E336" i="31"/>
  <c r="H1421" i="67"/>
  <c r="F1460" i="67"/>
  <c r="E61" i="31"/>
  <c r="O12" i="70"/>
  <c r="F1441" i="67"/>
  <c r="F1445" i="67" s="1"/>
  <c r="F1492" i="67"/>
  <c r="F1797" i="67"/>
  <c r="G1797" i="67"/>
  <c r="E22" i="66"/>
  <c r="F22" i="66" s="1"/>
  <c r="G1492" i="67"/>
  <c r="F73" i="31"/>
  <c r="H1434" i="67"/>
  <c r="H1438" i="67" s="1"/>
  <c r="I1766" i="67"/>
  <c r="AA22" i="70"/>
  <c r="E1452" i="67"/>
  <c r="E1437" i="67"/>
  <c r="I1771" i="67"/>
  <c r="I43" i="31" s="1"/>
  <c r="E1503" i="67"/>
  <c r="H1452" i="67"/>
  <c r="I1460" i="67"/>
  <c r="G12" i="57"/>
  <c r="I116" i="31"/>
  <c r="I1797" i="67"/>
  <c r="F157" i="31"/>
  <c r="H1514" i="67"/>
  <c r="H335" i="31" s="1"/>
  <c r="H338" i="31"/>
  <c r="G1442" i="67"/>
  <c r="G1445" i="67"/>
  <c r="Y18" i="57"/>
  <c r="A493" i="77" s="1"/>
  <c r="Y18" i="61"/>
  <c r="X18" i="57"/>
  <c r="I1441" i="67"/>
  <c r="I1492" i="67"/>
  <c r="E24" i="70"/>
  <c r="F24" i="70" s="1"/>
  <c r="E1514" i="67"/>
  <c r="E338" i="31"/>
  <c r="G61" i="31"/>
  <c r="G1460" i="67"/>
  <c r="G1503" i="67"/>
  <c r="E1489" i="67"/>
  <c r="E1505" i="67"/>
  <c r="F116" i="31"/>
  <c r="O12" i="66"/>
  <c r="P12" i="66" s="1"/>
  <c r="E1455" i="67"/>
  <c r="E34" i="66"/>
  <c r="E34" i="70"/>
  <c r="E73" i="31"/>
  <c r="G1771" i="67"/>
  <c r="G43" i="31" s="1"/>
  <c r="R22" i="70"/>
  <c r="A369" i="77" s="1"/>
  <c r="L33" i="66"/>
  <c r="H63" i="31"/>
  <c r="H1494" i="67"/>
  <c r="H1511" i="67"/>
  <c r="F1429" i="67"/>
  <c r="G1455" i="67"/>
  <c r="E1791" i="67"/>
  <c r="E1441" i="67"/>
  <c r="F1434" i="67"/>
  <c r="F1438" i="67" s="1"/>
  <c r="F1437" i="67"/>
  <c r="G1801" i="67"/>
  <c r="G129" i="31" s="1"/>
  <c r="G157" i="31"/>
  <c r="H61" i="31"/>
  <c r="H60" i="31"/>
  <c r="H1463" i="67"/>
  <c r="H24" i="31" s="1"/>
  <c r="E1492" i="67"/>
  <c r="E1460" i="67"/>
  <c r="I1455" i="67"/>
  <c r="I1503" i="67"/>
  <c r="E1770" i="67"/>
  <c r="E1444" i="67"/>
  <c r="E1653" i="67" s="1"/>
  <c r="G1463" i="67"/>
  <c r="G24" i="31" s="1"/>
  <c r="H1497" i="67"/>
  <c r="H26" i="31" s="1"/>
  <c r="H1444" i="67"/>
  <c r="H1653" i="67" s="1"/>
  <c r="H1791" i="67"/>
  <c r="H1770" i="67"/>
  <c r="H1801" i="67"/>
  <c r="H129" i="31" s="1"/>
  <c r="H1441" i="67"/>
  <c r="H1503" i="67"/>
  <c r="I1801" i="67"/>
  <c r="I129" i="31" s="1"/>
  <c r="I1496" i="67"/>
  <c r="I1645" i="67" s="1"/>
  <c r="I1791" i="67"/>
  <c r="F1421" i="67"/>
  <c r="F1455" i="67"/>
  <c r="F1452" i="67"/>
  <c r="I1463" i="67"/>
  <c r="I24" i="31" s="1"/>
  <c r="E1765" i="67"/>
  <c r="E1658" i="67" s="1"/>
  <c r="E1797" i="67"/>
  <c r="AD34" i="70" s="1"/>
  <c r="F1770" i="67"/>
  <c r="F1801" i="67"/>
  <c r="F129" i="31" s="1"/>
  <c r="F1463" i="67"/>
  <c r="F24" i="31" s="1"/>
  <c r="G1496" i="67"/>
  <c r="G1645" i="67" s="1"/>
  <c r="G1791" i="67"/>
  <c r="G1505" i="67"/>
  <c r="G1489" i="67"/>
  <c r="F1489" i="67"/>
  <c r="F1792" i="67"/>
  <c r="F1802" i="67"/>
  <c r="F135" i="31" s="1"/>
  <c r="G1766" i="67"/>
  <c r="H1765" i="67"/>
  <c r="H1766" i="67" s="1"/>
  <c r="H1797" i="67"/>
  <c r="G1444" i="67"/>
  <c r="G1653" i="67" s="1"/>
  <c r="F1496" i="67"/>
  <c r="F1645" i="67" s="1"/>
  <c r="A469" i="77" l="1"/>
  <c r="J34" i="66"/>
  <c r="K34" i="66" s="1"/>
  <c r="F34" i="66"/>
  <c r="F33" i="66"/>
  <c r="F34" i="70"/>
  <c r="F33" i="70"/>
  <c r="P12" i="70"/>
  <c r="AC21" i="69"/>
  <c r="V21" i="75"/>
  <c r="S32" i="70"/>
  <c r="A388" i="77"/>
  <c r="F1508" i="67"/>
  <c r="F1658" i="67"/>
  <c r="F1659" i="67"/>
  <c r="AB21" i="69"/>
  <c r="AD21" i="69" s="1"/>
  <c r="S21" i="69" s="1"/>
  <c r="P21" i="75"/>
  <c r="K33" i="66"/>
  <c r="A341" i="77"/>
  <c r="M33" i="66"/>
  <c r="A344" i="77"/>
  <c r="Z11" i="57"/>
  <c r="F1507" i="67"/>
  <c r="I12" i="66"/>
  <c r="J12" i="66" s="1"/>
  <c r="M22" i="66" s="1"/>
  <c r="E24" i="31"/>
  <c r="G63" i="31"/>
  <c r="F1511" i="67"/>
  <c r="F1512" i="67" s="1"/>
  <c r="H1464" i="67"/>
  <c r="H18" i="31" s="1"/>
  <c r="I55" i="31"/>
  <c r="F55" i="31"/>
  <c r="F1456" i="67"/>
  <c r="E60" i="31"/>
  <c r="H55" i="31"/>
  <c r="H1456" i="67"/>
  <c r="G1456" i="67"/>
  <c r="F63" i="31"/>
  <c r="K34" i="70"/>
  <c r="G1494" i="67"/>
  <c r="G60" i="31"/>
  <c r="F1464" i="67"/>
  <c r="F18" i="31" s="1"/>
  <c r="E110" i="31"/>
  <c r="AE33" i="70"/>
  <c r="F60" i="31"/>
  <c r="F1494" i="67"/>
  <c r="F1497" i="67"/>
  <c r="F26" i="31" s="1"/>
  <c r="V34" i="70"/>
  <c r="F1442" i="67"/>
  <c r="F1446" i="67" s="1"/>
  <c r="E129" i="31"/>
  <c r="E21" i="66"/>
  <c r="F21" i="66" s="1"/>
  <c r="F22" i="70"/>
  <c r="Y20" i="57"/>
  <c r="E1456" i="67"/>
  <c r="E12" i="66" s="1"/>
  <c r="A318" i="77" s="1"/>
  <c r="I1464" i="67"/>
  <c r="I18" i="31" s="1"/>
  <c r="E1504" i="67"/>
  <c r="AH11" i="70"/>
  <c r="E1507" i="67"/>
  <c r="H157" i="31"/>
  <c r="AD12" i="70"/>
  <c r="O11" i="66"/>
  <c r="P11" i="66" s="1"/>
  <c r="G1497" i="67"/>
  <c r="G26" i="31" s="1"/>
  <c r="G1511" i="67"/>
  <c r="F338" i="31"/>
  <c r="F1514" i="67"/>
  <c r="I1514" i="67"/>
  <c r="I335" i="31" s="1"/>
  <c r="I338" i="31"/>
  <c r="H1771" i="67"/>
  <c r="H43" i="31" s="1"/>
  <c r="G31" i="31"/>
  <c r="F32" i="66"/>
  <c r="G1507" i="67"/>
  <c r="G1504" i="67"/>
  <c r="G1508" i="67" s="1"/>
  <c r="G1802" i="67"/>
  <c r="G135" i="31" s="1"/>
  <c r="G1792" i="67"/>
  <c r="P34" i="66"/>
  <c r="X20" i="57"/>
  <c r="X25" i="57" s="1"/>
  <c r="Y20" i="61"/>
  <c r="I1442" i="67"/>
  <c r="I1445" i="67"/>
  <c r="F1793" i="67"/>
  <c r="F45" i="31" s="1"/>
  <c r="G338" i="31"/>
  <c r="G1514" i="67"/>
  <c r="G335" i="31" s="1"/>
  <c r="X22" i="66"/>
  <c r="E1766" i="67"/>
  <c r="H1507" i="67"/>
  <c r="H1504" i="67"/>
  <c r="H1508" i="67" s="1"/>
  <c r="H1792" i="67"/>
  <c r="H1793" i="67" s="1"/>
  <c r="H45" i="31" s="1"/>
  <c r="H1802" i="67"/>
  <c r="H135" i="31" s="1"/>
  <c r="E1771" i="67"/>
  <c r="X22" i="70"/>
  <c r="A376" i="77" s="1"/>
  <c r="I12" i="70"/>
  <c r="A362" i="77" s="1"/>
  <c r="E1464" i="67"/>
  <c r="E55" i="31"/>
  <c r="H1498" i="67"/>
  <c r="H20" i="31" s="1"/>
  <c r="H57" i="31"/>
  <c r="E31" i="31"/>
  <c r="O22" i="70"/>
  <c r="A365" i="77" s="1"/>
  <c r="F33" i="31"/>
  <c r="E21" i="70"/>
  <c r="F21" i="70" s="1"/>
  <c r="E335" i="31"/>
  <c r="H54" i="31"/>
  <c r="F1771" i="67"/>
  <c r="F43" i="31" s="1"/>
  <c r="X32" i="70"/>
  <c r="W32" i="70"/>
  <c r="E1445" i="67"/>
  <c r="E1442" i="67"/>
  <c r="R22" i="66"/>
  <c r="I1497" i="67"/>
  <c r="I26" i="31" s="1"/>
  <c r="I63" i="31"/>
  <c r="I1494" i="67"/>
  <c r="I60" i="31"/>
  <c r="I1511" i="67"/>
  <c r="G154" i="31"/>
  <c r="G1446" i="67"/>
  <c r="V34" i="66"/>
  <c r="AG34" i="70"/>
  <c r="H116" i="31"/>
  <c r="AF33" i="70"/>
  <c r="AG33" i="70"/>
  <c r="H1512" i="67"/>
  <c r="H1516" i="67" s="1"/>
  <c r="H17" i="31" s="1"/>
  <c r="H1515" i="67"/>
  <c r="H23" i="31" s="1"/>
  <c r="AG12" i="70"/>
  <c r="M12" i="70" s="1"/>
  <c r="Y11" i="57"/>
  <c r="Z11" i="61"/>
  <c r="L12" i="66"/>
  <c r="M12" i="66" s="1"/>
  <c r="L14" i="66"/>
  <c r="M14" i="66" s="1"/>
  <c r="Z11" i="63"/>
  <c r="AG14" i="70"/>
  <c r="Y11" i="55"/>
  <c r="G116" i="31"/>
  <c r="G33" i="31"/>
  <c r="I1792" i="67"/>
  <c r="I1802" i="67"/>
  <c r="I135" i="31" s="1"/>
  <c r="H1445" i="67"/>
  <c r="H1442" i="67"/>
  <c r="I1507" i="67"/>
  <c r="I1504" i="67"/>
  <c r="I1508" i="67" s="1"/>
  <c r="E63" i="31"/>
  <c r="E1497" i="67"/>
  <c r="O14" i="70"/>
  <c r="P14" i="70" s="1"/>
  <c r="E1494" i="67"/>
  <c r="E1511" i="67"/>
  <c r="I33" i="31"/>
  <c r="E14" i="55"/>
  <c r="G14" i="55" s="1"/>
  <c r="E157" i="31"/>
  <c r="E1802" i="67"/>
  <c r="E1792" i="67"/>
  <c r="E1659" i="67" s="1"/>
  <c r="F32" i="70"/>
  <c r="R34" i="70"/>
  <c r="A389" i="77" s="1"/>
  <c r="G1464" i="67"/>
  <c r="G18" i="31" s="1"/>
  <c r="G55" i="31"/>
  <c r="I157" i="31"/>
  <c r="A340" i="77" l="1"/>
  <c r="V21" i="69"/>
  <c r="AE21" i="69"/>
  <c r="Y21" i="69" s="1"/>
  <c r="G1658" i="67"/>
  <c r="G1659" i="67"/>
  <c r="H1658" i="67"/>
  <c r="I1658" i="67"/>
  <c r="I1659" i="67"/>
  <c r="I42" i="31" s="1"/>
  <c r="H1659" i="67"/>
  <c r="H42" i="31" s="1"/>
  <c r="P21" i="69"/>
  <c r="W34" i="66"/>
  <c r="A352" i="77"/>
  <c r="Q34" i="66"/>
  <c r="A346" i="77"/>
  <c r="Y32" i="70"/>
  <c r="A394" i="77"/>
  <c r="Y22" i="66"/>
  <c r="A336" i="77"/>
  <c r="S22" i="66"/>
  <c r="A329" i="77"/>
  <c r="X34" i="70"/>
  <c r="A395" i="77" s="1"/>
  <c r="A392" i="77"/>
  <c r="L11" i="66"/>
  <c r="M11" i="66" s="1"/>
  <c r="J103" i="45"/>
  <c r="F103" i="45" s="1"/>
  <c r="G103" i="45" s="1"/>
  <c r="E224" i="45" s="1"/>
  <c r="F224" i="45" s="1"/>
  <c r="Y25" i="57"/>
  <c r="A500" i="77" s="1"/>
  <c r="A495" i="77"/>
  <c r="Y25" i="61"/>
  <c r="A476" i="77" s="1"/>
  <c r="A471" i="77"/>
  <c r="L22" i="66"/>
  <c r="A322" i="77"/>
  <c r="F1515" i="67"/>
  <c r="F23" i="31" s="1"/>
  <c r="G57" i="31"/>
  <c r="E54" i="31"/>
  <c r="F54" i="31"/>
  <c r="F1498" i="67"/>
  <c r="F20" i="31" s="1"/>
  <c r="G54" i="31"/>
  <c r="G1498" i="67"/>
  <c r="G20" i="31" s="1"/>
  <c r="AC12" i="70"/>
  <c r="F57" i="31"/>
  <c r="J12" i="70"/>
  <c r="M22" i="70" s="1"/>
  <c r="L22" i="70"/>
  <c r="Q32" i="70"/>
  <c r="F154" i="31"/>
  <c r="Y10" i="57"/>
  <c r="Z10" i="61"/>
  <c r="AG11" i="70"/>
  <c r="R34" i="66"/>
  <c r="G1515" i="67"/>
  <c r="G23" i="31" s="1"/>
  <c r="G1512" i="67"/>
  <c r="G1516" i="67" s="1"/>
  <c r="G17" i="31" s="1"/>
  <c r="AD11" i="70"/>
  <c r="J104" i="45"/>
  <c r="F104" i="45" s="1"/>
  <c r="G104" i="45" s="1"/>
  <c r="E225" i="45" s="1"/>
  <c r="F225" i="45" s="1"/>
  <c r="I11" i="66"/>
  <c r="A321" i="77" s="1"/>
  <c r="E1508" i="67"/>
  <c r="J102" i="45" s="1"/>
  <c r="F102" i="45" s="1"/>
  <c r="G102" i="45" s="1"/>
  <c r="E223" i="45" s="1"/>
  <c r="F223" i="45" s="1"/>
  <c r="E26" i="31"/>
  <c r="Z11" i="55"/>
  <c r="L14" i="70"/>
  <c r="M14" i="70" s="1"/>
  <c r="O22" i="66"/>
  <c r="AB22" i="70"/>
  <c r="AD22" i="70" s="1"/>
  <c r="S22" i="70" s="1"/>
  <c r="I1446" i="67"/>
  <c r="I154" i="31"/>
  <c r="I22" i="66"/>
  <c r="F12" i="66"/>
  <c r="J22" i="66" s="1"/>
  <c r="F335" i="31"/>
  <c r="F1516" i="67"/>
  <c r="F17" i="31" s="1"/>
  <c r="E1515" i="67"/>
  <c r="O11" i="70"/>
  <c r="P11" i="70" s="1"/>
  <c r="E1512" i="67"/>
  <c r="H33" i="31"/>
  <c r="U22" i="66"/>
  <c r="AC22" i="70"/>
  <c r="AE22" i="70" s="1"/>
  <c r="Y22" i="70" s="1"/>
  <c r="E116" i="31"/>
  <c r="P33" i="70"/>
  <c r="A387" i="77" s="1"/>
  <c r="I14" i="70"/>
  <c r="J14" i="70" s="1"/>
  <c r="E57" i="31"/>
  <c r="E1498" i="67"/>
  <c r="I1515" i="67"/>
  <c r="I23" i="31" s="1"/>
  <c r="I1512" i="67"/>
  <c r="I1516" i="67" s="1"/>
  <c r="I17" i="31" s="1"/>
  <c r="E154" i="31"/>
  <c r="E1446" i="67"/>
  <c r="J33" i="70" s="1"/>
  <c r="L33" i="70"/>
  <c r="W34" i="70"/>
  <c r="E18" i="31"/>
  <c r="E12" i="70"/>
  <c r="Z10" i="57"/>
  <c r="U22" i="70"/>
  <c r="A372" i="77" s="1"/>
  <c r="E43" i="31"/>
  <c r="X21" i="66"/>
  <c r="G1793" i="67"/>
  <c r="G45" i="31" s="1"/>
  <c r="G42" i="31"/>
  <c r="X34" i="66"/>
  <c r="R24" i="70"/>
  <c r="E30" i="31"/>
  <c r="V33" i="70"/>
  <c r="A393" i="77" s="1"/>
  <c r="E135" i="31"/>
  <c r="H1446" i="67"/>
  <c r="H154" i="31"/>
  <c r="I1498" i="67"/>
  <c r="I20" i="31" s="1"/>
  <c r="I57" i="31"/>
  <c r="I54" i="31"/>
  <c r="A494" i="77"/>
  <c r="E1793" i="67"/>
  <c r="X24" i="70"/>
  <c r="Y18" i="55"/>
  <c r="Y20" i="55"/>
  <c r="Y25" i="55" s="1"/>
  <c r="I1793" i="67"/>
  <c r="I45" i="31" s="1"/>
  <c r="R21" i="66"/>
  <c r="F42" i="31"/>
  <c r="E42" i="31"/>
  <c r="AF34" i="70"/>
  <c r="S34" i="70" s="1"/>
  <c r="Q34" i="70"/>
  <c r="A358" i="77" l="1"/>
  <c r="I22" i="70"/>
  <c r="A470" i="77"/>
  <c r="P22" i="70"/>
  <c r="S34" i="66"/>
  <c r="A349" i="77"/>
  <c r="S21" i="66"/>
  <c r="A328" i="77"/>
  <c r="Y21" i="66"/>
  <c r="A335" i="77"/>
  <c r="S24" i="70"/>
  <c r="A371" i="77"/>
  <c r="P22" i="66"/>
  <c r="A325" i="77"/>
  <c r="Y34" i="66"/>
  <c r="A355" i="77"/>
  <c r="V22" i="66"/>
  <c r="A332" i="77"/>
  <c r="Y24" i="70"/>
  <c r="A378" i="77"/>
  <c r="Y34" i="70"/>
  <c r="L24" i="70"/>
  <c r="A364" i="77"/>
  <c r="E26" i="45"/>
  <c r="T2" i="61" s="1"/>
  <c r="M33" i="70"/>
  <c r="A384" i="77"/>
  <c r="K33" i="70"/>
  <c r="A381" i="77"/>
  <c r="F12" i="70"/>
  <c r="J22" i="70" s="1"/>
  <c r="AC11" i="70"/>
  <c r="E11" i="66"/>
  <c r="A317" i="77" s="1"/>
  <c r="L21" i="66"/>
  <c r="J11" i="66"/>
  <c r="V22" i="70"/>
  <c r="A510" i="77"/>
  <c r="A509" i="77"/>
  <c r="O21" i="66"/>
  <c r="E45" i="31"/>
  <c r="U24" i="70"/>
  <c r="R21" i="70"/>
  <c r="A368" i="77" s="1"/>
  <c r="K104" i="45"/>
  <c r="I11" i="70"/>
  <c r="A361" i="77" s="1"/>
  <c r="E1516" i="67"/>
  <c r="W33" i="70"/>
  <c r="X33" i="70"/>
  <c r="U21" i="66"/>
  <c r="Z10" i="55"/>
  <c r="E14" i="70"/>
  <c r="E20" i="31"/>
  <c r="E23" i="31"/>
  <c r="K103" i="45" s="1"/>
  <c r="L11" i="70"/>
  <c r="M11" i="70" s="1"/>
  <c r="O24" i="70"/>
  <c r="E33" i="31"/>
  <c r="Q33" i="70"/>
  <c r="R33" i="70"/>
  <c r="X21" i="70"/>
  <c r="A375" i="77" s="1"/>
  <c r="V24" i="70" l="1"/>
  <c r="A374" i="77"/>
  <c r="Y33" i="70"/>
  <c r="A396" i="77"/>
  <c r="P24" i="70"/>
  <c r="A367" i="77"/>
  <c r="S33" i="70"/>
  <c r="A390" i="77"/>
  <c r="T2" i="55"/>
  <c r="T2" i="62"/>
  <c r="F14" i="70"/>
  <c r="J24" i="70" s="1"/>
  <c r="A360" i="77"/>
  <c r="A516" i="77"/>
  <c r="A511" i="77"/>
  <c r="T2" i="57"/>
  <c r="T2" i="63"/>
  <c r="T2" i="56"/>
  <c r="M24" i="70"/>
  <c r="J11" i="70"/>
  <c r="M21" i="70" s="1"/>
  <c r="F11" i="66"/>
  <c r="J21" i="66" s="1"/>
  <c r="I21" i="66"/>
  <c r="M21" i="66"/>
  <c r="V21" i="66"/>
  <c r="AC21" i="70"/>
  <c r="AE21" i="70" s="1"/>
  <c r="Y21" i="70" s="1"/>
  <c r="E11" i="70"/>
  <c r="A357" i="77" s="1"/>
  <c r="E17" i="31"/>
  <c r="K102" i="45" s="1"/>
  <c r="L21" i="70"/>
  <c r="U21" i="70"/>
  <c r="O21" i="70"/>
  <c r="P21" i="66"/>
  <c r="AB21" i="70"/>
  <c r="AD21" i="70" s="1"/>
  <c r="S21" i="70" s="1"/>
  <c r="V21" i="70" l="1"/>
  <c r="P21" i="70"/>
  <c r="I21" i="70"/>
  <c r="F11" i="70"/>
  <c r="J21" i="70" s="1"/>
</calcChain>
</file>

<file path=xl/comments1.xml><?xml version="1.0" encoding="utf-8"?>
<comments xmlns="http://schemas.openxmlformats.org/spreadsheetml/2006/main">
  <authors>
    <author>Adam Aranyos</author>
  </authors>
  <commentList>
    <comment ref="G35" authorId="0" shapeId="0">
      <text>
        <r>
          <rPr>
            <b/>
            <sz val="11"/>
            <color indexed="8"/>
            <rFont val="Verdana"/>
            <family val="2"/>
          </rPr>
          <t>Adam Aranyos:</t>
        </r>
        <r>
          <rPr>
            <sz val="11"/>
            <color indexed="8"/>
            <rFont val="Verdana"/>
            <family val="2"/>
          </rPr>
          <t xml:space="preserve">
For entire tool pages, entering "screen" will create print corresponding area defined on the tool page. Otherwise, specify range such as "A1:B20" or a workbook-scope range name.</t>
        </r>
      </text>
    </comment>
    <comment ref="E59" authorId="0" shapeId="0">
      <text>
        <r>
          <rPr>
            <b/>
            <sz val="11"/>
            <color indexed="8"/>
            <rFont val="Verdana"/>
            <family val="2"/>
          </rPr>
          <t>Adam Aranyos:</t>
        </r>
        <r>
          <rPr>
            <sz val="11"/>
            <color indexed="8"/>
            <rFont val="Verdana"/>
            <family val="2"/>
          </rPr>
          <t xml:space="preserve">
If TRUE, will print one copy of the competitor report with each annual report printed. If FALSE, input box will allow you to specify copies printed.
Do not select in round 0.</t>
        </r>
      </text>
    </comment>
  </commentList>
</comments>
</file>

<file path=xl/sharedStrings.xml><?xml version="1.0" encoding="utf-8"?>
<sst xmlns="http://schemas.openxmlformats.org/spreadsheetml/2006/main" count="8105" uniqueCount="3857">
  <si>
    <t>core_FilePrefix</t>
  </si>
  <si>
    <t>This is used by the "Filename" macro, to determine what to name files as when saving</t>
  </si>
  <si>
    <t>tl</t>
  </si>
  <si>
    <t>this specifies what named ranges the tool reset decision macros search for</t>
  </si>
  <si>
    <t>e.g. if the named range on the dec page is "decTeamName" then the reset macro will look for [dec_toolInputPrefix &amp; "TeamName"]</t>
  </si>
  <si>
    <t>BTS</t>
  </si>
  <si>
    <t>xxRound</t>
  </si>
  <si>
    <t>dec_TeamName</t>
  </si>
  <si>
    <t>Menu Active</t>
  </si>
  <si>
    <t>Level 1 Menus</t>
  </si>
  <si>
    <t>vbaPopupMenu1Lvl1ItemNumber</t>
  </si>
  <si>
    <t>Level 2 Menus</t>
  </si>
  <si>
    <t>vbaPopupMenu1Lvl2ItemNumber</t>
  </si>
  <si>
    <t>Total</t>
  </si>
  <si>
    <t>vbaPopupMenu1ItemNumber</t>
  </si>
  <si>
    <t>Menu Items</t>
  </si>
  <si>
    <t>Menu Level</t>
  </si>
  <si>
    <t>Title</t>
  </si>
  <si>
    <t>Macro</t>
  </si>
  <si>
    <t>Face Id</t>
  </si>
  <si>
    <t>SimReset</t>
  </si>
  <si>
    <t>vbaPopupMenu1ListLevel</t>
  </si>
  <si>
    <t>vbaPopupMenu1ListTitle</t>
  </si>
  <si>
    <t>vbaPopupMenu1ListMacro</t>
  </si>
  <si>
    <t>vbaPopupMenu1ListFaceID</t>
  </si>
  <si>
    <t>ID</t>
  </si>
  <si>
    <t>Symbol</t>
  </si>
  <si>
    <t>Blank</t>
  </si>
  <si>
    <t>Save</t>
  </si>
  <si>
    <t>Print</t>
  </si>
  <si>
    <t>Cut</t>
  </si>
  <si>
    <t>Paste</t>
  </si>
  <si>
    <t>Open</t>
  </si>
  <si>
    <t>Rotate/Reset</t>
  </si>
  <si>
    <t>Trash</t>
  </si>
  <si>
    <t>Search</t>
  </si>
  <si>
    <t>Do Not Enter</t>
  </si>
  <si>
    <t>Delete (x)</t>
  </si>
  <si>
    <t>=</t>
  </si>
  <si>
    <t>+</t>
  </si>
  <si>
    <t>-</t>
  </si>
  <si>
    <t>70 - 79</t>
  </si>
  <si>
    <t>0-9</t>
  </si>
  <si>
    <t>80-105</t>
  </si>
  <si>
    <t>A-Z</t>
  </si>
  <si>
    <t>cnstSingleQuote</t>
  </si>
  <si>
    <t>cnstDoubleQuote</t>
  </si>
  <si>
    <t>Macro Name</t>
  </si>
  <si>
    <t>Arg 1</t>
  </si>
  <si>
    <t>Arg 2</t>
  </si>
  <si>
    <t>dec_TeamNumber</t>
  </si>
  <si>
    <t>Connect this to tlTeamName on Intro page</t>
  </si>
  <si>
    <t>Connect this to tlTeamNumber on Intro page</t>
  </si>
  <si>
    <t>dec_Round</t>
  </si>
  <si>
    <t>Connect this to xxRound on your Controls page</t>
  </si>
  <si>
    <t>hood_OnHoodCloseGoTo</t>
  </si>
  <si>
    <t>hood_ToolPrefix</t>
  </si>
  <si>
    <t>xxSim0Tool1</t>
  </si>
  <si>
    <t>xxIndexTeam</t>
  </si>
  <si>
    <t>Feedback</t>
  </si>
  <si>
    <t>feedback_FeedbackSheetName</t>
  </si>
  <si>
    <t>FeedbackTS</t>
  </si>
  <si>
    <t>feedback_TimeSeriesFeedbackSheetName</t>
  </si>
  <si>
    <t>feedback_FeedbackFileName</t>
  </si>
  <si>
    <t>sim_OnResetGoTo</t>
  </si>
  <si>
    <t>This named range determines which page to go to once the sim has been reset; by default it goes to the "Instructions" page you have just created</t>
  </si>
  <si>
    <t>Leave this blank if you do not want to specify a page to go to</t>
  </si>
  <si>
    <t>SimNewRound</t>
  </si>
  <si>
    <t>Controls</t>
  </si>
  <si>
    <t>this specifices which sheets the hood close macro acts upon</t>
  </si>
  <si>
    <t>after the hood is closed, which sheet should be navigated to (must begin with the prefix specified in hood_ToolPrefix)</t>
  </si>
  <si>
    <t>This is the name of the feedback file - whatever you enter here will be what the macro searches for when updating feedbacks</t>
  </si>
  <si>
    <t>Facilitator Instructions</t>
  </si>
  <si>
    <t>Processing</t>
  </si>
  <si>
    <t>Sim - Advance to Next Round</t>
  </si>
  <si>
    <t>Sim - Reset to R0</t>
  </si>
  <si>
    <t>dec_ToolInputPrefix</t>
  </si>
  <si>
    <t>Master Reset</t>
  </si>
  <si>
    <t>MasterReset</t>
  </si>
  <si>
    <t>FeedbackFile.xlsx</t>
  </si>
  <si>
    <t>This determines how many tools to create</t>
  </si>
  <si>
    <t>xxNumOfTeams</t>
  </si>
  <si>
    <t>xxToolPrefix</t>
  </si>
  <si>
    <t>CONFIGURATION - These MAY be set up by the developer at the beginning of the development; You are unlikely to need to modify these</t>
  </si>
  <si>
    <t>STATE - These are modified by macros, or may be manually adjusted by the developer for testing purposes</t>
  </si>
  <si>
    <t>SET UP - These MUST be set up by the developer at the beginning of the development</t>
  </si>
  <si>
    <t>SETTINGS - These may be modified by the developer or consultant</t>
  </si>
  <si>
    <t>INTERFACE - For modules that are being imported, these cells must be correctly connected to other cells in the simulation</t>
  </si>
  <si>
    <t>Connect this to xxToolPrefix on your controls page</t>
  </si>
  <si>
    <t>Menu Name</t>
  </si>
  <si>
    <t>PopUpMenu1</t>
  </si>
  <si>
    <t>vbaPopupMenuName</t>
  </si>
  <si>
    <t>vbaPopupMenuActive</t>
  </si>
  <si>
    <t>Popup Menu 1</t>
  </si>
  <si>
    <t>Arg 3</t>
  </si>
  <si>
    <t>Menu Level Count</t>
  </si>
  <si>
    <t>Useful Face IDs:</t>
  </si>
  <si>
    <t>Menu Constants</t>
  </si>
  <si>
    <t>Single Quote</t>
  </si>
  <si>
    <t>'</t>
  </si>
  <si>
    <t>Double Quote</t>
  </si>
  <si>
    <t>"</t>
  </si>
  <si>
    <t>Comma</t>
  </si>
  <si>
    <t>,</t>
  </si>
  <si>
    <t>cnstComma</t>
  </si>
  <si>
    <t>Description</t>
  </si>
  <si>
    <t xml:space="preserve">  Formula cell.  Developer may modify.</t>
  </si>
  <si>
    <t>Developer Notes</t>
  </si>
  <si>
    <t>Modules Used</t>
  </si>
  <si>
    <t xml:space="preserve">  Hard-coded cell.  Developer may modify.</t>
  </si>
  <si>
    <t xml:space="preserve">  Calculated cell. User must not modify.</t>
  </si>
  <si>
    <t xml:space="preserve">  Cell must be linked to another worksheet.</t>
  </si>
  <si>
    <t>Simulation Legend</t>
  </si>
  <si>
    <t>Processing Instructions</t>
  </si>
  <si>
    <t>Developer Resources</t>
  </si>
  <si>
    <t>https://bts.box.com/s/tld8dyjxygi4ctr492i8pgwwngqmbjnd</t>
  </si>
  <si>
    <t>Resource Name</t>
  </si>
  <si>
    <t>When to Use</t>
  </si>
  <si>
    <t>Link</t>
  </si>
  <si>
    <t>Updated Module Catalogue</t>
  </si>
  <si>
    <t>Refer to the Module Catalogue after concepting and before development.</t>
  </si>
  <si>
    <t>Module Factory Email</t>
  </si>
  <si>
    <t>ModuleFactory@bts.com</t>
  </si>
  <si>
    <t>Contact info for Module Factory developers.</t>
  </si>
  <si>
    <t>Use when you have questions on how to use or adapt a module (always read the user guide first), if you need a new module built, or if you have an idea for a module.</t>
  </si>
  <si>
    <t>Developer Support</t>
  </si>
  <si>
    <t>DeveloperSupport@bts.com</t>
  </si>
  <si>
    <t>Contact info for senior developers across time zones for urgent support requests.</t>
  </si>
  <si>
    <t>Use when you (the developer) have an urgent support need relating to a simulation you cannot resolve. Make sure you describe all variables such as version of Excel, etc. Mark as "low importance" in Outlook for less urgent requests.</t>
  </si>
  <si>
    <t>Library of all of the core platform modules sorted by functional type (e.g. calc, fin, market model, UI, developer tools)</t>
  </si>
  <si>
    <r>
      <rPr>
        <b/>
        <sz val="11"/>
        <color theme="1"/>
        <rFont val="Verdana"/>
        <family val="2"/>
      </rPr>
      <t>Follow the legend below</t>
    </r>
    <r>
      <rPr>
        <sz val="11"/>
        <color theme="1"/>
        <rFont val="Verdana"/>
        <family val="2"/>
      </rPr>
      <t xml:space="preserve"> to color-code the backend of your simulation. Other developers will better understand your simulation when it is color coded. The modules adhere to the same coloring.</t>
    </r>
  </si>
  <si>
    <t>Constants (for Reference)</t>
  </si>
  <si>
    <t>Calculations</t>
  </si>
  <si>
    <t>Set Up</t>
  </si>
  <si>
    <t>Inputs</t>
  </si>
  <si>
    <t>Calculation Cell Types</t>
  </si>
  <si>
    <t>Input Cell Types</t>
  </si>
  <si>
    <t>Legend</t>
  </si>
  <si>
    <t>For support contact:</t>
  </si>
  <si>
    <t>Popup Menu Module (Crtl + M)</t>
  </si>
  <si>
    <t>simulation_Type</t>
  </si>
  <si>
    <t>This is used as a switch for certain macros such as the SimReset macro</t>
  </si>
  <si>
    <t>Navigation</t>
  </si>
  <si>
    <t>HoodGoToScreen</t>
  </si>
  <si>
    <t>Facilitator_Instructions</t>
  </si>
  <si>
    <t>CoreSim_BlueberryCobbler</t>
  </si>
  <si>
    <t>Current Release Notes</t>
  </si>
  <si>
    <t>- The following pages have been modularized and removed from the core sim: obal, cbal, fin, calc, param, adj</t>
  </si>
  <si>
    <r>
      <t xml:space="preserve">- The </t>
    </r>
    <r>
      <rPr>
        <b/>
        <sz val="11"/>
        <color theme="1"/>
        <rFont val="Verdana"/>
        <family val="2"/>
      </rPr>
      <t>Controls</t>
    </r>
    <r>
      <rPr>
        <sz val="11"/>
        <color theme="1"/>
        <rFont val="Verdana"/>
        <family val="2"/>
      </rPr>
      <t xml:space="preserve"> page has a new range "simulation_Type." The simulation type will impact which core sim macros are activated.</t>
    </r>
  </si>
  <si>
    <t>Applies to BA1 and BA2 only</t>
  </si>
  <si>
    <t>The legend colors are available under Excel's standard color palette. The theme colors are preloaded with BTS branded colors.</t>
  </si>
  <si>
    <t>BA1</t>
  </si>
  <si>
    <t>End of Params</t>
  </si>
  <si>
    <t>R</t>
  </si>
  <si>
    <t>Test</t>
  </si>
  <si>
    <t>A</t>
  </si>
  <si>
    <t>Sample</t>
  </si>
  <si>
    <t>Other</t>
  </si>
  <si>
    <t>FTEs</t>
  </si>
  <si>
    <t>Cost</t>
  </si>
  <si>
    <t>Initiatives</t>
  </si>
  <si>
    <t>Must be in numerical order</t>
  </si>
  <si>
    <t># Adjustments</t>
  </si>
  <si>
    <t>Named Range</t>
  </si>
  <si>
    <t>Base Value</t>
  </si>
  <si>
    <t>A/R</t>
  </si>
  <si>
    <t>Name</t>
  </si>
  <si>
    <t>#</t>
  </si>
  <si>
    <t>Team 5</t>
  </si>
  <si>
    <t>Team 4</t>
  </si>
  <si>
    <t>Team 3</t>
  </si>
  <si>
    <t>Team 2</t>
  </si>
  <si>
    <t>Team 1</t>
  </si>
  <si>
    <t>Parameters</t>
  </si>
  <si>
    <t xml:space="preserve">  Cell values must be linked to another worksheet.</t>
  </si>
  <si>
    <t>Adj Param Module</t>
  </si>
  <si>
    <t>Rounds into launch</t>
  </si>
  <si>
    <t>Launched?</t>
  </si>
  <si>
    <t>4th Round</t>
  </si>
  <si>
    <t>3rd Round</t>
  </si>
  <si>
    <t>2nd Round</t>
  </si>
  <si>
    <t>1st Round</t>
  </si>
  <si>
    <t>If not chosen</t>
  </si>
  <si>
    <t>Costs</t>
  </si>
  <si>
    <t>SI Name</t>
  </si>
  <si>
    <t>SI Code</t>
  </si>
  <si>
    <t>Strategic Initiatives</t>
  </si>
  <si>
    <t>Decision Impacts on Parameters</t>
  </si>
  <si>
    <t>adj_CostCode</t>
  </si>
  <si>
    <t>Cost Code</t>
  </si>
  <si>
    <t>adj_FTECode</t>
  </si>
  <si>
    <t>FTE Code</t>
  </si>
  <si>
    <t>adj_IndexTeam</t>
  </si>
  <si>
    <t>Parameter Name</t>
  </si>
  <si>
    <t>Parameter #</t>
  </si>
  <si>
    <t>Adjustments</t>
  </si>
  <si>
    <t>End of Opening Balances</t>
  </si>
  <si>
    <t>cbal_Paste</t>
  </si>
  <si>
    <t>Closing Balances</t>
  </si>
  <si>
    <t>Balances Module</t>
  </si>
  <si>
    <t>obal_End</t>
  </si>
  <si>
    <t>Market Share</t>
  </si>
  <si>
    <t>obal_Paste</t>
  </si>
  <si>
    <t>obal_ResetR0</t>
  </si>
  <si>
    <t>Opening Balances</t>
  </si>
  <si>
    <t>HideRows</t>
  </si>
  <si>
    <t>Round</t>
  </si>
  <si>
    <t>Team Number</t>
  </si>
  <si>
    <t>Team Name</t>
  </si>
  <si>
    <t>Program Sub Name</t>
  </si>
  <si>
    <t>Program Name</t>
  </si>
  <si>
    <t>Add client-specific graphic in this area (remove lines)</t>
  </si>
  <si>
    <t>Screen</t>
  </si>
  <si>
    <t>A1:Q19</t>
  </si>
  <si>
    <t>add client logo here</t>
  </si>
  <si>
    <t>Price</t>
  </si>
  <si>
    <t>Dashboard</t>
  </si>
  <si>
    <t>End of Decisions</t>
  </si>
  <si>
    <t>Text</t>
  </si>
  <si>
    <t>Number</t>
  </si>
  <si>
    <t>ClearDecisionsResetValuesTool</t>
  </si>
  <si>
    <t>ClearDecisionsReset</t>
  </si>
  <si>
    <t>ClearDecisionsLabelsPaste</t>
  </si>
  <si>
    <t>Range</t>
  </si>
  <si>
    <t>Type</t>
  </si>
  <si>
    <t>Reset Value</t>
  </si>
  <si>
    <t>Decisions</t>
  </si>
  <si>
    <t>ClearDecisionsSheetsDelete</t>
  </si>
  <si>
    <t>Sheet 20</t>
  </si>
  <si>
    <t>Sheet 19</t>
  </si>
  <si>
    <t>Sheet 18</t>
  </si>
  <si>
    <t>Sheet 17</t>
  </si>
  <si>
    <t>Sheet 16</t>
  </si>
  <si>
    <t>Sheet 15</t>
  </si>
  <si>
    <t>Sheet 14</t>
  </si>
  <si>
    <t>Sheet 13</t>
  </si>
  <si>
    <t>Sheet 12</t>
  </si>
  <si>
    <t>Sheet 11</t>
  </si>
  <si>
    <t>Sheet 10</t>
  </si>
  <si>
    <t>Sheet 9</t>
  </si>
  <si>
    <t>Sheet 8</t>
  </si>
  <si>
    <t>Sheet 7</t>
  </si>
  <si>
    <t>Sheet 6</t>
  </si>
  <si>
    <t>Sheet 5</t>
  </si>
  <si>
    <t>Sheet 4</t>
  </si>
  <si>
    <t>Sheet 3</t>
  </si>
  <si>
    <t>Sheet 2</t>
  </si>
  <si>
    <t>Sheet 1</t>
  </si>
  <si>
    <t>Sheets to Delete</t>
  </si>
  <si>
    <t>ClearDecisionsColDelete</t>
  </si>
  <si>
    <t>Columns to Delete</t>
  </si>
  <si>
    <t>xxResetTeam</t>
  </si>
  <si>
    <t>Reset Team</t>
  </si>
  <si>
    <t>Clear Decisions Properties</t>
  </si>
  <si>
    <t>Module Clear Decisions</t>
  </si>
  <si>
    <t>dec_End</t>
  </si>
  <si>
    <t>Forecast</t>
  </si>
  <si>
    <t>decRound</t>
  </si>
  <si>
    <t>decTeamNumber</t>
  </si>
  <si>
    <t>decTeamName</t>
  </si>
  <si>
    <t>dec_PasteY3</t>
  </si>
  <si>
    <t>dec_PasteY2</t>
  </si>
  <si>
    <t>dec_PasteY1</t>
  </si>
  <si>
    <t>dec_Paste</t>
  </si>
  <si>
    <t>Paste. Leave This Row Blank</t>
  </si>
  <si>
    <t>T5Y3</t>
  </si>
  <si>
    <t>T4Y3</t>
  </si>
  <si>
    <t>T3Y3</t>
  </si>
  <si>
    <t>T2Y3</t>
  </si>
  <si>
    <t>T1Y3</t>
  </si>
  <si>
    <t>T5Y2</t>
  </si>
  <si>
    <t>T4Y2</t>
  </si>
  <si>
    <t>T3Y2</t>
  </si>
  <si>
    <t>T2Y2</t>
  </si>
  <si>
    <t>T1Y2</t>
  </si>
  <si>
    <t>T5Y1</t>
  </si>
  <si>
    <t>T4Y1</t>
  </si>
  <si>
    <t>T3Y1</t>
  </si>
  <si>
    <t>T2Y1</t>
  </si>
  <si>
    <t>T1Y1</t>
  </si>
  <si>
    <t>dec_ToolResetValues</t>
  </si>
  <si>
    <t>dec_ToolResetR0</t>
  </si>
  <si>
    <t>dec_ToolReset</t>
  </si>
  <si>
    <t>dec_FormulaReset</t>
  </si>
  <si>
    <t>dec_Names</t>
  </si>
  <si>
    <t>Dec History</t>
  </si>
  <si>
    <t>Tool Reset Values (BA1 and BA2 only)</t>
  </si>
  <si>
    <t>Tool Reset R0</t>
  </si>
  <si>
    <t>Tool Reset Every Round</t>
  </si>
  <si>
    <t>Formula Reset (Value for Hybrid)</t>
  </si>
  <si>
    <t>**Link from simulation_Type on Controls page</t>
  </si>
  <si>
    <t>decSimulationType</t>
  </si>
  <si>
    <t>Simulation Type</t>
  </si>
  <si>
    <t>Rows</t>
  </si>
  <si>
    <t>Sample Category 5</t>
  </si>
  <si>
    <t>SheetName</t>
  </si>
  <si>
    <t>fb1000GMProd1</t>
  </si>
  <si>
    <t>Sample Category 4</t>
  </si>
  <si>
    <t>X Label</t>
  </si>
  <si>
    <t>Sample Category 3</t>
  </si>
  <si>
    <t>Y Label</t>
  </si>
  <si>
    <t>Millions</t>
  </si>
  <si>
    <t>Sample Category 2</t>
  </si>
  <si>
    <t>Sample Graph Title</t>
  </si>
  <si>
    <t>Sample Category 1</t>
  </si>
  <si>
    <t>Graph Type</t>
  </si>
  <si>
    <t>Stacked Column with Data Label</t>
  </si>
  <si>
    <t>*connect this to the dec page team names</t>
  </si>
  <si>
    <t>Feedbacks</t>
  </si>
  <si>
    <t>**from xxNumOfTeams</t>
  </si>
  <si>
    <t>fbNumOfTeams</t>
  </si>
  <si>
    <t>Number of Teams</t>
  </si>
  <si>
    <t>VOC</t>
  </si>
  <si>
    <t>Bubble (Price Volume)</t>
  </si>
  <si>
    <t>Bubble</t>
  </si>
  <si>
    <t>Clustered Column with Data Label</t>
  </si>
  <si>
    <t>Clustered Column</t>
  </si>
  <si>
    <t xml:space="preserve">  Developer must assign value as external input.</t>
  </si>
  <si>
    <t>Stacked Column</t>
  </si>
  <si>
    <t xml:space="preserve">  Hard-coded input cell.  Developer may modify.</t>
  </si>
  <si>
    <t>Legend (DO NOT DELETE)</t>
  </si>
  <si>
    <t>Count</t>
  </si>
  <si>
    <t>fbHideRange</t>
  </si>
  <si>
    <t>Team 10</t>
  </si>
  <si>
    <t>Team 9</t>
  </si>
  <si>
    <t>Team 8</t>
  </si>
  <si>
    <t>Team 7</t>
  </si>
  <si>
    <t>Team 6</t>
  </si>
  <si>
    <t>fb0034GMProd1</t>
  </si>
  <si>
    <t>Year</t>
  </si>
  <si>
    <t>Gross Margin Alpha</t>
  </si>
  <si>
    <t>Time Series</t>
  </si>
  <si>
    <t>ffbRevenue</t>
  </si>
  <si>
    <t>Link to Range</t>
  </si>
  <si>
    <t>ffbProd1SO</t>
  </si>
  <si>
    <t>Volume Stock Out</t>
  </si>
  <si>
    <t>ffbProd1NSO</t>
  </si>
  <si>
    <t>Volume Non Stock Out</t>
  </si>
  <si>
    <t>Enter Year 0 Rows Above</t>
  </si>
  <si>
    <t>ffbProd1Vol</t>
  </si>
  <si>
    <t>Volume</t>
  </si>
  <si>
    <t>SO Row</t>
  </si>
  <si>
    <t>Non SO Row</t>
  </si>
  <si>
    <t>Volume Row</t>
  </si>
  <si>
    <t>fb1234PVProd1</t>
  </si>
  <si>
    <t>Price Volume Alpha</t>
  </si>
  <si>
    <t>PV</t>
  </si>
  <si>
    <t>ffbProd1Price</t>
  </si>
  <si>
    <t>decteamname</t>
  </si>
  <si>
    <t>fbTSHideRange</t>
  </si>
  <si>
    <t>Feedback Time Series</t>
  </si>
  <si>
    <t>Outputs</t>
  </si>
  <si>
    <t>For questions or support contact:</t>
  </si>
  <si>
    <t>WobblerCalc</t>
  </si>
  <si>
    <t>specifices the line break used in the error check pop-up</t>
  </si>
  <si>
    <t>ErrorMessage_LineBreak</t>
  </si>
  <si>
    <t>ErrorMessage_Check</t>
  </si>
  <si>
    <t>Calculations &amp; Constants - Do NOT modify these</t>
  </si>
  <si>
    <t>Check FTEs</t>
  </si>
  <si>
    <t>Formatted Message</t>
  </si>
  <si>
    <t>Error Message</t>
  </si>
  <si>
    <t>Warning</t>
  </si>
  <si>
    <t>ErrorMessage_Message</t>
  </si>
  <si>
    <t>Calculated Cell Types</t>
  </si>
  <si>
    <t>Error Message Module</t>
  </si>
  <si>
    <t>Tool - Export Decisions</t>
  </si>
  <si>
    <t>Sim - Import Decisions</t>
  </si>
  <si>
    <t>DecExportDecisions</t>
  </si>
  <si>
    <t>Sim - Update Feedbacks</t>
  </si>
  <si>
    <t>FBUpdateFeedbackFile</t>
  </si>
  <si>
    <t>Gross Margin</t>
  </si>
  <si>
    <t>nmGrossMargin</t>
  </si>
  <si>
    <t>Gross Profit</t>
  </si>
  <si>
    <t>nmGrossProfit</t>
  </si>
  <si>
    <t>COGS</t>
  </si>
  <si>
    <t>nmCOGS</t>
  </si>
  <si>
    <t>Revenue</t>
  </si>
  <si>
    <t>nmRevenue</t>
  </si>
  <si>
    <t>nmInitiatives</t>
  </si>
  <si>
    <t>Marketing</t>
  </si>
  <si>
    <t>nmMarketing</t>
  </si>
  <si>
    <t>nmPrice</t>
  </si>
  <si>
    <t>nmForecast</t>
  </si>
  <si>
    <t>nmProd1Seg3</t>
  </si>
  <si>
    <t>nmProd1Seg2</t>
  </si>
  <si>
    <t>nmProd1Seg1</t>
  </si>
  <si>
    <t>nmProd1</t>
  </si>
  <si>
    <t>Mn</t>
  </si>
  <si>
    <t>nmMillion</t>
  </si>
  <si>
    <t>nmRound</t>
  </si>
  <si>
    <t>nmTeamNumber</t>
  </si>
  <si>
    <t>nmTeamName</t>
  </si>
  <si>
    <t>nmProgramSubtitle</t>
  </si>
  <si>
    <t>nmProgramTitle</t>
  </si>
  <si>
    <t>Language 3</t>
  </si>
  <si>
    <t>Language 2</t>
  </si>
  <si>
    <t>English</t>
  </si>
  <si>
    <t>Names</t>
  </si>
  <si>
    <t>cnstMillion</t>
  </si>
  <si>
    <t>Constants</t>
  </si>
  <si>
    <t>Inputs and Outputs</t>
  </si>
  <si>
    <t>glossaryLanguage</t>
  </si>
  <si>
    <t>Glossary Language</t>
  </si>
  <si>
    <t>Glossary</t>
  </si>
  <si>
    <t>Fit to Page (Height)</t>
  </si>
  <si>
    <t>Fit to Page (Width)</t>
  </si>
  <si>
    <t>Black and White</t>
  </si>
  <si>
    <t>Color</t>
  </si>
  <si>
    <t>Market Analysis</t>
  </si>
  <si>
    <t>Analysis</t>
  </si>
  <si>
    <t>Competitor</t>
  </si>
  <si>
    <t>Annuals</t>
  </si>
  <si>
    <t>Portrait</t>
  </si>
  <si>
    <t>Page Orientation</t>
  </si>
  <si>
    <t>Letter</t>
  </si>
  <si>
    <t>Paper Size</t>
  </si>
  <si>
    <t>Global</t>
  </si>
  <si>
    <t>Inputs - Print Settings</t>
  </si>
  <si>
    <t>PrintReports_MktAnalysis_Title[]</t>
  </si>
  <si>
    <t>PrintReports_MktAnalysis_Range[]</t>
  </si>
  <si>
    <t>PrintReports_MktAnalysis_Sheet[]</t>
  </si>
  <si>
    <t>PrintReports_MktAnalysis_Active[]</t>
  </si>
  <si>
    <t>Market Model 6</t>
  </si>
  <si>
    <t>Top Talent</t>
  </si>
  <si>
    <t>B9:J15</t>
  </si>
  <si>
    <t>mmEmp2</t>
  </si>
  <si>
    <t>Market Model 5</t>
  </si>
  <si>
    <t>Talent</t>
  </si>
  <si>
    <t>B9:J13</t>
  </si>
  <si>
    <t>mmEmp1</t>
  </si>
  <si>
    <t>Market Model 4</t>
  </si>
  <si>
    <t>Business Network</t>
  </si>
  <si>
    <t>B9:J19</t>
  </si>
  <si>
    <t>mmProd3</t>
  </si>
  <si>
    <t>Market Model 3</t>
  </si>
  <si>
    <t>Cloud</t>
  </si>
  <si>
    <t>B66:J82</t>
  </si>
  <si>
    <t>mmSubProd2</t>
  </si>
  <si>
    <t>Market Model 2</t>
  </si>
  <si>
    <t>Software Licenses</t>
  </si>
  <si>
    <t>B9:J25</t>
  </si>
  <si>
    <t>mmProd1Seg1</t>
  </si>
  <si>
    <t>Market Model 1</t>
  </si>
  <si>
    <t>Title: Link to Glossary</t>
  </si>
  <si>
    <t>Print Range</t>
  </si>
  <si>
    <t>Sheet Name</t>
  </si>
  <si>
    <t>Active?</t>
  </si>
  <si>
    <t>PrintReports_MktAnalysisPages</t>
  </si>
  <si>
    <t>Market Model Pages to Print</t>
  </si>
  <si>
    <t>PrintReports_Analysis_Sheet[]</t>
  </si>
  <si>
    <t>PrintReports_Analysis_Active[]</t>
  </si>
  <si>
    <t>Analysis report</t>
  </si>
  <si>
    <t>PrintReports_Competitor_Range[]</t>
  </si>
  <si>
    <t>PrintReports_Competitor_Sheet[]</t>
  </si>
  <si>
    <t>PrintReports_Competitor_Combine[]</t>
  </si>
  <si>
    <t>PrintReports_Competitor_Active[]</t>
  </si>
  <si>
    <t>PrintCompetitor</t>
  </si>
  <si>
    <t>Competitor report</t>
  </si>
  <si>
    <t>Print with Annuals?</t>
  </si>
  <si>
    <t>PrintReports_Annuals_Screen[]</t>
  </si>
  <si>
    <t>PrintReports_Annuals_Active[]</t>
  </si>
  <si>
    <t>Item 10</t>
  </si>
  <si>
    <t>Item 9</t>
  </si>
  <si>
    <t>Item 8</t>
  </si>
  <si>
    <t>Item 7</t>
  </si>
  <si>
    <t>Item 6</t>
  </si>
  <si>
    <t>tlDecSummary</t>
  </si>
  <si>
    <t>Decision Summary</t>
  </si>
  <si>
    <t>ROIC Tree</t>
  </si>
  <si>
    <t>Balance Sheet</t>
  </si>
  <si>
    <t>Cash Flow Statement</t>
  </si>
  <si>
    <t>tlPnL</t>
  </si>
  <si>
    <t>Income Statement</t>
  </si>
  <si>
    <t>Print Range = Screen</t>
  </si>
  <si>
    <t>Annual Reports</t>
  </si>
  <si>
    <t>PrintReports_AnnualsPages</t>
  </si>
  <si>
    <t>Total Pages of Annuals</t>
  </si>
  <si>
    <t>*Link to xxRound</t>
  </si>
  <si>
    <t>PrintReports_Round</t>
  </si>
  <si>
    <t>Print Round</t>
  </si>
  <si>
    <t>*Link to xxNumOfTeams</t>
  </si>
  <si>
    <t>PrintReports_NumTeams</t>
  </si>
  <si>
    <t>Inputs - Pages</t>
  </si>
  <si>
    <t xml:space="preserve">  Prints analysis report</t>
  </si>
  <si>
    <t>PrintAnalysisReport</t>
  </si>
  <si>
    <t xml:space="preserve">  Prints market analysis report</t>
  </si>
  <si>
    <t>PrintMktAnalysisReport</t>
  </si>
  <si>
    <t xml:space="preserve">  Prints competitor report, if not indicated to be included with annuals</t>
  </si>
  <si>
    <t>PrintCompetitorReport</t>
  </si>
  <si>
    <t xml:space="preserve">  Prints annual reports for selected team, and competitor report if indicated</t>
  </si>
  <si>
    <t>PrintAnnualReportsTeam</t>
  </si>
  <si>
    <t xml:space="preserve">  Prints annual reports for all teams, and competitor report if indicated</t>
  </si>
  <si>
    <t>PrintAnnualReportsAll</t>
  </si>
  <si>
    <t>Outputs - Macros to Link to Pop-Up Menu</t>
  </si>
  <si>
    <t>PrintReports</t>
  </si>
  <si>
    <t>Printing</t>
  </si>
  <si>
    <t>Print Annuals: All Teams</t>
  </si>
  <si>
    <t>Print Annuals: Select Team</t>
  </si>
  <si>
    <t>Print Competitor Report</t>
  </si>
  <si>
    <t>Print Analysis Report</t>
  </si>
  <si>
    <t>Print Mkt Analysis Report</t>
  </si>
  <si>
    <t>adjParam</t>
  </si>
  <si>
    <t>Balances</t>
  </si>
  <si>
    <t>BTS Standard Tool Template</t>
  </si>
  <si>
    <t>ClearAdj</t>
  </si>
  <si>
    <t>ClearDecisions</t>
  </si>
  <si>
    <t>Dec</t>
  </si>
  <si>
    <t>DecBuilder</t>
  </si>
  <si>
    <t>ErrorMessage</t>
  </si>
  <si>
    <t>Feedback Automation</t>
  </si>
  <si>
    <t>Initiatives Calc</t>
  </si>
  <si>
    <t>New module - very very useful</t>
  </si>
  <si>
    <t>Initiatives Drop Down</t>
  </si>
  <si>
    <t>Fin Module (One of them)</t>
  </si>
  <si>
    <t>MM Module (One of them)</t>
  </si>
  <si>
    <t>SimpleIndex Module</t>
  </si>
  <si>
    <t>Samples</t>
  </si>
  <si>
    <t>Speakers</t>
  </si>
  <si>
    <t>DashBoard</t>
  </si>
  <si>
    <t>DB_WhiteSpaceLength</t>
  </si>
  <si>
    <t>DB_LargeWhiteSpaceLength</t>
  </si>
  <si>
    <t>DB_SubWhiteSpaceLength</t>
  </si>
  <si>
    <t>Active</t>
  </si>
  <si>
    <t>DB_ArrayDash1Names</t>
  </si>
  <si>
    <t>DB_ArrayDash1Values</t>
  </si>
  <si>
    <t>DB_ArrayDash2Names</t>
  </si>
  <si>
    <t>DB_ArrayDash2Values</t>
  </si>
  <si>
    <t>DB_ArrayDash3Names</t>
  </si>
  <si>
    <t>DB_ArrayDash3Values</t>
  </si>
  <si>
    <t>DB_ArrayDash4Names</t>
  </si>
  <si>
    <t>DB_ArrayDash4Values</t>
  </si>
  <si>
    <t>DB_WhiteSpace</t>
  </si>
  <si>
    <t>DB_LargeWhiteSpace</t>
  </si>
  <si>
    <t>DB_SubWhiteSpace</t>
  </si>
  <si>
    <t>String</t>
  </si>
  <si>
    <t>nmProd2</t>
  </si>
  <si>
    <t>nmProd2Seg1</t>
  </si>
  <si>
    <t>nmProd2Seg2</t>
  </si>
  <si>
    <t>nmProd2Seg3</t>
  </si>
  <si>
    <t>District 3</t>
  </si>
  <si>
    <t>District 2</t>
  </si>
  <si>
    <t>nmProd3</t>
  </si>
  <si>
    <t>nmProd3Seg1</t>
  </si>
  <si>
    <t>nmProd3Seg2</t>
  </si>
  <si>
    <t>nmProd3Seg3</t>
  </si>
  <si>
    <t>Territory 1</t>
  </si>
  <si>
    <t>Territory 2</t>
  </si>
  <si>
    <t>Territory 3</t>
  </si>
  <si>
    <t>TRx Volume</t>
  </si>
  <si>
    <t>TRx Share</t>
  </si>
  <si>
    <t>NRx Share</t>
  </si>
  <si>
    <t>Operational Efficiency</t>
  </si>
  <si>
    <t>nmTherapy1</t>
  </si>
  <si>
    <t>nmTherapy2</t>
  </si>
  <si>
    <t>Squintrellix</t>
  </si>
  <si>
    <t>Ammadeus</t>
  </si>
  <si>
    <t>Cross-Functional</t>
  </si>
  <si>
    <t>Employee Engagement</t>
  </si>
  <si>
    <t>Forsupportcontact:</t>
  </si>
  <si>
    <t>InputCellTypes</t>
  </si>
  <si>
    <t>CalculationCellTypes</t>
  </si>
  <si>
    <t>Hard-codedcell.Developermaymodify.</t>
  </si>
  <si>
    <t>Calculatedcell.Usermustnotmodify.</t>
  </si>
  <si>
    <t>Formulacell.Developermaymodify.</t>
  </si>
  <si>
    <t>Cellmustbelinkedtoanotherworksheet.</t>
  </si>
  <si>
    <t>Dashboard1</t>
  </si>
  <si>
    <t>Dashboard2</t>
  </si>
  <si>
    <t>Dashboard3</t>
  </si>
  <si>
    <t>Dashboard4</t>
  </si>
  <si>
    <t>Dashboard5</t>
  </si>
  <si>
    <t>WhiteSpaceLength</t>
  </si>
  <si>
    <t>LargeWhiteSpaceLength</t>
  </si>
  <si>
    <t>SubValueSpaceLength</t>
  </si>
  <si>
    <t>KPIName</t>
  </si>
  <si>
    <t>RawValue</t>
  </si>
  <si>
    <t>FormattedValue</t>
  </si>
  <si>
    <t>SubRawValue</t>
  </si>
  <si>
    <t>FormattedSubRawValue</t>
  </si>
  <si>
    <t>WhiteSpace</t>
  </si>
  <si>
    <t>LargeWhiteSpace</t>
  </si>
  <si>
    <t>SubValueSpace</t>
  </si>
  <si>
    <t>ActiveString</t>
  </si>
  <si>
    <t>nmPayer1</t>
  </si>
  <si>
    <t>nmPayer2</t>
  </si>
  <si>
    <t>nmPayer3</t>
  </si>
  <si>
    <t>Coaching</t>
  </si>
  <si>
    <t>Previous</t>
  </si>
  <si>
    <t>Current</t>
  </si>
  <si>
    <t>Territory Allocation</t>
  </si>
  <si>
    <t>tlTerritory1</t>
  </si>
  <si>
    <t>Total Sales</t>
  </si>
  <si>
    <t>Internal Resources</t>
  </si>
  <si>
    <t>ESAT</t>
  </si>
  <si>
    <t>Net Sales</t>
  </si>
  <si>
    <t>Internal Development</t>
  </si>
  <si>
    <t>Profit</t>
  </si>
  <si>
    <t>Field Time</t>
  </si>
  <si>
    <t>Internal Time</t>
  </si>
  <si>
    <t>Bag Weighting</t>
  </si>
  <si>
    <t>Rep Management</t>
  </si>
  <si>
    <t>A1:T42</t>
  </si>
  <si>
    <t>Balance sheet on obal?</t>
  </si>
  <si>
    <t>ImportExportCSV_BalSheetOnObal</t>
  </si>
  <si>
    <t>Opening balance sheet location</t>
  </si>
  <si>
    <t>FinDefBSOpen</t>
  </si>
  <si>
    <t>ImportExportCSV_BalSheetOpening</t>
  </si>
  <si>
    <t>Closing balance sheet location</t>
  </si>
  <si>
    <t>FinDefBSClose</t>
  </si>
  <si>
    <t>ImportExportCSV_BalSheetClosing</t>
  </si>
  <si>
    <t>Sim - Export Balances</t>
  </si>
  <si>
    <t>ExportCSVBalances</t>
  </si>
  <si>
    <t>ImportCSVDecisions</t>
  </si>
  <si>
    <t>Previous Weight</t>
  </si>
  <si>
    <t>nmReg1</t>
  </si>
  <si>
    <t>nmReg1Seg1</t>
  </si>
  <si>
    <t>nmReg1Seg2</t>
  </si>
  <si>
    <t>nmReg1Seg3</t>
  </si>
  <si>
    <t>Performance Dashboard</t>
  </si>
  <si>
    <t>nmTherapy1Comp</t>
  </si>
  <si>
    <t>Data Page for Markets</t>
  </si>
  <si>
    <t>R-1</t>
  </si>
  <si>
    <t>R0</t>
  </si>
  <si>
    <t>R1</t>
  </si>
  <si>
    <t>R2</t>
  </si>
  <si>
    <t>Total Market Volume</t>
  </si>
  <si>
    <t>Growth Rate</t>
  </si>
  <si>
    <t>RBD Simulation</t>
  </si>
  <si>
    <t>dataReg1TotalVolume</t>
  </si>
  <si>
    <t>District Breakout</t>
  </si>
  <si>
    <t>dataReg1Seg1TotalVolume</t>
  </si>
  <si>
    <t>dataReg1Seg1Payer1Percentage</t>
  </si>
  <si>
    <t>Payer Breakdown</t>
  </si>
  <si>
    <t>dataReg1Seg1Payer2Percentage</t>
  </si>
  <si>
    <t>dataReg1Seg1Payer3Percentage</t>
  </si>
  <si>
    <t>Payer Volume</t>
  </si>
  <si>
    <t>dataReg1Seg1Payer1Volume</t>
  </si>
  <si>
    <t>dataReg1Seg1Payer2Volume</t>
  </si>
  <si>
    <t>dataReg1Seg1Payer3Volume</t>
  </si>
  <si>
    <t>dataReg1Seg2TotalVolume</t>
  </si>
  <si>
    <t>dataReg1Seg2Payer1Percentage</t>
  </si>
  <si>
    <t>dataReg1Seg2Payer2Percentage</t>
  </si>
  <si>
    <t>dataReg1Seg2Payer3Percentage</t>
  </si>
  <si>
    <t>dataReg1Seg2Payer1Volume</t>
  </si>
  <si>
    <t>dataReg1Seg2Payer2Volume</t>
  </si>
  <si>
    <t>dataReg1Seg2Payer3Volume</t>
  </si>
  <si>
    <t>dataReg1Seg3TotalVolume</t>
  </si>
  <si>
    <t>dataReg1Seg3Payer1Percentage</t>
  </si>
  <si>
    <t>dataReg1Seg3Payer2Percentage</t>
  </si>
  <si>
    <t>dataReg1Seg3Payer3Percentage</t>
  </si>
  <si>
    <t>dataReg1Seg3Payer1Volume</t>
  </si>
  <si>
    <t>dataReg1Seg3Payer2Volume</t>
  </si>
  <si>
    <t>dataReg1Seg3Payer3Volume</t>
  </si>
  <si>
    <t>dataProd1TotalVolume</t>
  </si>
  <si>
    <t>dataProd1Seg1TotalVolume</t>
  </si>
  <si>
    <t>dataProd1Seg1Payer1Percentage</t>
  </si>
  <si>
    <t>dataProd1Seg1Payer2Percentage</t>
  </si>
  <si>
    <t>dataProd1Seg1Payer3Percentage</t>
  </si>
  <si>
    <t>dataProd1Seg1Payer1Volume</t>
  </si>
  <si>
    <t>dataProd1Seg1Payer2Volume</t>
  </si>
  <si>
    <t>dataProd1Seg1Payer3Volume</t>
  </si>
  <si>
    <t>dataProd1Seg2TotalVolume</t>
  </si>
  <si>
    <t>dataProd1Seg2Payer1Percentage</t>
  </si>
  <si>
    <t>dataProd1Seg2Payer2Percentage</t>
  </si>
  <si>
    <t>dataProd1Seg2Payer3Percentage</t>
  </si>
  <si>
    <t>dataProd1Seg2Payer1Volume</t>
  </si>
  <si>
    <t>dataProd1Seg2Payer2Volume</t>
  </si>
  <si>
    <t>dataProd1Seg2Payer3Volume</t>
  </si>
  <si>
    <t>dataProd1Seg3TotalVolume</t>
  </si>
  <si>
    <t>dataProd1Seg3Payer1Percentage</t>
  </si>
  <si>
    <t>dataProd1Seg3Payer2Percentage</t>
  </si>
  <si>
    <t>dataProd1Seg3Payer3Percentage</t>
  </si>
  <si>
    <t>dataProd1Seg3Payer1Volume</t>
  </si>
  <si>
    <t>dataProd1Seg3Payer2Volume</t>
  </si>
  <si>
    <t>dataProd1Seg3Payer3Volume</t>
  </si>
  <si>
    <t>DBM Simulation</t>
  </si>
  <si>
    <t>dataProd1Growth</t>
  </si>
  <si>
    <t>dataReg1Growth</t>
  </si>
  <si>
    <t xml:space="preserve"> </t>
  </si>
  <si>
    <t>Rebates</t>
  </si>
  <si>
    <t>dataTherapy1ListPrice</t>
  </si>
  <si>
    <t>dataTherapy1Payer1Rebate</t>
  </si>
  <si>
    <t>dataTherapy1Payer2Rebate</t>
  </si>
  <si>
    <t>dataTherapy1Payer3Rebate</t>
  </si>
  <si>
    <t>Tier Pricing Impacts</t>
  </si>
  <si>
    <t>Gross Revenue</t>
  </si>
  <si>
    <t>dataReg1Seg1Payer1GrossRevenue</t>
  </si>
  <si>
    <t>Reimbursement</t>
  </si>
  <si>
    <t>dataReg1Seg1Payer1Reimbursement</t>
  </si>
  <si>
    <t>Current Tiers</t>
  </si>
  <si>
    <t>dataTierStatusPayer1</t>
  </si>
  <si>
    <t>dataTierStatusPayer2</t>
  </si>
  <si>
    <t>dataTierStatusPayer3</t>
  </si>
  <si>
    <t>dataPayerTier</t>
  </si>
  <si>
    <t>dataPayer2Tier</t>
  </si>
  <si>
    <t>dataTierImpact</t>
  </si>
  <si>
    <t>Net Revenue</t>
  </si>
  <si>
    <t>dataReg1Seg1Payer1NetRevenue</t>
  </si>
  <si>
    <t>dataReg1Seg1Payer2GrossRevenue</t>
  </si>
  <si>
    <t>dataReg1Seg1Payer2Reimbursement</t>
  </si>
  <si>
    <t>dataReg1Seg1Payer2NetRevenue</t>
  </si>
  <si>
    <t>dataReg1Seg1Payer3GrossRevenue</t>
  </si>
  <si>
    <t>dataReg1Seg1Payer3Reimbursement</t>
  </si>
  <si>
    <t>dataReg1Seg1Payer3NetRevenue</t>
  </si>
  <si>
    <t>District Revenue</t>
  </si>
  <si>
    <t>dataReg1Seg3Payer1GrossRevenue</t>
  </si>
  <si>
    <t>dataReg1Seg3Payer1Reimbursement</t>
  </si>
  <si>
    <t>dataReg1Seg3Payer1NetRevenue</t>
  </si>
  <si>
    <t>dataReg1Seg3Payer2GrossRevenue</t>
  </si>
  <si>
    <t>dataReg1Seg3Payer2Reimbursement</t>
  </si>
  <si>
    <t>dataReg1Seg3Payer2NetRevenue</t>
  </si>
  <si>
    <t>dataReg1Seg3Payer3GrossRevenue</t>
  </si>
  <si>
    <t>dataReg1Seg3Payer3Reimbursement</t>
  </si>
  <si>
    <t>dataReg1Seg3Payer3NetRevenue</t>
  </si>
  <si>
    <t>dataReg1Seg2Payer1GrossRevenue</t>
  </si>
  <si>
    <t>dataReg1Seg2Payer1Reimbursement</t>
  </si>
  <si>
    <t>dataReg1Seg2Payer1NetRevenue</t>
  </si>
  <si>
    <t>dataReg1Seg2Payer2GrossRevenue</t>
  </si>
  <si>
    <t>dataReg1Seg2Payer2Reimbursement</t>
  </si>
  <si>
    <t>dataReg1Seg2Payer2NetRevenue</t>
  </si>
  <si>
    <t>dataReg1Seg2Payer3GrossRevenue</t>
  </si>
  <si>
    <t>dataReg1Seg2Payer3Reimbursement</t>
  </si>
  <si>
    <t>dataReg1Seg2Payer3NetRevenue</t>
  </si>
  <si>
    <t>dataProd1Seg1Payer1GrossRevenue</t>
  </si>
  <si>
    <t>dataProd1Seg1Payer1Reimbursement</t>
  </si>
  <si>
    <t>dataProd1Seg1Payer1NetRevenue</t>
  </si>
  <si>
    <t>dataProd1Seg1Payer2GrossRevenue</t>
  </si>
  <si>
    <t>dataProd1Seg1Payer2Reimbursement</t>
  </si>
  <si>
    <t>dataProd1Seg1Payer2NetRevenue</t>
  </si>
  <si>
    <t>dataProd1Seg1Payer3GrossRevenue</t>
  </si>
  <si>
    <t>dataProd1Seg1Payer3Reimbursement</t>
  </si>
  <si>
    <t>dataProd1Seg1Payer3NetRevenue</t>
  </si>
  <si>
    <t>Territory Revenue</t>
  </si>
  <si>
    <t>dataProd1Seg3Payer1GrossRevenue</t>
  </si>
  <si>
    <t>dataProd1Seg3Payer1Reimbursement</t>
  </si>
  <si>
    <t>dataProd1Seg3Payer1NetRevenue</t>
  </si>
  <si>
    <t>dataProd1Seg3Payer2GrossRevenue</t>
  </si>
  <si>
    <t>dataProd1Seg3Payer2Reimbursement</t>
  </si>
  <si>
    <t>dataProd1Seg3Payer2NetRevenue</t>
  </si>
  <si>
    <t>dataProd1Seg3Payer3GrossRevenue</t>
  </si>
  <si>
    <t>dataProd1Seg3Payer3Reimbursement</t>
  </si>
  <si>
    <t>dataProd1Seg3Payer3NetRevenue</t>
  </si>
  <si>
    <t>dataProd1Seg2Payer1GrossRevenue</t>
  </si>
  <si>
    <t>dataProd1Seg2Payer1Reimbursement</t>
  </si>
  <si>
    <t>dataProd1Seg2Payer1NetRevenue</t>
  </si>
  <si>
    <t>dataProd1Seg2Payer2GrossRevenue</t>
  </si>
  <si>
    <t>dataProd1Seg2Payer2Reimbursement</t>
  </si>
  <si>
    <t>dataProd1Seg2Payer2NetRevenue</t>
  </si>
  <si>
    <t>dataProd1Seg2Payer3GrossRevenue</t>
  </si>
  <si>
    <t>dataProd1Seg2Payer3Reimbursement</t>
  </si>
  <si>
    <t>dataProd1Seg2Payer3NetRevenue</t>
  </si>
  <si>
    <t>Position</t>
  </si>
  <si>
    <t>NRx Volume</t>
  </si>
  <si>
    <t>TRx Performance</t>
  </si>
  <si>
    <t>NRx Performance</t>
  </si>
  <si>
    <t>Performance Summary</t>
  </si>
  <si>
    <t>nmCompetitor1</t>
  </si>
  <si>
    <t>nmCompetitor2</t>
  </si>
  <si>
    <t>Competitors</t>
  </si>
  <si>
    <t>ADM Market TRx Volume</t>
  </si>
  <si>
    <t>Change</t>
  </si>
  <si>
    <t>A1:X42</t>
  </si>
  <si>
    <t>Managed Care Detail</t>
  </si>
  <si>
    <t>Provider</t>
  </si>
  <si>
    <t>% Contribution</t>
  </si>
  <si>
    <t>Tier / Restrictions</t>
  </si>
  <si>
    <t>ADM Market</t>
  </si>
  <si>
    <t>Riverrun</t>
  </si>
  <si>
    <t>Winterfell</t>
  </si>
  <si>
    <t>Harrenhal</t>
  </si>
  <si>
    <t>Blue Sword/Blue Shield</t>
  </si>
  <si>
    <t>WesterAid</t>
  </si>
  <si>
    <t>DBM A</t>
  </si>
  <si>
    <t>dataTierStatusComp1Payer1</t>
  </si>
  <si>
    <t>dataTierStatusComp1Payer2</t>
  </si>
  <si>
    <t>dataTierStatusComp1Payer3</t>
  </si>
  <si>
    <t>dataTierStatusComp2Payer1</t>
  </si>
  <si>
    <t>dataTierStatusComp2Payer2</t>
  </si>
  <si>
    <t>dataTierStatusComp2Payer3</t>
  </si>
  <si>
    <t>Recurring Customer Rate</t>
  </si>
  <si>
    <t>Customer Carry Over</t>
  </si>
  <si>
    <t>New Customer Volume</t>
  </si>
  <si>
    <t>dataReg1Seg1RecurRate</t>
  </si>
  <si>
    <t>dataReg1Seg1GrowthCust</t>
  </si>
  <si>
    <t>dataReg1Seg2RecurRate</t>
  </si>
  <si>
    <t>dataReg1Seg2GrowthCust</t>
  </si>
  <si>
    <t>dataReg1Seg3RecurRate</t>
  </si>
  <si>
    <t>dataReg1Seg3GrowthCust</t>
  </si>
  <si>
    <t>dataProd1Seg1RecurRate</t>
  </si>
  <si>
    <t>dataProd1Seg1RecurCust</t>
  </si>
  <si>
    <t>dataProd1Seg2RecurRate</t>
  </si>
  <si>
    <t>dataProd1Seg2RecurCust</t>
  </si>
  <si>
    <t>dataProd1Seg3RecurRate</t>
  </si>
  <si>
    <t>dataProd1Seg3RecurCust</t>
  </si>
  <si>
    <t>dataReg1Seg1RecurCust</t>
  </si>
  <si>
    <t>dataReg1Seg2RecurCust</t>
  </si>
  <si>
    <t>dataReg1Seg3RecurCust</t>
  </si>
  <si>
    <t>Total Market Size</t>
  </si>
  <si>
    <t>Total Population</t>
  </si>
  <si>
    <t>dataReg1Seg1TotalShare</t>
  </si>
  <si>
    <t>dataReg1Seg1TotalMarket</t>
  </si>
  <si>
    <t>dataReg1Seg1TotalPop</t>
  </si>
  <si>
    <t>Market Growth</t>
  </si>
  <si>
    <t>dataReg1Seg1NewCustGrowth</t>
  </si>
  <si>
    <t>Recurring Customers</t>
  </si>
  <si>
    <t>New Customers</t>
  </si>
  <si>
    <t>dataReg1Seg1TotalRecurCust</t>
  </si>
  <si>
    <t>Population Growth</t>
  </si>
  <si>
    <t>dataReg1Seg1PopGrowth</t>
  </si>
  <si>
    <t>dataReg1Seg2PopGrowth</t>
  </si>
  <si>
    <t>dataReg1Seg2TotalPop</t>
  </si>
  <si>
    <t>dataReg1Seg2TotalRecurCust</t>
  </si>
  <si>
    <t>dataReg1Seg2NewCustGrowth</t>
  </si>
  <si>
    <t>dataReg1Seg2TotalMarket</t>
  </si>
  <si>
    <t>dataReg1Seg2TotalShare</t>
  </si>
  <si>
    <t>dataReg1Seg3PopGrowth</t>
  </si>
  <si>
    <t>dataReg1Seg3TotalPop</t>
  </si>
  <si>
    <t>dataReg1Seg3TotalRecurCust</t>
  </si>
  <si>
    <t>dataReg1Seg3NewCustGrowth</t>
  </si>
  <si>
    <t>dataReg1Seg3TotalMarket</t>
  </si>
  <si>
    <t>dataReg1Seg3TotalShare</t>
  </si>
  <si>
    <t>dataProd1Seg1TotalPop</t>
  </si>
  <si>
    <t>dataProd1Seg1TotalRecurCust</t>
  </si>
  <si>
    <t>dataProd1Seg1NewCustGrowth</t>
  </si>
  <si>
    <t>dataProd1Seg1TotalMarket</t>
  </si>
  <si>
    <t>dataProd1Seg1TotalShare</t>
  </si>
  <si>
    <t>dataProd1Seg1PopGrowth</t>
  </si>
  <si>
    <t>dataProd1Seg1NewCust</t>
  </si>
  <si>
    <t>dataProd1Seg2PopGrowth</t>
  </si>
  <si>
    <t>dataProd1Seg2TotalPop</t>
  </si>
  <si>
    <t>dataProd1Seg2TotalRecurCust</t>
  </si>
  <si>
    <t>dataProd1Seg2NewCustGrowth</t>
  </si>
  <si>
    <t>dataProd1Seg2TotalMarket</t>
  </si>
  <si>
    <t>dataProd1Seg2TotalShare</t>
  </si>
  <si>
    <t>dataProd1Seg3PopGrowth</t>
  </si>
  <si>
    <t>dataProd1Seg3TotalPop</t>
  </si>
  <si>
    <t>dataProd1Seg3TotalRecurCust</t>
  </si>
  <si>
    <t>dataProd1Seg3NewCustGrowth</t>
  </si>
  <si>
    <t>dataProd1Seg3TotalMarket</t>
  </si>
  <si>
    <t>dataProd1Seg3TotalShare</t>
  </si>
  <si>
    <t>dataProd1Seg2NewCust</t>
  </si>
  <si>
    <t>dataProd1Seg3NewCust</t>
  </si>
  <si>
    <t>Total Share</t>
  </si>
  <si>
    <t>Total Market Share</t>
  </si>
  <si>
    <t>dataReg1TotalMarketVolume</t>
  </si>
  <si>
    <t>dataReg1TotalShare</t>
  </si>
  <si>
    <t>dataReg1Seg2TotalNewCust</t>
  </si>
  <si>
    <t>dataReg1Seg1TotalNewCust</t>
  </si>
  <si>
    <t>dataReg1Seg3TotalNewCust</t>
  </si>
  <si>
    <t>dataProd1Seg2TotalNewCust</t>
  </si>
  <si>
    <t>dataProd1Seg1TotalNewCust</t>
  </si>
  <si>
    <t>dataProd1Seg3TotalNewCust</t>
  </si>
  <si>
    <t>obalReg1TotalShare</t>
  </si>
  <si>
    <t>obalReg1Seg1TotalShare</t>
  </si>
  <si>
    <t>obalReg1Seg2TotalShare</t>
  </si>
  <si>
    <t>obalReg1Seg3TotalShare</t>
  </si>
  <si>
    <t>obalProd1TotalShare</t>
  </si>
  <si>
    <t>obalProd1Seg1TotalShare</t>
  </si>
  <si>
    <t>obalProd1Seg2TotalShare</t>
  </si>
  <si>
    <t>obalProd1Seg3TotalShare</t>
  </si>
  <si>
    <t>dataProd1TotalMarketVolume</t>
  </si>
  <si>
    <t>dataProd1TotalShare</t>
  </si>
  <si>
    <t>New Share</t>
  </si>
  <si>
    <t>obalReg1NewShare</t>
  </si>
  <si>
    <t>obalReg1Seg1NewShare</t>
  </si>
  <si>
    <t>obalReg1Seg2NewShare</t>
  </si>
  <si>
    <t>obalReg1Seg3NewShare</t>
  </si>
  <si>
    <t>obalProd1NewShare</t>
  </si>
  <si>
    <t>obalProd1Seg1NewShare</t>
  </si>
  <si>
    <t>obalProd1Seg2NewShare</t>
  </si>
  <si>
    <t>obalProd1Seg3NewShare</t>
  </si>
  <si>
    <t>cbalReg1TotalShare</t>
  </si>
  <si>
    <t>cbalReg1Seg1TotalShare</t>
  </si>
  <si>
    <t>cbalReg1Seg2TotalShare</t>
  </si>
  <si>
    <t>cbalReg1Seg3TotalShare</t>
  </si>
  <si>
    <t>cbalReg1NewShare</t>
  </si>
  <si>
    <t>cbalReg1Seg1NewShare</t>
  </si>
  <si>
    <t>cbalReg1Seg2NewShare</t>
  </si>
  <si>
    <t>cbalReg1Seg3NewShare</t>
  </si>
  <si>
    <t>cbalProd1TotalShare</t>
  </si>
  <si>
    <t>cbalProd1Seg1TotalShare</t>
  </si>
  <si>
    <t>cbalProd1Seg2TotalShare</t>
  </si>
  <si>
    <t>cbalProd1Seg3TotalShare</t>
  </si>
  <si>
    <t>cbalProd1NewShare</t>
  </si>
  <si>
    <t>cbalProd1Seg1NewShare</t>
  </si>
  <si>
    <t>cbalProd1Seg2NewShare</t>
  </si>
  <si>
    <t>cbalProd1Seg3NewShare</t>
  </si>
  <si>
    <t>dataProd1Seg1Comp1TotalShare</t>
  </si>
  <si>
    <t>dataProd1Seg1Comp2TotalShare</t>
  </si>
  <si>
    <t>dataProd1Seg2Comp1TotalShare</t>
  </si>
  <si>
    <t>dataProd1Seg2Comp2TotalShare</t>
  </si>
  <si>
    <t>dataProd1Seg3Comp1TotalShare</t>
  </si>
  <si>
    <t>dataProd1Seg3Comp2TotalShare</t>
  </si>
  <si>
    <t>Competitor Volumes</t>
  </si>
  <si>
    <t>dataProd1Seg1Comp1RecurCust</t>
  </si>
  <si>
    <t>dataProd1Seg1Comp1NewCust</t>
  </si>
  <si>
    <t>dataProd1Seg1Comp1TotalVolume</t>
  </si>
  <si>
    <t>dataProd1Seg1Comp1Payer1Percentage</t>
  </si>
  <si>
    <t>dataProd1Seg1Comp1Payer2Percentage</t>
  </si>
  <si>
    <t>dataProd1Seg1Comp1Payer3Percentage</t>
  </si>
  <si>
    <t>dataProd1Seg1Comp1Payer1Volume</t>
  </si>
  <si>
    <t>dataProd1Seg1Comp1Payer2Volume</t>
  </si>
  <si>
    <t>dataProd1Seg1Comp1Payer3Volume</t>
  </si>
  <si>
    <t>dataProd1Seg1Comp2RecurCust</t>
  </si>
  <si>
    <t>dataProd1Seg1Comp2NewCust</t>
  </si>
  <si>
    <t>dataProd1Seg1Comp2TotalVolume</t>
  </si>
  <si>
    <t>dataProd1Seg1Comp2Payer1Percentage</t>
  </si>
  <si>
    <t>dataProd1Seg1Comp2Payer2Percentage</t>
  </si>
  <si>
    <t>dataProd1Seg1Comp2Payer3Percentage</t>
  </si>
  <si>
    <t>dataProd1Seg1Comp2Payer1Volume</t>
  </si>
  <si>
    <t>dataProd1Seg1Comp2Payer2Volume</t>
  </si>
  <si>
    <t>dataProd1Seg1Comp2Payer3Volume</t>
  </si>
  <si>
    <t>dataProd1Seg2Comp1RecurCust</t>
  </si>
  <si>
    <t>dataProd1Seg2Comp1NewCust</t>
  </si>
  <si>
    <t>dataProd1Seg2Comp1TotalVolume</t>
  </si>
  <si>
    <t>dataProd1Seg2Comp1Payer1Percentage</t>
  </si>
  <si>
    <t>dataProd1Seg2Comp1Payer2Percentage</t>
  </si>
  <si>
    <t>dataProd1Seg2Comp1Payer3Percentage</t>
  </si>
  <si>
    <t>dataProd1Seg2Comp1Payer1Volume</t>
  </si>
  <si>
    <t>dataProd1Seg2Comp1Payer2Volume</t>
  </si>
  <si>
    <t>dataProd1Seg2Comp1Payer3Volume</t>
  </si>
  <si>
    <t>dataProd1Seg2Comp2RecurCust</t>
  </si>
  <si>
    <t>dataProd1Seg2Comp2NewCust</t>
  </si>
  <si>
    <t>dataProd1Seg2Comp2TotalVolume</t>
  </si>
  <si>
    <t>dataProd1Seg2Comp2Payer1Percentage</t>
  </si>
  <si>
    <t>dataProd1Seg2Comp2Payer2Percentage</t>
  </si>
  <si>
    <t>dataProd1Seg2Comp2Payer3Percentage</t>
  </si>
  <si>
    <t>dataProd1Seg2Comp2Payer1Volume</t>
  </si>
  <si>
    <t>dataProd1Seg2Comp2Payer2Volume</t>
  </si>
  <si>
    <t>dataProd1Seg2Comp2Payer3Volume</t>
  </si>
  <si>
    <t>dataProd1Seg3Comp1RecurCust</t>
  </si>
  <si>
    <t>dataProd1Seg3Comp1NewCust</t>
  </si>
  <si>
    <t>dataProd1Seg3Comp1TotalVolume</t>
  </si>
  <si>
    <t>dataProd1Seg3Comp1Payer1Percentage</t>
  </si>
  <si>
    <t>dataProd1Seg3Comp1Payer2Percentage</t>
  </si>
  <si>
    <t>dataProd1Seg3Comp1Payer3Percentage</t>
  </si>
  <si>
    <t>dataProd1Seg3Comp1Payer1Volume</t>
  </si>
  <si>
    <t>dataProd1Seg3Comp1Payer2Volume</t>
  </si>
  <si>
    <t>dataProd1Seg3Comp1Payer3Volume</t>
  </si>
  <si>
    <t>dataProd1Seg3Comp2RecurCust</t>
  </si>
  <si>
    <t>dataProd1Seg3Comp2NewCust</t>
  </si>
  <si>
    <t>dataProd1Seg3Comp2TotalVolume</t>
  </si>
  <si>
    <t>dataProd1Seg3Comp2Payer1Percentage</t>
  </si>
  <si>
    <t>dataProd1Seg3Comp2Payer2Percentage</t>
  </si>
  <si>
    <t>dataProd1Seg3Comp2Payer3Percentage</t>
  </si>
  <si>
    <t>dataProd1Seg3Comp2Payer1Volume</t>
  </si>
  <si>
    <t>dataProd1Seg3Comp2Payer2Volume</t>
  </si>
  <si>
    <t>dataProd1Seg3Comp2Payer3Volume</t>
  </si>
  <si>
    <t>dataReg1Seg1Comp1RecurCust</t>
  </si>
  <si>
    <t>dataReg1Seg1Comp1NewCust</t>
  </si>
  <si>
    <t>dataReg1Seg1Comp1TotalVolume</t>
  </si>
  <si>
    <t>dataReg1Seg1Comp1Payer1Percentage</t>
  </si>
  <si>
    <t>dataReg1Seg1Comp1Payer2Percentage</t>
  </si>
  <si>
    <t>dataReg1Seg1Comp1Payer3Percentage</t>
  </si>
  <si>
    <t>dataReg1Seg1Comp1Payer1Volume</t>
  </si>
  <si>
    <t>dataReg1Seg1Comp1Payer2Volume</t>
  </si>
  <si>
    <t>dataReg1Seg1Comp1Payer3Volume</t>
  </si>
  <si>
    <t>dataReg1Seg1Comp2RecurCust</t>
  </si>
  <si>
    <t>dataReg1Seg1Comp2NewCust</t>
  </si>
  <si>
    <t>dataReg1Seg1Comp2TotalVolume</t>
  </si>
  <si>
    <t>dataReg1Seg1Comp1TotalShare</t>
  </si>
  <si>
    <t>dataReg1Seg1Comp2TotalShare</t>
  </si>
  <si>
    <t>cbalReg1Seg1Comp1TotalShare</t>
  </si>
  <si>
    <t>cbalReg1Seg1Comp1NewShare</t>
  </si>
  <si>
    <t>cbalReg1Seg2Comp1TotalShare</t>
  </si>
  <si>
    <t>cbalReg1Seg2Comp1NewShare</t>
  </si>
  <si>
    <t>cbalReg1Seg3Comp1TotalShare</t>
  </si>
  <si>
    <t>cbalReg1Seg3Comp1NewShare</t>
  </si>
  <si>
    <t>cbalReg1Comp1TotalShare</t>
  </si>
  <si>
    <t>cbalReg1Comp2TotalShare</t>
  </si>
  <si>
    <t>cbalReg1Seg1Comp2TotalShare</t>
  </si>
  <si>
    <t>cbalReg1Seg2Comp2TotalShare</t>
  </si>
  <si>
    <t>cbalReg1Seg3Comp2TotalShare</t>
  </si>
  <si>
    <t>cbalReg1Seg1Comp2NewShare</t>
  </si>
  <si>
    <t>cbalReg1Seg2Comp2NewShare</t>
  </si>
  <si>
    <t>cbalReg1Seg3Comp2NewShare</t>
  </si>
  <si>
    <t>cbalReg1Comp1NewShare</t>
  </si>
  <si>
    <t>cbalReg1Comp2NewShare</t>
  </si>
  <si>
    <t>cbalProd1Comp1TotalShare</t>
  </si>
  <si>
    <t>cbalProd1Seg1Comp1TotalShare</t>
  </si>
  <si>
    <t>cbalProd1Seg2Comp1TotalShare</t>
  </si>
  <si>
    <t>cbalProd1Seg3Comp1TotalShare</t>
  </si>
  <si>
    <t>cbalProd1Comp1NewShare</t>
  </si>
  <si>
    <t>cbalProd1Seg1Comp1NewShare</t>
  </si>
  <si>
    <t>cbalProd1Seg2Comp1NewShare</t>
  </si>
  <si>
    <t>cbalProd1Seg3Comp1NewShare</t>
  </si>
  <si>
    <t>cbalProd1Comp2TotalShare</t>
  </si>
  <si>
    <t>cbalProd1Seg1Comp2TotalShare</t>
  </si>
  <si>
    <t>cbalProd1Seg2Comp2TotalShare</t>
  </si>
  <si>
    <t>cbalProd1Seg3Comp2TotalShare</t>
  </si>
  <si>
    <t>cbalProd1Comp2NewShare</t>
  </si>
  <si>
    <t>cbalProd1Seg1Comp2NewShare</t>
  </si>
  <si>
    <t>cbalProd1Seg2Comp2NewShare</t>
  </si>
  <si>
    <t>cbalProd1Seg3Comp2NewShare</t>
  </si>
  <si>
    <t>obalReg1Comp1TotalShare</t>
  </si>
  <si>
    <t>obalReg1Seg1Comp1TotalShare</t>
  </si>
  <si>
    <t>obalReg1Seg2Comp1TotalShare</t>
  </si>
  <si>
    <t>obalReg1Seg3Comp1TotalShare</t>
  </si>
  <si>
    <t>obalReg1Comp1NewShare</t>
  </si>
  <si>
    <t>obalReg1Seg1Comp1NewShare</t>
  </si>
  <si>
    <t>obalReg1Seg2Comp1NewShare</t>
  </si>
  <si>
    <t>obalReg1Seg3Comp1NewShare</t>
  </si>
  <si>
    <t>obalReg1Comp2TotalShare</t>
  </si>
  <si>
    <t>obalReg1Seg1Comp2TotalShare</t>
  </si>
  <si>
    <t>obalReg1Seg2Comp2TotalShare</t>
  </si>
  <si>
    <t>obalReg1Seg3Comp2TotalShare</t>
  </si>
  <si>
    <t>obalReg1Comp2NewShare</t>
  </si>
  <si>
    <t>obalReg1Seg1Comp2NewShare</t>
  </si>
  <si>
    <t>obalReg1Seg2Comp2NewShare</t>
  </si>
  <si>
    <t>obalReg1Seg3Comp2NewShare</t>
  </si>
  <si>
    <t>obalProd1Comp1TotalShare</t>
  </si>
  <si>
    <t>obalProd1Seg1Comp1TotalShare</t>
  </si>
  <si>
    <t>obalProd1Seg2Comp1TotalShare</t>
  </si>
  <si>
    <t>obalProd1Seg3Comp1TotalShare</t>
  </si>
  <si>
    <t>obalProd1Comp1NewShare</t>
  </si>
  <si>
    <t>obalProd1Seg1Comp1NewShare</t>
  </si>
  <si>
    <t>obalProd1Seg2Comp1NewShare</t>
  </si>
  <si>
    <t>obalProd1Seg3Comp1NewShare</t>
  </si>
  <si>
    <t>obalProd1Comp2TotalShare</t>
  </si>
  <si>
    <t>obalProd1Seg1Comp2TotalShare</t>
  </si>
  <si>
    <t>obalProd1Seg2Comp2TotalShare</t>
  </si>
  <si>
    <t>obalProd1Seg3Comp2TotalShare</t>
  </si>
  <si>
    <t>obalProd1Comp2NewShare</t>
  </si>
  <si>
    <t>obalProd1Seg1Comp2NewShare</t>
  </si>
  <si>
    <t>obalProd1Seg2Comp2NewShare</t>
  </si>
  <si>
    <t>obalProd1Seg3Comp2NewShare</t>
  </si>
  <si>
    <t>dataReg1Seg2Comp1TotalShare</t>
  </si>
  <si>
    <t>dataReg1Seg2Comp2TotalShare</t>
  </si>
  <si>
    <t>dataReg1Seg3Comp1TotalShare</t>
  </si>
  <si>
    <t>dataReg1Seg3Comp2TotalShare</t>
  </si>
  <si>
    <t>dataReg1Seg3Comp1RecurCust</t>
  </si>
  <si>
    <t>dataReg1Seg3Comp1NewCust</t>
  </si>
  <si>
    <t>dataReg1Seg3Comp1TotalVolume</t>
  </si>
  <si>
    <t>dataReg1Seg3Comp1Payer1Percentage</t>
  </si>
  <si>
    <t>dataReg1Seg3Comp1Payer2Percentage</t>
  </si>
  <si>
    <t>dataReg1Seg3Comp1Payer3Percentage</t>
  </si>
  <si>
    <t>dataReg1Seg3Comp1Payer1Volume</t>
  </si>
  <si>
    <t>dataReg1Seg3Comp1Payer2Volume</t>
  </si>
  <si>
    <t>dataReg1Seg3Comp1Payer3Volume</t>
  </si>
  <si>
    <t>dataReg1Seg3Comp2RecurCust</t>
  </si>
  <si>
    <t>dataReg1Seg3Comp2NewCust</t>
  </si>
  <si>
    <t>dataReg1Seg3Comp2TotalVolume</t>
  </si>
  <si>
    <t>dataReg1Seg2Comp1RecurCust</t>
  </si>
  <si>
    <t>dataReg1Seg2Comp1NewCust</t>
  </si>
  <si>
    <t>dataReg1Seg2Comp1TotalVolume</t>
  </si>
  <si>
    <t>dataReg1Seg2Comp1Payer1Percentage</t>
  </si>
  <si>
    <t>dataReg1Seg2Comp1Payer2Percentage</t>
  </si>
  <si>
    <t>dataReg1Seg2Comp1Payer3Percentage</t>
  </si>
  <si>
    <t>dataReg1Seg2Comp1Payer1Volume</t>
  </si>
  <si>
    <t>dataReg1Seg2Comp1Payer2Volume</t>
  </si>
  <si>
    <t>dataReg1Seg2Comp1Payer3Volume</t>
  </si>
  <si>
    <t>dataReg1Seg2Comp2RecurCust</t>
  </si>
  <si>
    <t>dataReg1Seg2Comp2NewCust</t>
  </si>
  <si>
    <t>dataReg1Seg2Comp2TotalVolume</t>
  </si>
  <si>
    <t>dataReg1Comp1TotalShare</t>
  </si>
  <si>
    <t>dataReg1Comp2TotalShare</t>
  </si>
  <si>
    <t>dataProd1Comp1TotalShare</t>
  </si>
  <si>
    <t>dataProd1Comp2TotalShare</t>
  </si>
  <si>
    <t>Total Volume</t>
  </si>
  <si>
    <t>obalReg1TotalVolume</t>
  </si>
  <si>
    <t>obalReg1Seg1TotalVolume</t>
  </si>
  <si>
    <t>obalReg1Seg2TotalVolume</t>
  </si>
  <si>
    <t>obalReg1Seg3TotalVolume</t>
  </si>
  <si>
    <t>obalReg1NewVolume</t>
  </si>
  <si>
    <t>obalReg1Seg1NewVolume</t>
  </si>
  <si>
    <t>obalReg1Seg2NewVolume</t>
  </si>
  <si>
    <t>obalReg1Seg3NewVolume</t>
  </si>
  <si>
    <t>New Volume</t>
  </si>
  <si>
    <t>dataProd1NewVolume</t>
  </si>
  <si>
    <t>dataReg1NewVolume</t>
  </si>
  <si>
    <t>obalProd1TotalVolume</t>
  </si>
  <si>
    <t>obalProd1Seg1TotalVolume</t>
  </si>
  <si>
    <t>obalProd1Seg2TotalVolume</t>
  </si>
  <si>
    <t>obalProd1Seg3TotalVolume</t>
  </si>
  <si>
    <t>obalProd1NewVolume</t>
  </si>
  <si>
    <t>obalProd1Seg1NewVolume</t>
  </si>
  <si>
    <t>obalProd1Seg2NewVolume</t>
  </si>
  <si>
    <t>obalProd1Seg3NewVolume</t>
  </si>
  <si>
    <t>DBM</t>
  </si>
  <si>
    <t>RBD</t>
  </si>
  <si>
    <t>cbalReg1TotalVolume</t>
  </si>
  <si>
    <t>cbalReg1Seg1TotalVolume</t>
  </si>
  <si>
    <t>cbalReg1Seg2TotalVolume</t>
  </si>
  <si>
    <t>cbalReg1Seg3TotalVolume</t>
  </si>
  <si>
    <t>cbalReg1NewVolume</t>
  </si>
  <si>
    <t>cbalReg1Seg1NewVolume</t>
  </si>
  <si>
    <t>cbalReg1Seg2NewVolume</t>
  </si>
  <si>
    <t>cbalReg1Seg3NewVolume</t>
  </si>
  <si>
    <t>cbalProd1TotalVolume</t>
  </si>
  <si>
    <t>cbalProd1Seg1TotalVolume</t>
  </si>
  <si>
    <t>cbalProd1Seg2TotalVolume</t>
  </si>
  <si>
    <t>cbalProd1Seg3TotalVolume</t>
  </si>
  <si>
    <t>cbalProd1NewVolume</t>
  </si>
  <si>
    <t>cbalProd1Seg1NewVolume</t>
  </si>
  <si>
    <t>cbalProd1Seg2NewVolume</t>
  </si>
  <si>
    <t>cbalProd1Seg3NewVolume</t>
  </si>
  <si>
    <t>Total Payer Volume</t>
  </si>
  <si>
    <t>dataProd1Seg1Payer1TotalVolume</t>
  </si>
  <si>
    <t>dataProd1Seg2Payer1TotalVolume</t>
  </si>
  <si>
    <t>dataProd1Seg3Payer1TotalVolume</t>
  </si>
  <si>
    <t>dataProd1Seg1Payer2TotalVolume</t>
  </si>
  <si>
    <t>dataProd1Seg2Payer2TotalVolume</t>
  </si>
  <si>
    <t>dataProd1Seg3Payer2TotalVolume</t>
  </si>
  <si>
    <t>dataProd1Seg1Payer3TotalVolume</t>
  </si>
  <si>
    <t>dataProd1Seg2Payer3TotalVolume</t>
  </si>
  <si>
    <t>dataProd1Seg3Payer3TotalVolume</t>
  </si>
  <si>
    <t>dataProd1Payer1TotalVolume</t>
  </si>
  <si>
    <t>dataProd1Payer2TotalVolume</t>
  </si>
  <si>
    <t>dataProd1Payer3TotalVolume</t>
  </si>
  <si>
    <t>dataReg1Seg1Payer1TotalVolume</t>
  </si>
  <si>
    <t>dataReg1Seg2Payer1TotalVolume</t>
  </si>
  <si>
    <t>dataReg1Seg3Payer1TotalVolume</t>
  </si>
  <si>
    <t>dataReg1Payer1TotalVolume</t>
  </si>
  <si>
    <t>dataReg1Seg1Payer2TotalVolume</t>
  </si>
  <si>
    <t>dataReg1Seg2Payer2TotalVolume</t>
  </si>
  <si>
    <t>dataReg1Seg3Payer2TotalVolume</t>
  </si>
  <si>
    <t>dataReg1Payer2TotalVolume</t>
  </si>
  <si>
    <t>dataReg1Seg1Payer3TotalVolume</t>
  </si>
  <si>
    <t>dataReg1Seg2Payer3TotalVolume</t>
  </si>
  <si>
    <t>dataReg1Seg3Payer3TotalVolume</t>
  </si>
  <si>
    <t>dataReg1Payer3TotalVolume</t>
  </si>
  <si>
    <t>dataProd1Seg1Payer1TotalShare</t>
  </si>
  <si>
    <t>dataProd1Seg2Payer1TotalShare</t>
  </si>
  <si>
    <t>dataProd1Seg3Payer1TotalShare</t>
  </si>
  <si>
    <t>dataProd1Payer1TotalShare</t>
  </si>
  <si>
    <t>dataProd1Seg1Payer2TotalShare</t>
  </si>
  <si>
    <t>dataProd1Seg2Payer2TotalShare</t>
  </si>
  <si>
    <t>dataProd1Seg3Payer2TotalShare</t>
  </si>
  <si>
    <t>dataProd1Payer2TotalShare</t>
  </si>
  <si>
    <t>dataProd1Seg1Payer3TotalShare</t>
  </si>
  <si>
    <t>dataProd1Seg2Payer3TotalShare</t>
  </si>
  <si>
    <t>dataProd1Seg3Payer3TotalShare</t>
  </si>
  <si>
    <t>dataProd1Payer3TotalShare</t>
  </si>
  <si>
    <t>dataProd1Seg1Comp1Payer1TotalShare</t>
  </si>
  <si>
    <t>dataProd1Seg2Comp1Payer1TotalShare</t>
  </si>
  <si>
    <t>dataProd1Seg3Comp1Payer1TotalShare</t>
  </si>
  <si>
    <t>dataProd1Comp1Payer1TotalShare</t>
  </si>
  <si>
    <t>dataProd1Seg1Comp1Payer2TotalShare</t>
  </si>
  <si>
    <t>dataProd1Seg2Comp1Payer2TotalShare</t>
  </si>
  <si>
    <t>dataProd1Seg3Comp1Payer2TotalShare</t>
  </si>
  <si>
    <t>dataProd1Comp1Payer2TotalShare</t>
  </si>
  <si>
    <t>dataProd1Seg1Comp1Payer3TotalShare</t>
  </si>
  <si>
    <t>dataProd1Seg2Comp1Payer3TotalShare</t>
  </si>
  <si>
    <t>dataProd1Seg3Comp1Payer3TotalShare</t>
  </si>
  <si>
    <t>dataProd1Comp1Payer3TotalShare</t>
  </si>
  <si>
    <t>dataProd1Seg1Comp2Payer1TotalShare</t>
  </si>
  <si>
    <t>dataProd1Seg2Comp2Payer1TotalShare</t>
  </si>
  <si>
    <t>dataProd1Seg3Comp2Payer1TotalShare</t>
  </si>
  <si>
    <t>dataProd1Comp2Payer1TotalShare</t>
  </si>
  <si>
    <t>dataProd1Seg1Comp2Payer2TotalShare</t>
  </si>
  <si>
    <t>dataProd1Seg2Comp2Payer2TotalShare</t>
  </si>
  <si>
    <t>dataProd1Seg3Comp2Payer2TotalShare</t>
  </si>
  <si>
    <t>dataProd1Comp2Payer2TotalShare</t>
  </si>
  <si>
    <t>dataProd1Seg1Comp2Payer3TotalShare</t>
  </si>
  <si>
    <t>dataProd1Seg2Comp2Payer3TotalShare</t>
  </si>
  <si>
    <t>dataProd1Seg3Comp2Payer3TotalShare</t>
  </si>
  <si>
    <t>dataProd1Comp2Payer3TotalShare</t>
  </si>
  <si>
    <t>dataReg1Seg1Payer1TotalShare</t>
  </si>
  <si>
    <t>dataReg1Seg2Payer1TotalShare</t>
  </si>
  <si>
    <t>dataReg1Seg3Payer1TotalShare</t>
  </si>
  <si>
    <t>dataReg1Payer1TotalShare</t>
  </si>
  <si>
    <t>dataReg1Seg1Payer2TotalShare</t>
  </si>
  <si>
    <t>dataReg1Seg2Payer2TotalShare</t>
  </si>
  <si>
    <t>dataReg1Seg3Payer2TotalShare</t>
  </si>
  <si>
    <t>dataReg1Payer2TotalShare</t>
  </si>
  <si>
    <t>dataReg1Seg1Payer3TotalShare</t>
  </si>
  <si>
    <t>dataReg1Seg2Payer3TotalShare</t>
  </si>
  <si>
    <t>dataReg1Seg3Payer3TotalShare</t>
  </si>
  <si>
    <t>dataReg1Payer3TotalShare</t>
  </si>
  <si>
    <t>dataReg1Seg1Comp1Payer1TotalShare</t>
  </si>
  <si>
    <t>dataReg1Seg2Comp1Payer1TotalShare</t>
  </si>
  <si>
    <t>dataReg1Seg3Comp1Payer1TotalShare</t>
  </si>
  <si>
    <t>dataReg1Comp1Payer1TotalShare</t>
  </si>
  <si>
    <t>dataReg1Seg1Comp1Payer2TotalShare</t>
  </si>
  <si>
    <t>dataReg1Seg2Comp1Payer2TotalShare</t>
  </si>
  <si>
    <t>dataReg1Seg3Comp1Payer2TotalShare</t>
  </si>
  <si>
    <t>dataReg1Comp1Payer2TotalShare</t>
  </si>
  <si>
    <t>dataReg1Seg1Comp1Payer3TotalShare</t>
  </si>
  <si>
    <t>dataReg1Seg2Comp1Payer3TotalShare</t>
  </si>
  <si>
    <t>dataReg1Seg3Comp1Payer3TotalShare</t>
  </si>
  <si>
    <t>dataReg1Comp1Payer3TotalShare</t>
  </si>
  <si>
    <t>dataReg1Seg1Comp2Payer1TotalShare</t>
  </si>
  <si>
    <t>dataReg1Seg2Comp2Payer1TotalShare</t>
  </si>
  <si>
    <t>dataReg1Seg3Comp2Payer1TotalShare</t>
  </si>
  <si>
    <t>dataReg1Comp2Payer1TotalShare</t>
  </si>
  <si>
    <t>dataReg1Seg1Comp2Payer2TotalShare</t>
  </si>
  <si>
    <t>dataReg1Seg2Comp2Payer2TotalShare</t>
  </si>
  <si>
    <t>dataReg1Seg3Comp2Payer2TotalShare</t>
  </si>
  <si>
    <t>dataReg1Comp2Payer2TotalShare</t>
  </si>
  <si>
    <t>dataReg1Seg1Comp2Payer3TotalShare</t>
  </si>
  <si>
    <t>dataReg1Seg2Comp2Payer3TotalShare</t>
  </si>
  <si>
    <t>dataReg1Seg3Comp2Payer3TotalShare</t>
  </si>
  <si>
    <t>dataReg1Comp2Payer3TotalShare</t>
  </si>
  <si>
    <t>People Management</t>
  </si>
  <si>
    <t>DBM Management</t>
  </si>
  <si>
    <t>obalReg1Payer1Volume</t>
  </si>
  <si>
    <t>obalReg1Seg1Payer1Volume</t>
  </si>
  <si>
    <t>obalReg1Seg2Payer1Volume</t>
  </si>
  <si>
    <t>obalReg1Seg3Payer1Volume</t>
  </si>
  <si>
    <t>obalReg1Payer3Volume</t>
  </si>
  <si>
    <t>obalReg1Seg1Payer3Volume</t>
  </si>
  <si>
    <t>obalReg1Seg2Payer3Volume</t>
  </si>
  <si>
    <t>obalReg1Seg3Payer3Volume</t>
  </si>
  <si>
    <t>obalReg1Payer2Volume</t>
  </si>
  <si>
    <t>obalReg1Seg1Payer2Volume</t>
  </si>
  <si>
    <t>obalReg1Seg2Payer2Volume</t>
  </si>
  <si>
    <t>obalReg1Seg3Payer2Volume</t>
  </si>
  <si>
    <t>obalReg1Payer1TotalVolume</t>
  </si>
  <si>
    <t>obalReg1Seg1Payer1TotalVolume</t>
  </si>
  <si>
    <t>obalReg1Seg2Payer1TotalVolume</t>
  </si>
  <si>
    <t>obalReg1Seg3Payer1TotalVolume</t>
  </si>
  <si>
    <t>obalReg1Payer2TotalVolume</t>
  </si>
  <si>
    <t>obalReg1Seg1Payer2TotalVolume</t>
  </si>
  <si>
    <t>obalReg1Seg2Payer2TotalVolume</t>
  </si>
  <si>
    <t>obalReg1Seg3Payer2TotalVolume</t>
  </si>
  <si>
    <t>obalReg1Payer3TotalVolume</t>
  </si>
  <si>
    <t>obalReg1Seg1Payer3TotalVolume</t>
  </si>
  <si>
    <t>obalReg1Seg2Payer3TotalVolume</t>
  </si>
  <si>
    <t>obalReg1Seg3Payer3TotalVolume</t>
  </si>
  <si>
    <t>obalReg1Payer1Share</t>
  </si>
  <si>
    <t>obalReg1Seg1Payer1Share</t>
  </si>
  <si>
    <t>obalReg1Seg2Payer1Share</t>
  </si>
  <si>
    <t>obalReg1Seg3Payer1Share</t>
  </si>
  <si>
    <t>obalReg1Payer2Share</t>
  </si>
  <si>
    <t>obalReg1Seg1Payer2Share</t>
  </si>
  <si>
    <t>obalReg1Seg2Payer2Share</t>
  </si>
  <si>
    <t>obalReg1Seg3Payer2Share</t>
  </si>
  <si>
    <t>obalReg1Payer3Share</t>
  </si>
  <si>
    <t>obalReg1Seg1Payer3Share</t>
  </si>
  <si>
    <t>obalReg1Seg2Payer3Share</t>
  </si>
  <si>
    <t>obalReg1Seg3Payer3Share</t>
  </si>
  <si>
    <t>Company Payer Share</t>
  </si>
  <si>
    <t>obalReg1Seg3Comp1Payer1Share</t>
  </si>
  <si>
    <t>obalReg1Seg2Comp1Payer1Share</t>
  </si>
  <si>
    <t>obalReg1Seg1Comp1Payer1Share</t>
  </si>
  <si>
    <t>obalReg1Comp1Payer1Share</t>
  </si>
  <si>
    <t>obalReg1Comp1Payer2Share</t>
  </si>
  <si>
    <t>obalReg1Seg1Comp1Payer2Share</t>
  </si>
  <si>
    <t>obalReg1Seg2Comp1Payer2Share</t>
  </si>
  <si>
    <t>obalReg1Seg3Comp1Payer2Share</t>
  </si>
  <si>
    <t>obalReg1Comp1Payer3Share</t>
  </si>
  <si>
    <t>obalReg1Seg1Comp1Payer3Share</t>
  </si>
  <si>
    <t>obalReg1Seg2Comp1Payer3Share</t>
  </si>
  <si>
    <t>obalReg1Seg3Comp1Payer3Share</t>
  </si>
  <si>
    <t>obalReg1Comp2Payer1Share</t>
  </si>
  <si>
    <t>obalReg1Seg1Comp2Payer1Share</t>
  </si>
  <si>
    <t>obalReg1Seg2Comp2Payer1Share</t>
  </si>
  <si>
    <t>obalReg1Seg3Comp2Payer1Share</t>
  </si>
  <si>
    <t>obalReg1Comp2Payer2Share</t>
  </si>
  <si>
    <t>obalReg1Seg1Comp2Payer2Share</t>
  </si>
  <si>
    <t>obalReg1Seg2Comp2Payer2Share</t>
  </si>
  <si>
    <t>obalReg1Seg3Comp2Payer2Share</t>
  </si>
  <si>
    <t>obalReg1Comp2Payer3Share</t>
  </si>
  <si>
    <t>obalReg1Seg1Comp2Payer3Share</t>
  </si>
  <si>
    <t>obalReg1Seg2Comp2Payer3Share</t>
  </si>
  <si>
    <t>obalReg1Seg3Comp2Payer3Share</t>
  </si>
  <si>
    <t>obalProd1Payer1TotalVolume</t>
  </si>
  <si>
    <t>obalProd1Seg1Payer1TotalVolume</t>
  </si>
  <si>
    <t>obalProd1Seg2Payer1TotalVolume</t>
  </si>
  <si>
    <t>obalProd1Seg3Payer1TotalVolume</t>
  </si>
  <si>
    <t>obalProd1Payer2TotalVolume</t>
  </si>
  <si>
    <t>obalProd1Seg1Payer2TotalVolume</t>
  </si>
  <si>
    <t>obalProd1Seg2Payer2TotalVolume</t>
  </si>
  <si>
    <t>obalProd1Seg3Payer2TotalVolume</t>
  </si>
  <si>
    <t>obalProd1Payer3TotalVolume</t>
  </si>
  <si>
    <t>obalProd1Seg1Payer3TotalVolume</t>
  </si>
  <si>
    <t>obalProd1Seg2Payer3TotalVolume</t>
  </si>
  <si>
    <t>obalProd1Seg3Payer3TotalVolume</t>
  </si>
  <si>
    <t>obalProd1Payer1Share</t>
  </si>
  <si>
    <t>obalProd1Seg1Payer1Share</t>
  </si>
  <si>
    <t>obalProd1Seg2Payer1Share</t>
  </si>
  <si>
    <t>obalProd1Seg3Payer1Share</t>
  </si>
  <si>
    <t>obalProd1Payer2Share</t>
  </si>
  <si>
    <t>obalProd1Seg1Payer2Share</t>
  </si>
  <si>
    <t>obalProd1Seg2Payer2Share</t>
  </si>
  <si>
    <t>obalProd1Seg3Payer2Share</t>
  </si>
  <si>
    <t>obalProd1Payer3Share</t>
  </si>
  <si>
    <t>obalProd1Seg1Payer3Share</t>
  </si>
  <si>
    <t>obalProd1Seg2Payer3Share</t>
  </si>
  <si>
    <t>obalProd1Seg3Payer3Share</t>
  </si>
  <si>
    <t>obalProd1Comp1Payer1Share</t>
  </si>
  <si>
    <t>obalProd1Seg1Comp1Payer1Share</t>
  </si>
  <si>
    <t>obalProd1Seg2Comp1Payer1Share</t>
  </si>
  <si>
    <t>obalProd1Seg3Comp1Payer1Share</t>
  </si>
  <si>
    <t>obalProd1Comp1Payer2Share</t>
  </si>
  <si>
    <t>obalProd1Seg1Comp1Payer2Share</t>
  </si>
  <si>
    <t>obalProd1Seg2Comp1Payer2Share</t>
  </si>
  <si>
    <t>obalProd1Seg3Comp1Payer2Share</t>
  </si>
  <si>
    <t>obalProd1Comp1Payer3Share</t>
  </si>
  <si>
    <t>obalProd1Seg1Comp1Payer3Share</t>
  </si>
  <si>
    <t>obalProd1Seg2Comp1Payer3Share</t>
  </si>
  <si>
    <t>obalProd1Seg3Comp1Payer3Share</t>
  </si>
  <si>
    <t>obalProd1Comp2Payer1Share</t>
  </si>
  <si>
    <t>obalProd1Seg1Comp2Payer1Share</t>
  </si>
  <si>
    <t>obalProd1Seg2Comp2Payer1Share</t>
  </si>
  <si>
    <t>obalProd1Seg3Comp2Payer1Share</t>
  </si>
  <si>
    <t>obalProd1Comp2Payer2Share</t>
  </si>
  <si>
    <t>obalProd1Seg1Comp2Payer2Share</t>
  </si>
  <si>
    <t>obalProd1Seg2Comp2Payer2Share</t>
  </si>
  <si>
    <t>obalProd1Seg3Comp2Payer2Share</t>
  </si>
  <si>
    <t>obalProd1Comp2Payer3Share</t>
  </si>
  <si>
    <t>obalProd1Seg1Comp2Payer3Share</t>
  </si>
  <si>
    <t>obalProd1Seg2Comp2Payer3Share</t>
  </si>
  <si>
    <t>obalProd1Seg3Comp2Payer3Share</t>
  </si>
  <si>
    <t>cbalReg1Payer1TotalVolume</t>
  </si>
  <si>
    <t>cbalReg1Seg1Payer1TotalVolume</t>
  </si>
  <si>
    <t>cbalReg1Seg2Payer1TotalVolume</t>
  </si>
  <si>
    <t>cbalReg1Seg3Payer1TotalVolume</t>
  </si>
  <si>
    <t>cbalReg1Payer2TotalVolume</t>
  </si>
  <si>
    <t>cbalReg1Seg1Payer2TotalVolume</t>
  </si>
  <si>
    <t>cbalReg1Seg2Payer2TotalVolume</t>
  </si>
  <si>
    <t>cbalReg1Seg3Payer2TotalVolume</t>
  </si>
  <si>
    <t>cbalReg1Payer3TotalVolume</t>
  </si>
  <si>
    <t>cbalReg1Seg1Payer3TotalVolume</t>
  </si>
  <si>
    <t>cbalReg1Seg2Payer3TotalVolume</t>
  </si>
  <si>
    <t>cbalReg1Seg3Payer3TotalVolume</t>
  </si>
  <si>
    <t>cbalReg1Payer1Share</t>
  </si>
  <si>
    <t>cbalReg1Seg1Payer1Share</t>
  </si>
  <si>
    <t>cbalReg1Seg2Payer1Share</t>
  </si>
  <si>
    <t>cbalReg1Seg3Payer1Share</t>
  </si>
  <si>
    <t>cbalReg1Payer2Share</t>
  </si>
  <si>
    <t>cbalReg1Seg1Payer2Share</t>
  </si>
  <si>
    <t>cbalReg1Seg2Payer2Share</t>
  </si>
  <si>
    <t>cbalReg1Seg3Payer2Share</t>
  </si>
  <si>
    <t>cbalReg1Payer3Share</t>
  </si>
  <si>
    <t>cbalReg1Seg1Payer3Share</t>
  </si>
  <si>
    <t>cbalReg1Seg2Payer3Share</t>
  </si>
  <si>
    <t>cbalReg1Seg3Payer3Share</t>
  </si>
  <si>
    <t>cbalReg1Comp1Payer1Share</t>
  </si>
  <si>
    <t>cbalReg1Seg1Comp1Payer1Share</t>
  </si>
  <si>
    <t>cbalReg1Seg2Comp1Payer1Share</t>
  </si>
  <si>
    <t>cbalReg1Seg3Comp1Payer1Share</t>
  </si>
  <si>
    <t>cbalReg1Comp1Payer2Share</t>
  </si>
  <si>
    <t>cbalReg1Seg1Comp1Payer2Share</t>
  </si>
  <si>
    <t>cbalReg1Seg2Comp1Payer2Share</t>
  </si>
  <si>
    <t>cbalReg1Seg3Comp1Payer2Share</t>
  </si>
  <si>
    <t>cbalReg1Comp1Payer3Share</t>
  </si>
  <si>
    <t>cbalReg1Seg1Comp1Payer3Share</t>
  </si>
  <si>
    <t>cbalReg1Seg2Comp1Payer3Share</t>
  </si>
  <si>
    <t>cbalReg1Seg3Comp1Payer3Share</t>
  </si>
  <si>
    <t>cbalReg1Comp2Payer1Share</t>
  </si>
  <si>
    <t>cbalReg1Seg1Comp2Payer1Share</t>
  </si>
  <si>
    <t>cbalReg1Seg2Comp2Payer1Share</t>
  </si>
  <si>
    <t>cbalReg1Seg3Comp2Payer1Share</t>
  </si>
  <si>
    <t>cbalReg1Comp2Payer2Share</t>
  </si>
  <si>
    <t>cbalReg1Seg1Comp2Payer2Share</t>
  </si>
  <si>
    <t>cbalReg1Seg2Comp2Payer2Share</t>
  </si>
  <si>
    <t>cbalReg1Seg3Comp2Payer2Share</t>
  </si>
  <si>
    <t>cbalReg1Comp2Payer3Share</t>
  </si>
  <si>
    <t>cbalReg1Seg1Comp2Payer3Share</t>
  </si>
  <si>
    <t>cbalReg1Seg2Comp2Payer3Share</t>
  </si>
  <si>
    <t>cbalReg1Seg3Comp2Payer3Share</t>
  </si>
  <si>
    <t>cbalProd1Payer1TotalVolume</t>
  </si>
  <si>
    <t>cbalProd1Seg1Payer1TotalVolume</t>
  </si>
  <si>
    <t>cbalProd1Seg2Payer1TotalVolume</t>
  </si>
  <si>
    <t>cbalProd1Seg3Payer1TotalVolume</t>
  </si>
  <si>
    <t>cbalProd1Payer2TotalVolume</t>
  </si>
  <si>
    <t>cbalProd1Seg1Payer2TotalVolume</t>
  </si>
  <si>
    <t>cbalProd1Seg2Payer2TotalVolume</t>
  </si>
  <si>
    <t>cbalProd1Seg3Payer2TotalVolume</t>
  </si>
  <si>
    <t>cbalProd1Payer3TotalVolume</t>
  </si>
  <si>
    <t>cbalProd1Seg1Payer3TotalVolume</t>
  </si>
  <si>
    <t>cbalProd1Seg2Payer3TotalVolume</t>
  </si>
  <si>
    <t>cbalProd1Seg3Payer3TotalVolume</t>
  </si>
  <si>
    <t>cbalProd1Payer1Share</t>
  </si>
  <si>
    <t>cbalProd1Seg1Payer1Share</t>
  </si>
  <si>
    <t>cbalProd1Seg2Payer1Share</t>
  </si>
  <si>
    <t>cbalProd1Seg3Payer1Share</t>
  </si>
  <si>
    <t>cbalProd1Payer2Share</t>
  </si>
  <si>
    <t>cbalProd1Seg1Payer2Share</t>
  </si>
  <si>
    <t>cbalProd1Seg2Payer2Share</t>
  </si>
  <si>
    <t>cbalProd1Seg3Payer2Share</t>
  </si>
  <si>
    <t>cbalProd1Payer3Share</t>
  </si>
  <si>
    <t>cbalProd1Seg1Payer3Share</t>
  </si>
  <si>
    <t>cbalProd1Seg2Payer3Share</t>
  </si>
  <si>
    <t>cbalProd1Seg3Payer3Share</t>
  </si>
  <si>
    <t>cbalProd1Comp1Payer1Share</t>
  </si>
  <si>
    <t>cbalProd1Seg1Comp1Payer1Share</t>
  </si>
  <si>
    <t>cbalProd1Seg2Comp1Payer1Share</t>
  </si>
  <si>
    <t>cbalProd1Seg3Comp1Payer1Share</t>
  </si>
  <si>
    <t>cbalProd1Comp1Payer2Share</t>
  </si>
  <si>
    <t>cbalProd1Seg1Comp1Payer2Share</t>
  </si>
  <si>
    <t>cbalProd1Seg2Comp1Payer2Share</t>
  </si>
  <si>
    <t>cbalProd1Seg3Comp1Payer2Share</t>
  </si>
  <si>
    <t>cbalProd1Comp1Payer3Share</t>
  </si>
  <si>
    <t>cbalProd1Seg1Comp1Payer3Share</t>
  </si>
  <si>
    <t>cbalProd1Seg2Comp1Payer3Share</t>
  </si>
  <si>
    <t>cbalProd1Seg3Comp1Payer3Share</t>
  </si>
  <si>
    <t>cbalProd1Comp2Payer1Share</t>
  </si>
  <si>
    <t>cbalProd1Seg1Comp2Payer1Share</t>
  </si>
  <si>
    <t>cbalProd1Seg2Comp2Payer1Share</t>
  </si>
  <si>
    <t>cbalProd1Seg3Comp2Payer1Share</t>
  </si>
  <si>
    <t>cbalProd1Comp2Payer2Share</t>
  </si>
  <si>
    <t>cbalProd1Seg1Comp2Payer2Share</t>
  </si>
  <si>
    <t>cbalProd1Seg2Comp2Payer2Share</t>
  </si>
  <si>
    <t>cbalProd1Seg3Comp2Payer2Share</t>
  </si>
  <si>
    <t>cbalProd1Comp2Payer3Share</t>
  </si>
  <si>
    <t>cbalProd1Seg1Comp2Payer3Share</t>
  </si>
  <si>
    <t>cbalProd1Seg2Comp2Payer3Share</t>
  </si>
  <si>
    <t>cbalProd1Seg3Comp2Payer3Share</t>
  </si>
  <si>
    <t>dataReg1Seg1Comp2Payer1Percentage</t>
  </si>
  <si>
    <t>dataReg1Seg1Comp2Payer2Percentage</t>
  </si>
  <si>
    <t>dataReg1Seg1Comp2Payer3Percentage</t>
  </si>
  <si>
    <t>dataReg1Seg1Comp2Payer1Volume</t>
  </si>
  <si>
    <t>dataReg1Seg1Comp2Payer2Volume</t>
  </si>
  <si>
    <t>dataReg1Seg1Comp2Payer3Volume</t>
  </si>
  <si>
    <t>dataReg1Seg2Comp2Payer1Percentage</t>
  </si>
  <si>
    <t>dataReg1Seg2Comp2Payer2Percentage</t>
  </si>
  <si>
    <t>dataReg1Seg2Comp2Payer3Percentage</t>
  </si>
  <si>
    <t>dataReg1Seg2Comp2Payer1Volume</t>
  </si>
  <si>
    <t>dataReg1Seg2Comp2Payer2Volume</t>
  </si>
  <si>
    <t>dataReg1Seg2Comp2Payer3Volume</t>
  </si>
  <si>
    <t>dataReg1Seg3Comp2Payer1Percentage</t>
  </si>
  <si>
    <t>dataReg1Seg3Comp2Payer2Percentage</t>
  </si>
  <si>
    <t>dataReg1Seg3Comp2Payer3Percentage</t>
  </si>
  <si>
    <t>dataReg1Seg3Comp2Payer1Volume</t>
  </si>
  <si>
    <t>dataReg1Seg3Comp2Payer2Volume</t>
  </si>
  <si>
    <t>dataReg1Seg3Comp2Payer3Volume</t>
  </si>
  <si>
    <t>Company Payer Volume</t>
  </si>
  <si>
    <t>obalProd1Payer1Volume</t>
  </si>
  <si>
    <t>obalProd1Seg1Payer1Volume</t>
  </si>
  <si>
    <t>obalProd1Seg2Payer1Volume</t>
  </si>
  <si>
    <t>obalProd1Seg3Payer1Volume</t>
  </si>
  <si>
    <t>obalProd1Payer2Volume</t>
  </si>
  <si>
    <t>obalProd1Seg1Payer2Volume</t>
  </si>
  <si>
    <t>obalProd1Seg2Payer2Volume</t>
  </si>
  <si>
    <t>obalProd1Seg3Payer2Volume</t>
  </si>
  <si>
    <t>obalProd1Payer3Volume</t>
  </si>
  <si>
    <t>obalProd1Seg1Payer3Volume</t>
  </si>
  <si>
    <t>obalProd1Seg2Payer3Volume</t>
  </si>
  <si>
    <t>obalProd1Seg3Payer3Volume</t>
  </si>
  <si>
    <t xml:space="preserve">  </t>
  </si>
  <si>
    <t>cbalReg1Payer1Volume</t>
  </si>
  <si>
    <t>cbalReg1Seg1Payer1Volume</t>
  </si>
  <si>
    <t>cbalReg1Seg2Payer1Volume</t>
  </si>
  <si>
    <t>cbalReg1Seg3Payer1Volume</t>
  </si>
  <si>
    <t>cbalReg1Payer2Volume</t>
  </si>
  <si>
    <t>cbalReg1Seg1Payer2Volume</t>
  </si>
  <si>
    <t>cbalReg1Seg2Payer2Volume</t>
  </si>
  <si>
    <t>cbalReg1Seg3Payer2Volume</t>
  </si>
  <si>
    <t>cbalReg1Payer3Volume</t>
  </si>
  <si>
    <t>cbalReg1Seg1Payer3Volume</t>
  </si>
  <si>
    <t>cbalReg1Seg2Payer3Volume</t>
  </si>
  <si>
    <t>cbalReg1Seg3Payer3Volume</t>
  </si>
  <si>
    <t>cbalProd1Payer1Volume</t>
  </si>
  <si>
    <t>cbalProd1Seg1Payer1Volume</t>
  </si>
  <si>
    <t>cbalProd1Seg2Payer1Volume</t>
  </si>
  <si>
    <t>cbalProd1Seg3Payer1Volume</t>
  </si>
  <si>
    <t>cbalProd1Payer2Volume</t>
  </si>
  <si>
    <t>cbalProd1Seg1Payer2Volume</t>
  </si>
  <si>
    <t>cbalProd1Seg2Payer2Volume</t>
  </si>
  <si>
    <t>cbalProd1Seg3Payer2Volume</t>
  </si>
  <si>
    <t>cbalProd1Payer3Volume</t>
  </si>
  <si>
    <t>cbalProd1Seg1Payer3Volume</t>
  </si>
  <si>
    <t>cbalProd1Seg2Payer3Volume</t>
  </si>
  <si>
    <t>cbalProd1Seg3Payer3Volume</t>
  </si>
  <si>
    <t>Management</t>
  </si>
  <si>
    <t>obalESATReg1</t>
  </si>
  <si>
    <t>cbalESATReg1</t>
  </si>
  <si>
    <t>obalESATProd1</t>
  </si>
  <si>
    <t>cbalESATProd1</t>
  </si>
  <si>
    <t>OpEff</t>
  </si>
  <si>
    <t>obalOpEffReg1</t>
  </si>
  <si>
    <t>obalOpEffProd1</t>
  </si>
  <si>
    <t>cbalOpEffReg1</t>
  </si>
  <si>
    <t>cbalOpEffProd1</t>
  </si>
  <si>
    <t>Tier Status</t>
  </si>
  <si>
    <t>obalProd1Payer1Status</t>
  </si>
  <si>
    <t>obalProd1Payer2Status</t>
  </si>
  <si>
    <t>obalProd1Payer3Status</t>
  </si>
  <si>
    <t>obalProd1Comp1Payer1Status</t>
  </si>
  <si>
    <t>obalProd1Comp1Payer2Status</t>
  </si>
  <si>
    <t>obalProd1Comp1Payer3Status</t>
  </si>
  <si>
    <t>obalProd1Comp2Payer1Status</t>
  </si>
  <si>
    <t>obalProd1Comp2Payer2Status</t>
  </si>
  <si>
    <t>obalProd1Comp2Payer3Status</t>
  </si>
  <si>
    <t>cbalProd1Payer1Status</t>
  </si>
  <si>
    <t>cbalProd1Payer2Status</t>
  </si>
  <si>
    <t>cbalProd1Payer3Status</t>
  </si>
  <si>
    <t>cbalProd1Comp1Payer1Status</t>
  </si>
  <si>
    <t>cbalProd1Comp1Payer2Status</t>
  </si>
  <si>
    <t>cbalProd1Comp1Payer3Status</t>
  </si>
  <si>
    <t>cbalProd1Comp2Payer1Status</t>
  </si>
  <si>
    <t>cbalProd1Comp2Payer2Status</t>
  </si>
  <si>
    <t>cbalProd1Comp2Payer3Status</t>
  </si>
  <si>
    <t>CALC Page</t>
  </si>
  <si>
    <t>Driving Market Volume</t>
  </si>
  <si>
    <t>Opening</t>
  </si>
  <si>
    <t>Opening Share</t>
  </si>
  <si>
    <t>Round 1</t>
  </si>
  <si>
    <t>Ending Share</t>
  </si>
  <si>
    <t>Ending Volume</t>
  </si>
  <si>
    <t>calcProd1Seg1Payer1VolumeR1</t>
  </si>
  <si>
    <t>Payer New Customers</t>
  </si>
  <si>
    <t>Payer Existing Customers</t>
  </si>
  <si>
    <t>dataReg1Seg3Payer1RecurCust</t>
  </si>
  <si>
    <t>dataReg1Seg3Payer2RecurCust</t>
  </si>
  <si>
    <t>dataReg1Seg3Payer3RecurCust</t>
  </si>
  <si>
    <t>dataReg1Seg3Payer1GrowthCust</t>
  </si>
  <si>
    <t>dataReg1Seg3Payer2GrowthCust</t>
  </si>
  <si>
    <t>dataReg1Seg3Payer3GrowthCust</t>
  </si>
  <si>
    <t>dataReg1Seg2Payer1RecurCust</t>
  </si>
  <si>
    <t>dataReg1Seg2Payer2RecurCust</t>
  </si>
  <si>
    <t>dataReg1Seg2Payer3RecurCust</t>
  </si>
  <si>
    <t>dataReg1Seg2Payer1GrowthCust</t>
  </si>
  <si>
    <t>dataReg1Seg2Payer2GrowthCust</t>
  </si>
  <si>
    <t>dataReg1Seg2Payer3GrowthCust</t>
  </si>
  <si>
    <t>dataProd1Seg1Payer1RecurCust</t>
  </si>
  <si>
    <t>dataProd1Seg1Payer2RecurCust</t>
  </si>
  <si>
    <t>dataProd1Seg1Payer3RecurCust</t>
  </si>
  <si>
    <t>dataProd1Seg1Payer1GrowthCust</t>
  </si>
  <si>
    <t>dataProd1Seg1Payer2GrowthCust</t>
  </si>
  <si>
    <t>dataProd1Seg1Payer3GrowthCust</t>
  </si>
  <si>
    <t>dataProd1Seg2Payer1RecurCust</t>
  </si>
  <si>
    <t>dataProd1Seg2Payer2RecurCust</t>
  </si>
  <si>
    <t>dataProd1Seg2Payer3RecurCust</t>
  </si>
  <si>
    <t>dataProd1Seg2Payer1GrowthCust</t>
  </si>
  <si>
    <t>dataProd1Seg2Payer2GrowthCust</t>
  </si>
  <si>
    <t>dataProd1Seg2Payer3GrowthCust</t>
  </si>
  <si>
    <t>dataProd1Seg3Payer1RecurCust</t>
  </si>
  <si>
    <t>dataProd1Seg3Payer2RecurCust</t>
  </si>
  <si>
    <t>dataProd1Seg3Payer3RecurCust</t>
  </si>
  <si>
    <t>dataProd1Seg3Payer1GrowthCust</t>
  </si>
  <si>
    <t>dataProd1Seg3Payer2GrowthCust</t>
  </si>
  <si>
    <t>dataProd1Seg3Payer3GrowthCust</t>
  </si>
  <si>
    <t>dataReg1Seg1Payer1RecurCust</t>
  </si>
  <si>
    <t>dataReg1Seg1Payer2RecurCust</t>
  </si>
  <si>
    <t>dataReg1Seg1Payer3RecurCust</t>
  </si>
  <si>
    <t>dataReg1Seg1Payer1GrowthCust</t>
  </si>
  <si>
    <t>dataReg1Seg1Payer2GrowthCust</t>
  </si>
  <si>
    <t>dataReg1Seg1Payer3GrowthCust</t>
  </si>
  <si>
    <t>calcProd1Seg1Payer1MarketRecurCustR1</t>
  </si>
  <si>
    <t>calcProd1Seg1Payer1ShareRecurCustR1</t>
  </si>
  <si>
    <t>calcProd1Seg1Payer1VolumeRecurCustR1</t>
  </si>
  <si>
    <t>calcProd1Seg1Payer1MarketGrowthCustR1</t>
  </si>
  <si>
    <t>Ending</t>
  </si>
  <si>
    <t>calcProd1Seg1Payer1ShareNewCustR1</t>
  </si>
  <si>
    <t>calcProd1Seg1Payer1VolumeNewCustR1</t>
  </si>
  <si>
    <t>Total Available</t>
  </si>
  <si>
    <t>calcProd1Seg1Payer1TotalVolumeR1</t>
  </si>
  <si>
    <t>Captured Volume</t>
  </si>
  <si>
    <t>calcProd1Seg1Payer1MarketRecurCustR2</t>
  </si>
  <si>
    <t>Recurring</t>
  </si>
  <si>
    <t>calcProd1Seg1Payer1ShareTotalCustR1</t>
  </si>
  <si>
    <t>calcProd1Seg1Payer1ShareRecurCustR2</t>
  </si>
  <si>
    <t>calcProd1Seg1Payer1VolumeRecurCustR2</t>
  </si>
  <si>
    <t>calcProd1Seg1Payer1MarketGrowthCustR2</t>
  </si>
  <si>
    <t>calcProd1Seg1Payer1ShareNewCustR2</t>
  </si>
  <si>
    <t>calcProd1Seg1Payer1VolumeNewCustR2</t>
  </si>
  <si>
    <t>calcProd1Seg1Payer1ShareTotalCustR2</t>
  </si>
  <si>
    <t>calcProd1Seg1Payer1TotalVolumeR2</t>
  </si>
  <si>
    <t>calcProd1Seg1Payer1VolumeR2</t>
  </si>
  <si>
    <t>Round 2</t>
  </si>
  <si>
    <t>calcProd1Seg1Payer2MarketRecurCustR1</t>
  </si>
  <si>
    <t>calcProd1Seg1Payer2ShareRecurCustR1</t>
  </si>
  <si>
    <t>calcProd1Seg1Payer2VolumeRecurCustR1</t>
  </si>
  <si>
    <t>calcProd1Seg1Payer2MarketGrowthCustR1</t>
  </si>
  <si>
    <t>calcProd1Seg1Payer2ShareNewCustR1</t>
  </si>
  <si>
    <t>calcProd1Seg1Payer2VolumeNewCustR1</t>
  </si>
  <si>
    <t>calcProd1Seg1Payer2TotalVolumeR1</t>
  </si>
  <si>
    <t>calcProd1Seg1Payer2VolumeR1</t>
  </si>
  <si>
    <t>calcProd1Seg1Payer2ShareTotalCustR1</t>
  </si>
  <si>
    <t>calcProd1Seg1Payer2MarketRecurCustR2</t>
  </si>
  <si>
    <t>calcProd1Seg1Payer2ShareRecurCustR2</t>
  </si>
  <si>
    <t>calcProd1Seg1Payer2VolumeRecurCustR2</t>
  </si>
  <si>
    <t>calcProd1Seg1Payer2MarketGrowthCustR2</t>
  </si>
  <si>
    <t>calcProd1Seg1Payer2ShareNewCustR2</t>
  </si>
  <si>
    <t>calcProd1Seg1Payer2VolumeNewCustR2</t>
  </si>
  <si>
    <t>calcProd1Seg1Payer2TotalVolumeR2</t>
  </si>
  <si>
    <t>calcProd1Seg1Payer2VolumeR2</t>
  </si>
  <si>
    <t>calcProd1Seg1Payer2ShareTotalCustR2</t>
  </si>
  <si>
    <t>calcProd1Seg1Payer3MarketRecurCustR1</t>
  </si>
  <si>
    <t>calcProd1Seg1Payer3ShareRecurCustR1</t>
  </si>
  <si>
    <t>calcProd1Seg1Payer3VolumeRecurCustR1</t>
  </si>
  <si>
    <t>calcProd1Seg1Payer3MarketGrowthCustR1</t>
  </si>
  <si>
    <t>calcProd1Seg1Payer3ShareNewCustR1</t>
  </si>
  <si>
    <t>calcProd1Seg1Payer3VolumeNewCustR1</t>
  </si>
  <si>
    <t>calcProd1Seg1Payer3TotalVolumeR1</t>
  </si>
  <si>
    <t>calcProd1Seg1Payer3VolumeR1</t>
  </si>
  <si>
    <t>calcProd1Seg1Payer3ShareTotalCustR1</t>
  </si>
  <si>
    <t>calcProd1Seg1Payer3MarketRecurCustR2</t>
  </si>
  <si>
    <t>calcProd1Seg1Payer3ShareRecurCustR2</t>
  </si>
  <si>
    <t>calcProd1Seg1Payer3VolumeRecurCustR2</t>
  </si>
  <si>
    <t>calcProd1Seg1Payer3MarketGrowthCustR2</t>
  </si>
  <si>
    <t>calcProd1Seg1Payer3ShareNewCustR2</t>
  </si>
  <si>
    <t>calcProd1Seg1Payer3VolumeNewCustR2</t>
  </si>
  <si>
    <t>calcProd1Seg1Payer3TotalVolumeR2</t>
  </si>
  <si>
    <t>calcProd1Seg1Payer3VolumeR2</t>
  </si>
  <si>
    <t>calcProd1Seg1Payer3ShareTotalCustR2</t>
  </si>
  <si>
    <t>calcProd1Seg2Payer1MarketRecurCustR1</t>
  </si>
  <si>
    <t>calcProd1Seg2Payer1ShareRecurCustR1</t>
  </si>
  <si>
    <t>calcProd1Seg2Payer1VolumeRecurCustR1</t>
  </si>
  <si>
    <t>calcProd1Seg2Payer1MarketGrowthCustR1</t>
  </si>
  <si>
    <t>calcProd1Seg2Payer1ShareNewCustR1</t>
  </si>
  <si>
    <t>calcProd1Seg2Payer1VolumeNewCustR1</t>
  </si>
  <si>
    <t>calcProd1Seg2Payer1TotalVolumeR1</t>
  </si>
  <si>
    <t>calcProd1Seg2Payer1VolumeR1</t>
  </si>
  <si>
    <t>calcProd1Seg2Payer1ShareTotalCustR1</t>
  </si>
  <si>
    <t>calcProd1Seg2Payer1MarketRecurCustR2</t>
  </si>
  <si>
    <t>calcProd1Seg2Payer1ShareRecurCustR2</t>
  </si>
  <si>
    <t>calcProd1Seg2Payer1VolumeRecurCustR2</t>
  </si>
  <si>
    <t>calcProd1Seg2Payer1MarketGrowthCustR2</t>
  </si>
  <si>
    <t>calcProd1Seg2Payer1ShareNewCustR2</t>
  </si>
  <si>
    <t>calcProd1Seg2Payer1VolumeNewCustR2</t>
  </si>
  <si>
    <t>calcProd1Seg2Payer1TotalVolumeR2</t>
  </si>
  <si>
    <t>calcProd1Seg2Payer1VolumeR2</t>
  </si>
  <si>
    <t>calcProd1Seg2Payer1ShareTotalCustR2</t>
  </si>
  <si>
    <t>calcProd1Seg2Payer2MarketRecurCustR1</t>
  </si>
  <si>
    <t>calcProd1Seg2Payer2ShareRecurCustR1</t>
  </si>
  <si>
    <t>calcProd1Seg2Payer2VolumeRecurCustR1</t>
  </si>
  <si>
    <t>calcProd1Seg2Payer2MarketGrowthCustR1</t>
  </si>
  <si>
    <t>calcProd1Seg2Payer2ShareNewCustR1</t>
  </si>
  <si>
    <t>calcProd1Seg2Payer2VolumeNewCustR1</t>
  </si>
  <si>
    <t>calcProd1Seg2Payer2TotalVolumeR1</t>
  </si>
  <si>
    <t>calcProd1Seg2Payer2VolumeR1</t>
  </si>
  <si>
    <t>calcProd1Seg2Payer2ShareTotalCustR1</t>
  </si>
  <si>
    <t>calcProd1Seg2Payer2MarketRecurCustR2</t>
  </si>
  <si>
    <t>calcProd1Seg2Payer2ShareRecurCustR2</t>
  </si>
  <si>
    <t>calcProd1Seg2Payer2VolumeRecurCustR2</t>
  </si>
  <si>
    <t>calcProd1Seg2Payer2MarketGrowthCustR2</t>
  </si>
  <si>
    <t>calcProd1Seg2Payer2ShareNewCustR2</t>
  </si>
  <si>
    <t>calcProd1Seg2Payer2VolumeNewCustR2</t>
  </si>
  <si>
    <t>calcProd1Seg2Payer2TotalVolumeR2</t>
  </si>
  <si>
    <t>calcProd1Seg2Payer2VolumeR2</t>
  </si>
  <si>
    <t>calcProd1Seg2Payer2ShareTotalCustR2</t>
  </si>
  <si>
    <t>calcProd1Seg2Payer3MarketRecurCustR1</t>
  </si>
  <si>
    <t>calcProd1Seg2Payer3ShareRecurCustR1</t>
  </si>
  <si>
    <t>calcProd1Seg2Payer3VolumeRecurCustR1</t>
  </si>
  <si>
    <t>calcProd1Seg2Payer3MarketGrowthCustR1</t>
  </si>
  <si>
    <t>calcProd1Seg2Payer3ShareNewCustR1</t>
  </si>
  <si>
    <t>calcProd1Seg2Payer3VolumeNewCustR1</t>
  </si>
  <si>
    <t>calcProd1Seg2Payer3TotalVolumeR1</t>
  </si>
  <si>
    <t>calcProd1Seg2Payer3VolumeR1</t>
  </si>
  <si>
    <t>calcProd1Seg2Payer3ShareTotalCustR1</t>
  </si>
  <si>
    <t>calcProd1Seg2Payer3MarketRecurCustR2</t>
  </si>
  <si>
    <t>calcProd1Seg2Payer3ShareRecurCustR2</t>
  </si>
  <si>
    <t>calcProd1Seg2Payer3VolumeRecurCustR2</t>
  </si>
  <si>
    <t>calcProd1Seg2Payer3MarketGrowthCustR2</t>
  </si>
  <si>
    <t>calcProd1Seg2Payer3ShareNewCustR2</t>
  </si>
  <si>
    <t>calcProd1Seg2Payer3VolumeNewCustR2</t>
  </si>
  <si>
    <t>calcProd1Seg2Payer3TotalVolumeR2</t>
  </si>
  <si>
    <t>calcProd1Seg2Payer3VolumeR2</t>
  </si>
  <si>
    <t>calcProd1Seg2Payer3ShareTotalCustR2</t>
  </si>
  <si>
    <t>calcProd1Seg3Payer1MarketRecurCustR1</t>
  </si>
  <si>
    <t>calcProd1Seg3Payer1ShareRecurCustR1</t>
  </si>
  <si>
    <t>calcProd1Seg3Payer1VolumeRecurCustR1</t>
  </si>
  <si>
    <t>calcProd1Seg3Payer1MarketGrowthCustR1</t>
  </si>
  <si>
    <t>calcProd1Seg3Payer1ShareNewCustR1</t>
  </si>
  <si>
    <t>calcProd1Seg3Payer1VolumeNewCustR1</t>
  </si>
  <si>
    <t>calcProd1Seg3Payer1TotalVolumeR1</t>
  </si>
  <si>
    <t>calcProd1Seg3Payer1VolumeR1</t>
  </si>
  <si>
    <t>calcProd1Seg3Payer1ShareTotalCustR1</t>
  </si>
  <si>
    <t>calcProd1Seg3Payer1MarketRecurCustR2</t>
  </si>
  <si>
    <t>calcProd1Seg3Payer1ShareRecurCustR2</t>
  </si>
  <si>
    <t>calcProd1Seg3Payer1VolumeRecurCustR2</t>
  </si>
  <si>
    <t>calcProd1Seg3Payer1MarketGrowthCustR2</t>
  </si>
  <si>
    <t>calcProd1Seg3Payer1ShareNewCustR2</t>
  </si>
  <si>
    <t>calcProd1Seg3Payer1VolumeNewCustR2</t>
  </si>
  <si>
    <t>calcProd1Seg3Payer1TotalVolumeR2</t>
  </si>
  <si>
    <t>calcProd1Seg3Payer1VolumeR2</t>
  </si>
  <si>
    <t>calcProd1Seg3Payer1ShareTotalCustR2</t>
  </si>
  <si>
    <t>calcProd1Seg3Payer2MarketRecurCustR1</t>
  </si>
  <si>
    <t>calcProd1Seg3Payer2ShareRecurCustR1</t>
  </si>
  <si>
    <t>calcProd1Seg3Payer2VolumeRecurCustR1</t>
  </si>
  <si>
    <t>calcProd1Seg3Payer2MarketGrowthCustR1</t>
  </si>
  <si>
    <t>calcProd1Seg3Payer2ShareNewCustR1</t>
  </si>
  <si>
    <t>calcProd1Seg3Payer2VolumeNewCustR1</t>
  </si>
  <si>
    <t>calcProd1Seg3Payer2TotalVolumeR1</t>
  </si>
  <si>
    <t>calcProd1Seg3Payer2VolumeR1</t>
  </si>
  <si>
    <t>calcProd1Seg3Payer2ShareTotalCustR1</t>
  </si>
  <si>
    <t>calcProd1Seg3Payer2MarketRecurCustR2</t>
  </si>
  <si>
    <t>calcProd1Seg3Payer2ShareRecurCustR2</t>
  </si>
  <si>
    <t>calcProd1Seg3Payer2VolumeRecurCustR2</t>
  </si>
  <si>
    <t>calcProd1Seg3Payer2MarketGrowthCustR2</t>
  </si>
  <si>
    <t>calcProd1Seg3Payer2ShareNewCustR2</t>
  </si>
  <si>
    <t>calcProd1Seg3Payer2VolumeNewCustR2</t>
  </si>
  <si>
    <t>calcProd1Seg3Payer2TotalVolumeR2</t>
  </si>
  <si>
    <t>calcProd1Seg3Payer2VolumeR2</t>
  </si>
  <si>
    <t>calcProd1Seg3Payer2ShareTotalCustR2</t>
  </si>
  <si>
    <t>calcProd1Seg3Payer3MarketRecurCustR1</t>
  </si>
  <si>
    <t>calcProd1Seg3Payer3ShareRecurCustR1</t>
  </si>
  <si>
    <t>calcProd1Seg3Payer3VolumeRecurCustR1</t>
  </si>
  <si>
    <t>calcProd1Seg3Payer3MarketGrowthCustR1</t>
  </si>
  <si>
    <t>calcProd1Seg3Payer3ShareNewCustR1</t>
  </si>
  <si>
    <t>calcProd1Seg3Payer3VolumeNewCustR1</t>
  </si>
  <si>
    <t>calcProd1Seg3Payer3TotalVolumeR1</t>
  </si>
  <si>
    <t>calcProd1Seg3Payer3VolumeR1</t>
  </si>
  <si>
    <t>calcProd1Seg3Payer3ShareTotalCustR1</t>
  </si>
  <si>
    <t>calcProd1Seg3Payer3MarketRecurCustR2</t>
  </si>
  <si>
    <t>calcProd1Seg3Payer3ShareRecurCustR2</t>
  </si>
  <si>
    <t>calcProd1Seg3Payer3VolumeRecurCustR2</t>
  </si>
  <si>
    <t>calcProd1Seg3Payer3MarketGrowthCustR2</t>
  </si>
  <si>
    <t>calcProd1Seg3Payer3ShareNewCustR2</t>
  </si>
  <si>
    <t>calcProd1Seg3Payer3VolumeNewCustR2</t>
  </si>
  <si>
    <t>calcProd1Seg3Payer3TotalVolumeR2</t>
  </si>
  <si>
    <t>calcProd1Seg3Payer3VolumeR2</t>
  </si>
  <si>
    <t>calcProd1Seg3Payer3ShareTotalCustR2</t>
  </si>
  <si>
    <t>calcReg1Seg1Payer1MarketRecurCustR1</t>
  </si>
  <si>
    <t>calcReg1Seg1Payer1ShareRecurCustR1</t>
  </si>
  <si>
    <t>calcReg1Seg1Payer1VolumeRecurCustR1</t>
  </si>
  <si>
    <t>calcReg1Seg1Payer1MarketGrowthCustR1</t>
  </si>
  <si>
    <t>calcReg1Seg1Payer1ShareNewCustR1</t>
  </si>
  <si>
    <t>calcReg1Seg1Payer1VolumeNewCustR1</t>
  </si>
  <si>
    <t>calcReg1Seg1Payer1TotalVolumeR1</t>
  </si>
  <si>
    <t>calcReg1Seg1Payer1VolumeR1</t>
  </si>
  <si>
    <t>calcReg1Seg1Payer1ShareTotalCustR1</t>
  </si>
  <si>
    <t>calcReg1Seg1Payer1MarketRecurCustR2</t>
  </si>
  <si>
    <t>calcReg1Seg1Payer1ShareRecurCustR2</t>
  </si>
  <si>
    <t>calcReg1Seg1Payer1VolumeRecurCustR2</t>
  </si>
  <si>
    <t>calcReg1Seg1Payer1MarketGrowthCustR2</t>
  </si>
  <si>
    <t>calcReg1Seg1Payer1ShareNewCustR2</t>
  </si>
  <si>
    <t>calcReg1Seg1Payer1VolumeNewCustR2</t>
  </si>
  <si>
    <t>calcReg1Seg1Payer1TotalVolumeR2</t>
  </si>
  <si>
    <t>calcReg1Seg1Payer1VolumeR2</t>
  </si>
  <si>
    <t>calcReg1Seg1Payer1ShareTotalCustR2</t>
  </si>
  <si>
    <t>calcReg1Seg1Payer2MarketRecurCustR1</t>
  </si>
  <si>
    <t>calcReg1Seg1Payer2ShareRecurCustR1</t>
  </si>
  <si>
    <t>calcReg1Seg1Payer2VolumeRecurCustR1</t>
  </si>
  <si>
    <t>calcReg1Seg1Payer2MarketGrowthCustR1</t>
  </si>
  <si>
    <t>calcReg1Seg1Payer2ShareNewCustR1</t>
  </si>
  <si>
    <t>calcReg1Seg1Payer2VolumeNewCustR1</t>
  </si>
  <si>
    <t>calcReg1Seg1Payer2TotalVolumeR1</t>
  </si>
  <si>
    <t>calcReg1Seg1Payer2VolumeR1</t>
  </si>
  <si>
    <t>calcReg1Seg1Payer2ShareTotalCustR1</t>
  </si>
  <si>
    <t>calcReg1Seg1Payer2MarketRecurCustR2</t>
  </si>
  <si>
    <t>calcReg1Seg1Payer2ShareRecurCustR2</t>
  </si>
  <si>
    <t>calcReg1Seg1Payer2VolumeRecurCustR2</t>
  </si>
  <si>
    <t>calcReg1Seg1Payer2MarketGrowthCustR2</t>
  </si>
  <si>
    <t>calcReg1Seg1Payer2ShareNewCustR2</t>
  </si>
  <si>
    <t>calcReg1Seg1Payer2VolumeNewCustR2</t>
  </si>
  <si>
    <t>calcReg1Seg1Payer2TotalVolumeR2</t>
  </si>
  <si>
    <t>calcReg1Seg1Payer2VolumeR2</t>
  </si>
  <si>
    <t>calcReg1Seg1Payer2ShareTotalCustR2</t>
  </si>
  <si>
    <t>calcReg1Seg1Payer3MarketRecurCustR1</t>
  </si>
  <si>
    <t>calcReg1Seg1Payer3ShareRecurCustR1</t>
  </si>
  <si>
    <t>calcReg1Seg1Payer3VolumeRecurCustR1</t>
  </si>
  <si>
    <t>calcReg1Seg1Payer3MarketGrowthCustR1</t>
  </si>
  <si>
    <t>calcReg1Seg1Payer3ShareNewCustR1</t>
  </si>
  <si>
    <t>calcReg1Seg1Payer3VolumeNewCustR1</t>
  </si>
  <si>
    <t>calcReg1Seg1Payer3TotalVolumeR1</t>
  </si>
  <si>
    <t>calcReg1Seg1Payer3VolumeR1</t>
  </si>
  <si>
    <t>calcReg1Seg1Payer3ShareTotalCustR1</t>
  </si>
  <si>
    <t>calcReg1Seg1Payer3MarketRecurCustR2</t>
  </si>
  <si>
    <t>calcReg1Seg1Payer3ShareRecurCustR2</t>
  </si>
  <si>
    <t>calcReg1Seg1Payer3VolumeRecurCustR2</t>
  </si>
  <si>
    <t>calcReg1Seg1Payer3MarketGrowthCustR2</t>
  </si>
  <si>
    <t>calcReg1Seg1Payer3ShareNewCustR2</t>
  </si>
  <si>
    <t>calcReg1Seg1Payer3VolumeNewCustR2</t>
  </si>
  <si>
    <t>calcReg1Seg1Payer3TotalVolumeR2</t>
  </si>
  <si>
    <t>calcReg1Seg1Payer3VolumeR2</t>
  </si>
  <si>
    <t>calcReg1Seg1Payer3ShareTotalCustR2</t>
  </si>
  <si>
    <t>calcReg1Seg2Payer1MarketRecurCustR1</t>
  </si>
  <si>
    <t>calcReg1Seg2Payer1ShareRecurCustR1</t>
  </si>
  <si>
    <t>calcReg1Seg2Payer1VolumeRecurCustR1</t>
  </si>
  <si>
    <t>calcReg1Seg2Payer1MarketGrowthCustR1</t>
  </si>
  <si>
    <t>calcReg1Seg2Payer1ShareNewCustR1</t>
  </si>
  <si>
    <t>calcReg1Seg2Payer1VolumeNewCustR1</t>
  </si>
  <si>
    <t>calcReg1Seg2Payer1TotalVolumeR1</t>
  </si>
  <si>
    <t>calcReg1Seg2Payer1VolumeR1</t>
  </si>
  <si>
    <t>calcReg1Seg2Payer1ShareTotalCustR1</t>
  </si>
  <si>
    <t>calcReg1Seg2Payer1MarketRecurCustR2</t>
  </si>
  <si>
    <t>calcReg1Seg2Payer1ShareRecurCustR2</t>
  </si>
  <si>
    <t>calcReg1Seg2Payer1VolumeRecurCustR2</t>
  </si>
  <si>
    <t>calcReg1Seg2Payer1MarketGrowthCustR2</t>
  </si>
  <si>
    <t>calcReg1Seg2Payer1ShareNewCustR2</t>
  </si>
  <si>
    <t>calcReg1Seg2Payer1VolumeNewCustR2</t>
  </si>
  <si>
    <t>calcReg1Seg2Payer1TotalVolumeR2</t>
  </si>
  <si>
    <t>calcReg1Seg2Payer1VolumeR2</t>
  </si>
  <si>
    <t>calcReg1Seg2Payer1ShareTotalCustR2</t>
  </si>
  <si>
    <t>calcReg1Seg2Payer2MarketRecurCustR1</t>
  </si>
  <si>
    <t>calcReg1Seg2Payer2ShareRecurCustR1</t>
  </si>
  <si>
    <t>calcReg1Seg2Payer2VolumeRecurCustR1</t>
  </si>
  <si>
    <t>calcReg1Seg2Payer2MarketGrowthCustR1</t>
  </si>
  <si>
    <t>calcReg1Seg2Payer2ShareNewCustR1</t>
  </si>
  <si>
    <t>calcReg1Seg2Payer2VolumeNewCustR1</t>
  </si>
  <si>
    <t>calcReg1Seg2Payer2TotalVolumeR1</t>
  </si>
  <si>
    <t>calcReg1Seg2Payer2VolumeR1</t>
  </si>
  <si>
    <t>calcReg1Seg2Payer2ShareTotalCustR1</t>
  </si>
  <si>
    <t>calcReg1Seg2Payer2MarketRecurCustR2</t>
  </si>
  <si>
    <t>calcReg1Seg2Payer2ShareRecurCustR2</t>
  </si>
  <si>
    <t>calcReg1Seg2Payer2VolumeRecurCustR2</t>
  </si>
  <si>
    <t>calcReg1Seg2Payer2MarketGrowthCustR2</t>
  </si>
  <si>
    <t>calcReg1Seg2Payer2ShareNewCustR2</t>
  </si>
  <si>
    <t>calcReg1Seg2Payer2VolumeNewCustR2</t>
  </si>
  <si>
    <t>calcReg1Seg2Payer2TotalVolumeR2</t>
  </si>
  <si>
    <t>calcReg1Seg2Payer2VolumeR2</t>
  </si>
  <si>
    <t>calcReg1Seg2Payer2ShareTotalCustR2</t>
  </si>
  <si>
    <t>calcReg1Seg2Payer3MarketRecurCustR1</t>
  </si>
  <si>
    <t>calcReg1Seg2Payer3ShareRecurCustR1</t>
  </si>
  <si>
    <t>calcReg1Seg2Payer3VolumeRecurCustR1</t>
  </si>
  <si>
    <t>calcReg1Seg2Payer3MarketGrowthCustR1</t>
  </si>
  <si>
    <t>calcReg1Seg2Payer3ShareNewCustR1</t>
  </si>
  <si>
    <t>calcReg1Seg2Payer3VolumeNewCustR1</t>
  </si>
  <si>
    <t>calcReg1Seg2Payer3TotalVolumeR1</t>
  </si>
  <si>
    <t>calcReg1Seg2Payer3VolumeR1</t>
  </si>
  <si>
    <t>calcReg1Seg2Payer3ShareTotalCustR1</t>
  </si>
  <si>
    <t>calcReg1Seg2Payer3MarketRecurCustR2</t>
  </si>
  <si>
    <t>calcReg1Seg2Payer3ShareRecurCustR2</t>
  </si>
  <si>
    <t>calcReg1Seg2Payer3VolumeRecurCustR2</t>
  </si>
  <si>
    <t>calcReg1Seg2Payer3MarketGrowthCustR2</t>
  </si>
  <si>
    <t>calcReg1Seg2Payer3ShareNewCustR2</t>
  </si>
  <si>
    <t>calcReg1Seg2Payer3VolumeNewCustR2</t>
  </si>
  <si>
    <t>calcReg1Seg2Payer3TotalVolumeR2</t>
  </si>
  <si>
    <t>calcReg1Seg2Payer3VolumeR2</t>
  </si>
  <si>
    <t>calcReg1Seg2Payer3ShareTotalCustR2</t>
  </si>
  <si>
    <t>calcReg1Seg3Payer1MarketRecurCustR1</t>
  </si>
  <si>
    <t>calcReg1Seg3Payer1ShareRecurCustR1</t>
  </si>
  <si>
    <t>calcReg1Seg3Payer1VolumeRecurCustR1</t>
  </si>
  <si>
    <t>calcReg1Seg3Payer1MarketGrowthCustR1</t>
  </si>
  <si>
    <t>calcReg1Seg3Payer1ShareNewCustR1</t>
  </si>
  <si>
    <t>calcReg1Seg3Payer1VolumeNewCustR1</t>
  </si>
  <si>
    <t>calcReg1Seg3Payer1TotalVolumeR1</t>
  </si>
  <si>
    <t>calcReg1Seg3Payer1VolumeR1</t>
  </si>
  <si>
    <t>calcReg1Seg3Payer1ShareTotalCustR1</t>
  </si>
  <si>
    <t>calcReg1Seg3Payer1MarketRecurCustR2</t>
  </si>
  <si>
    <t>calcReg1Seg3Payer1ShareRecurCustR2</t>
  </si>
  <si>
    <t>calcReg1Seg3Payer1VolumeRecurCustR2</t>
  </si>
  <si>
    <t>calcReg1Seg3Payer1MarketGrowthCustR2</t>
  </si>
  <si>
    <t>calcReg1Seg3Payer1ShareNewCustR2</t>
  </si>
  <si>
    <t>calcReg1Seg3Payer1VolumeNewCustR2</t>
  </si>
  <si>
    <t>calcReg1Seg3Payer1TotalVolumeR2</t>
  </si>
  <si>
    <t>calcReg1Seg3Payer1VolumeR2</t>
  </si>
  <si>
    <t>calcReg1Seg3Payer1ShareTotalCustR2</t>
  </si>
  <si>
    <t>calcReg1Seg3Payer2MarketRecurCustR1</t>
  </si>
  <si>
    <t>calcReg1Seg3Payer2ShareRecurCustR1</t>
  </si>
  <si>
    <t>calcReg1Seg3Payer2VolumeRecurCustR1</t>
  </si>
  <si>
    <t>calcReg1Seg3Payer2MarketGrowthCustR1</t>
  </si>
  <si>
    <t>calcReg1Seg3Payer2ShareNewCustR1</t>
  </si>
  <si>
    <t>calcReg1Seg3Payer2VolumeNewCustR1</t>
  </si>
  <si>
    <t>calcReg1Seg3Payer2TotalVolumeR1</t>
  </si>
  <si>
    <t>calcReg1Seg3Payer2VolumeR1</t>
  </si>
  <si>
    <t>calcReg1Seg3Payer2ShareTotalCustR1</t>
  </si>
  <si>
    <t>calcReg1Seg3Payer2MarketRecurCustR2</t>
  </si>
  <si>
    <t>calcReg1Seg3Payer2ShareRecurCustR2</t>
  </si>
  <si>
    <t>calcReg1Seg3Payer2VolumeRecurCustR2</t>
  </si>
  <si>
    <t>calcReg1Seg3Payer2MarketGrowthCustR2</t>
  </si>
  <si>
    <t>calcReg1Seg3Payer2ShareNewCustR2</t>
  </si>
  <si>
    <t>calcReg1Seg3Payer2VolumeNewCustR2</t>
  </si>
  <si>
    <t>calcReg1Seg3Payer2TotalVolumeR2</t>
  </si>
  <si>
    <t>calcReg1Seg3Payer2VolumeR2</t>
  </si>
  <si>
    <t>calcReg1Seg3Payer2ShareTotalCustR2</t>
  </si>
  <si>
    <t>calcReg1Seg3Payer3MarketRecurCustR1</t>
  </si>
  <si>
    <t>calcReg1Seg3Payer3ShareRecurCustR1</t>
  </si>
  <si>
    <t>calcReg1Seg3Payer3VolumeRecurCustR1</t>
  </si>
  <si>
    <t>calcReg1Seg3Payer3MarketGrowthCustR1</t>
  </si>
  <si>
    <t>calcReg1Seg3Payer3ShareNewCustR1</t>
  </si>
  <si>
    <t>calcReg1Seg3Payer3VolumeNewCustR1</t>
  </si>
  <si>
    <t>calcReg1Seg3Payer3TotalVolumeR1</t>
  </si>
  <si>
    <t>calcReg1Seg3Payer3VolumeR1</t>
  </si>
  <si>
    <t>calcReg1Seg3Payer3ShareTotalCustR1</t>
  </si>
  <si>
    <t>calcReg1Seg3Payer3MarketRecurCustR2</t>
  </si>
  <si>
    <t>calcReg1Seg3Payer3ShareRecurCustR2</t>
  </si>
  <si>
    <t>calcReg1Seg3Payer3VolumeRecurCustR2</t>
  </si>
  <si>
    <t>calcReg1Seg3Payer3MarketGrowthCustR2</t>
  </si>
  <si>
    <t>calcReg1Seg3Payer3ShareNewCustR2</t>
  </si>
  <si>
    <t>calcReg1Seg3Payer3VolumeNewCustR2</t>
  </si>
  <si>
    <t>calcReg1Seg3Payer3TotalVolumeR2</t>
  </si>
  <si>
    <t>calcReg1Seg3Payer3VolumeR2</t>
  </si>
  <si>
    <t>calcReg1Seg3Payer3ShareTotalCustR2</t>
  </si>
  <si>
    <t>calcProd1Payer1RecurCustR1</t>
  </si>
  <si>
    <t>calcProd1Payer1NewCustR1</t>
  </si>
  <si>
    <t>Total Customers</t>
  </si>
  <si>
    <t>calcProd1Payer1TotalCustR1</t>
  </si>
  <si>
    <t>New Available</t>
  </si>
  <si>
    <t>calcProd1Payer1TotalVolumeR1</t>
  </si>
  <si>
    <t>calcProd1Payer1MarketGrowthCustR1</t>
  </si>
  <si>
    <t>calcProd1Payer1ShareNewCustR1</t>
  </si>
  <si>
    <t>calcProd1Payer1ShareTotalCustR1</t>
  </si>
  <si>
    <t>Payer Breakouts</t>
  </si>
  <si>
    <t>calcProd1Payer1RecurCustR2</t>
  </si>
  <si>
    <t>calcProd1Payer1NewCustR2</t>
  </si>
  <si>
    <t>calcProd1Payer1TotalCustR2</t>
  </si>
  <si>
    <t>calcProd1Payer1MarketGrowthCustR2</t>
  </si>
  <si>
    <t>calcProd1Payer1ShareNewCustR2</t>
  </si>
  <si>
    <t>calcProd1Payer1ShareTotalCustR2</t>
  </si>
  <si>
    <t>calcProd1Payer1TotalVolumeR2</t>
  </si>
  <si>
    <t>calcProd1Payer3RecurCustR1</t>
  </si>
  <si>
    <t>calcProd1Payer3NewCustR1</t>
  </si>
  <si>
    <t>calcProd1Payer3TotalCustR1</t>
  </si>
  <si>
    <t>calcProd1Payer3MarketGrowthCustR1</t>
  </si>
  <si>
    <t>calcProd1Payer3TotalVolumeR1</t>
  </si>
  <si>
    <t>calcProd1Payer3ShareNewCustR1</t>
  </si>
  <si>
    <t>calcProd1Payer3ShareTotalCustR1</t>
  </si>
  <si>
    <t>calcProd1Payer3RecurCustR2</t>
  </si>
  <si>
    <t>calcProd1Payer3NewCustR2</t>
  </si>
  <si>
    <t>calcProd1Payer3TotalCustR2</t>
  </si>
  <si>
    <t>calcProd1Payer3MarketGrowthCustR2</t>
  </si>
  <si>
    <t>calcProd1Payer3TotalVolumeR2</t>
  </si>
  <si>
    <t>calcProd1Payer3ShareNewCustR2</t>
  </si>
  <si>
    <t>calcProd1Payer3ShareTotalCustR2</t>
  </si>
  <si>
    <t>calcProd1Payer2RecurCustR1</t>
  </si>
  <si>
    <t>calcProd1Payer2NewCustR1</t>
  </si>
  <si>
    <t>calcProd1Payer2TotalCustR1</t>
  </si>
  <si>
    <t>calcProd1Payer2MarketGrowthCustR1</t>
  </si>
  <si>
    <t>calcProd1Payer2TotalVolumeR1</t>
  </si>
  <si>
    <t>calcProd1Payer2ShareNewCustR1</t>
  </si>
  <si>
    <t>calcProd1Payer2ShareTotalCustR1</t>
  </si>
  <si>
    <t>calcProd1Payer2RecurCustR2</t>
  </si>
  <si>
    <t>calcProd1Payer2NewCustR2</t>
  </si>
  <si>
    <t>calcProd1Payer2TotalCustR2</t>
  </si>
  <si>
    <t>calcProd1Payer2MarketGrowthCustR2</t>
  </si>
  <si>
    <t>calcProd1Payer2TotalVolumeR2</t>
  </si>
  <si>
    <t>calcProd1Payer2ShareNewCustR2</t>
  </si>
  <si>
    <t>calcProd1Payer2ShareTotalCustR2</t>
  </si>
  <si>
    <t>calcReg1Payer1RecurCustR1</t>
  </si>
  <si>
    <t>calcReg1Payer1NewCustR1</t>
  </si>
  <si>
    <t>calcReg1Payer1TotalCustR1</t>
  </si>
  <si>
    <t>calcReg1Payer1MarketGrowthCustR1</t>
  </si>
  <si>
    <t>calcReg1Payer1TotalVolumeR1</t>
  </si>
  <si>
    <t>calcReg1Payer1ShareNewCustR1</t>
  </si>
  <si>
    <t>calcReg1Payer1ShareTotalCustR1</t>
  </si>
  <si>
    <t>calcReg1Payer1RecurCustR2</t>
  </si>
  <si>
    <t>calcReg1Payer1NewCustR2</t>
  </si>
  <si>
    <t>calcReg1Payer1TotalCustR2</t>
  </si>
  <si>
    <t>calcReg1Payer1MarketGrowthCustR2</t>
  </si>
  <si>
    <t>calcReg1Payer1TotalVolumeR2</t>
  </si>
  <si>
    <t>calcReg1Payer1ShareNewCustR2</t>
  </si>
  <si>
    <t>calcReg1Payer1ShareTotalCustR2</t>
  </si>
  <si>
    <t>calcReg1Payer2RecurCustR1</t>
  </si>
  <si>
    <t>calcReg1Payer2NewCustR1</t>
  </si>
  <si>
    <t>calcReg1Payer2TotalCustR1</t>
  </si>
  <si>
    <t>calcReg1Payer2MarketGrowthCustR1</t>
  </si>
  <si>
    <t>calcReg1Payer2TotalVolumeR1</t>
  </si>
  <si>
    <t>calcReg1Payer2ShareNewCustR1</t>
  </si>
  <si>
    <t>calcReg1Payer2ShareTotalCustR1</t>
  </si>
  <si>
    <t>calcReg1Payer2RecurCustR2</t>
  </si>
  <si>
    <t>calcReg1Payer2NewCustR2</t>
  </si>
  <si>
    <t>calcReg1Payer2TotalCustR2</t>
  </si>
  <si>
    <t>calcReg1Payer2MarketGrowthCustR2</t>
  </si>
  <si>
    <t>calcReg1Payer2TotalVolumeR2</t>
  </si>
  <si>
    <t>calcReg1Payer2ShareNewCustR2</t>
  </si>
  <si>
    <t>calcReg1Payer2ShareTotalCustR2</t>
  </si>
  <si>
    <t>calcReg1Payer3RecurCustR1</t>
  </si>
  <si>
    <t>calcReg1Payer3NewCustR1</t>
  </si>
  <si>
    <t>calcReg1Payer3TotalCustR1</t>
  </si>
  <si>
    <t>calcReg1Payer3MarketGrowthCustR1</t>
  </si>
  <si>
    <t>calcReg1Payer3TotalVolumeR1</t>
  </si>
  <si>
    <t>calcReg1Payer3ShareNewCustR1</t>
  </si>
  <si>
    <t>calcReg1Payer3ShareTotalCustR1</t>
  </si>
  <si>
    <t>calcReg1Payer3RecurCustR2</t>
  </si>
  <si>
    <t>calcReg1Payer3NewCustR2</t>
  </si>
  <si>
    <t>calcReg1Payer3TotalCustR2</t>
  </si>
  <si>
    <t>calcReg1Payer3MarketGrowthCustR2</t>
  </si>
  <si>
    <t>calcReg1Payer3TotalVolumeR2</t>
  </si>
  <si>
    <t>calcReg1Payer3ShareNewCustR2</t>
  </si>
  <si>
    <t>calcReg1Payer3ShareTotalCustR2</t>
  </si>
  <si>
    <t>Full Volume Breakouts</t>
  </si>
  <si>
    <t>calcProd1Seg1TotalVolumeR1</t>
  </si>
  <si>
    <t>calcProd1Seg1VolumeTotalCustR1</t>
  </si>
  <si>
    <t>calcProd1Seg1MarketGrowthCustR1</t>
  </si>
  <si>
    <t>calcProd1Seg1RecurCustR1</t>
  </si>
  <si>
    <t>calcProd1Seg1ShareNewCustR1</t>
  </si>
  <si>
    <t>calcProd1Seg1NewCustR1</t>
  </si>
  <si>
    <t>calcProd1Seg1ShareTotalCustR1</t>
  </si>
  <si>
    <t>calcProd1Seg1NewCustR2</t>
  </si>
  <si>
    <t>calcProd1Seg1RecurCustR2</t>
  </si>
  <si>
    <t>calcProd1Seg1VolumeTotalCustR2</t>
  </si>
  <si>
    <t>calcProd1Seg1MarketGrowthCustR2</t>
  </si>
  <si>
    <t>calcProd1Seg1ShareNewCustR2</t>
  </si>
  <si>
    <t>calcProd1Seg1ShareTotalCustR2</t>
  </si>
  <si>
    <t>calcProd1Seg1TotalVolumeR2</t>
  </si>
  <si>
    <t>calcProd1Seg3NewCustR1</t>
  </si>
  <si>
    <t>calcProd1Seg3RecurCustR1</t>
  </si>
  <si>
    <t>calcProd1Seg3VolumeTotalCustR1</t>
  </si>
  <si>
    <t>calcProd1Seg3MarketGrowthCustR1</t>
  </si>
  <si>
    <t>calcProd1Seg3TotalVolumeR1</t>
  </si>
  <si>
    <t>calcProd1Seg3ShareNewCustR1</t>
  </si>
  <si>
    <t>calcProd1Seg3ShareTotalCustR1</t>
  </si>
  <si>
    <t>calcProd1Seg3NewCustR2</t>
  </si>
  <si>
    <t>calcProd1Seg3RecurCustR2</t>
  </si>
  <si>
    <t>calcProd1Seg3VolumeTotalCustR2</t>
  </si>
  <si>
    <t>calcProd1Seg3MarketGrowthCustR2</t>
  </si>
  <si>
    <t>calcProd1Seg3TotalVolumeR2</t>
  </si>
  <si>
    <t>calcProd1Seg3ShareNewCustR2</t>
  </si>
  <si>
    <t>calcProd1Seg3ShareTotalCustR2</t>
  </si>
  <si>
    <t>calcProd1Seg2NewCustR1</t>
  </si>
  <si>
    <t>calcProd1Seg2RecurCustR1</t>
  </si>
  <si>
    <t>calcProd1Seg2VolumeTotalCustR1</t>
  </si>
  <si>
    <t>calcProd1Seg2MarketGrowthCustR1</t>
  </si>
  <si>
    <t>calcProd1Seg2TotalVolumeR1</t>
  </si>
  <si>
    <t>calcProd1Seg2ShareNewCustR1</t>
  </si>
  <si>
    <t>calcProd1Seg2ShareTotalCustR1</t>
  </si>
  <si>
    <t>calcProd1Seg2NewCustR2</t>
  </si>
  <si>
    <t>calcProd1Seg2RecurCustR2</t>
  </si>
  <si>
    <t>calcProd1Seg2VolumeTotalCustR2</t>
  </si>
  <si>
    <t>calcProd1Seg2MarketGrowthCustR2</t>
  </si>
  <si>
    <t>calcProd1Seg2TotalVolumeR2</t>
  </si>
  <si>
    <t>calcProd1Seg2ShareNewCustR2</t>
  </si>
  <si>
    <t>calcProd1Seg2ShareTotalCustR2</t>
  </si>
  <si>
    <t>calcReg1Seg1NewCustR1</t>
  </si>
  <si>
    <t>calcReg1Seg1RecurCustR1</t>
  </si>
  <si>
    <t>calcReg1Seg1VolumeTotalCustR1</t>
  </si>
  <si>
    <t>calcReg1Seg1MarketGrowthCustR1</t>
  </si>
  <si>
    <t>calcReg1Seg1TotalVolumeR1</t>
  </si>
  <si>
    <t>calcReg1Seg1ShareNewCustR1</t>
  </si>
  <si>
    <t>calcReg1Seg1ShareTotalCustR1</t>
  </si>
  <si>
    <t>calcReg1Seg1NewCustR2</t>
  </si>
  <si>
    <t>calcReg1Seg1RecurCustR2</t>
  </si>
  <si>
    <t>calcReg1Seg1VolumeTotalCustR2</t>
  </si>
  <si>
    <t>calcReg1Seg1MarketGrowthCustR2</t>
  </si>
  <si>
    <t>calcReg1Seg1TotalVolumeR2</t>
  </si>
  <si>
    <t>calcReg1Seg1ShareNewCustR2</t>
  </si>
  <si>
    <t>calcReg1Seg1ShareTotalCustR2</t>
  </si>
  <si>
    <t>calcReg1Seg2NewCustR1</t>
  </si>
  <si>
    <t>calcReg1Seg2RecurCustR1</t>
  </si>
  <si>
    <t>calcReg1Seg2VolumeTotalCustR1</t>
  </si>
  <si>
    <t>calcReg1Seg2MarketGrowthCustR1</t>
  </si>
  <si>
    <t>calcReg1Seg2TotalVolumeR1</t>
  </si>
  <si>
    <t>calcReg1Seg2ShareNewCustR1</t>
  </si>
  <si>
    <t>calcReg1Seg2ShareTotalCustR1</t>
  </si>
  <si>
    <t>calcReg1Seg2NewCustR2</t>
  </si>
  <si>
    <t>calcReg1Seg2RecurCustR2</t>
  </si>
  <si>
    <t>calcReg1Seg2VolumeTotalCustR2</t>
  </si>
  <si>
    <t>calcReg1Seg2MarketGrowthCustR2</t>
  </si>
  <si>
    <t>calcReg1Seg2TotalVolumeR2</t>
  </si>
  <si>
    <t>calcReg1Seg2ShareNewCustR2</t>
  </si>
  <si>
    <t>calcReg1Seg2ShareTotalCustR2</t>
  </si>
  <si>
    <t>calcReg1Seg3NewCustR1</t>
  </si>
  <si>
    <t>calcReg1Seg3RecurCustR1</t>
  </si>
  <si>
    <t>calcReg1Seg3VolumeTotalCustR1</t>
  </si>
  <si>
    <t>calcReg1Seg3MarketGrowthCustR1</t>
  </si>
  <si>
    <t>calcReg1Seg3TotalVolumeR1</t>
  </si>
  <si>
    <t>calcReg1Seg3ShareNewCustR1</t>
  </si>
  <si>
    <t>calcReg1Seg3ShareTotalCustR1</t>
  </si>
  <si>
    <t>calcReg1Seg3NewCustR2</t>
  </si>
  <si>
    <t>calcReg1Seg3RecurCustR2</t>
  </si>
  <si>
    <t>calcReg1Seg3VolumeTotalCustR2</t>
  </si>
  <si>
    <t>calcReg1Seg3MarketGrowthCustR2</t>
  </si>
  <si>
    <t>calcReg1Seg3TotalVolumeR2</t>
  </si>
  <si>
    <t>calcReg1Seg3ShareNewCustR2</t>
  </si>
  <si>
    <t>calcReg1Seg3ShareTotalCustR2</t>
  </si>
  <si>
    <t>Total Market</t>
  </si>
  <si>
    <t>calcReg1RecurCustR1</t>
  </si>
  <si>
    <t>calcReg1NewCustR1</t>
  </si>
  <si>
    <t>calcReg1VolumeTotalCustR1</t>
  </si>
  <si>
    <t>calcReg1MarketGrowthCustR1</t>
  </si>
  <si>
    <t>calcReg1TotalVolumeR1</t>
  </si>
  <si>
    <t>calcReg1ShareNewCustR1</t>
  </si>
  <si>
    <t>calcReg1ShareTotalCustR1</t>
  </si>
  <si>
    <t>calcReg1RecurCustR2</t>
  </si>
  <si>
    <t>calcReg1NewCustR2</t>
  </si>
  <si>
    <t>calcReg1VolumeTotalCustR2</t>
  </si>
  <si>
    <t>calcReg1MarketGrowthCustR2</t>
  </si>
  <si>
    <t>calcReg1ShareNewCustR2</t>
  </si>
  <si>
    <t>calcReg1ShareTotalCustR2</t>
  </si>
  <si>
    <t>calcReg1TotalVolumeR2</t>
  </si>
  <si>
    <t>calcProd1RecurCustR1</t>
  </si>
  <si>
    <t>calcProd1NewCustR1</t>
  </si>
  <si>
    <t>calcProd1VolumeTotalCustR1</t>
  </si>
  <si>
    <t>calcProd1MarketGrowthCustR1</t>
  </si>
  <si>
    <t>calcProd1TotalVolumeR1</t>
  </si>
  <si>
    <t>calcProd1ShareNewCustR1</t>
  </si>
  <si>
    <t>calcProd1ShareTotalCustR1</t>
  </si>
  <si>
    <t>calcProd1RecurCustR2</t>
  </si>
  <si>
    <t>calcProd1NewCustR2</t>
  </si>
  <si>
    <t>calcProd1VolumeTotalCustR2</t>
  </si>
  <si>
    <t>calcProd1MarketGrowthCustR2</t>
  </si>
  <si>
    <t>calcProd1TotalVolumeR2</t>
  </si>
  <si>
    <t>calcProd1ShareNewCustR2</t>
  </si>
  <si>
    <t>calcProd1ShareTotalCustR2</t>
  </si>
  <si>
    <t>Competitor Updates</t>
  </si>
  <si>
    <t>calcProd1Seg1Comp1Payer1TotalShareR1</t>
  </si>
  <si>
    <t>calcProd1Seg1Comp1Payer1TotalShareR2</t>
  </si>
  <si>
    <t>calcProd1Seg1Comp1Payer2TotalShareR1</t>
  </si>
  <si>
    <t>calcProd1Seg1Comp1Payer2TotalShareR2</t>
  </si>
  <si>
    <t>calcProd1Seg1Comp1Payer3TotalShareR1</t>
  </si>
  <si>
    <t>calcProd1Seg1Comp1Payer3TotalShareR2</t>
  </si>
  <si>
    <t>calcProd1Seg2Comp1Payer1TotalShareR1</t>
  </si>
  <si>
    <t>calcProd1Seg2Comp1Payer1TotalShareR2</t>
  </si>
  <si>
    <t>calcProd1Seg2Comp1Payer2TotalShareR1</t>
  </si>
  <si>
    <t>calcProd1Seg2Comp1Payer2TotalShareR2</t>
  </si>
  <si>
    <t>calcProd1Seg2Comp1Payer3TotalShareR1</t>
  </si>
  <si>
    <t>calcProd1Seg2Comp1Payer3TotalShareR2</t>
  </si>
  <si>
    <t>calcProd1Seg3Comp1Payer1TotalShareR1</t>
  </si>
  <si>
    <t>calcProd1Seg3Comp1Payer1TotalShareR2</t>
  </si>
  <si>
    <t>calcProd1Seg3Comp1Payer2TotalShareR1</t>
  </si>
  <si>
    <t>calcProd1Seg3Comp1Payer2TotalShareR2</t>
  </si>
  <si>
    <t>calcProd1Seg3Comp1Payer3TotalShareR1</t>
  </si>
  <si>
    <t>calcProd1Seg3Comp1Payer3TotalShareR2</t>
  </si>
  <si>
    <t>calcProd1Seg1Comp2Payer1TotalShareR1</t>
  </si>
  <si>
    <t>calcProd1Seg1Comp2Payer1TotalShareR2</t>
  </si>
  <si>
    <t>calcProd1Seg1Comp2Payer2TotalShareR1</t>
  </si>
  <si>
    <t>calcProd1Seg1Comp2Payer2TotalShareR2</t>
  </si>
  <si>
    <t>calcProd1Seg1Comp2Payer3TotalShareR1</t>
  </si>
  <si>
    <t>calcProd1Seg1Comp2Payer3TotalShareR2</t>
  </si>
  <si>
    <t>calcProd1Seg2Comp2Payer1TotalShareR1</t>
  </si>
  <si>
    <t>calcProd1Seg2Comp2Payer1TotalShareR2</t>
  </si>
  <si>
    <t>calcProd1Seg2Comp2Payer2TotalShareR1</t>
  </si>
  <si>
    <t>calcProd1Seg2Comp2Payer2TotalShareR2</t>
  </si>
  <si>
    <t>calcProd1Seg2Comp2Payer3TotalShareR1</t>
  </si>
  <si>
    <t>calcProd1Seg2Comp2Payer3TotalShareR2</t>
  </si>
  <si>
    <t>calcProd1Seg3Comp2Payer1TotalShareR1</t>
  </si>
  <si>
    <t>calcProd1Seg3Comp2Payer1TotalShareR2</t>
  </si>
  <si>
    <t>calcProd1Seg3Comp2Payer2TotalShareR1</t>
  </si>
  <si>
    <t>calcProd1Seg3Comp2Payer2TotalShareR2</t>
  </si>
  <si>
    <t>calcProd1Seg3Comp2Payer3TotalShareR1</t>
  </si>
  <si>
    <t>calcProd1Seg3Comp2Payer3TotalShareR2</t>
  </si>
  <si>
    <t>calcReg1Seg1Comp1Payer1TotalShareR1</t>
  </si>
  <si>
    <t>calcReg1Seg1Comp1Payer1TotalShareR2</t>
  </si>
  <si>
    <t>calcReg1Seg1Comp1Payer2TotalShareR1</t>
  </si>
  <si>
    <t>calcReg1Seg1Comp1Payer2TotalShareR2</t>
  </si>
  <si>
    <t>calcReg1Seg1Comp1Payer3TotalShareR1</t>
  </si>
  <si>
    <t>calcReg1Seg1Comp1Payer3TotalShareR2</t>
  </si>
  <si>
    <t>calcReg1Seg2Comp1Payer1TotalShareR1</t>
  </si>
  <si>
    <t>calcReg1Seg2Comp1Payer1TotalShareR2</t>
  </si>
  <si>
    <t>calcReg1Seg2Comp1Payer2TotalShareR1</t>
  </si>
  <si>
    <t>calcReg1Seg2Comp1Payer2TotalShareR2</t>
  </si>
  <si>
    <t>calcReg1Seg2Comp1Payer3TotalShareR1</t>
  </si>
  <si>
    <t>calcReg1Seg2Comp1Payer3TotalShareR2</t>
  </si>
  <si>
    <t>calcReg1Seg3Comp1Payer1TotalShareR1</t>
  </si>
  <si>
    <t>calcReg1Seg3Comp1Payer1TotalShareR2</t>
  </si>
  <si>
    <t>calcReg1Seg3Comp1Payer2TotalShareR1</t>
  </si>
  <si>
    <t>calcReg1Seg3Comp1Payer2TotalShareR2</t>
  </si>
  <si>
    <t>calcReg1Seg3Comp1Payer3TotalShareR1</t>
  </si>
  <si>
    <t>calcReg1Seg3Comp1Payer3TotalShareR2</t>
  </si>
  <si>
    <t>calcReg1Seg1Comp2Payer1TotalShareR1</t>
  </si>
  <si>
    <t>calcReg1Seg1Comp2Payer1TotalShareR2</t>
  </si>
  <si>
    <t>calcReg1Seg1Comp2Payer2TotalShareR1</t>
  </si>
  <si>
    <t>calcReg1Seg1Comp2Payer2TotalShareR2</t>
  </si>
  <si>
    <t>calcReg1Seg1Comp2Payer3TotalShareR1</t>
  </si>
  <si>
    <t>calcReg1Seg1Comp2Payer3TotalShareR2</t>
  </si>
  <si>
    <t>calcReg1Seg2Comp2Payer1TotalShareR1</t>
  </si>
  <si>
    <t>calcReg1Seg2Comp2Payer1TotalShareR2</t>
  </si>
  <si>
    <t>calcReg1Seg2Comp2Payer2TotalShareR1</t>
  </si>
  <si>
    <t>calcReg1Seg2Comp2Payer2TotalShareR2</t>
  </si>
  <si>
    <t>calcReg1Seg2Comp2Payer3TotalShareR1</t>
  </si>
  <si>
    <t>calcReg1Seg2Comp2Payer3TotalShareR2</t>
  </si>
  <si>
    <t>calcReg1Seg3Comp2Payer1TotalShareR1</t>
  </si>
  <si>
    <t>calcReg1Seg3Comp2Payer1TotalShareR2</t>
  </si>
  <si>
    <t>calcReg1Seg3Comp2Payer2TotalShareR1</t>
  </si>
  <si>
    <t>calcReg1Seg3Comp2Payer2TotalShareR2</t>
  </si>
  <si>
    <t>calcReg1Seg3Comp2Payer3TotalShareR1</t>
  </si>
  <si>
    <t>calcReg1Seg3Comp2Payer3TotalShareR2</t>
  </si>
  <si>
    <t>calcReg1Seg1Comp1Payer1TotalCustR1</t>
  </si>
  <si>
    <t>calcReg1Seg1Comp1Payer2TotalCustR1</t>
  </si>
  <si>
    <t>calcReg1Seg1Comp1Payer3TotalCustR1</t>
  </si>
  <si>
    <t>calcReg1Seg1Comp1Payer1TotalCustR2</t>
  </si>
  <si>
    <t>calcReg1Seg1Comp1Payer2TotalCustR2</t>
  </si>
  <si>
    <t>calcReg1Seg1Comp1Payer3TotalCustR2</t>
  </si>
  <si>
    <t>calcReg1Seg1Comp1TotalCustR1</t>
  </si>
  <si>
    <t>calcReg1Seg1Comp1TotalCustR2</t>
  </si>
  <si>
    <t>calcReg1Seg2Comp1Payer1TotalCustR1</t>
  </si>
  <si>
    <t>calcReg1Seg2Comp1Payer2TotalCustR1</t>
  </si>
  <si>
    <t>calcReg1Seg2Comp1Payer3TotalCustR1</t>
  </si>
  <si>
    <t>calcReg1Seg2Comp1TotalCustR1</t>
  </si>
  <si>
    <t>calcReg1Seg2Comp1Payer1TotalCustR2</t>
  </si>
  <si>
    <t>calcReg1Seg2Comp1Payer2TotalCustR2</t>
  </si>
  <si>
    <t>calcReg1Seg2Comp1Payer3TotalCustR2</t>
  </si>
  <si>
    <t>calcReg1Seg2Comp1TotalCustR2</t>
  </si>
  <si>
    <t>calcReg1Seg3Comp1Payer1TotalCustR1</t>
  </si>
  <si>
    <t>calcReg1Seg3Comp1Payer2TotalCustR1</t>
  </si>
  <si>
    <t>calcReg1Seg3Comp1Payer3TotalCustR1</t>
  </si>
  <si>
    <t>calcReg1Seg3Comp1TotalCustR1</t>
  </si>
  <si>
    <t>calcReg1Seg3Comp1Payer1TotalCustR2</t>
  </si>
  <si>
    <t>calcReg1Seg3Comp1Payer2TotalCustR2</t>
  </si>
  <si>
    <t>calcReg1Seg3Comp1Payer3TotalCustR2</t>
  </si>
  <si>
    <t>calcReg1Seg3Comp1TotalCustR2</t>
  </si>
  <si>
    <t>calcReg1Seg1Comp1TotalShareR1</t>
  </si>
  <si>
    <t>calcReg1Seg1Comp1TotalShareR2</t>
  </si>
  <si>
    <t>calcReg1Seg2Comp1TotalShareR1</t>
  </si>
  <si>
    <t>calcReg1Seg2Comp1TotalShareR2</t>
  </si>
  <si>
    <t>calcReg1Seg3Comp1TotalShareR1</t>
  </si>
  <si>
    <t>calcReg1Seg3Comp1TotalShareR2</t>
  </si>
  <si>
    <t>calcReg1Seg1Comp2Payer1TotalCustR1</t>
  </si>
  <si>
    <t>calcReg1Seg1Comp2Payer2TotalCustR1</t>
  </si>
  <si>
    <t>calcReg1Seg1Comp2Payer3TotalCustR1</t>
  </si>
  <si>
    <t>calcReg1Seg1Comp2TotalCustR1</t>
  </si>
  <si>
    <t>calcReg1Seg1Comp2TotalShareR1</t>
  </si>
  <si>
    <t>calcReg1Seg1Comp2Payer1TotalCustR2</t>
  </si>
  <si>
    <t>calcReg1Seg1Comp2Payer2TotalCustR2</t>
  </si>
  <si>
    <t>calcReg1Seg1Comp2Payer3TotalCustR2</t>
  </si>
  <si>
    <t>calcReg1Seg1Comp2TotalCustR2</t>
  </si>
  <si>
    <t>calcReg1Seg1Comp2TotalShareR2</t>
  </si>
  <si>
    <t>calcReg1Seg2Comp2Payer1TotalCustR1</t>
  </si>
  <si>
    <t>calcReg1Seg2Comp2Payer2TotalCustR1</t>
  </si>
  <si>
    <t>calcReg1Seg2Comp2Payer3TotalCustR1</t>
  </si>
  <si>
    <t>calcReg1Seg2Comp2TotalCustR1</t>
  </si>
  <si>
    <t>calcReg1Seg2Comp2TotalShareR1</t>
  </si>
  <si>
    <t>calcReg1Seg2Comp2Payer1TotalCustR2</t>
  </si>
  <si>
    <t>calcReg1Seg2Comp2Payer2TotalCustR2</t>
  </si>
  <si>
    <t>calcReg1Seg2Comp2Payer3TotalCustR2</t>
  </si>
  <si>
    <t>calcReg1Seg2Comp2TotalCustR2</t>
  </si>
  <si>
    <t>calcReg1Seg2Comp2TotalShareR2</t>
  </si>
  <si>
    <t>calcReg1Seg3Comp2Payer1TotalCustR1</t>
  </si>
  <si>
    <t>calcReg1Seg3Comp2Payer2TotalCustR1</t>
  </si>
  <si>
    <t>calcReg1Seg3Comp2Payer3TotalCustR1</t>
  </si>
  <si>
    <t>calcReg1Seg3Comp2TotalCustR1</t>
  </si>
  <si>
    <t>calcReg1Seg3Comp2TotalShareR1</t>
  </si>
  <si>
    <t>calcReg1Seg3Comp2Payer1TotalCustR2</t>
  </si>
  <si>
    <t>calcReg1Seg3Comp2Payer2TotalCustR2</t>
  </si>
  <si>
    <t>calcReg1Seg3Comp2Payer3TotalCustR2</t>
  </si>
  <si>
    <t>calcReg1Seg3Comp2TotalCustR2</t>
  </si>
  <si>
    <t>calcReg1Seg3Comp2TotalShareR2</t>
  </si>
  <si>
    <t>Payer Share</t>
  </si>
  <si>
    <t>calcReg1Comp1Payer1TotalShareR1</t>
  </si>
  <si>
    <t>calcReg1Comp1Payer2TotalShareR1</t>
  </si>
  <si>
    <t>calcReg1Comp1Payer3TotalShareR1</t>
  </si>
  <si>
    <t>calcReg1Comp1Payer1TotalShareR2</t>
  </si>
  <si>
    <t>calcReg1Comp1Payer2TotalShareR2</t>
  </si>
  <si>
    <t>calcReg1Comp1Payer3TotalShareR2</t>
  </si>
  <si>
    <t>calcReg1Comp2Payer1TotalShareR1</t>
  </si>
  <si>
    <t>calcReg1Comp2Payer2TotalShareR1</t>
  </si>
  <si>
    <t>calcReg1Comp2Payer3TotalShareR1</t>
  </si>
  <si>
    <t>calcReg1Comp2Payer1TotalShareR2</t>
  </si>
  <si>
    <t>calcReg1Comp2Payer2TotalShareR2</t>
  </si>
  <si>
    <t>calcReg1Comp2Payer3TotalShareR2</t>
  </si>
  <si>
    <t>% Change</t>
  </si>
  <si>
    <t>cbalReg1TotalMarketVolume</t>
  </si>
  <si>
    <t>cbalReg1Seg1TotalMarketVolume</t>
  </si>
  <si>
    <t>cbalReg1Seg2TotalMarketVolume</t>
  </si>
  <si>
    <t>cbalReg1Seg3TotalMarketVolume</t>
  </si>
  <si>
    <t>obalReg1TotalMarketVolume</t>
  </si>
  <si>
    <t>obalReg1Seg1TotalMarketVolume</t>
  </si>
  <si>
    <t>obalReg1Seg2TotalMarketVolume</t>
  </si>
  <si>
    <t>obalReg1Seg3TotalMarketVolume</t>
  </si>
  <si>
    <t>obalProd1TotalMarketVolume</t>
  </si>
  <si>
    <t>obalProd1Seg1TotalMarketVolume</t>
  </si>
  <si>
    <t>obalProd1Seg2TotalMarketVolume</t>
  </si>
  <si>
    <t>obalProd1Seg3TotalMarketVolume</t>
  </si>
  <si>
    <t>cbalProd1TotalMarketVolume</t>
  </si>
  <si>
    <t>cbalProd1Seg1TotalMarketVolume</t>
  </si>
  <si>
    <t>cbalProd1Seg2TotalMarketVolume</t>
  </si>
  <si>
    <t>cbalProd1Seg3TotalMarketVolume</t>
  </si>
  <si>
    <t>xxRDB1DBM2</t>
  </si>
  <si>
    <t>xxRolePlayScore</t>
  </si>
  <si>
    <t>calcReg1Comp1TotalCustR1</t>
  </si>
  <si>
    <t>calcReg1Comp1TotalCustR2</t>
  </si>
  <si>
    <t>calcReg1Comp2TotalCustR1</t>
  </si>
  <si>
    <t>calcReg1Comp2TotalCustR2</t>
  </si>
  <si>
    <t>calcProd1Comp1TotalCustR1</t>
  </si>
  <si>
    <t>calcProd1Comp1TotalCustR2</t>
  </si>
  <si>
    <t>calcProd1Comp2TotalCustR1</t>
  </si>
  <si>
    <t>calcProd1Comp2TotalCustR2</t>
  </si>
  <si>
    <t>calcProd1Seg1Comp1Payer1TotalCustR1</t>
  </si>
  <si>
    <t>calcProd1Seg1Comp1Payer2TotalCustR1</t>
  </si>
  <si>
    <t>calcProd1Seg1Comp1Payer3TotalCustR1</t>
  </si>
  <si>
    <t>calcProd1Seg1Comp1TotalCustR1</t>
  </si>
  <si>
    <t>calcProd1Seg1Comp1TotalShareR1</t>
  </si>
  <si>
    <t>calcProd1Seg1Comp1Payer1TotalCustR2</t>
  </si>
  <si>
    <t>calcProd1Seg1Comp1Payer2TotalCustR2</t>
  </si>
  <si>
    <t>calcProd1Seg1Comp1Payer3TotalCustR2</t>
  </si>
  <si>
    <t>calcProd1Seg1Comp1TotalCustR2</t>
  </si>
  <si>
    <t>calcProd1Seg1Comp1TotalShareR2</t>
  </si>
  <si>
    <t>calcProd1Seg2Comp1Payer1TotalCustR1</t>
  </si>
  <si>
    <t>calcProd1Seg2Comp1Payer2TotalCustR1</t>
  </si>
  <si>
    <t>calcProd1Seg2Comp1Payer3TotalCustR1</t>
  </si>
  <si>
    <t>calcProd1Seg2Comp1TotalCustR1</t>
  </si>
  <si>
    <t>calcProd1Seg2Comp1TotalShareR1</t>
  </si>
  <si>
    <t>calcProd1Seg2Comp1Payer1TotalCustR2</t>
  </si>
  <si>
    <t>calcProd1Seg2Comp1Payer2TotalCustR2</t>
  </si>
  <si>
    <t>calcProd1Seg2Comp1Payer3TotalCustR2</t>
  </si>
  <si>
    <t>calcProd1Seg2Comp1TotalCustR2</t>
  </si>
  <si>
    <t>calcProd1Seg2Comp1TotalShareR2</t>
  </si>
  <si>
    <t>calcProd1Seg3Comp1Payer1TotalCustR1</t>
  </si>
  <si>
    <t>calcProd1Seg3Comp1Payer2TotalCustR1</t>
  </si>
  <si>
    <t>calcProd1Seg3Comp1Payer3TotalCustR1</t>
  </si>
  <si>
    <t>calcProd1Seg3Comp1TotalCustR1</t>
  </si>
  <si>
    <t>calcProd1Seg3Comp1TotalShareR1</t>
  </si>
  <si>
    <t>calcProd1Seg3Comp1Payer1TotalCustR2</t>
  </si>
  <si>
    <t>calcProd1Seg3Comp1Payer2TotalCustR2</t>
  </si>
  <si>
    <t>calcProd1Seg3Comp1Payer3TotalCustR2</t>
  </si>
  <si>
    <t>calcProd1Seg3Comp1TotalCustR2</t>
  </si>
  <si>
    <t>calcProd1Seg3Comp1TotalShareR2</t>
  </si>
  <si>
    <t>calcProd1Comp1Payer1TotalShareR1</t>
  </si>
  <si>
    <t>calcProd1Comp1Payer2TotalShareR1</t>
  </si>
  <si>
    <t>calcProd1Comp1Payer3TotalShareR1</t>
  </si>
  <si>
    <t>calcProd1Comp1Payer1TotalShareR2</t>
  </si>
  <si>
    <t>calcProd1Comp1Payer2TotalShareR2</t>
  </si>
  <si>
    <t>calcProd1Comp1Payer3TotalShareR2</t>
  </si>
  <si>
    <t>calcProd1Seg1Comp2Payer1TotalCustR1</t>
  </si>
  <si>
    <t>calcProd1Seg1Comp2Payer2TotalCustR1</t>
  </si>
  <si>
    <t>calcProd1Seg1Comp2Payer3TotalCustR1</t>
  </si>
  <si>
    <t>calcProd1Seg1Comp2TotalCustR1</t>
  </si>
  <si>
    <t>calcProd1Seg1Comp2TotalShareR1</t>
  </si>
  <si>
    <t>calcProd1Seg1Comp2Payer1TotalCustR2</t>
  </si>
  <si>
    <t>calcProd1Seg1Comp2Payer2TotalCustR2</t>
  </si>
  <si>
    <t>calcProd1Seg1Comp2Payer3TotalCustR2</t>
  </si>
  <si>
    <t>calcProd1Seg1Comp2TotalCustR2</t>
  </si>
  <si>
    <t>calcProd1Seg1Comp2TotalShareR2</t>
  </si>
  <si>
    <t>calcProd1Seg2Comp2Payer1TotalCustR1</t>
  </si>
  <si>
    <t>calcProd1Seg2Comp2Payer2TotalCustR1</t>
  </si>
  <si>
    <t>calcProd1Seg2Comp2Payer3TotalCustR1</t>
  </si>
  <si>
    <t>calcProd1Seg2Comp2TotalCustR1</t>
  </si>
  <si>
    <t>calcProd1Seg2Comp2TotalShareR1</t>
  </si>
  <si>
    <t>calcProd1Seg2Comp2Payer1TotalCustR2</t>
  </si>
  <si>
    <t>calcProd1Seg2Comp2Payer2TotalCustR2</t>
  </si>
  <si>
    <t>calcProd1Seg2Comp2Payer3TotalCustR2</t>
  </si>
  <si>
    <t>calcProd1Seg2Comp2TotalCustR2</t>
  </si>
  <si>
    <t>calcProd1Seg2Comp2TotalShareR2</t>
  </si>
  <si>
    <t>calcProd1Seg3Comp2Payer1TotalCustR1</t>
  </si>
  <si>
    <t>calcProd1Seg3Comp2Payer2TotalCustR1</t>
  </si>
  <si>
    <t>calcProd1Seg3Comp2Payer3TotalCustR1</t>
  </si>
  <si>
    <t>calcProd1Seg3Comp2TotalCustR1</t>
  </si>
  <si>
    <t>calcProd1Seg3Comp2TotalShareR1</t>
  </si>
  <si>
    <t>calcProd1Seg3Comp2Payer1TotalCustR2</t>
  </si>
  <si>
    <t>calcProd1Seg3Comp2Payer2TotalCustR2</t>
  </si>
  <si>
    <t>calcProd1Seg3Comp2Payer3TotalCustR2</t>
  </si>
  <si>
    <t>calcProd1Seg3Comp2TotalCustR2</t>
  </si>
  <si>
    <t>calcProd1Seg3Comp2TotalShareR2</t>
  </si>
  <si>
    <t>calcProd1Comp2Payer1TotalShareR1</t>
  </si>
  <si>
    <t>calcProd1Comp2Payer2TotalShareR1</t>
  </si>
  <si>
    <t>calcProd1Comp2Payer3TotalShareR1</t>
  </si>
  <si>
    <t>calcProd1Comp2Payer1TotalShareR2</t>
  </si>
  <si>
    <t>calcProd1Comp2Payer2TotalShareR2</t>
  </si>
  <si>
    <t>calcProd1Comp2Payer3TotalShareR2</t>
  </si>
  <si>
    <t>Opening Volume</t>
  </si>
  <si>
    <t>Rep Capabilities</t>
  </si>
  <si>
    <t>obalProd1Seg1Rep1Cap</t>
  </si>
  <si>
    <t>nmProd1Seg1Rep1</t>
  </si>
  <si>
    <t>nmProd1Seg2Rep2</t>
  </si>
  <si>
    <t>nmProd1Seg3Rep3</t>
  </si>
  <si>
    <t>nmProd1Seg1Rep3</t>
  </si>
  <si>
    <t>nmProd1Seg1Rep2</t>
  </si>
  <si>
    <t>nmProd1Seg2Rep1</t>
  </si>
  <si>
    <t>nmProd1Seg2Rep3</t>
  </si>
  <si>
    <t>nmProd1Seg3Rep1</t>
  </si>
  <si>
    <t>nmProd1Seg3Rep2</t>
  </si>
  <si>
    <t>obalProd1Seg1Rep2Cap</t>
  </si>
  <si>
    <t>obalProd1Seg1Rep3Cap</t>
  </si>
  <si>
    <t>obalProd1Seg2Rep1Cap</t>
  </si>
  <si>
    <t>obalProd1Seg2Rep2Cap</t>
  </si>
  <si>
    <t>obalProd1Seg2Rep3Cap</t>
  </si>
  <si>
    <t>obalProd1Seg3Rep1Cap</t>
  </si>
  <si>
    <t>obalProd1Seg3Rep2Cap</t>
  </si>
  <si>
    <t>obalProd1Seg3Rep3Cap</t>
  </si>
  <si>
    <t>cbalProd1Seg1Rep1Cap</t>
  </si>
  <si>
    <t>cbalProd1Seg1Rep2Cap</t>
  </si>
  <si>
    <t>cbalProd1Seg1Rep3Cap</t>
  </si>
  <si>
    <t>cbalProd1Seg2Rep1Cap</t>
  </si>
  <si>
    <t>cbalProd1Seg2Rep2Cap</t>
  </si>
  <si>
    <t>cbalProd1Seg2Rep3Cap</t>
  </si>
  <si>
    <t>cbalProd1Seg3Rep1Cap</t>
  </si>
  <si>
    <t>cbalProd1Seg3Rep2Cap</t>
  </si>
  <si>
    <t>cbalProd1Seg3Rep3Cap</t>
  </si>
  <si>
    <t>Promotional</t>
  </si>
  <si>
    <t>Bag Weight</t>
  </si>
  <si>
    <t>decInputProd1Seg1PromotionAllocation_R1</t>
  </si>
  <si>
    <t>decInputProd1Seg1SpeakersPerc_R1</t>
  </si>
  <si>
    <t>decInputProd1Seg1PromotionPerc_R1</t>
  </si>
  <si>
    <t>decInputProd1Seg1CfCollab_R1</t>
  </si>
  <si>
    <t>decInputProd1Seg1RegTrainer_R1</t>
  </si>
  <si>
    <t>decInputProd1Seg1PromotionAllocation_R2</t>
  </si>
  <si>
    <t>decInputProd1Seg1SpeakersPerc_R2</t>
  </si>
  <si>
    <t>decInputProd1Seg1PromotionPerc_R2</t>
  </si>
  <si>
    <t>decInputProd1Seg1CfCollab_R2</t>
  </si>
  <si>
    <t>decInputProd1Seg1RegTrainer_R2</t>
  </si>
  <si>
    <t>decInputProd1Seg2PromotionAllocation_R1</t>
  </si>
  <si>
    <t>decInputProd1Seg2SpeakersPerc_R1</t>
  </si>
  <si>
    <t>decInputProd1Seg2PromotionPerc_R1</t>
  </si>
  <si>
    <t>decInputProd1Seg2CfCollab_R1</t>
  </si>
  <si>
    <t>decInputProd1Seg2RegTrainer_R1</t>
  </si>
  <si>
    <t>decInputProd1Seg2PromotionAllocation_R2</t>
  </si>
  <si>
    <t>decInputProd1Seg2SpeakersPerc_R2</t>
  </si>
  <si>
    <t>decInputProd1Seg2PromotionPerc_R2</t>
  </si>
  <si>
    <t>decInputProd1Seg2CfCollab_R2</t>
  </si>
  <si>
    <t>decInputProd1Seg2RegTrainer_R2</t>
  </si>
  <si>
    <t>decInputProd1Seg3PromotionAllocation_R1</t>
  </si>
  <si>
    <t>decInputProd1Seg3SpeakersPerc_R1</t>
  </si>
  <si>
    <t>decInputProd1Seg3PromotionPerc_R1</t>
  </si>
  <si>
    <t>decInputProd1Seg3CfCollab_R1</t>
  </si>
  <si>
    <t>decInputProd1Seg3RegTrainer_R1</t>
  </si>
  <si>
    <t>decInputProd1Seg3PromotionAllocation_R2</t>
  </si>
  <si>
    <t>decInputProd1Seg3SpeakersPerc_R2</t>
  </si>
  <si>
    <t>decInputProd1Seg3PromotionPerc_R2</t>
  </si>
  <si>
    <t>decInputProd1Seg3CfCollab_R2</t>
  </si>
  <si>
    <t>decInputProd1Seg3RegTrainer_R2</t>
  </si>
  <si>
    <t>decInputReg1Seg1PromotionAllocation_R1</t>
  </si>
  <si>
    <t>decInputReg1Seg1SpeakersPerc_R1</t>
  </si>
  <si>
    <t>decInputReg1Seg1PromotionPerc_R1</t>
  </si>
  <si>
    <t>decInputReg1Seg1CfCollab_R1</t>
  </si>
  <si>
    <t>decInputReg1Seg1RegTrainer_R1</t>
  </si>
  <si>
    <t>decInputReg1Seg1PromotionAllocation_R2</t>
  </si>
  <si>
    <t>decInputReg1Seg1SpeakersPerc_R2</t>
  </si>
  <si>
    <t>decInputReg1Seg1PromotionPerc_R2</t>
  </si>
  <si>
    <t>decInputReg1Seg1CfCollab_R2</t>
  </si>
  <si>
    <t>decInputReg1Seg1RegTrainer_R2</t>
  </si>
  <si>
    <t>decInputReg1Seg2PromotionAllocation_R1</t>
  </si>
  <si>
    <t>decInputReg1Seg2SpeakersPerc_R1</t>
  </si>
  <si>
    <t>decInputReg1Seg2PromotionPerc_R1</t>
  </si>
  <si>
    <t>decInputReg1Seg2CfCollab_R1</t>
  </si>
  <si>
    <t>decInputReg1Seg2RegTrainer_R1</t>
  </si>
  <si>
    <t>decInputReg1Seg2PromotionAllocation_R2</t>
  </si>
  <si>
    <t>decInputReg1Seg2SpeakersPerc_R2</t>
  </si>
  <si>
    <t>decInputReg1Seg2PromotionPerc_R2</t>
  </si>
  <si>
    <t>decInputReg1Seg2CfCollab_R2</t>
  </si>
  <si>
    <t>decInputReg1Seg2RegTrainer_R2</t>
  </si>
  <si>
    <t>decInputReg1Seg3PromotionAllocation_R1</t>
  </si>
  <si>
    <t>decInputReg1Seg3SpeakersPerc_R1</t>
  </si>
  <si>
    <t>decInputReg1Seg3PromotionPerc_R1</t>
  </si>
  <si>
    <t>decInputReg1Seg3CfCollab_R1</t>
  </si>
  <si>
    <t>decInputReg1Seg3RegTrainer_R1</t>
  </si>
  <si>
    <t>decInputReg1Seg3PromotionAllocation_R2</t>
  </si>
  <si>
    <t>decInputReg1Seg3SpeakersPerc_R2</t>
  </si>
  <si>
    <t>decInputReg1Seg3PromotionPerc_R2</t>
  </si>
  <si>
    <t>decInputReg1Seg3CfCollab_R2</t>
  </si>
  <si>
    <t>decInputReg1Seg3RegTrainer_R2</t>
  </si>
  <si>
    <t>Starting Budget</t>
  </si>
  <si>
    <t>obalProd1BudgetLeft</t>
  </si>
  <si>
    <t>obalReg1BudgetLeft</t>
  </si>
  <si>
    <t>cbalProd1BudgetLeft</t>
  </si>
  <si>
    <t>cbalReg1BudgetLeft</t>
  </si>
  <si>
    <t>Budget Spent</t>
  </si>
  <si>
    <t>calcBudgetLeftProd1R1</t>
  </si>
  <si>
    <t>calcBudgetLeftReg1R1</t>
  </si>
  <si>
    <t>Role Play Allocation</t>
  </si>
  <si>
    <t>Green</t>
  </si>
  <si>
    <t>dataProd1BudgetR2RolePlay</t>
  </si>
  <si>
    <t>dataProd1BudgetR2RPOptions</t>
  </si>
  <si>
    <t>Role Play Score</t>
  </si>
  <si>
    <t>decInputProd1R2RolePlayScore</t>
  </si>
  <si>
    <t>obalProd1BudgetLeftR2</t>
  </si>
  <si>
    <t>obalReg1BudgetLeftR2</t>
  </si>
  <si>
    <t>cbalProd1BudgetLeftR2</t>
  </si>
  <si>
    <t>cbalReg1BudgetLeftR2</t>
  </si>
  <si>
    <t>Based on Role Play</t>
  </si>
  <si>
    <t>calcBudgetLeftProd1R2</t>
  </si>
  <si>
    <t>calcBudgetLeftReg1R2</t>
  </si>
  <si>
    <t>Round1</t>
  </si>
  <si>
    <t>obalProd1FTEsLeft</t>
  </si>
  <si>
    <t>obalReg1FTEsLeft</t>
  </si>
  <si>
    <t>cbalProd1FTEsLeft</t>
  </si>
  <si>
    <t>cbalReg1FTEsLeft</t>
  </si>
  <si>
    <t>FTEs Left</t>
  </si>
  <si>
    <t>MTUs Remaining</t>
  </si>
  <si>
    <t>Left</t>
  </si>
  <si>
    <t>calcProd1FTEsLeftR2</t>
  </si>
  <si>
    <t>calcProd1FTEsLeftR1</t>
  </si>
  <si>
    <t>calcReg1FTEsLeftR1</t>
  </si>
  <si>
    <t>calcReg1FTEsLeftR2</t>
  </si>
  <si>
    <t>DB_Dashboard1Prod1</t>
  </si>
  <si>
    <t>DB_Dashboard2Prod1</t>
  </si>
  <si>
    <t>DB_Dashboard3Prod1</t>
  </si>
  <si>
    <t>DB_Dashboard4Prod1</t>
  </si>
  <si>
    <t>Dashboard8</t>
  </si>
  <si>
    <t>DB_ArrayDash8Names</t>
  </si>
  <si>
    <t>DB_ArrayDash8Values</t>
  </si>
  <si>
    <t>Dashboard6</t>
  </si>
  <si>
    <t>Dashboard7</t>
  </si>
  <si>
    <t>DB_Dashboard5Reg1</t>
  </si>
  <si>
    <t>DB_Dashboard8Reg1</t>
  </si>
  <si>
    <t>DB_Dashboard7Reg1</t>
  </si>
  <si>
    <t>DB_Dashboard6Reg1</t>
  </si>
  <si>
    <t>Financial Resourcing</t>
  </si>
  <si>
    <t>Territory Allocations</t>
  </si>
  <si>
    <t>calcProd1Seg1PromotionAllocationR1</t>
  </si>
  <si>
    <t>calcProd1Seg2PromotionAllocationR1</t>
  </si>
  <si>
    <t>calcProd1Seg3PromotionAllocationR1</t>
  </si>
  <si>
    <t>Promotion</t>
  </si>
  <si>
    <t>calcProd1Seg1SpeakerAllocR1</t>
  </si>
  <si>
    <t>decInputProd1Seg1SamplesPerc_R1</t>
  </si>
  <si>
    <t>decInputProd1Seg1SamplesPerc_R2</t>
  </si>
  <si>
    <t>decInputProd1Seg2SamplesPerc_R1</t>
  </si>
  <si>
    <t>decInputProd1Seg2SamplesPerc_R2</t>
  </si>
  <si>
    <t>decInputProd1Seg3SamplesPerc_R1</t>
  </si>
  <si>
    <t>decInputProd1Seg3SamplesPerc_R2</t>
  </si>
  <si>
    <t>decInputReg1Seg1SamplesPerc_R1</t>
  </si>
  <si>
    <t>decInputReg1Seg1SamplesPerc_R2</t>
  </si>
  <si>
    <t>decInputReg1Seg2SamplesPerc_R1</t>
  </si>
  <si>
    <t>decInputReg1Seg2SamplesPerc_R2</t>
  </si>
  <si>
    <t>decInputReg1Seg3SamplesPerc_R1</t>
  </si>
  <si>
    <t>decInputReg1Seg3SamplesPerc_R2</t>
  </si>
  <si>
    <t>calcProd1Seg1SampleAllocR1</t>
  </si>
  <si>
    <t>calcProd1Seg1PromotionAllocR1</t>
  </si>
  <si>
    <t>calcProd1Seg2SampleAllocR1</t>
  </si>
  <si>
    <t>calcProd1Seg2SpeakerAllocR1</t>
  </si>
  <si>
    <t>calcProd1Seg2PromotionAllocR1</t>
  </si>
  <si>
    <t>calcProd1Seg3SampleAllocR1</t>
  </si>
  <si>
    <t>calcProd1Seg3SpeakerAllocR1</t>
  </si>
  <si>
    <t>calcProd1Seg3PromotionAllocR1</t>
  </si>
  <si>
    <t>calcReg1Seg1PromotionAllocationR1</t>
  </si>
  <si>
    <t>calcReg1Seg2PromotionAllocationR1</t>
  </si>
  <si>
    <t>calcReg1Seg3PromotionAllocationR1</t>
  </si>
  <si>
    <t>Financials</t>
  </si>
  <si>
    <t>calcReg1Seg1SampleAllocR1</t>
  </si>
  <si>
    <t>calcReg1Seg1SpeakerAllocR1</t>
  </si>
  <si>
    <t>calcReg1Seg1PromotionAllocR1</t>
  </si>
  <si>
    <t>calcReg1Seg2SampleAllocR1</t>
  </si>
  <si>
    <t>calcReg1Seg2SpeakerAllocR1</t>
  </si>
  <si>
    <t>calcReg1Seg2PromotionAllocR1</t>
  </si>
  <si>
    <t>calcReg1Seg3SampleAllocR1</t>
  </si>
  <si>
    <t>calcReg1Seg3SpeakerAllocR1</t>
  </si>
  <si>
    <t>calcReg1Seg3PromotionAllocR1</t>
  </si>
  <si>
    <t>calcProd1Seg1SampleAllocR2</t>
  </si>
  <si>
    <t>calcProd1Seg1SpeakerAllocR2</t>
  </si>
  <si>
    <t>calcProd1Seg1PromotionAllocR2</t>
  </si>
  <si>
    <t>calcProd1Seg2SampleAllocR2</t>
  </si>
  <si>
    <t>calcProd1Seg2SpeakerAllocR2</t>
  </si>
  <si>
    <t>calcProd1Seg2PromotionAllocR2</t>
  </si>
  <si>
    <t>calcProd1Seg3SampleAllocR2</t>
  </si>
  <si>
    <t>calcProd1Seg3SpeakerAllocR2</t>
  </si>
  <si>
    <t>calcProd1Seg3PromotionAllocR2</t>
  </si>
  <si>
    <t>calcProd1Seg1PromotionAllocationR2</t>
  </si>
  <si>
    <t>calcProd1Seg2PromotionAllocationR2</t>
  </si>
  <si>
    <t>calcProd1Seg3PromotionAllocationR2</t>
  </si>
  <si>
    <t>calcReg1Seg1PromotionAllocationR2</t>
  </si>
  <si>
    <t>calcReg1Seg2PromotionAllocationR2</t>
  </si>
  <si>
    <t>calcReg1Seg3PromotionAllocationR2</t>
  </si>
  <si>
    <t>Net Price</t>
  </si>
  <si>
    <t>calcProd1Seg1Payer1GrossRevenueR1</t>
  </si>
  <si>
    <t>calcProd1Seg1Payer1NetRevenueR1</t>
  </si>
  <si>
    <t>calcProd1Seg1Payer2GrossRevenueR1</t>
  </si>
  <si>
    <t>calcProd1Seg1Payer2NetRevenueR1</t>
  </si>
  <si>
    <t>calcProd1Seg1Payer3GrossRevenueR1</t>
  </si>
  <si>
    <t>calcProd1Seg1Payer3NetRevenueR1</t>
  </si>
  <si>
    <t>Total Gross Revenue</t>
  </si>
  <si>
    <t>Total Net Revenue</t>
  </si>
  <si>
    <t>calcProd1Seg1NetRevenueR1</t>
  </si>
  <si>
    <t>calcProd1Seg1GrossRevenueR1</t>
  </si>
  <si>
    <t>calcProd1Seg1Reimbursement</t>
  </si>
  <si>
    <t>calcProd1Seg2Payer1GrossRevenueR1</t>
  </si>
  <si>
    <t>calcProd1Seg2Payer1NetRevenueR1</t>
  </si>
  <si>
    <t>calcProd1Seg2Payer2GrossRevenueR1</t>
  </si>
  <si>
    <t>calcProd1Seg2Payer2NetRevenueR1</t>
  </si>
  <si>
    <t>calcProd1Seg2Payer3GrossRevenueR1</t>
  </si>
  <si>
    <t>calcProd1Seg2Payer3NetRevenueR1</t>
  </si>
  <si>
    <t>calcProd1Seg2GrossRevenueR1</t>
  </si>
  <si>
    <t>calcProd1Seg2NetRevenueR1</t>
  </si>
  <si>
    <t>calcProd1Seg2Reimbursement</t>
  </si>
  <si>
    <t>calcProd1Seg3Payer1GrossRevenueR1</t>
  </si>
  <si>
    <t>calcProd1Seg3Payer1NetRevenueR1</t>
  </si>
  <si>
    <t>calcProd1Seg3Payer2GrossRevenueR1</t>
  </si>
  <si>
    <t>calcProd1Seg3Payer2NetRevenueR1</t>
  </si>
  <si>
    <t>calcProd1Seg3Payer3GrossRevenueR1</t>
  </si>
  <si>
    <t>calcProd1Seg3Payer3NetRevenueR1</t>
  </si>
  <si>
    <t>calcProd1Seg3GrossRevenueR1</t>
  </si>
  <si>
    <t>calcProd1Seg3NetRevenueR1</t>
  </si>
  <si>
    <t>calcProd1Seg3Reimbursement</t>
  </si>
  <si>
    <t>Total District</t>
  </si>
  <si>
    <t>calcProd1TotalGrossRevenueR1</t>
  </si>
  <si>
    <t>calcProd1TotalNetRevenueR1</t>
  </si>
  <si>
    <t>calcProd1TotalReimbursementR1</t>
  </si>
  <si>
    <t>calcProd1Seg1Payer2GrossRevenueR2</t>
  </si>
  <si>
    <t>calcProd1Seg1Payer2NetRevenueR2</t>
  </si>
  <si>
    <t>calcProd1Seg1Payer3GrossRevenueR2</t>
  </si>
  <si>
    <t>calcProd1Seg1Payer3NetRevenueR2</t>
  </si>
  <si>
    <t>calcProd1Seg1GrossRevenueR2</t>
  </si>
  <si>
    <t>calcProd1Seg1NetRevenueR2</t>
  </si>
  <si>
    <t>calcProd1Seg2Payer2GrossRevenueR2</t>
  </si>
  <si>
    <t>calcProd1Seg2Payer2NetRevenueR2</t>
  </si>
  <si>
    <t>calcProd1Seg2Payer3GrossRevenueR2</t>
  </si>
  <si>
    <t>calcProd1Seg2Payer3NetRevenueR2</t>
  </si>
  <si>
    <t>calcProd1Seg2GrossRevenueR2</t>
  </si>
  <si>
    <t>calcProd1Seg2NetRevenueR2</t>
  </si>
  <si>
    <t>calcProd1Seg3Payer2GrossRevenueR2</t>
  </si>
  <si>
    <t>calcProd1Seg3Payer2NetRevenueR2</t>
  </si>
  <si>
    <t>calcProd1Seg3Payer3GrossRevenueR2</t>
  </si>
  <si>
    <t>calcProd1Seg3Payer3NetRevenueR2</t>
  </si>
  <si>
    <t>calcProd1Seg3GrossRevenueR2</t>
  </si>
  <si>
    <t>calcProd1Seg3NetRevenueR2</t>
  </si>
  <si>
    <t>calcProd1TotalGrossRevenueR2</t>
  </si>
  <si>
    <t>calcProd1TotalNetRevenueR2</t>
  </si>
  <si>
    <t>calcProd1TotalReimbursementR2</t>
  </si>
  <si>
    <t>calcProd1Seg1Payer1GrossRevenueR2</t>
  </si>
  <si>
    <t>calcProd1Seg1Payer1NetRevenueR2</t>
  </si>
  <si>
    <t>calcProd1Seg2Payer1GrossRevenueR2</t>
  </si>
  <si>
    <t>calcProd1Seg2Payer1NetRevenueR2</t>
  </si>
  <si>
    <t>calcProd1Seg3Payer1GrossRevenueR2</t>
  </si>
  <si>
    <t>calcProd1Seg3Payer1NetRevenueR2</t>
  </si>
  <si>
    <t>calcProd1Seg1ReimbursementR2</t>
  </si>
  <si>
    <t>calcProd1Seg2ReimbursementR2</t>
  </si>
  <si>
    <t>calcProd1Seg3ReimbursementR2</t>
  </si>
  <si>
    <t>calcReg1Seg1Payer1GrossRevenueR1</t>
  </si>
  <si>
    <t>calcReg1Seg1Payer1NetRevenueR1</t>
  </si>
  <si>
    <t>calcReg1Seg1Payer2GrossRevenueR1</t>
  </si>
  <si>
    <t>calcReg1Seg1Payer2NetRevenueR1</t>
  </si>
  <si>
    <t>calcReg1Seg1Payer3GrossRevenueR1</t>
  </si>
  <si>
    <t>calcReg1Seg1Payer3NetRevenueR1</t>
  </si>
  <si>
    <t>calcReg1Seg1GrossRevenueR1</t>
  </si>
  <si>
    <t>calcReg1Seg1NetRevenueR1</t>
  </si>
  <si>
    <t>calcReg1Seg1Reimbursement</t>
  </si>
  <si>
    <t>calcReg1Seg2Payer1GrossRevenueR1</t>
  </si>
  <si>
    <t>calcReg1Seg2Payer1NetRevenueR1</t>
  </si>
  <si>
    <t>calcReg1Seg2Payer2GrossRevenueR1</t>
  </si>
  <si>
    <t>calcReg1Seg2Payer2NetRevenueR1</t>
  </si>
  <si>
    <t>calcReg1Seg2Payer3GrossRevenueR1</t>
  </si>
  <si>
    <t>calcReg1Seg2Payer3NetRevenueR1</t>
  </si>
  <si>
    <t>calcReg1Seg2GrossRevenueR1</t>
  </si>
  <si>
    <t>calcReg1Seg2NetRevenueR1</t>
  </si>
  <si>
    <t>calcReg1Seg2Reimbursement</t>
  </si>
  <si>
    <t>calcReg1Seg3Payer1GrossRevenueR1</t>
  </si>
  <si>
    <t>calcReg1Seg3Payer1NetRevenueR1</t>
  </si>
  <si>
    <t>calcReg1Seg3Payer2GrossRevenueR1</t>
  </si>
  <si>
    <t>calcReg1Seg3Payer2NetRevenueR1</t>
  </si>
  <si>
    <t>calcReg1Seg3Payer3GrossRevenueR1</t>
  </si>
  <si>
    <t>calcReg1Seg3Payer3NetRevenueR1</t>
  </si>
  <si>
    <t>calcReg1Seg3GrossRevenueR1</t>
  </si>
  <si>
    <t>calcReg1Seg3NetRevenueR1</t>
  </si>
  <si>
    <t>calcReg1Seg3Reimbursement</t>
  </si>
  <si>
    <t>calcReg1TotalGrossRevenueR1</t>
  </si>
  <si>
    <t>calcReg1TotalNetRevenueR1</t>
  </si>
  <si>
    <t>calcReg1TotalReimbursementR1</t>
  </si>
  <si>
    <t>calcReg1Seg1Payer1GrossRevenueR2</t>
  </si>
  <si>
    <t>calcReg1Seg1Payer1NetRevenueR2</t>
  </si>
  <si>
    <t>calcReg1Seg1Payer2GrossRevenueR2</t>
  </si>
  <si>
    <t>calcReg1Seg1Payer2NetRevenueR2</t>
  </si>
  <si>
    <t>calcReg1Seg1Payer3GrossRevenueR2</t>
  </si>
  <si>
    <t>calcReg1Seg1Payer3NetRevenueR2</t>
  </si>
  <si>
    <t>calcReg1Seg1GrossRevenueR2</t>
  </si>
  <si>
    <t>calcReg1Seg1NetRevenueR2</t>
  </si>
  <si>
    <t>calcReg1Seg1ReimbursementR2</t>
  </si>
  <si>
    <t>calcReg1Seg2Payer1GrossRevenueR2</t>
  </si>
  <si>
    <t>calcReg1Seg2Payer1NetRevenueR2</t>
  </si>
  <si>
    <t>calcReg1Seg2Payer2GrossRevenueR2</t>
  </si>
  <si>
    <t>calcReg1Seg2Payer2NetRevenueR2</t>
  </si>
  <si>
    <t>calcReg1Seg2Payer3GrossRevenueR2</t>
  </si>
  <si>
    <t>calcReg1Seg2Payer3NetRevenueR2</t>
  </si>
  <si>
    <t>calcReg1Seg2GrossRevenueR2</t>
  </si>
  <si>
    <t>calcReg1Seg2NetRevenueR2</t>
  </si>
  <si>
    <t>calcReg1Seg2ReimbursementR2</t>
  </si>
  <si>
    <t>calcReg1Seg3Payer1GrossRevenueR2</t>
  </si>
  <si>
    <t>calcReg1Seg3Payer1NetRevenueR2</t>
  </si>
  <si>
    <t>calcReg1Seg3Payer2GrossRevenueR2</t>
  </si>
  <si>
    <t>calcReg1Seg3Payer2NetRevenueR2</t>
  </si>
  <si>
    <t>calcReg1Seg3Payer3GrossRevenueR2</t>
  </si>
  <si>
    <t>calcReg1Seg3Payer3NetRevenueR2</t>
  </si>
  <si>
    <t>calcReg1Seg3GrossRevenueR2</t>
  </si>
  <si>
    <t>calcReg1Seg3NetRevenueR2</t>
  </si>
  <si>
    <t>calcReg1Seg3ReimbursementR2</t>
  </si>
  <si>
    <t>calcReg1TotalGrossRevenueR2</t>
  </si>
  <si>
    <t>calcReg1TotalNetRevenueR2</t>
  </si>
  <si>
    <t>calcReg1TotalReimbursementR2</t>
  </si>
  <si>
    <t>cbalReg1Payer1Status</t>
  </si>
  <si>
    <t>cbalReg1Payer2Status</t>
  </si>
  <si>
    <t>cbalReg1Payer3Status</t>
  </si>
  <si>
    <t>cbalReg1Comp1Payer1Status</t>
  </si>
  <si>
    <t>cbalReg1Comp1Payer2Status</t>
  </si>
  <si>
    <t>cbalReg1Comp1Payer3Status</t>
  </si>
  <si>
    <t>cbalReg1Comp2Payer1Status</t>
  </si>
  <si>
    <t>cbalReg1Comp2Payer2Status</t>
  </si>
  <si>
    <t>cbalReg1Comp2Payer3Status</t>
  </si>
  <si>
    <t>obalReg1Payer1Status</t>
  </si>
  <si>
    <t>obalReg1Payer2Status</t>
  </si>
  <si>
    <t>obalReg1Payer3Status</t>
  </si>
  <si>
    <t>obalReg1Comp1Payer1Status</t>
  </si>
  <si>
    <t>obalReg1Comp1Payer2Status</t>
  </si>
  <si>
    <t>obalReg1Comp1Payer3Status</t>
  </si>
  <si>
    <t>obalReg1Comp2Payer1Status</t>
  </si>
  <si>
    <t>obalReg1Comp2Payer2Status</t>
  </si>
  <si>
    <t>obalReg1Comp2Payer3Status</t>
  </si>
  <si>
    <t>Data</t>
  </si>
  <si>
    <t>FTE Tables</t>
  </si>
  <si>
    <t>dataCoachingFTEs</t>
  </si>
  <si>
    <t>dataCFFTEs</t>
  </si>
  <si>
    <t>dataRegTrainFTEs</t>
  </si>
  <si>
    <t>Wintellix</t>
  </si>
  <si>
    <t>Market Execution</t>
  </si>
  <si>
    <t>CF Collaboration</t>
  </si>
  <si>
    <t>Rep Capability</t>
  </si>
  <si>
    <t>datatblProd1Seg1Payer1</t>
  </si>
  <si>
    <t>datatblProd1Seg1Payer3</t>
  </si>
  <si>
    <t>datatblProd1Seg1Payer2</t>
  </si>
  <si>
    <t>datatblProd1Seg2Payer1</t>
  </si>
  <si>
    <t>datatblProd1Seg2Payer2</t>
  </si>
  <si>
    <t>datatblProd1Seg2Payer3</t>
  </si>
  <si>
    <t>datatblProd1Seg3Payer1</t>
  </si>
  <si>
    <t>datatblProd1Seg3Payer2</t>
  </si>
  <si>
    <t>datatblProd1Seg3Payer3</t>
  </si>
  <si>
    <t>datatblReg1Seg1Payer1</t>
  </si>
  <si>
    <t>datatblReg1Seg1Payer2</t>
  </si>
  <si>
    <t>datatblReg1Seg1Payer3</t>
  </si>
  <si>
    <t>datatblReg1Seg2Payer1</t>
  </si>
  <si>
    <t>datatblReg1Seg2Payer2</t>
  </si>
  <si>
    <t>datatblReg1Seg2Payer3</t>
  </si>
  <si>
    <t>datatblReg1Seg3Payer1</t>
  </si>
  <si>
    <t>datatblReg1Seg3Payer2</t>
  </si>
  <si>
    <t>datatblReg1Seg3Payer3</t>
  </si>
  <si>
    <t>datatblCareaboutRank</t>
  </si>
  <si>
    <t>MTUs</t>
  </si>
  <si>
    <t>Cf Collab</t>
  </si>
  <si>
    <t>Reg Train</t>
  </si>
  <si>
    <t>calcProd1Seg3FTEsRep3R1</t>
  </si>
  <si>
    <t>calcProd1Seg3FTEsRep2R1</t>
  </si>
  <si>
    <t>calcProd1Seg3FTEsRep1R1</t>
  </si>
  <si>
    <t>calcProd1Seg3FTEsRegTrainR1</t>
  </si>
  <si>
    <t>calcProd1Seg3FTEsCFCollabR1</t>
  </si>
  <si>
    <t>calcProd1Seg2FTEsCFCollabR1</t>
  </si>
  <si>
    <t>calcProd1Seg2FTEsRegTrainR1</t>
  </si>
  <si>
    <t>calcProd1Seg2FTEsRep1R1</t>
  </si>
  <si>
    <t>calcProd1Seg2FTEsRep2R1</t>
  </si>
  <si>
    <t>calcProd1Seg2FTEsRep3R1</t>
  </si>
  <si>
    <t>calcProd1Seg1FTEsCFCollabR1</t>
  </si>
  <si>
    <t>calcProd1Seg1FTEsRegTrainR1</t>
  </si>
  <si>
    <t>calcProd1Seg1FTEsRep1R1</t>
  </si>
  <si>
    <t>calcProd1Seg1FTEsRep2R1</t>
  </si>
  <si>
    <t>calcProd1Seg1FTEsRep3R1</t>
  </si>
  <si>
    <t>calcProd1Seg1FTEsCFCollabR2</t>
  </si>
  <si>
    <t>calcProd1Seg1FTEsRegTrainR2</t>
  </si>
  <si>
    <t>calcProd1Seg1FTEsRep1R2</t>
  </si>
  <si>
    <t>calcProd1Seg1FTEsRep2R2</t>
  </si>
  <si>
    <t>calcProd1Seg1FTEsRep3R2</t>
  </si>
  <si>
    <t>calcProd1Seg2FTEsCFCollabR2</t>
  </si>
  <si>
    <t>calcProd1Seg2FTEsRegTrainR2</t>
  </si>
  <si>
    <t>calcProd1Seg2FTEsRep1R2</t>
  </si>
  <si>
    <t>calcProd1Seg2FTEsRep2R2</t>
  </si>
  <si>
    <t>calcProd1Seg2FTEsRep3R2</t>
  </si>
  <si>
    <t>calcProd1Seg3FTEsCFCollabR2</t>
  </si>
  <si>
    <t>calcProd1Seg3FTEsRegTrainR2</t>
  </si>
  <si>
    <t>calcProd1Seg3FTEsRep1R2</t>
  </si>
  <si>
    <t>calcProd1Seg3FTEsRep2R2</t>
  </si>
  <si>
    <t>calcProd1Seg3FTEsRep3R2</t>
  </si>
  <si>
    <t>calcReg1Seg1FTEsCFCollabR1</t>
  </si>
  <si>
    <t>calcReg1Seg1FTEsRegTrainR1</t>
  </si>
  <si>
    <t>calcReg1Seg1FTEsRep1R1</t>
  </si>
  <si>
    <t>calcReg1Seg2FTEsCFCollabR1</t>
  </si>
  <si>
    <t>calcReg1Seg2FTEsRegTrainR1</t>
  </si>
  <si>
    <t>calcReg1Seg2FTEsRep1R1</t>
  </si>
  <si>
    <t>calcReg1Seg3FTEsCFCollabR1</t>
  </si>
  <si>
    <t>calcReg1Seg3FTEsRegTrainR1</t>
  </si>
  <si>
    <t>calcReg1Seg3FTEsRep1R1</t>
  </si>
  <si>
    <t>calcReg1Seg1FTEsCFCollabR2</t>
  </si>
  <si>
    <t>calcReg1Seg1FTEsRegTrainR2</t>
  </si>
  <si>
    <t>calcReg1Seg1FTEsRep1R2</t>
  </si>
  <si>
    <t>calcReg1Seg2FTEsCFCollabR2</t>
  </si>
  <si>
    <t>calcReg1Seg2FTEsRegTrainR2</t>
  </si>
  <si>
    <t>calcReg1Seg2FTEsRep1R2</t>
  </si>
  <si>
    <t>calcReg1Seg3FTEsCFCollabR2</t>
  </si>
  <si>
    <t>calcReg1Seg3FTEsRegTrainR2</t>
  </si>
  <si>
    <t>calcReg1Seg3FTEsRep1R2</t>
  </si>
  <si>
    <t>Allocation</t>
  </si>
  <si>
    <t>obalProd1Seg1PromotionAllocation</t>
  </si>
  <si>
    <t>obalProd1Seg1SampleAlloc</t>
  </si>
  <si>
    <t>obalProd1Seg1SpeakerAlloc</t>
  </si>
  <si>
    <t>obalProd1Seg1PromotionAlloc</t>
  </si>
  <si>
    <t>obalProd1Seg2PromotionAllocation</t>
  </si>
  <si>
    <t>obalProd1Seg2SampleAlloc</t>
  </si>
  <si>
    <t>obalProd1Seg2SpeakerAlloc</t>
  </si>
  <si>
    <t>obalProd1Seg2PromotionAlloc</t>
  </si>
  <si>
    <t>obalProd1Seg3PromotionAllocation</t>
  </si>
  <si>
    <t>obalProd1Seg3SampleAlloc</t>
  </si>
  <si>
    <t>obalProd1Seg3SpeakerAlloc</t>
  </si>
  <si>
    <t>obalProd1Seg3PromotionAlloc</t>
  </si>
  <si>
    <t>obalReg1Seg1PromotionAllocation</t>
  </si>
  <si>
    <t>obalReg1Seg1SampleAlloc</t>
  </si>
  <si>
    <t>obalReg1Seg1SpeakerAlloc</t>
  </si>
  <si>
    <t>obalReg1Seg1PromotionAlloc</t>
  </si>
  <si>
    <t>obalReg1Seg2PromotionAllocation</t>
  </si>
  <si>
    <t>obalReg1Seg2SampleAlloc</t>
  </si>
  <si>
    <t>obalReg1Seg2SpeakerAlloc</t>
  </si>
  <si>
    <t>obalReg1Seg2PromotionAlloc</t>
  </si>
  <si>
    <t>obalReg1Seg3PromotionAllocation</t>
  </si>
  <si>
    <t>obalReg1Seg3SampleAlloc</t>
  </si>
  <si>
    <t>obalReg1Seg3SpeakerAlloc</t>
  </si>
  <si>
    <t>obalReg1Seg3PromotionAlloc</t>
  </si>
  <si>
    <t>cbalProd1Seg1PromotionAllocation</t>
  </si>
  <si>
    <t>cbalProd1Seg1SampleAlloc</t>
  </si>
  <si>
    <t>cbalProd1Seg1SpeakerAlloc</t>
  </si>
  <si>
    <t>cbalProd1Seg1PromotionAlloc</t>
  </si>
  <si>
    <t>cbalProd1Seg2PromotionAllocation</t>
  </si>
  <si>
    <t>cbalProd1Seg2SampleAlloc</t>
  </si>
  <si>
    <t>cbalProd1Seg2SpeakerAlloc</t>
  </si>
  <si>
    <t>cbalProd1Seg2PromotionAlloc</t>
  </si>
  <si>
    <t>cbalProd1Seg3PromotionAllocation</t>
  </si>
  <si>
    <t>cbalProd1Seg3SampleAlloc</t>
  </si>
  <si>
    <t>cbalProd1Seg3SpeakerAlloc</t>
  </si>
  <si>
    <t>cbalProd1Seg3PromotionAlloc</t>
  </si>
  <si>
    <t>cbalReg1Seg1PromotionAllocation</t>
  </si>
  <si>
    <t>cbalReg1Seg1SampleAlloc</t>
  </si>
  <si>
    <t>cbalReg1Seg1SpeakerAlloc</t>
  </si>
  <si>
    <t>cbalReg1Seg1PromotionAlloc</t>
  </si>
  <si>
    <t>cbalReg1Seg2PromotionAllocation</t>
  </si>
  <si>
    <t>cbalReg1Seg2SampleAlloc</t>
  </si>
  <si>
    <t>cbalReg1Seg2SpeakerAlloc</t>
  </si>
  <si>
    <t>cbalReg1Seg2PromotionAlloc</t>
  </si>
  <si>
    <t>cbalReg1Seg3PromotionAllocation</t>
  </si>
  <si>
    <t>cbalReg1Seg3SampleAlloc</t>
  </si>
  <si>
    <t>cbalReg1Seg3SpeakerAlloc</t>
  </si>
  <si>
    <t>cbalReg1Seg3PromotionAlloc</t>
  </si>
  <si>
    <t>Total Allocation</t>
  </si>
  <si>
    <t>obalProd1Seg1TotalPromotionAllocation</t>
  </si>
  <si>
    <t>obalProd1Seg2TotalPromotionAllocation</t>
  </si>
  <si>
    <t>obalProd1Seg3TotalPromotionAllocation</t>
  </si>
  <si>
    <t>obalReg1Seg1TotalPromotionAllocation</t>
  </si>
  <si>
    <t>obalReg1Seg2TotalPromotionAllocation</t>
  </si>
  <si>
    <t>obalReg1Seg3TotalPromotionAllocation</t>
  </si>
  <si>
    <t>cbalProd1Seg1TotalPromotionAllocation</t>
  </si>
  <si>
    <t>cbalProd1Seg2TotalPromotionAllocation</t>
  </si>
  <si>
    <t>cbalProd1Seg3TotalPromotionAllocation</t>
  </si>
  <si>
    <t>cbalReg1Seg1TotalPromotionAllocation</t>
  </si>
  <si>
    <t>cbalReg1Seg2TotalPromotionAllocation</t>
  </si>
  <si>
    <t>cbalReg1Seg3TotalPromotionAllocation</t>
  </si>
  <si>
    <t>calcReg1Seg1SampleAllocR2</t>
  </si>
  <si>
    <t>calcReg1Seg1SpeakerAllocR2</t>
  </si>
  <si>
    <t>calcReg1Seg1PromotionAllocR2</t>
  </si>
  <si>
    <t>calcReg1Seg2SampleAllocR2</t>
  </si>
  <si>
    <t>calcReg1Seg2SpeakerAllocR2</t>
  </si>
  <si>
    <t>calcReg1Seg2PromotionAllocR2</t>
  </si>
  <si>
    <t>calcReg1Seg3SampleAllocR2</t>
  </si>
  <si>
    <t>calcReg1Seg3SpeakerAllocR2</t>
  </si>
  <si>
    <t>calcReg1Seg3PromotionAllocR2</t>
  </si>
  <si>
    <t>calcProd1Seg3Payer3SampleShare</t>
  </si>
  <si>
    <t>calcProd1Seg3Payer3SpeakerShare</t>
  </si>
  <si>
    <t>calcProd1Seg3Payer3PromotionShare</t>
  </si>
  <si>
    <t>calcProd1Seg3Payer3RepCapShare</t>
  </si>
  <si>
    <t>calcProd1Seg3Payer2SampleShare</t>
  </si>
  <si>
    <t>calcProd1Seg3Payer2SpeakerShare</t>
  </si>
  <si>
    <t>calcProd1Seg3Payer2PromotionShare</t>
  </si>
  <si>
    <t>calcProd1Seg3Payer2RepCapShare</t>
  </si>
  <si>
    <t>calcProd1Seg3Payer1SampleShare</t>
  </si>
  <si>
    <t>calcProd1Seg3Payer1SpeakerShare</t>
  </si>
  <si>
    <t>calcProd1Seg3Payer1PromotionShare</t>
  </si>
  <si>
    <t>calcProd1Seg3Payer1RepCapShare</t>
  </si>
  <si>
    <t>calcProd1Seg2Payer3SampleShare</t>
  </si>
  <si>
    <t>calcProd1Seg2Payer3SpeakerShare</t>
  </si>
  <si>
    <t>calcProd1Seg2Payer3PromotionShare</t>
  </si>
  <si>
    <t>calcProd1Seg2Payer3RepCapShare</t>
  </si>
  <si>
    <t>calcProd1Seg2Payer2SampleShare</t>
  </si>
  <si>
    <t>calcProd1Seg2Payer2SpeakerShare</t>
  </si>
  <si>
    <t>calcProd1Seg2Payer2PromotionShare</t>
  </si>
  <si>
    <t>calcProd1Seg2Payer2RepCapShare</t>
  </si>
  <si>
    <t>calcProd1Seg2Payer1SampleShare</t>
  </si>
  <si>
    <t>calcProd1Seg2Payer1SpeakerShare</t>
  </si>
  <si>
    <t>calcProd1Seg2Payer1PromotionShare</t>
  </si>
  <si>
    <t>calcProd1Seg2Payer1RepCapShare</t>
  </si>
  <si>
    <t>calcProd1Seg1Payer3SampleShare</t>
  </si>
  <si>
    <t>calcProd1Seg1Payer3SpeakerShare</t>
  </si>
  <si>
    <t>calcProd1Seg1Payer3PromotionShare</t>
  </si>
  <si>
    <t>calcProd1Seg1Payer3RepCapShare</t>
  </si>
  <si>
    <t>calcProd1Seg1Payer2SampleShare</t>
  </si>
  <si>
    <t>calcProd1Seg1Payer2SpeakerShare</t>
  </si>
  <si>
    <t>calcProd1Seg1Payer2PromotionShare</t>
  </si>
  <si>
    <t>calcProd1Seg1Payer2RepCapShare</t>
  </si>
  <si>
    <t>calcProd1Seg1Payer1SampleShare</t>
  </si>
  <si>
    <t>calcProd1Seg1Payer1SpeakerShare</t>
  </si>
  <si>
    <t>calcProd1Seg1Payer1PromotionShare</t>
  </si>
  <si>
    <t>calcProd1Seg1Payer1RepCapShare</t>
  </si>
  <si>
    <t>Lordfrey City</t>
  </si>
  <si>
    <t>dataProd1Seg1Payer1TotalVolPerc</t>
  </si>
  <si>
    <t>dataProd1Seg1Payer2TotalVolPerc</t>
  </si>
  <si>
    <t>dataProd1Seg1Payer3TotalVolPerc</t>
  </si>
  <si>
    <t>dataProd1Seg2Payer1TotalVolPerc</t>
  </si>
  <si>
    <t>dataProd1Seg2Payer2TotalVolPerc</t>
  </si>
  <si>
    <t>dataProd1Seg2Payer3TotalVolPerc</t>
  </si>
  <si>
    <t>dataProd1Seg3Payer1TotalVolPerc</t>
  </si>
  <si>
    <t>dataProd1Seg3Payer2TotalVolPerc</t>
  </si>
  <si>
    <t>dataProd1Seg3Payer3TotalVolPerc</t>
  </si>
  <si>
    <t>dataReg1Seg1Payer1TotalVolPerc</t>
  </si>
  <si>
    <t>dataReg1Seg1Payer2TotalVolPerc</t>
  </si>
  <si>
    <t>dataReg1Seg1Payer3TotalVolPerc</t>
  </si>
  <si>
    <t>dataReg1Seg2Payer1TotalVolPerc</t>
  </si>
  <si>
    <t>dataReg1Seg2Payer2TotalVolPerc</t>
  </si>
  <si>
    <t>dataReg1Seg2Payer3TotalVolPerc</t>
  </si>
  <si>
    <t>dataReg1Seg3Payer1TotalVolPerc</t>
  </si>
  <si>
    <t>dataReg1Seg3Payer2TotalVolPerc</t>
  </si>
  <si>
    <t>dataReg1Seg3Payer3TotalVolPerc</t>
  </si>
  <si>
    <t>Regional Trainer</t>
  </si>
  <si>
    <t>New Payer Volume</t>
  </si>
  <si>
    <t>dataProd1Seg1Payer1NewVolPerc</t>
  </si>
  <si>
    <t>dataProd1Seg1Payer2NewVolPerc</t>
  </si>
  <si>
    <t>dataProd1Seg1Payer3NewVolPerc</t>
  </si>
  <si>
    <t>dataProd1Seg2Payer1NewVolPerc</t>
  </si>
  <si>
    <t>dataProd1Seg2Payer2NewVolPerc</t>
  </si>
  <si>
    <t>dataProd1Seg2Payer3NewVolPerc</t>
  </si>
  <si>
    <t>dataProd1Seg3Payer1NewVolPerc</t>
  </si>
  <si>
    <t>dataProd1Seg3Payer2NewVolPerc</t>
  </si>
  <si>
    <t>dataProd1Seg3Payer3NewVolPerc</t>
  </si>
  <si>
    <t>dataProd1Seg1Payer1NewVolume</t>
  </si>
  <si>
    <t>dataProd1Seg2Payer1NewVolume</t>
  </si>
  <si>
    <t>dataProd1Seg3Payer1NewVolume</t>
  </si>
  <si>
    <t>dataProd1Payer1NewVolume</t>
  </si>
  <si>
    <t>dataProd1Seg1Payer2NewVolume</t>
  </si>
  <si>
    <t>dataProd1Seg2Payer2NewVolume</t>
  </si>
  <si>
    <t>dataProd1Seg3Payer2NewVolume</t>
  </si>
  <si>
    <t>dataProd1Payer2NewVolume</t>
  </si>
  <si>
    <t>dataProd1Seg1Payer3NewVolume</t>
  </si>
  <si>
    <t>dataProd1Seg2Payer3NewVolume</t>
  </si>
  <si>
    <t>dataProd1Seg3Payer3NewVolume</t>
  </si>
  <si>
    <t>dataProd1Payer3NewVolume</t>
  </si>
  <si>
    <t>dataReg1Seg1Payer1NewVolPerc</t>
  </si>
  <si>
    <t>dataReg1Seg1Payer2NewVolPerc</t>
  </si>
  <si>
    <t>dataReg1Seg1Payer3NewVolPerc</t>
  </si>
  <si>
    <t>dataReg1Seg2Payer1NewVolPerc</t>
  </si>
  <si>
    <t>dataReg1Seg2Payer2NewVolPerc</t>
  </si>
  <si>
    <t>dataReg1Seg2Payer3NewVolPerc</t>
  </si>
  <si>
    <t>dataReg1Seg3Payer1NewVolPerc</t>
  </si>
  <si>
    <t>dataReg1Seg3Payer2NewVolPerc</t>
  </si>
  <si>
    <t>dataReg1Seg3Payer3NewVolPerc</t>
  </si>
  <si>
    <t>dataReg1Seg1Payer1NewVolume</t>
  </si>
  <si>
    <t>dataReg1Seg2Payer1NewVolume</t>
  </si>
  <si>
    <t>dataReg1Seg3Payer1NewVolume</t>
  </si>
  <si>
    <t>dataReg1Payer1NewVolume</t>
  </si>
  <si>
    <t>dataReg1Seg1Payer2NewVolume</t>
  </si>
  <si>
    <t>dataReg1Seg2Payer2NewVolume</t>
  </si>
  <si>
    <t>dataReg1Seg3Payer2NewVolume</t>
  </si>
  <si>
    <t>dataReg1Payer2NewVolume</t>
  </si>
  <si>
    <t>dataReg1Seg1Payer3NewVolume</t>
  </si>
  <si>
    <t>dataReg1Seg2Payer3NewVolume</t>
  </si>
  <si>
    <t>dataReg1Seg3Payer3NewVolume</t>
  </si>
  <si>
    <t>dataReg1Payer3NewVolume</t>
  </si>
  <si>
    <t>Tier Impact</t>
  </si>
  <si>
    <t>List Price</t>
  </si>
  <si>
    <t>Payer Market Drivers</t>
  </si>
  <si>
    <t>% of District Samples</t>
  </si>
  <si>
    <t>Sample Budget</t>
  </si>
  <si>
    <t>obalProd1SampleBudgetLeft</t>
  </si>
  <si>
    <t>obalProd1SampleBudgetLeftR2</t>
  </si>
  <si>
    <t>obalReg1SampleBudgetLeft</t>
  </si>
  <si>
    <t>obalReg1SampleBudgetLeftR2</t>
  </si>
  <si>
    <t>cbalProd1SampleBudgetLeft</t>
  </si>
  <si>
    <t>cbalProd1SampleBudgetLeftR2</t>
  </si>
  <si>
    <t>cbalReg1SampleBudgetLeft</t>
  </si>
  <si>
    <t>cbalReg1SampleBudgetLeftR2</t>
  </si>
  <si>
    <t>% Peer-to-Peer Program</t>
  </si>
  <si>
    <t>% Promotional $</t>
  </si>
  <si>
    <t>District Level Internal Resourcing</t>
  </si>
  <si>
    <t>Regional Internal Resourcing</t>
  </si>
  <si>
    <t>% of Regional Samples</t>
  </si>
  <si>
    <t>``</t>
  </si>
  <si>
    <t>calcProd1Seg1Payer1SampleShareNew</t>
  </si>
  <si>
    <t>calcProd1Seg1Payer1SpeakerShareNew</t>
  </si>
  <si>
    <t>calcProd1Seg1Payer1PromotionShareNew</t>
  </si>
  <si>
    <t>calcProd1Seg1Payer1RepCapShareNew</t>
  </si>
  <si>
    <t>calcProd1Seg1Payer1SampleShareR2</t>
  </si>
  <si>
    <t>calcProd1Seg1Payer1SpeakerShareR2</t>
  </si>
  <si>
    <t>calcProd1Seg1Payer1PromotionShareR2</t>
  </si>
  <si>
    <t>calcProd1Seg1Payer1RepCapShareR2</t>
  </si>
  <si>
    <t>Orange</t>
  </si>
  <si>
    <t>Blue</t>
  </si>
  <si>
    <t>Rep Allen</t>
  </si>
  <si>
    <t>Rep Betty</t>
  </si>
  <si>
    <t>Rep Chris</t>
  </si>
  <si>
    <t>Rep Elliot</t>
  </si>
  <si>
    <t>Rep Fiona</t>
  </si>
  <si>
    <t>Rep Gregg</t>
  </si>
  <si>
    <t>Rep Howard</t>
  </si>
  <si>
    <t>Rep Isabelle</t>
  </si>
  <si>
    <t>calcProd1Seg1Rep1CapR1</t>
  </si>
  <si>
    <t>calcProd1Seg1Rep2CapR1</t>
  </si>
  <si>
    <t>calcProd1Seg1Rep3CapR1</t>
  </si>
  <si>
    <t>calcProd1Seg1Rep1CapR2</t>
  </si>
  <si>
    <t>calcProd1Seg1Rep2CapR2</t>
  </si>
  <si>
    <t>calcProd1Seg1Rep3CapR2</t>
  </si>
  <si>
    <t>calcProd1Seg2Rep1CapR1</t>
  </si>
  <si>
    <t>calcProd1Seg2Rep2CapR1</t>
  </si>
  <si>
    <t>calcProd1Seg2Rep3CapR1</t>
  </si>
  <si>
    <t>calcProd1Seg2Rep1CapR2</t>
  </si>
  <si>
    <t>calcProd1Seg2Rep2CapR2</t>
  </si>
  <si>
    <t>calcProd1Seg2Rep3CapR2</t>
  </si>
  <si>
    <t>calcProd1Seg3Rep1CapR1</t>
  </si>
  <si>
    <t>calcProd1Seg3Rep2CapR1</t>
  </si>
  <si>
    <t>calcProd1Seg3Rep3CapR1</t>
  </si>
  <si>
    <t>calcProd1Seg3Rep1CapR2</t>
  </si>
  <si>
    <t>calcProd1Seg3Rep2CapR2</t>
  </si>
  <si>
    <t>calcProd1Seg3Rep3CapR2</t>
  </si>
  <si>
    <t>Rep Impact on Share</t>
  </si>
  <si>
    <t>xxRepThreshold</t>
  </si>
  <si>
    <t>Impact</t>
  </si>
  <si>
    <t>Importance</t>
  </si>
  <si>
    <t>calcProd1Seg1Rep1ImpactR1</t>
  </si>
  <si>
    <t>calcProd1Seg1Rep1Payer1ImpactR1</t>
  </si>
  <si>
    <t>calcProd1Seg1Rep1Payer2ImpactR1</t>
  </si>
  <si>
    <t>calcProd1Seg1Rep1Payer3ImpactR1</t>
  </si>
  <si>
    <t>calcProd1Seg1Rep2ImpactR1</t>
  </si>
  <si>
    <t>calcProd1Seg1Rep2Payer1ImpactR1</t>
  </si>
  <si>
    <t>calcProd1Seg1Rep2Payer2ImpactR1</t>
  </si>
  <si>
    <t>calcProd1Seg1Rep2Payer3ImpactR1</t>
  </si>
  <si>
    <t>calcProd1Seg1Rep3ImpactR1</t>
  </si>
  <si>
    <t>calcProd1Seg1Rep3Payer1ImpactR1</t>
  </si>
  <si>
    <t>calcProd1Seg1Rep3Payer2ImpactR1</t>
  </si>
  <si>
    <t>calcProd1Seg1Rep3Payer3ImpactR1</t>
  </si>
  <si>
    <t>calcProd1Seg1Rep1ImpactR2</t>
  </si>
  <si>
    <t>calcProd1Seg1Rep1Payer1ImpactR2</t>
  </si>
  <si>
    <t>calcProd1Seg1Rep1Payer2ImpactR2</t>
  </si>
  <si>
    <t>calcProd1Seg1Rep1Payer3ImpactR2</t>
  </si>
  <si>
    <t>calcProd1Seg1Rep2ImpactR2</t>
  </si>
  <si>
    <t>calcProd1Seg1Rep2Payer1ImpactR2</t>
  </si>
  <si>
    <t>calcProd1Seg1Rep2Payer2ImpactR2</t>
  </si>
  <si>
    <t>calcProd1Seg1Rep2Payer3ImpactR2</t>
  </si>
  <si>
    <t>calcProd1Seg1Rep3ImpactR2</t>
  </si>
  <si>
    <t>calcProd1Seg1Rep3Payer1ImpactR2</t>
  </si>
  <si>
    <t>calcProd1Seg1Rep3Payer2ImpactR2</t>
  </si>
  <si>
    <t>calcProd1Seg1Rep3Payer3ImpactR2</t>
  </si>
  <si>
    <t>calcProd1Seg2Rep1ImpactR1</t>
  </si>
  <si>
    <t>calcProd1Seg2Rep1Payer1ImpactR1</t>
  </si>
  <si>
    <t>calcProd1Seg2Rep1Payer2ImpactR1</t>
  </si>
  <si>
    <t>calcProd1Seg2Rep1Payer3ImpactR1</t>
  </si>
  <si>
    <t>calcProd1Seg2Rep2ImpactR1</t>
  </si>
  <si>
    <t>calcProd1Seg2Rep2Payer1ImpactR1</t>
  </si>
  <si>
    <t>calcProd1Seg2Rep2Payer2ImpactR1</t>
  </si>
  <si>
    <t>calcProd1Seg2Rep2Payer3ImpactR1</t>
  </si>
  <si>
    <t>calcProd1Seg2Rep3ImpactR1</t>
  </si>
  <si>
    <t>calcProd1Seg2Rep3Payer1ImpactR1</t>
  </si>
  <si>
    <t>calcProd1Seg2Rep3Payer2ImpactR1</t>
  </si>
  <si>
    <t>calcProd1Seg2Rep3Payer3ImpactR1</t>
  </si>
  <si>
    <t>calcProd1Seg2Rep1ImpactR2</t>
  </si>
  <si>
    <t>calcProd1Seg2Rep1Payer1ImpactR2</t>
  </si>
  <si>
    <t>calcProd1Seg2Rep1Payer2ImpactR2</t>
  </si>
  <si>
    <t>calcProd1Seg2Rep1Payer3ImpactR2</t>
  </si>
  <si>
    <t>calcProd1Seg2Rep2ImpactR2</t>
  </si>
  <si>
    <t>calcProd1Seg2Rep2Payer1ImpactR2</t>
  </si>
  <si>
    <t>calcProd1Seg2Rep2Payer2ImpactR2</t>
  </si>
  <si>
    <t>calcProd1Seg2Rep2Payer3ImpactR2</t>
  </si>
  <si>
    <t>calcProd1Seg2Rep3ImpactR2</t>
  </si>
  <si>
    <t>calcProd1Seg2Rep3Payer1ImpactR2</t>
  </si>
  <si>
    <t>calcProd1Seg2Rep3Payer2ImpactR2</t>
  </si>
  <si>
    <t>calcProd1Seg2Rep3Payer3ImpactR2</t>
  </si>
  <si>
    <t>calcProd1Seg3Rep1ImpactR1</t>
  </si>
  <si>
    <t>calcProd1Seg3Rep1Payer1ImpactR1</t>
  </si>
  <si>
    <t>calcProd1Seg3Rep1Payer2ImpactR1</t>
  </si>
  <si>
    <t>calcProd1Seg3Rep1Payer3ImpactR1</t>
  </si>
  <si>
    <t>calcProd1Seg3Rep2ImpactR1</t>
  </si>
  <si>
    <t>calcProd1Seg3Rep2Payer1ImpactR1</t>
  </si>
  <si>
    <t>calcProd1Seg3Rep2Payer2ImpactR1</t>
  </si>
  <si>
    <t>calcProd1Seg3Rep2Payer3ImpactR1</t>
  </si>
  <si>
    <t>calcProd1Seg3Rep3ImpactR1</t>
  </si>
  <si>
    <t>calcProd1Seg3Rep3Payer1ImpactR1</t>
  </si>
  <si>
    <t>calcProd1Seg3Rep3Payer2ImpactR1</t>
  </si>
  <si>
    <t>calcProd1Seg3Rep3Payer3ImpactR1</t>
  </si>
  <si>
    <t>calcProd1Seg3Rep1ImpactR2</t>
  </si>
  <si>
    <t>calcProd1Seg3Rep1Payer1ImpactR2</t>
  </si>
  <si>
    <t>calcProd1Seg3Rep1Payer2ImpactR2</t>
  </si>
  <si>
    <t>calcProd1Seg3Rep1Payer3ImpactR2</t>
  </si>
  <si>
    <t>calcProd1Seg3Rep2ImpactR2</t>
  </si>
  <si>
    <t>calcProd1Seg3Rep2Payer1ImpactR2</t>
  </si>
  <si>
    <t>calcProd1Seg3Rep2Payer2ImpactR2</t>
  </si>
  <si>
    <t>calcProd1Seg3Rep2Payer3ImpactR2</t>
  </si>
  <si>
    <t>calcProd1Seg3Rep3ImpactR2</t>
  </si>
  <si>
    <t>calcProd1Seg3Rep3Payer1ImpactR2</t>
  </si>
  <si>
    <t>calcProd1Seg3Rep3Payer2ImpactR2</t>
  </si>
  <si>
    <t>calcProd1Seg3Rep3Payer3ImpactR2</t>
  </si>
  <si>
    <t>calcProd1Seg1Payer2SampleShareNew</t>
  </si>
  <si>
    <t>calcProd1Seg1Payer2SpeakerShareNew</t>
  </si>
  <si>
    <t>calcProd1Seg1Payer2PromotionShareNew</t>
  </si>
  <si>
    <t>calcProd1Seg1Payer2RepCapShareNew</t>
  </si>
  <si>
    <t>calcProd1Seg1Payer2SampleShareR2</t>
  </si>
  <si>
    <t>calcProd1Seg1Payer2SpeakerShareR2</t>
  </si>
  <si>
    <t>calcProd1Seg1Payer2PromotionShareR2</t>
  </si>
  <si>
    <t>calcProd1Seg1Payer2RepCapShareR2</t>
  </si>
  <si>
    <t>calcProd1Seg1Payer3SampleShareNew</t>
  </si>
  <si>
    <t>calcProd1Seg1Payer3SpeakerShareNew</t>
  </si>
  <si>
    <t>calcProd1Seg1Payer3PromotionShareNew</t>
  </si>
  <si>
    <t>calcProd1Seg1Payer3RepCapShareNew</t>
  </si>
  <si>
    <t>calcProd1Seg1Payer3SampleShareR2</t>
  </si>
  <si>
    <t>calcProd1Seg1Payer3SpeakerShareR2</t>
  </si>
  <si>
    <t>calcProd1Seg1Payer3PromotionShareR2</t>
  </si>
  <si>
    <t>calcProd1Seg1Payer3RepCapShareR2</t>
  </si>
  <si>
    <t>calcProd1Seg2Payer1SampleShareNew</t>
  </si>
  <si>
    <t>calcProd1Seg2Payer1SpeakerShareNew</t>
  </si>
  <si>
    <t>calcProd1Seg2Payer1PromotionShareNew</t>
  </si>
  <si>
    <t>calcProd1Seg2Payer1RepCapShareNew</t>
  </si>
  <si>
    <t>calcProd1Seg2Payer1SampleShareR2</t>
  </si>
  <si>
    <t>calcProd1Seg2Payer1SpeakerShareR2</t>
  </si>
  <si>
    <t>calcProd1Seg2Payer1PromotionShareR2</t>
  </si>
  <si>
    <t>calcProd1Seg2Payer1RepCapShareR2</t>
  </si>
  <si>
    <t>calcProd1Seg2Payer2SampleShareNew</t>
  </si>
  <si>
    <t>calcProd1Seg2Payer2SpeakerShareNew</t>
  </si>
  <si>
    <t>calcProd1Seg2Payer2PromotionShareNew</t>
  </si>
  <si>
    <t>calcProd1Seg2Payer2RepCapShareNew</t>
  </si>
  <si>
    <t>calcProd1Seg2Payer2SampleShareR2</t>
  </si>
  <si>
    <t>calcProd1Seg2Payer2SpeakerShareR2</t>
  </si>
  <si>
    <t>calcProd1Seg2Payer2PromotionShareR2</t>
  </si>
  <si>
    <t>calcProd1Seg2Payer2RepCapShareR2</t>
  </si>
  <si>
    <t>calcProd1Seg2Payer3SampleShareNew</t>
  </si>
  <si>
    <t>calcProd1Seg2Payer3SpeakerShareNew</t>
  </si>
  <si>
    <t>calcProd1Seg2Payer3PromotionShareNew</t>
  </si>
  <si>
    <t>calcProd1Seg2Payer3RepCapShareNew</t>
  </si>
  <si>
    <t>calcProd1Seg2Payer3SampleShareR2</t>
  </si>
  <si>
    <t>calcProd1Seg2Payer3SpeakerShareR2</t>
  </si>
  <si>
    <t>calcProd1Seg2Payer3PromotionShareR2</t>
  </si>
  <si>
    <t>calcProd1Seg2Payer3RepCapShareR2</t>
  </si>
  <si>
    <t>calcProd1Seg3Payer1SampleShareNew</t>
  </si>
  <si>
    <t>calcProd1Seg3Payer1SpeakerShareNew</t>
  </si>
  <si>
    <t>calcProd1Seg3Payer1PromotionShareNew</t>
  </si>
  <si>
    <t>calcProd1Seg3Payer1RepCapShareNew</t>
  </si>
  <si>
    <t>calcProd1Seg3Payer1SampleShareR2</t>
  </si>
  <si>
    <t>calcProd1Seg3Payer1SpeakerShareR2</t>
  </si>
  <si>
    <t>calcProd1Seg3Payer1PromotionShareR2</t>
  </si>
  <si>
    <t>calcProd1Seg3Payer1RepCapShareR2</t>
  </si>
  <si>
    <t>calcProd1Seg3Payer2SampleShareNew</t>
  </si>
  <si>
    <t>calcProd1Seg3Payer2SpeakerShareNew</t>
  </si>
  <si>
    <t>calcProd1Seg3Payer2PromotionShareNew</t>
  </si>
  <si>
    <t>calcProd1Seg3Payer2RepCapShareNew</t>
  </si>
  <si>
    <t>calcProd1Seg3Payer2SampleShareR2</t>
  </si>
  <si>
    <t>calcProd1Seg3Payer2SpeakerShareR2</t>
  </si>
  <si>
    <t>calcProd1Seg3Payer2PromotionShareR2</t>
  </si>
  <si>
    <t>calcProd1Seg3Payer2RepCapShareR2</t>
  </si>
  <si>
    <t>calcProd1Seg3Payer3SampleShareNew</t>
  </si>
  <si>
    <t>calcProd1Seg3Payer3SpeakerShareNew</t>
  </si>
  <si>
    <t>calcProd1Seg3Payer3PromotionShareNew</t>
  </si>
  <si>
    <t>calcProd1Seg3Payer3RepCapShareNew</t>
  </si>
  <si>
    <t>calcProd1Seg3Payer3SampleShareR2</t>
  </si>
  <si>
    <t>calcProd1Seg3Payer3SpeakerShareR2</t>
  </si>
  <si>
    <t>calcProd1Seg3Payer3PromotionShareR2</t>
  </si>
  <si>
    <t>calcProd1Seg3Payer3RepCapShareR2</t>
  </si>
  <si>
    <t>Average Bag Weight</t>
  </si>
  <si>
    <t>calcProd1Seg1RepAvgBagWeightR1</t>
  </si>
  <si>
    <t>calcProd1Seg2RepAvgBagWeightR1</t>
  </si>
  <si>
    <t>calcProd1Seg1RepAvgBagWeightR2</t>
  </si>
  <si>
    <t>calcProd1Seg2RepAvgBagWeightR2</t>
  </si>
  <si>
    <t>calcProd1Seg3RepAvgBagWeightR1</t>
  </si>
  <si>
    <t>calcProd1Seg3RepAvgBagWeightR2</t>
  </si>
  <si>
    <t>calcOpEffProd1Seg1BagWeightR1</t>
  </si>
  <si>
    <t>calcOpEffProd1Seg1BagWeightR2</t>
  </si>
  <si>
    <t>calcOpEffProd1Seg2BagWeightR1</t>
  </si>
  <si>
    <t>calcOpEffProd1Seg2BagWeightR2</t>
  </si>
  <si>
    <t>calcOpEffProd1Seg3BagWeightR1</t>
  </si>
  <si>
    <t>calcOpEffProd1Seg3BagWeightR2</t>
  </si>
  <si>
    <t>calcOpEffReg1R1</t>
  </si>
  <si>
    <t>calcOpEffProd1R1</t>
  </si>
  <si>
    <t>calcOpEffProd1R2</t>
  </si>
  <si>
    <t>calcESATProd1R1</t>
  </si>
  <si>
    <t>calcESATProd1R2</t>
  </si>
  <si>
    <t>calcESATReg1R1</t>
  </si>
  <si>
    <t>calcESATReg1R2</t>
  </si>
  <si>
    <t>calcOpEffReg1R2</t>
  </si>
  <si>
    <t>calcReg1Seg1Payer1SampleShareR2</t>
  </si>
  <si>
    <t>calcReg1Seg1Payer1SpeakerShareR2</t>
  </si>
  <si>
    <t>calcReg1Seg1Payer1PromotionShareR2</t>
  </si>
  <si>
    <t>calcReg1Seg1Payer1RepCapShareR2</t>
  </si>
  <si>
    <t>calcReg1Seg1Payer2SampleShareR2</t>
  </si>
  <si>
    <t>calcReg1Seg1Payer2SpeakerShareR2</t>
  </si>
  <si>
    <t>calcReg1Seg1Payer2PromotionShareR2</t>
  </si>
  <si>
    <t>calcReg1Seg1Payer2RepCapShareR2</t>
  </si>
  <si>
    <t>calcReg1Seg1Payer3SampleShareR2</t>
  </si>
  <si>
    <t>calcReg1Seg1Payer3SpeakerShareR2</t>
  </si>
  <si>
    <t>calcReg1Seg1Payer3PromotionShareR2</t>
  </si>
  <si>
    <t>calcReg1Seg1Payer3RepCapShareR2</t>
  </si>
  <si>
    <t>calcReg1Seg2Payer1SampleShareR2</t>
  </si>
  <si>
    <t>calcReg1Seg2Payer1SpeakerShareR2</t>
  </si>
  <si>
    <t>calcReg1Seg2Payer1PromotionShareR2</t>
  </si>
  <si>
    <t>calcReg1Seg2Payer1RepCapShareR2</t>
  </si>
  <si>
    <t>calcReg1Seg2Payer2SampleShareR2</t>
  </si>
  <si>
    <t>calcReg1Seg2Payer2SpeakerShareR2</t>
  </si>
  <si>
    <t>calcReg1Seg2Payer2PromotionShareR2</t>
  </si>
  <si>
    <t>calcReg1Seg2Payer2RepCapShareR2</t>
  </si>
  <si>
    <t>calcReg1Seg2Payer3SampleShareR2</t>
  </si>
  <si>
    <t>calcReg1Seg2Payer3SpeakerShareR2</t>
  </si>
  <si>
    <t>calcReg1Seg2Payer3PromotionShareR2</t>
  </si>
  <si>
    <t>calcReg1Seg2Payer3RepCapShareR2</t>
  </si>
  <si>
    <t>calcReg1Seg3Payer1SampleShareR2</t>
  </si>
  <si>
    <t>calcReg1Seg3Payer1SpeakerShareR2</t>
  </si>
  <si>
    <t>calcReg1Seg3Payer1PromotionShareR2</t>
  </si>
  <si>
    <t>calcReg1Seg3Payer1RepCapShareR2</t>
  </si>
  <si>
    <t>calcReg1Seg3Payer2SampleShareR2</t>
  </si>
  <si>
    <t>calcReg1Seg3Payer2SpeakerShareR2</t>
  </si>
  <si>
    <t>calcReg1Seg3Payer2PromotionShareR2</t>
  </si>
  <si>
    <t>calcReg1Seg3Payer2RepCapShareR2</t>
  </si>
  <si>
    <t>calcReg1Seg3Payer3SampleShareR2</t>
  </si>
  <si>
    <t>calcReg1Seg3Payer3SpeakerShareR2</t>
  </si>
  <si>
    <t>calcReg1Seg3Payer3PromotionShareR2</t>
  </si>
  <si>
    <t>calcReg1Seg3Payer3RepCapShareR2</t>
  </si>
  <si>
    <t>calcProd1Seg1Payer1SampleShareNewR2</t>
  </si>
  <si>
    <t>calcProd1Seg1Payer1SpeakerShareNewR2</t>
  </si>
  <si>
    <t>calcProd1Seg1Payer1PromotionShareNewR2</t>
  </si>
  <si>
    <t>calcProd1Seg1Payer1RepCapShareNewR2</t>
  </si>
  <si>
    <t>calcProd1Seg1Payer2SampleShareNewR2</t>
  </si>
  <si>
    <t>calcProd1Seg1Payer2SpeakerShareNewR2</t>
  </si>
  <si>
    <t>calcProd1Seg1Payer2PromotionShareNewR2</t>
  </si>
  <si>
    <t>calcProd1Seg1Payer2RepCapShareNewR2</t>
  </si>
  <si>
    <t>calcProd1Seg1Payer3SampleShareNewR2</t>
  </si>
  <si>
    <t>calcProd1Seg1Payer3SpeakerShareNewR2</t>
  </si>
  <si>
    <t>calcProd1Seg1Payer3PromotionShareNewR2</t>
  </si>
  <si>
    <t>calcProd1Seg1Payer3RepCapShareNewR2</t>
  </si>
  <si>
    <t>calcProd1Seg2Payer1SampleShareNewR2</t>
  </si>
  <si>
    <t>calcProd1Seg2Payer1SpeakerShareNewR2</t>
  </si>
  <si>
    <t>calcProd1Seg2Payer1PromotionShareNewR2</t>
  </si>
  <si>
    <t>calcProd1Seg2Payer1RepCapShareNewR2</t>
  </si>
  <si>
    <t>calcProd1Seg2Payer2SampleShareNewR2</t>
  </si>
  <si>
    <t>calcProd1Seg2Payer2SpeakerShareNewR2</t>
  </si>
  <si>
    <t>calcProd1Seg2Payer2PromotionShareNewR2</t>
  </si>
  <si>
    <t>calcProd1Seg2Payer2RepCapShareNewR2</t>
  </si>
  <si>
    <t>calcProd1Seg2Payer3SampleShareNewR2</t>
  </si>
  <si>
    <t>calcProd1Seg2Payer3SpeakerShareNewR2</t>
  </si>
  <si>
    <t>calcProd1Seg2Payer3PromotionShareNewR2</t>
  </si>
  <si>
    <t>calcProd1Seg2Payer3RepCapShareNewR2</t>
  </si>
  <si>
    <t>calcProd1Seg3Payer1SampleShareNewR2</t>
  </si>
  <si>
    <t>calcProd1Seg3Payer1SpeakerShareNewR2</t>
  </si>
  <si>
    <t>calcProd1Seg3Payer1PromotionShareNewR2</t>
  </si>
  <si>
    <t>calcProd1Seg3Payer1RepCapShareNewR2</t>
  </si>
  <si>
    <t>calcProd1Seg3Payer2SampleShareNewR2</t>
  </si>
  <si>
    <t>calcProd1Seg3Payer2SpeakerShareNewR2</t>
  </si>
  <si>
    <t>calcProd1Seg3Payer2PromotionShareNewR2</t>
  </si>
  <si>
    <t>calcProd1Seg3Payer2RepCapShareNewR2</t>
  </si>
  <si>
    <t>calcProd1Seg3Payer3SampleShareNewR2</t>
  </si>
  <si>
    <t>calcProd1Seg3Payer3SpeakerShareNewR2</t>
  </si>
  <si>
    <t>calcProd1Seg3Payer3PromotionShareNewR2</t>
  </si>
  <si>
    <t>calcProd1Seg3Payer3RepCapShareNewR2</t>
  </si>
  <si>
    <t>Samples Remaining</t>
  </si>
  <si>
    <t>DB_ArrayDash7Names</t>
  </si>
  <si>
    <t>DB_ArrayDash7Values</t>
  </si>
  <si>
    <t>xxSamplesThreshold_R1</t>
  </si>
  <si>
    <t>xxPromotionThreshold_R1</t>
  </si>
  <si>
    <t>xxSamplesThreshold_R2</t>
  </si>
  <si>
    <t>xxPromotionThreshold_R2</t>
  </si>
  <si>
    <t>Max</t>
  </si>
  <si>
    <t>Reps</t>
  </si>
  <si>
    <t>Resource Allocation</t>
  </si>
  <si>
    <t>Promotional $ Remaining</t>
  </si>
  <si>
    <t>Riverrun Central</t>
  </si>
  <si>
    <t>Dragon Health</t>
  </si>
  <si>
    <t>TRx Growth</t>
  </si>
  <si>
    <t>% of District Budget</t>
  </si>
  <si>
    <t>% of Region Budget</t>
  </si>
  <si>
    <t>Sales Representatives</t>
  </si>
  <si>
    <t>Vibrant</t>
  </si>
  <si>
    <t>Pristine</t>
  </si>
  <si>
    <t>T1</t>
  </si>
  <si>
    <t>T2 DGSE</t>
  </si>
  <si>
    <t>T3 SGSE</t>
  </si>
  <si>
    <t>T1 NR</t>
  </si>
  <si>
    <t>Payer</t>
  </si>
  <si>
    <t>All Numbers Annualized</t>
  </si>
  <si>
    <t>Rep Time</t>
  </si>
  <si>
    <t>obalProd1Seg1Rep1InternalTime</t>
  </si>
  <si>
    <t>obalProd1Seg1Rep2InternalTime</t>
  </si>
  <si>
    <t>obalProd1Seg1Rep3InternalTime</t>
  </si>
  <si>
    <t>obalProd1Seg2Rep1InternalTime</t>
  </si>
  <si>
    <t>obalProd1Seg2Rep2InternalTime</t>
  </si>
  <si>
    <t>obalProd1Seg2Rep3InternalTime</t>
  </si>
  <si>
    <t>obalProd1Seg3Rep1InternalTime</t>
  </si>
  <si>
    <t>obalProd1Seg3Rep2InternalTime</t>
  </si>
  <si>
    <t>obalProd1Seg3Rep3InternalTime</t>
  </si>
  <si>
    <t>Internal Rep Time</t>
  </si>
  <si>
    <t>Training</t>
  </si>
  <si>
    <t>calcProd1Seg1Rep1InternalTimeR1</t>
  </si>
  <si>
    <t>calcProd1Seg1Rep1InternalTimeR2</t>
  </si>
  <si>
    <t>calcProd1Seg1Rep2InternalTimeR1</t>
  </si>
  <si>
    <t>calcProd1Seg1Rep2InternalTimeR2</t>
  </si>
  <si>
    <t>calcProd1Seg1Rep3InternalTimeR1</t>
  </si>
  <si>
    <t>calcProd1Seg1Rep3InternalTimeR2</t>
  </si>
  <si>
    <t>calcProd1Seg2Rep1InternalTimeR1</t>
  </si>
  <si>
    <t>calcProd1Seg2Rep1InternalTimeR2</t>
  </si>
  <si>
    <t>calcProd1Seg2Rep2InternalTimeR1</t>
  </si>
  <si>
    <t>calcProd1Seg2Rep2InternalTimeR2</t>
  </si>
  <si>
    <t>calcProd1Seg2Rep3InternalTimeR1</t>
  </si>
  <si>
    <t>calcProd1Seg2Rep3InternalTimeR2</t>
  </si>
  <si>
    <t>calcProd1Seg3Rep1InternalTimeR1</t>
  </si>
  <si>
    <t>calcProd1Seg3Rep1InternalTimeR2</t>
  </si>
  <si>
    <t>calcProd1Seg3Rep2InternalTimeR1</t>
  </si>
  <si>
    <t>calcProd1Seg3Rep2InternalTimeR2</t>
  </si>
  <si>
    <t>calcProd1Seg3Rep3InternalTimeR1</t>
  </si>
  <si>
    <t>calcProd1Seg3Rep3InternalTimeR2</t>
  </si>
  <si>
    <t>cbalProd1Seg1Rep1InternalTime</t>
  </si>
  <si>
    <t>cbalProd1Seg1Rep2InternalTime</t>
  </si>
  <si>
    <t>cbalProd1Seg1Rep3InternalTime</t>
  </si>
  <si>
    <t>cbalProd1Seg2Rep1InternalTime</t>
  </si>
  <si>
    <t>cbalProd1Seg2Rep2InternalTime</t>
  </si>
  <si>
    <t>cbalProd1Seg2Rep3InternalTime</t>
  </si>
  <si>
    <t>cbalProd1Seg3Rep1InternalTime</t>
  </si>
  <si>
    <t>cbalProd1Seg3Rep2InternalTime</t>
  </si>
  <si>
    <t>cbalProd1Seg3Rep3InternalTime</t>
  </si>
  <si>
    <t>obalReg1Seg1RepInternalTime</t>
  </si>
  <si>
    <t>obalReg1Seg2RepInternalTime</t>
  </si>
  <si>
    <t>obalReg1Seg3RepInternalTime</t>
  </si>
  <si>
    <t>cbalReg1Seg1RepInternalTime</t>
  </si>
  <si>
    <t>cbalReg1Seg2RepInternalTime</t>
  </si>
  <si>
    <t>cbalReg1Seg3RepInternalTime</t>
  </si>
  <si>
    <t>calcReg1Seg1Rep1InternalTimeR1</t>
  </si>
  <si>
    <t>calcReg1Seg1Rep1InternalTimeR2</t>
  </si>
  <si>
    <t>calcReg1Seg2Rep1InternalTimeR1</t>
  </si>
  <si>
    <t>calcReg1Seg2Rep1InternalTimeR2</t>
  </si>
  <si>
    <t>calcReg1Seg3Rep1InternalTimeR1</t>
  </si>
  <si>
    <t>calcReg1Seg3Rep1InternalTimeR2</t>
  </si>
  <si>
    <t>Peer-to-Peer</t>
  </si>
  <si>
    <t>dataTierVolumeImpact</t>
  </si>
  <si>
    <t>Tier</t>
  </si>
  <si>
    <t>calcprod1Seg1Payer1TierImpactR1</t>
  </si>
  <si>
    <t>calcprod1Seg1Payer1TierImpactR2</t>
  </si>
  <si>
    <t>calcprod1Seg1Payer2TierImpactR1</t>
  </si>
  <si>
    <t>calcprod1Seg1Payer2TierImpactR2</t>
  </si>
  <si>
    <t>calcprod1Seg1Payer3TierImpactR1</t>
  </si>
  <si>
    <t>calcprod1Seg1Payer3TierImpactR2</t>
  </si>
  <si>
    <t>calcprod1Seg2Payer1TierImpactR1</t>
  </si>
  <si>
    <t>calcprod1Seg2Payer1TierImpactR2</t>
  </si>
  <si>
    <t>calcprod1Seg2Payer2TierImpactR1</t>
  </si>
  <si>
    <t>calcprod1Seg2Payer2TierImpactR2</t>
  </si>
  <si>
    <t>calcprod1Seg2Payer3TierImpactR1</t>
  </si>
  <si>
    <t>calcprod1Seg2Payer3TierImpactR2</t>
  </si>
  <si>
    <t>calcprod1Seg3Payer1TierImpactR1</t>
  </si>
  <si>
    <t>calcprod1Seg3Payer1TierImpactR2</t>
  </si>
  <si>
    <t>calcprod1Seg3Payer2TierImpactR1</t>
  </si>
  <si>
    <t>calcprod1Seg3Payer2TierImpactR2</t>
  </si>
  <si>
    <t>calcprod1Seg3Payer3TierImpactR1</t>
  </si>
  <si>
    <t>calcprod1Seg3Payer3TierImpactR2</t>
  </si>
  <si>
    <t>calcReg1Seg1Payer1TierImpactR1</t>
  </si>
  <si>
    <t>calcReg1Seg1Payer1SampleShare</t>
  </si>
  <si>
    <t>calcReg1Seg1Payer1SpeakerShare</t>
  </si>
  <si>
    <t>calcReg1Seg1Payer1PromotionShare</t>
  </si>
  <si>
    <t>calcReg1Seg1Payer1RepCapShare</t>
  </si>
  <si>
    <t>calcReg1Seg1Payer1SampleShareNew</t>
  </si>
  <si>
    <t>calcReg1Seg1Payer1SpeakerShareNew</t>
  </si>
  <si>
    <t>calcReg1Seg1Payer1PromotionShareNew</t>
  </si>
  <si>
    <t>calcReg1Seg1Payer1RepCapShareNew</t>
  </si>
  <si>
    <t>calcReg1Seg1Payer1TierImpactR2</t>
  </si>
  <si>
    <t>calcReg1Seg1Payer1SampleShareNewR2</t>
  </si>
  <si>
    <t>calcReg1Seg1Payer1SpeakerShareNewR2</t>
  </si>
  <si>
    <t>calcReg1Seg1Payer1PromotionShareNewR2</t>
  </si>
  <si>
    <t>calcReg1Seg1Payer1RepCapShareNewR2</t>
  </si>
  <si>
    <t>calcReg1Seg1Payer2TierImpactR1</t>
  </si>
  <si>
    <t>calcReg1Seg1Payer2SampleShare</t>
  </si>
  <si>
    <t>calcReg1Seg1Payer2SpeakerShare</t>
  </si>
  <si>
    <t>calcReg1Seg1Payer2PromotionShare</t>
  </si>
  <si>
    <t>calcReg1Seg1Payer2RepCapShare</t>
  </si>
  <si>
    <t>calcReg1Seg1Payer2SampleShareNew</t>
  </si>
  <si>
    <t>calcReg1Seg1Payer2SpeakerShareNew</t>
  </si>
  <si>
    <t>calcReg1Seg1Payer2PromotionShareNew</t>
  </si>
  <si>
    <t>calcReg1Seg1Payer2RepCapShareNew</t>
  </si>
  <si>
    <t>calcReg1Seg1Payer2TierImpactR2</t>
  </si>
  <si>
    <t>calcReg1Seg1Payer2SampleShareNewR2</t>
  </si>
  <si>
    <t>calcReg1Seg1Payer2SpeakerShareNewR2</t>
  </si>
  <si>
    <t>calcReg1Seg1Payer2PromotionShareNewR2</t>
  </si>
  <si>
    <t>calcReg1Seg1Payer2RepCapShareNewR2</t>
  </si>
  <si>
    <t>calcReg1Seg1Payer3TierImpactR1</t>
  </si>
  <si>
    <t>calcReg1Seg1Payer3SampleShare</t>
  </si>
  <si>
    <t>calcReg1Seg1Payer3SpeakerShare</t>
  </si>
  <si>
    <t>calcReg1Seg1Payer3PromotionShare</t>
  </si>
  <si>
    <t>calcReg1Seg1Payer3RepCapShare</t>
  </si>
  <si>
    <t>calcReg1Seg1Payer3SampleShareNew</t>
  </si>
  <si>
    <t>calcReg1Seg1Payer3SpeakerShareNew</t>
  </si>
  <si>
    <t>calcReg1Seg1Payer3PromotionShareNew</t>
  </si>
  <si>
    <t>calcReg1Seg1Payer3RepCapShareNew</t>
  </si>
  <si>
    <t>calcReg1Seg1Payer3TierImpactR2</t>
  </si>
  <si>
    <t>calcReg1Seg1Payer3SampleShareNewR2</t>
  </si>
  <si>
    <t>calcReg1Seg1Payer3SpeakerShareNewR2</t>
  </si>
  <si>
    <t>calcReg1Seg1Payer3PromotionShareNewR2</t>
  </si>
  <si>
    <t>calcReg1Seg1Payer3RepCapShareNewR2</t>
  </si>
  <si>
    <t>calcReg1Seg2Payer1TierImpactR1</t>
  </si>
  <si>
    <t>calcReg1Seg2Payer1SampleShare</t>
  </si>
  <si>
    <t>calcReg1Seg2Payer1SpeakerShare</t>
  </si>
  <si>
    <t>calcReg1Seg2Payer1PromotionShare</t>
  </si>
  <si>
    <t>calcReg1Seg2Payer1RepCapShare</t>
  </si>
  <si>
    <t>calcReg1Seg2Payer1SampleShareNew</t>
  </si>
  <si>
    <t>calcReg1Seg2Payer1SpeakerShareNew</t>
  </si>
  <si>
    <t>calcReg1Seg2Payer1PromotionShareNew</t>
  </si>
  <si>
    <t>calcReg1Seg2Payer1RepCapShareNew</t>
  </si>
  <si>
    <t>calcReg1Seg2Payer1TierImpactR2</t>
  </si>
  <si>
    <t>calcReg1Seg2Payer1SampleShareNewR2</t>
  </si>
  <si>
    <t>calcReg1Seg2Payer1SpeakerShareNewR2</t>
  </si>
  <si>
    <t>calcReg1Seg2Payer1PromotionShareNewR2</t>
  </si>
  <si>
    <t>calcReg1Seg2Payer1RepCapShareNewR2</t>
  </si>
  <si>
    <t>calcReg1Seg2Payer2TierImpactR1</t>
  </si>
  <si>
    <t>calcReg1Seg2Payer2SampleShare</t>
  </si>
  <si>
    <t>calcReg1Seg2Payer2SpeakerShare</t>
  </si>
  <si>
    <t>calcReg1Seg2Payer2PromotionShare</t>
  </si>
  <si>
    <t>calcReg1Seg2Payer2RepCapShare</t>
  </si>
  <si>
    <t>calcReg1Seg2Payer2SampleShareNew</t>
  </si>
  <si>
    <t>calcReg1Seg2Payer2SpeakerShareNew</t>
  </si>
  <si>
    <t>calcReg1Seg2Payer2PromotionShareNew</t>
  </si>
  <si>
    <t>calcReg1Seg2Payer2RepCapShareNew</t>
  </si>
  <si>
    <t>calcReg1Seg2Payer2TierImpactR2</t>
  </si>
  <si>
    <t>calcReg1Seg2Payer2SampleShareNewR2</t>
  </si>
  <si>
    <t>calcReg1Seg2Payer2SpeakerShareNewR2</t>
  </si>
  <si>
    <t>calcReg1Seg2Payer2PromotionShareNewR2</t>
  </si>
  <si>
    <t>calcReg1Seg2Payer2RepCapShareNewR2</t>
  </si>
  <si>
    <t>calcReg1Seg2Payer3TierImpactR1</t>
  </si>
  <si>
    <t>calcReg1Seg2Payer3SampleShare</t>
  </si>
  <si>
    <t>calcReg1Seg2Payer3SpeakerShare</t>
  </si>
  <si>
    <t>calcReg1Seg2Payer3PromotionShare</t>
  </si>
  <si>
    <t>calcReg1Seg2Payer3RepCapShare</t>
  </si>
  <si>
    <t>calcReg1Seg2Payer3SampleShareNew</t>
  </si>
  <si>
    <t>calcReg1Seg2Payer3SpeakerShareNew</t>
  </si>
  <si>
    <t>calcReg1Seg2Payer3PromotionShareNew</t>
  </si>
  <si>
    <t>calcReg1Seg2Payer3RepCapShareNew</t>
  </si>
  <si>
    <t>calcReg1Seg2Payer3TierImpactR2</t>
  </si>
  <si>
    <t>calcReg1Seg2Payer3SampleShareNewR2</t>
  </si>
  <si>
    <t>calcReg1Seg2Payer3SpeakerShareNewR2</t>
  </si>
  <si>
    <t>calcReg1Seg2Payer3PromotionShareNewR2</t>
  </si>
  <si>
    <t>calcReg1Seg2Payer3RepCapShareNewR2</t>
  </si>
  <si>
    <t>calcReg1Seg3Payer1TierImpactR1</t>
  </si>
  <si>
    <t>calcReg1Seg3Payer1SampleShare</t>
  </si>
  <si>
    <t>calcReg1Seg3Payer1SpeakerShare</t>
  </si>
  <si>
    <t>calcReg1Seg3Payer1PromotionShare</t>
  </si>
  <si>
    <t>calcReg1Seg3Payer1RepCapShare</t>
  </si>
  <si>
    <t>calcReg1Seg3Payer1SampleShareNew</t>
  </si>
  <si>
    <t>calcReg1Seg3Payer1SpeakerShareNew</t>
  </si>
  <si>
    <t>calcReg1Seg3Payer1PromotionShareNew</t>
  </si>
  <si>
    <t>calcReg1Seg3Payer1RepCapShareNew</t>
  </si>
  <si>
    <t>calcReg1Seg3Payer1TierImpactR2</t>
  </si>
  <si>
    <t>calcReg1Seg3Payer1SampleShareNewR2</t>
  </si>
  <si>
    <t>calcReg1Seg3Payer1SpeakerShareNewR2</t>
  </si>
  <si>
    <t>calcReg1Seg3Payer1PromotionShareNewR2</t>
  </si>
  <si>
    <t>calcReg1Seg3Payer1RepCapShareNewR2</t>
  </si>
  <si>
    <t>calcReg1Seg3Payer2TierImpactR1</t>
  </si>
  <si>
    <t>calcReg1Seg3Payer2SampleShare</t>
  </si>
  <si>
    <t>calcReg1Seg3Payer2SpeakerShare</t>
  </si>
  <si>
    <t>calcReg1Seg3Payer2PromotionShare</t>
  </si>
  <si>
    <t>calcReg1Seg3Payer2RepCapShare</t>
  </si>
  <si>
    <t>calcReg1Seg3Payer2SampleShareNew</t>
  </si>
  <si>
    <t>calcReg1Seg3Payer2SpeakerShareNew</t>
  </si>
  <si>
    <t>calcReg1Seg3Payer2PromotionShareNew</t>
  </si>
  <si>
    <t>calcReg1Seg3Payer2RepCapShareNew</t>
  </si>
  <si>
    <t>calcReg1Seg3Payer2TierImpactR2</t>
  </si>
  <si>
    <t>calcReg1Seg3Payer2SampleShareNewR2</t>
  </si>
  <si>
    <t>calcReg1Seg3Payer2SpeakerShareNewR2</t>
  </si>
  <si>
    <t>calcReg1Seg3Payer2PromotionShareNewR2</t>
  </si>
  <si>
    <t>calcReg1Seg3Payer2RepCapShareNewR2</t>
  </si>
  <si>
    <t>calcReg1Seg3Payer3TierImpactR1</t>
  </si>
  <si>
    <t>calcReg1Seg3Payer3SampleShare</t>
  </si>
  <si>
    <t>calcReg1Seg3Payer3SpeakerShare</t>
  </si>
  <si>
    <t>calcReg1Seg3Payer3PromotionShare</t>
  </si>
  <si>
    <t>calcReg1Seg3Payer3RepCapShare</t>
  </si>
  <si>
    <t>calcReg1Seg3Payer3SampleShareNew</t>
  </si>
  <si>
    <t>calcReg1Seg3Payer3SpeakerShareNew</t>
  </si>
  <si>
    <t>calcReg1Seg3Payer3PromotionShareNew</t>
  </si>
  <si>
    <t>calcReg1Seg3Payer3RepCapShareNew</t>
  </si>
  <si>
    <t>calcReg1Seg3Payer3TierImpactR2</t>
  </si>
  <si>
    <t>calcReg1Seg3Payer3SampleShareNewR2</t>
  </si>
  <si>
    <t>calcReg1Seg3Payer3SpeakerShareNewR2</t>
  </si>
  <si>
    <t>calcReg1Seg3Payer3PromotionShareNewR2</t>
  </si>
  <si>
    <t>calcReg1Seg3Payer3RepCapShareNewR2</t>
  </si>
  <si>
    <t>obalReg1Seg1Rep1Cap</t>
  </si>
  <si>
    <t>obalReg1Seg2Rep1Cap</t>
  </si>
  <si>
    <t>obalReg1Seg3Rep1Cap</t>
  </si>
  <si>
    <t>cbalReg1Seg1Rep1Cap</t>
  </si>
  <si>
    <t>cbalReg1Seg2Rep1Cap</t>
  </si>
  <si>
    <t>cbalReg1Seg3Rep1Cap</t>
  </si>
  <si>
    <t>calcReg1Seg1Rep1CapR1</t>
  </si>
  <si>
    <t>calcReg1Seg1Rep1CapR2</t>
  </si>
  <si>
    <t>calcReg1Seg2Rep1CapR1</t>
  </si>
  <si>
    <t>calcReg1Seg2Rep1CapR2</t>
  </si>
  <si>
    <t>calcReg1Seg3Rep1CapR1</t>
  </si>
  <si>
    <t>calcReg1Seg3Rep1CapR2</t>
  </si>
  <si>
    <t>calcReg1Seg1Rep1ImpactR1</t>
  </si>
  <si>
    <t>calcReg1Seg1Rep1Payer1ImpactR1</t>
  </si>
  <si>
    <t>calcReg1Seg1Rep1Payer2ImpactR1</t>
  </si>
  <si>
    <t>calcReg1Seg1Rep1Payer3ImpactR1</t>
  </si>
  <si>
    <t>Impact on Share</t>
  </si>
  <si>
    <t>calcReg1Seg1Rep1ImpactR2</t>
  </si>
  <si>
    <t>calcReg1Seg1Rep1Payer2ImpactR2</t>
  </si>
  <si>
    <t>calcReg1Seg1Rep1Payer3ImpactR2</t>
  </si>
  <si>
    <t>calcReg1Seg2Rep1ImpactR1</t>
  </si>
  <si>
    <t>calcReg1Seg2Rep1Payer1ImpactR1</t>
  </si>
  <si>
    <t>calcReg1Seg2Rep1Payer2ImpactR1</t>
  </si>
  <si>
    <t>calcReg1Seg2Rep1Payer3ImpactR1</t>
  </si>
  <si>
    <t>calcReg1Seg2Rep1ImpactR2</t>
  </si>
  <si>
    <t>calcReg1Seg2Rep1Payer2ImpactR2</t>
  </si>
  <si>
    <t>calcReg1Seg2Rep1Payer3ImpactR2</t>
  </si>
  <si>
    <t>calcReg1Seg3Rep1ImpactR1</t>
  </si>
  <si>
    <t>calcReg1Seg3Rep1Payer1ImpactR1</t>
  </si>
  <si>
    <t>calcReg1Seg3Rep1Payer2ImpactR1</t>
  </si>
  <si>
    <t>calcReg1Seg3Rep1Payer3ImpactR1</t>
  </si>
  <si>
    <t>calcReg1Seg3Rep1ImpactR2</t>
  </si>
  <si>
    <t>calcReg1Seg3Rep1Payer2ImpactR2</t>
  </si>
  <si>
    <t>calcReg1Seg3Rep1Payer3ImpactR2</t>
  </si>
  <si>
    <t>calcReg1Seg1Rep1Payer1ImpactR2</t>
  </si>
  <si>
    <t>calcReg1Seg2Rep1Payer1ImpactR2</t>
  </si>
  <si>
    <t>calcReg1Seg3Rep1Payer1ImpactR2</t>
  </si>
  <si>
    <t>Resourcing for Results</t>
  </si>
  <si>
    <t>Data to Export</t>
  </si>
  <si>
    <t>decInputProd1Seg1Rep1Coaching_R1</t>
  </si>
  <si>
    <t>decInputProd1Seg1Therapy1Rep1Weight_R1</t>
  </si>
  <si>
    <t>decInputProd1Seg1Rep1Coaching_R2</t>
  </si>
  <si>
    <t>decInputProd1Seg1Therapy1Rep1Weight_R2</t>
  </si>
  <si>
    <t>decInputProd1Seg2Rep1Coaching_R1</t>
  </si>
  <si>
    <t>decInputProd1Seg2Therapy1Rep1Weight_R1</t>
  </si>
  <si>
    <t>decInputProd1Seg2Rep1Coaching_R2</t>
  </si>
  <si>
    <t>decInputProd1Seg2Therapy1Rep1Weight_R2</t>
  </si>
  <si>
    <t>decInputProd1Seg3Rep1Coaching_R1</t>
  </si>
  <si>
    <t>decInputProd1Seg3Therapy1Rep1Weight_R1</t>
  </si>
  <si>
    <t>decInputProd1Seg3Rep1Coaching_R2</t>
  </si>
  <si>
    <t>decInputProd1Seg3Therapy1Rep1Weight_R2</t>
  </si>
  <si>
    <t>decInputReg1Seg1Rep1Coaching_R1</t>
  </si>
  <si>
    <t>decInputReg1Seg1Rep1Coaching_R2</t>
  </si>
  <si>
    <t>decInputReg1Seg2Rep1Coaching_R1</t>
  </si>
  <si>
    <t>decInputReg1Seg2Rep1Coaching_R2</t>
  </si>
  <si>
    <t>decInputReg1Seg3Rep1Coaching_R1</t>
  </si>
  <si>
    <t>decInputReg1Seg3Rep1Coaching_R2</t>
  </si>
  <si>
    <t>decInputProd1Seg1Rep2Coaching_R1</t>
  </si>
  <si>
    <t>decInputProd1Seg1Therapy1Rep2Weight_R1</t>
  </si>
  <si>
    <t>decInputProd1Seg1Rep2Coaching_R2</t>
  </si>
  <si>
    <t>decInputProd1Seg1Therapy1Rep2Weight_R2</t>
  </si>
  <si>
    <t>decInputProd1Seg2Rep2Coaching_R1</t>
  </si>
  <si>
    <t>decInputProd1Seg2Therapy1Rep2Weight_R1</t>
  </si>
  <si>
    <t>decInputProd1Seg2Rep2Coaching_R2</t>
  </si>
  <si>
    <t>decInputProd1Seg2Therapy1Rep2Weight_R2</t>
  </si>
  <si>
    <t>decInputProd1Seg3Rep2Coaching_R1</t>
  </si>
  <si>
    <t>decInputProd1Seg3Therapy1Rep2Weight_R1</t>
  </si>
  <si>
    <t>decInputProd1Seg3Rep2Coaching_R2</t>
  </si>
  <si>
    <t>decInputProd1Seg3Therapy1Rep2Weight_R2</t>
  </si>
  <si>
    <t>decInputProd1Seg1Rep3Coaching_R1</t>
  </si>
  <si>
    <t>decInputProd1Seg1Therapy1Rep3Weight_R1</t>
  </si>
  <si>
    <t>decInputProd1Seg1Rep3Coaching_R2</t>
  </si>
  <si>
    <t>decInputProd1Seg1Therapy1Rep3Weight_R2</t>
  </si>
  <si>
    <t>decInputProd1Seg2Rep3Coaching_R1</t>
  </si>
  <si>
    <t>decInputProd1Seg2Therapy1Rep3Weight_R1</t>
  </si>
  <si>
    <t>decInputProd1Seg2Rep3Coaching_R2</t>
  </si>
  <si>
    <t>decInputProd1Seg2Therapy1Rep3Weight_R2</t>
  </si>
  <si>
    <t>decInputProd1Seg3Rep3Coaching_R1</t>
  </si>
  <si>
    <t>decInputProd1Seg3Therapy1Rep3Weight_R1</t>
  </si>
  <si>
    <t>decInputProd1Seg3Rep3Coaching_R2</t>
  </si>
  <si>
    <t>decInputProd1Seg3Therapy1Rep3Weight_R2</t>
  </si>
  <si>
    <t>cbalInputProd1Seg1Therapy1Rep2Weight_R1</t>
  </si>
  <si>
    <t>cbalInputProd1Seg1Therapy1Rep2Weight_R2</t>
  </si>
  <si>
    <t>cbalInputProd1Seg2Therapy1Rep2Weight_R1</t>
  </si>
  <si>
    <t>cbalInputProd1Seg2Therapy1Rep2Weight_R2</t>
  </si>
  <si>
    <t>cbalInputProd1Seg3Therapy1Rep2Weight_R1</t>
  </si>
  <si>
    <t>cbalInputProd1Seg3Therapy1Rep2Weight_R2</t>
  </si>
  <si>
    <t>cbalInputProd1Seg1Therapy1Rep1Weight_R1</t>
  </si>
  <si>
    <t>cbalInputProd1Seg1Therapy1Rep1Weight_R2</t>
  </si>
  <si>
    <t>cbalInputProd1Seg2Therapy1Rep1Weight_R1</t>
  </si>
  <si>
    <t>cbalInputProd1Seg2Therapy1Rep1Weight_R2</t>
  </si>
  <si>
    <t>cbalInputProd1Seg3Therapy1Rep1Weight_R1</t>
  </si>
  <si>
    <t>cbalInputProd1Seg3Therapy1Rep1Weight_R2</t>
  </si>
  <si>
    <t>cbalInputProd1Seg1Therapy1Rep3Weight_R1</t>
  </si>
  <si>
    <t>cbalInputProd1Seg1Therapy1Rep3Weight_R2</t>
  </si>
  <si>
    <t>cbalInputProd1Seg2Therapy1Rep3Weight_R1</t>
  </si>
  <si>
    <t>cbalInputProd1Seg2Therapy1Rep3Weight_R2</t>
  </si>
  <si>
    <t>cbalInputProd1Seg3Therapy1Rep3Weight_R1</t>
  </si>
  <si>
    <t>cbalInputProd1Seg3Therapy1Rep3Weight_R2</t>
  </si>
  <si>
    <t>obalInputProd1Seg1Therapy1Rep3Weight_R1</t>
  </si>
  <si>
    <t>obalInputProd1Seg1Therapy1Rep3Weight_R2</t>
  </si>
  <si>
    <t>obalInputProd1Seg2Therapy1Rep3Weight_R1</t>
  </si>
  <si>
    <t>obalInputProd1Seg2Therapy1Rep3Weight_R2</t>
  </si>
  <si>
    <t>obalInputProd1Seg3Therapy1Rep3Weight_R1</t>
  </si>
  <si>
    <t>obalInputProd1Seg3Therapy1Rep3Weight_R2</t>
  </si>
  <si>
    <t>obalInputProd1Seg1Therapy1Rep2Weight_R1</t>
  </si>
  <si>
    <t>obalInputProd1Seg1Therapy1Rep2Weight_R2</t>
  </si>
  <si>
    <t>obalInputProd1Seg2Therapy1Rep2Weight_R1</t>
  </si>
  <si>
    <t>obalInputProd1Seg2Therapy1Rep2Weight_R2</t>
  </si>
  <si>
    <t>obalInputProd1Seg3Therapy1Rep2Weight_R1</t>
  </si>
  <si>
    <t>obalInputProd1Seg3Therapy1Rep2Weight_R2</t>
  </si>
  <si>
    <t>obalInputProd1Seg1Therapy1Rep1Weight_R1</t>
  </si>
  <si>
    <t>obalInputProd1Seg1Therapy1Rep1Weight_R2</t>
  </si>
  <si>
    <t>obalInputProd1Seg2Therapy1Rep1Weight_R1</t>
  </si>
  <si>
    <t>obalInputProd1Seg2Therapy1Rep1Weight_R2</t>
  </si>
  <si>
    <t>obalInputProd1Seg3Therapy1Rep1Weight_R1</t>
  </si>
  <si>
    <t>obalInputProd1Seg3Therapy1Rep1Weight_R2</t>
  </si>
  <si>
    <t>Use of Speakers</t>
  </si>
  <si>
    <t>Speaker Spend</t>
  </si>
  <si>
    <t>calcProd1SpeakerProportionR1</t>
  </si>
  <si>
    <t>calcProd1SpeakerProportionR2</t>
  </si>
  <si>
    <t>calcReg1SpeakerProportionR1</t>
  </si>
  <si>
    <t>calcReg1SpeakerProportionR2</t>
  </si>
  <si>
    <t>dataCoachingFTEsReg1</t>
  </si>
  <si>
    <t>T3 DSE</t>
  </si>
  <si>
    <t>Tier Status Change</t>
  </si>
  <si>
    <t>calcPayer1TierStatus</t>
  </si>
  <si>
    <t>The Region</t>
  </si>
  <si>
    <t>T3 DGSE</t>
  </si>
  <si>
    <t>T2 SGSE</t>
  </si>
  <si>
    <t>dataTierImpactList</t>
  </si>
  <si>
    <t>calcProd1Payer1TierOrientationR1</t>
  </si>
  <si>
    <t>calcProd1Payer1TierOrientationR2</t>
  </si>
  <si>
    <t>calcProd1Payer2TierOrientationR1</t>
  </si>
  <si>
    <t>calcProd1Payer2TierOrientationR2</t>
  </si>
  <si>
    <t>calcProd1Payer3TierOrientationR1</t>
  </si>
  <si>
    <t>calcProd1Payer3TierOrientationR2</t>
  </si>
  <si>
    <t>Tier Status Impacts</t>
  </si>
  <si>
    <t>calcReg1Payer1TierOrientationR1</t>
  </si>
  <si>
    <t>calcReg1Payer1TierOrientationR2</t>
  </si>
  <si>
    <t>calcReg1Payer2TierOrientationR1</t>
  </si>
  <si>
    <t>calcReg1Payer2TierOrientationR2</t>
  </si>
  <si>
    <t>calcReg1Payer3TierOrientationR1</t>
  </si>
  <si>
    <t>calcReg1Payer3TierOrientationR2</t>
  </si>
  <si>
    <t>Tier Impacts</t>
  </si>
  <si>
    <t>Regional Training Costs</t>
  </si>
  <si>
    <t>dataProd1RegTrainCost</t>
  </si>
  <si>
    <t>dataReg1RegTrainCost</t>
  </si>
  <si>
    <t>Internal Training Costs</t>
  </si>
  <si>
    <t>Reg Training</t>
  </si>
  <si>
    <t>calcProd1Seg1RegTrainCostR1</t>
  </si>
  <si>
    <t>calcProd1Seg2RegTrainCostR1</t>
  </si>
  <si>
    <t>calcProd1Seg3RegTrainCostR1</t>
  </si>
  <si>
    <t>calcProd1Seg1RegTrainCostR2</t>
  </si>
  <si>
    <t>calcProd1Seg2RegTrainCostR2</t>
  </si>
  <si>
    <t>calcProd1Seg3RegTrainCostR2</t>
  </si>
  <si>
    <t>calcReg1Seg1RegTrainCostR1</t>
  </si>
  <si>
    <t>calcReg1Seg2RegTrainCostR1</t>
  </si>
  <si>
    <t>calcReg1Seg3RegTrainCostR1</t>
  </si>
  <si>
    <t>calcReg1Seg1RegTrainCostR2</t>
  </si>
  <si>
    <t>calcReg1Seg2RegTrainCostR2</t>
  </si>
  <si>
    <t>calcReg1Seg3RegTrainCostR2</t>
  </si>
  <si>
    <t>dataComp1Impact</t>
  </si>
  <si>
    <t>dataComp2Impact</t>
  </si>
  <si>
    <t>Competitor Share Changes</t>
  </si>
  <si>
    <t>Share Won</t>
  </si>
  <si>
    <t>Share Lost</t>
  </si>
  <si>
    <t>calcProd1Seg1Payer1TotalShareChangeR1</t>
  </si>
  <si>
    <t>calcProd1Seg1Comp1Payer1ShareWonR1</t>
  </si>
  <si>
    <t>calcProd1Seg1Comp1Payer1ShareLostR1</t>
  </si>
  <si>
    <t>calcProd1Seg1Comp2Payer1ShareWonR1</t>
  </si>
  <si>
    <t>calcProd1Seg1Comp2Payer1ShareLostR1</t>
  </si>
  <si>
    <t>calcProd1Seg1Payer1TotalShareChangeR2</t>
  </si>
  <si>
    <t>calcProd1Seg1Comp1Payer1ShareWonR2</t>
  </si>
  <si>
    <t>calcProd1Seg1Comp1Payer1ShareLostR2</t>
  </si>
  <si>
    <t>calcProd1Seg1Comp2Payer1ShareWonR2</t>
  </si>
  <si>
    <t>calcProd1Seg1Comp2Payer1ShareLostR2</t>
  </si>
  <si>
    <t>calcProd1Seg1Payer2TotalShareChangeR1</t>
  </si>
  <si>
    <t>calcProd1Seg1Comp1Payer2ShareWonR1</t>
  </si>
  <si>
    <t>calcProd1Seg1Comp1Payer2ShareLostR1</t>
  </si>
  <si>
    <t>calcProd1Seg1Comp2Payer2ShareWonR1</t>
  </si>
  <si>
    <t>calcProd1Seg1Comp2Payer2ShareLostR1</t>
  </si>
  <si>
    <t>calcProd1Seg1Payer2TotalShareChangeR2</t>
  </si>
  <si>
    <t>calcProd1Seg1Comp1Payer2ShareWonR2</t>
  </si>
  <si>
    <t>calcProd1Seg1Comp1Payer2ShareLostR2</t>
  </si>
  <si>
    <t>calcProd1Seg1Comp2Payer2ShareWonR2</t>
  </si>
  <si>
    <t>calcProd1Seg1Comp2Payer2ShareLostR2</t>
  </si>
  <si>
    <t>calcProd1Seg1Payer3TotalShareChangeR1</t>
  </si>
  <si>
    <t>calcProd1Seg1Comp1Payer3ShareWonR1</t>
  </si>
  <si>
    <t>calcProd1Seg1Comp1Payer3ShareLostR1</t>
  </si>
  <si>
    <t>calcProd1Seg1Comp2Payer3ShareWonR1</t>
  </si>
  <si>
    <t>calcProd1Seg1Comp2Payer3ShareLostR1</t>
  </si>
  <si>
    <t>calcProd1Seg1Payer3TotalShareChangeR2</t>
  </si>
  <si>
    <t>calcProd1Seg1Comp1Payer3ShareWonR2</t>
  </si>
  <si>
    <t>calcProd1Seg1Comp1Payer3ShareLostR2</t>
  </si>
  <si>
    <t>calcProd1Seg1Comp2Payer3ShareWonR2</t>
  </si>
  <si>
    <t>calcProd1Seg1Comp2Payer3ShareLostR2</t>
  </si>
  <si>
    <t>calcProd1Seg2Payer1TotalShareChangeR1</t>
  </si>
  <si>
    <t>calcProd1Seg2Comp1Payer1ShareWonR1</t>
  </si>
  <si>
    <t>calcProd1Seg2Comp1Payer1ShareLostR1</t>
  </si>
  <si>
    <t>calcProd1Seg2Comp2Payer1ShareWonR1</t>
  </si>
  <si>
    <t>calcProd1Seg2Comp2Payer1ShareLostR1</t>
  </si>
  <si>
    <t>calcProd1Seg2Payer1TotalShareChangeR2</t>
  </si>
  <si>
    <t>calcProd1Seg2Comp1Payer1ShareWonR2</t>
  </si>
  <si>
    <t>calcProd1Seg2Comp1Payer1ShareLostR2</t>
  </si>
  <si>
    <t>calcProd1Seg2Comp2Payer1ShareWonR2</t>
  </si>
  <si>
    <t>calcProd1Seg2Comp2Payer1ShareLostR2</t>
  </si>
  <si>
    <t>calcProd1Seg2Payer2TotalShareChangeR1</t>
  </si>
  <si>
    <t>calcProd1Seg2Comp1Payer2ShareWonR1</t>
  </si>
  <si>
    <t>calcProd1Seg2Comp1Payer2ShareLostR1</t>
  </si>
  <si>
    <t>calcProd1Seg2Comp2Payer2ShareWonR1</t>
  </si>
  <si>
    <t>calcProd1Seg2Comp2Payer2ShareLostR1</t>
  </si>
  <si>
    <t>calcProd1Seg2Payer2TotalShareChangeR2</t>
  </si>
  <si>
    <t>calcProd1Seg2Comp1Payer2ShareWonR2</t>
  </si>
  <si>
    <t>calcProd1Seg2Comp1Payer2ShareLostR2</t>
  </si>
  <si>
    <t>calcProd1Seg2Comp2Payer2ShareWonR2</t>
  </si>
  <si>
    <t>calcProd1Seg2Comp2Payer2ShareLostR2</t>
  </si>
  <si>
    <t>calcProd1Seg2Payer3TotalShareChangeR1</t>
  </si>
  <si>
    <t>calcProd1Seg2Comp1Payer3ShareWonR1</t>
  </si>
  <si>
    <t>calcProd1Seg2Comp1Payer3ShareLostR1</t>
  </si>
  <si>
    <t>calcProd1Seg2Comp2Payer3ShareWonR1</t>
  </si>
  <si>
    <t>calcProd1Seg2Comp2Payer3ShareLostR1</t>
  </si>
  <si>
    <t>calcProd1Seg2Payer3TotalShareChangeR2</t>
  </si>
  <si>
    <t>calcProd1Seg2Comp1Payer3ShareWonR2</t>
  </si>
  <si>
    <t>calcProd1Seg2Comp1Payer3ShareLostR2</t>
  </si>
  <si>
    <t>calcProd1Seg2Comp2Payer3ShareWonR2</t>
  </si>
  <si>
    <t>calcProd1Seg2Comp2Payer3ShareLostR2</t>
  </si>
  <si>
    <t>calcProd1Seg3Payer1TotalShareChangeR1</t>
  </si>
  <si>
    <t>calcProd1Seg3Comp1Payer1ShareWonR1</t>
  </si>
  <si>
    <t>calcProd1Seg3Comp1Payer1ShareLostR1</t>
  </si>
  <si>
    <t>calcProd1Seg3Comp2Payer1ShareWonR1</t>
  </si>
  <si>
    <t>calcProd1Seg3Comp2Payer1ShareLostR1</t>
  </si>
  <si>
    <t>calcProd1Seg3Payer1TotalShareChangeR2</t>
  </si>
  <si>
    <t>calcProd1Seg3Comp1Payer1ShareWonR2</t>
  </si>
  <si>
    <t>calcProd1Seg3Comp1Payer1ShareLostR2</t>
  </si>
  <si>
    <t>calcProd1Seg3Comp2Payer1ShareWonR2</t>
  </si>
  <si>
    <t>calcProd1Seg3Comp2Payer1ShareLostR2</t>
  </si>
  <si>
    <t>calcProd1Seg3Payer2TotalShareChangeR1</t>
  </si>
  <si>
    <t>calcProd1Seg3Comp1Payer2ShareWonR1</t>
  </si>
  <si>
    <t>calcProd1Seg3Comp1Payer2ShareLostR1</t>
  </si>
  <si>
    <t>calcProd1Seg3Comp2Payer2ShareWonR1</t>
  </si>
  <si>
    <t>calcProd1Seg3Comp2Payer2ShareLostR1</t>
  </si>
  <si>
    <t>calcProd1Seg3Payer2TotalShareChangeR2</t>
  </si>
  <si>
    <t>calcProd1Seg3Comp1Payer2ShareWonR2</t>
  </si>
  <si>
    <t>calcProd1Seg3Comp1Payer2ShareLostR2</t>
  </si>
  <si>
    <t>calcProd1Seg3Comp2Payer2ShareWonR2</t>
  </si>
  <si>
    <t>calcProd1Seg3Comp2Payer2ShareLostR2</t>
  </si>
  <si>
    <t>calcProd1Seg3Payer3TotalShareChangeR1</t>
  </si>
  <si>
    <t>calcProd1Seg3Comp1Payer3ShareWonR1</t>
  </si>
  <si>
    <t>calcProd1Seg3Comp1Payer3ShareLostR1</t>
  </si>
  <si>
    <t>calcProd1Seg3Comp2Payer3ShareWonR1</t>
  </si>
  <si>
    <t>calcProd1Seg3Comp2Payer3ShareLostR1</t>
  </si>
  <si>
    <t>calcProd1Seg3Payer3TotalShareChangeR2</t>
  </si>
  <si>
    <t>calcProd1Seg3Comp1Payer3ShareWonR2</t>
  </si>
  <si>
    <t>calcProd1Seg3Comp1Payer3ShareLostR2</t>
  </si>
  <si>
    <t>calcProd1Seg3Comp2Payer3ShareWonR2</t>
  </si>
  <si>
    <t>calcProd1Seg3Comp2Payer3ShareLostR2</t>
  </si>
  <si>
    <t>calcReg1Seg1Payer1TotalShareChangeR1</t>
  </si>
  <si>
    <t>calcReg1Seg1Comp1Payer1ShareWonR1</t>
  </si>
  <si>
    <t>calcReg1Seg1Comp1Payer1ShareLostR1</t>
  </si>
  <si>
    <t>calcReg1Seg1Comp2Payer1ShareWonR1</t>
  </si>
  <si>
    <t>calcReg1Seg1Comp2Payer1ShareLostR1</t>
  </si>
  <si>
    <t>calcReg1Seg1Payer1TotalShareChangeR2</t>
  </si>
  <si>
    <t>calcReg1Seg1Comp1Payer1ShareWonR2</t>
  </si>
  <si>
    <t>calcReg1Seg1Comp1Payer1ShareLostR2</t>
  </si>
  <si>
    <t>calcReg1Seg1Comp2Payer1ShareWonR2</t>
  </si>
  <si>
    <t>calcReg1Seg1Comp2Payer1ShareLostR2</t>
  </si>
  <si>
    <t>calcReg1Seg1Payer2TotalShareChangeR1</t>
  </si>
  <si>
    <t>calcReg1Seg1Comp1Payer2ShareWonR1</t>
  </si>
  <si>
    <t>calcReg1Seg1Comp1Payer2ShareLostR1</t>
  </si>
  <si>
    <t>calcReg1Seg1Comp2Payer2ShareWonR1</t>
  </si>
  <si>
    <t>calcReg1Seg1Comp2Payer2ShareLostR1</t>
  </si>
  <si>
    <t>calcReg1Seg1Payer2TotalShareChangeR2</t>
  </si>
  <si>
    <t>calcReg1Seg1Comp1Payer2ShareWonR2</t>
  </si>
  <si>
    <t>calcReg1Seg1Comp1Payer2ShareLostR2</t>
  </si>
  <si>
    <t>calcReg1Seg1Comp2Payer2ShareWonR2</t>
  </si>
  <si>
    <t>calcReg1Seg1Comp2Payer2ShareLostR2</t>
  </si>
  <si>
    <t>calcReg1Seg1Payer3TotalShareChangeR1</t>
  </si>
  <si>
    <t>calcReg1Seg1Comp1Payer3ShareWonR1</t>
  </si>
  <si>
    <t>calcReg1Seg1Comp1Payer3ShareLostR1</t>
  </si>
  <si>
    <t>calcReg1Seg1Comp2Payer3ShareWonR1</t>
  </si>
  <si>
    <t>calcReg1Seg1Comp2Payer3ShareLostR1</t>
  </si>
  <si>
    <t>calcReg1Seg1Payer3TotalShareChangeR2</t>
  </si>
  <si>
    <t>calcReg1Seg1Comp1Payer3ShareWonR2</t>
  </si>
  <si>
    <t>calcReg1Seg1Comp1Payer3ShareLostR2</t>
  </si>
  <si>
    <t>calcReg1Seg1Comp2Payer3ShareWonR2</t>
  </si>
  <si>
    <t>calcReg1Seg1Comp2Payer3ShareLostR2</t>
  </si>
  <si>
    <t>calcReg1Seg2Payer1TotalShareChangeR1</t>
  </si>
  <si>
    <t>calcReg1Seg2Comp1Payer1ShareWonR1</t>
  </si>
  <si>
    <t>calcReg1Seg2Comp1Payer1ShareLostR1</t>
  </si>
  <si>
    <t>calcReg1Seg2Comp2Payer1ShareWonR1</t>
  </si>
  <si>
    <t>calcReg1Seg2Comp2Payer1ShareLostR1</t>
  </si>
  <si>
    <t>calcReg1Seg2Payer1TotalShareChangeR2</t>
  </si>
  <si>
    <t>calcReg1Seg2Comp1Payer1ShareWonR2</t>
  </si>
  <si>
    <t>calcReg1Seg2Comp1Payer1ShareLostR2</t>
  </si>
  <si>
    <t>calcReg1Seg2Comp2Payer1ShareWonR2</t>
  </si>
  <si>
    <t>calcReg1Seg2Comp2Payer1ShareLostR2</t>
  </si>
  <si>
    <t>calcReg1Seg2Payer2TotalShareChangeR1</t>
  </si>
  <si>
    <t>calcReg1Seg2Comp1Payer2ShareWonR1</t>
  </si>
  <si>
    <t>calcReg1Seg2Comp1Payer2ShareLostR1</t>
  </si>
  <si>
    <t>calcReg1Seg2Comp2Payer2ShareWonR1</t>
  </si>
  <si>
    <t>calcReg1Seg2Comp2Payer2ShareLostR1</t>
  </si>
  <si>
    <t>calcReg1Seg2Payer2TotalShareChangeR2</t>
  </si>
  <si>
    <t>calcReg1Seg2Comp1Payer2ShareWonR2</t>
  </si>
  <si>
    <t>calcReg1Seg2Comp1Payer2ShareLostR2</t>
  </si>
  <si>
    <t>calcReg1Seg2Comp2Payer2ShareWonR2</t>
  </si>
  <si>
    <t>calcReg1Seg2Comp2Payer2ShareLostR2</t>
  </si>
  <si>
    <t>calcReg1Seg2Payer3TotalShareChangeR1</t>
  </si>
  <si>
    <t>calcReg1Seg2Comp1Payer3ShareWonR1</t>
  </si>
  <si>
    <t>calcReg1Seg2Comp1Payer3ShareLostR1</t>
  </si>
  <si>
    <t>calcReg1Seg2Comp2Payer3ShareWonR1</t>
  </si>
  <si>
    <t>calcReg1Seg2Comp2Payer3ShareLostR1</t>
  </si>
  <si>
    <t>calcReg1Seg2Payer3TotalShareChangeR2</t>
  </si>
  <si>
    <t>calcReg1Seg2Comp1Payer3ShareWonR2</t>
  </si>
  <si>
    <t>calcReg1Seg2Comp1Payer3ShareLostR2</t>
  </si>
  <si>
    <t>calcReg1Seg2Comp2Payer3ShareWonR2</t>
  </si>
  <si>
    <t>calcReg1Seg2Comp2Payer3ShareLostR2</t>
  </si>
  <si>
    <t>calcReg1Seg3Payer1TotalShareChangeR1</t>
  </si>
  <si>
    <t>calcReg1Seg3Comp1Payer1ShareWonR1</t>
  </si>
  <si>
    <t>calcReg1Seg3Comp1Payer1ShareLostR1</t>
  </si>
  <si>
    <t>calcReg1Seg3Comp2Payer1ShareWonR1</t>
  </si>
  <si>
    <t>calcReg1Seg3Comp2Payer1ShareLostR1</t>
  </si>
  <si>
    <t>calcReg1Seg3Payer1TotalShareChangeR2</t>
  </si>
  <si>
    <t>calcReg1Seg3Comp1Payer1ShareWonR2</t>
  </si>
  <si>
    <t>calcReg1Seg3Comp1Payer1ShareLostR2</t>
  </si>
  <si>
    <t>calcReg1Seg3Comp2Payer1ShareWonR2</t>
  </si>
  <si>
    <t>calcReg1Seg3Comp2Payer1ShareLostR2</t>
  </si>
  <si>
    <t>calcReg1Seg3Payer2TotalShareChangeR1</t>
  </si>
  <si>
    <t>calcReg1Seg3Comp1Payer2ShareWonR1</t>
  </si>
  <si>
    <t>calcReg1Seg3Comp1Payer2ShareLostR1</t>
  </si>
  <si>
    <t>calcReg1Seg3Comp2Payer2ShareWonR1</t>
  </si>
  <si>
    <t>calcReg1Seg3Comp2Payer2ShareLostR1</t>
  </si>
  <si>
    <t>calcReg1Seg3Payer2TotalShareChangeR2</t>
  </si>
  <si>
    <t>calcReg1Seg3Comp1Payer2ShareWonR2</t>
  </si>
  <si>
    <t>calcReg1Seg3Comp1Payer2ShareLostR2</t>
  </si>
  <si>
    <t>calcReg1Seg3Comp2Payer2ShareWonR2</t>
  </si>
  <si>
    <t>calcReg1Seg3Comp2Payer2ShareLostR2</t>
  </si>
  <si>
    <t>calcReg1Seg3Payer3TotalShareChangeR1</t>
  </si>
  <si>
    <t>calcReg1Seg3Comp1Payer3ShareWonR1</t>
  </si>
  <si>
    <t>calcReg1Seg3Comp1Payer3ShareLostR1</t>
  </si>
  <si>
    <t>calcReg1Seg3Comp2Payer3ShareWonR1</t>
  </si>
  <si>
    <t>calcReg1Seg3Comp2Payer3ShareLostR1</t>
  </si>
  <si>
    <t>calcReg1Seg3Payer3TotalShareChangeR2</t>
  </si>
  <si>
    <t>calcReg1Seg3Comp1Payer3ShareWonR2</t>
  </si>
  <si>
    <t>calcReg1Seg3Comp1Payer3ShareLostR2</t>
  </si>
  <si>
    <t>calcReg1Seg3Comp2Payer3ShareWonR2</t>
  </si>
  <si>
    <t>calcReg1Seg3Comp2Payer3ShareLostR2</t>
  </si>
  <si>
    <t>Won/Lost</t>
  </si>
  <si>
    <t>xxRepMaxImpact</t>
  </si>
  <si>
    <t>Bag Weight Impacts</t>
  </si>
  <si>
    <t>calcProd1Seg1Rep1BagWeightR1</t>
  </si>
  <si>
    <t>Capability</t>
  </si>
  <si>
    <t>calcProd1Seg1Rep1BagWeightImpactR1</t>
  </si>
  <si>
    <t>calcProd1Seg1Rep1BagWeightR2</t>
  </si>
  <si>
    <t>calcProd1Seg1Rep1BagWeightImpactR2</t>
  </si>
  <si>
    <t>calcProd1Seg1Rep2BagWeightR1</t>
  </si>
  <si>
    <t>calcProd1Seg1Rep2BagWeightImpactR1</t>
  </si>
  <si>
    <t>calcProd1Seg1Rep2BagWeightR2</t>
  </si>
  <si>
    <t>calcProd1Seg1Rep2BagWeightImpactR2</t>
  </si>
  <si>
    <t>calcProd1Seg1Rep3BagWeightR1</t>
  </si>
  <si>
    <t>calcProd1Seg1Rep3BagWeightImpactR1</t>
  </si>
  <si>
    <t>calcProd1Seg1Rep3BagWeightR2</t>
  </si>
  <si>
    <t>calcProd1Seg1Rep3BagWeightImpactR2</t>
  </si>
  <si>
    <t>calcProd1Seg3Rep1BagWeightR1</t>
  </si>
  <si>
    <t>calcProd1Seg3Rep1BagWeightImpactR1</t>
  </si>
  <si>
    <t>calcProd1Seg3Rep1BagWeightR2</t>
  </si>
  <si>
    <t>calcProd1Seg3Rep1BagWeightImpactR2</t>
  </si>
  <si>
    <t>calcProd1Seg3Rep2BagWeightR1</t>
  </si>
  <si>
    <t>calcProd1Seg3Rep2BagWeightImpactR1</t>
  </si>
  <si>
    <t>calcProd1Seg3Rep2BagWeightR2</t>
  </si>
  <si>
    <t>calcProd1Seg3Rep2BagWeightImpactR2</t>
  </si>
  <si>
    <t>calcProd1Seg3Rep3BagWeightR1</t>
  </si>
  <si>
    <t>calcProd1Seg3Rep3BagWeightImpactR1</t>
  </si>
  <si>
    <t>calcProd1Seg3Rep3BagWeightR2</t>
  </si>
  <si>
    <t>calcProd1Seg3Rep3BagWeightImpactR2</t>
  </si>
  <si>
    <t>calcProd1Seg2Rep1BagWeightR1</t>
  </si>
  <si>
    <t>calcProd1Seg2Rep1BagWeightImpactR1</t>
  </si>
  <si>
    <t>calcProd1Seg2Rep1BagWeightR2</t>
  </si>
  <si>
    <t>calcProd1Seg2Rep1BagWeightImpactR2</t>
  </si>
  <si>
    <t>calcProd1Seg2Rep2BagWeightR1</t>
  </si>
  <si>
    <t>calcProd1Seg2Rep2BagWeightImpactR1</t>
  </si>
  <si>
    <t>calcProd1Seg2Rep2BagWeightR2</t>
  </si>
  <si>
    <t>calcProd1Seg2Rep2BagWeightImpactR2</t>
  </si>
  <si>
    <t>calcProd1Seg2Rep3BagWeightR1</t>
  </si>
  <si>
    <t>calcProd1Seg2Rep3BagWeightImpactR1</t>
  </si>
  <si>
    <t>calcProd1Seg2Rep3BagWeightR2</t>
  </si>
  <si>
    <t>calcProd1Seg2Rep3BagWeightImpactR2</t>
  </si>
  <si>
    <t>Regional Trainers</t>
  </si>
  <si>
    <t>xxRepThresholdBagWeight</t>
  </si>
  <si>
    <t>New Share Equations</t>
  </si>
  <si>
    <t>dataProd1Seg1ActualShare</t>
  </si>
  <si>
    <t>dataProd1Seg2ActualShare</t>
  </si>
  <si>
    <t>dataProd1Seg3ActualShare</t>
  </si>
  <si>
    <t>dataReg1Seg1ActualShare</t>
  </si>
  <si>
    <t>dataReg1Seg2ActualShare</t>
  </si>
  <si>
    <t>dataReg1Seg3ActualShare</t>
  </si>
  <si>
    <t>dataProd1ActualShare</t>
  </si>
  <si>
    <t>dataReg1ActualShare</t>
  </si>
  <si>
    <t>xxRepCapMax</t>
  </si>
  <si>
    <t>dataProd1CoachingCost</t>
  </si>
  <si>
    <t>dataReg1CoachingCost</t>
  </si>
  <si>
    <t>Coaching Costs</t>
  </si>
  <si>
    <t>calcProd1Seg1CoachingCostR1</t>
  </si>
  <si>
    <t>calcProd1Seg2CoachingCostR1</t>
  </si>
  <si>
    <t>calcProd1Seg3CoachingCostR1</t>
  </si>
  <si>
    <t>calcProd1Seg1CoachingCostR2</t>
  </si>
  <si>
    <t>calcProd1Seg2CoachingCostR2</t>
  </si>
  <si>
    <t>calcProd1Seg3CoachingCostR2</t>
  </si>
  <si>
    <t>calcReg1Seg1CoachingCostR1</t>
  </si>
  <si>
    <t>calcReg1Seg2CoachingCostR1</t>
  </si>
  <si>
    <t>calcReg1Seg3CoachingCostR1</t>
  </si>
  <si>
    <t>calcReg1Seg1CoachingCostR2</t>
  </si>
  <si>
    <t>calcReg1Seg2CoachingCostR2</t>
  </si>
  <si>
    <t>calcReg1Seg3CoachingCostR2</t>
  </si>
  <si>
    <t>Internal Costs</t>
  </si>
  <si>
    <t>calcProd1Seg1InternalCostR1</t>
  </si>
  <si>
    <t>calcProd1Seg2InternalCostR1</t>
  </si>
  <si>
    <t>calcProd1Seg3InternalCostR1</t>
  </si>
  <si>
    <t>calcProd1Seg1InternalCostR2</t>
  </si>
  <si>
    <t>calcProd1Seg2InternalCostR2</t>
  </si>
  <si>
    <t>calcProd1Seg3InternalCostR2</t>
  </si>
  <si>
    <t>calcReg1Seg1InternalCostR1</t>
  </si>
  <si>
    <t>calcReg1Seg2InternalCostR1</t>
  </si>
  <si>
    <t>calcReg1Seg3InternalCostR1</t>
  </si>
  <si>
    <t>calcReg1Seg1InternalCostR2</t>
  </si>
  <si>
    <t>calcReg1Seg2InternalCostR2</t>
  </si>
  <si>
    <t>calcReg1Seg3InternalCostR2</t>
  </si>
  <si>
    <t>Rebate</t>
  </si>
  <si>
    <t>Number of Products</t>
  </si>
  <si>
    <t>calcProd1Seg1Rep1Products</t>
  </si>
  <si>
    <t>calcProd1Seg1Rep2Products</t>
  </si>
  <si>
    <t>calcProd1Seg1Rep3Products</t>
  </si>
  <si>
    <t>calcProd1Seg2Rep1Products</t>
  </si>
  <si>
    <t>calcProd1Seg2Rep2Products</t>
  </si>
  <si>
    <t>calcProd1Seg2Rep3Products</t>
  </si>
  <si>
    <t>calcProd1Seg3Rep1Products</t>
  </si>
  <si>
    <t>calcProd1Seg3Rep2Products</t>
  </si>
  <si>
    <t>calcProd1Seg3Rep3Products</t>
  </si>
  <si>
    <t>xxBagWeightProductThresh</t>
  </si>
  <si>
    <t>IF(decInputProd1Seg1Therapy1Rep1Weight_R1&gt;(xxBagWeightProductThresh/(calcProd1Seg1Rep1Products-1)),TRUE)</t>
  </si>
  <si>
    <t>Tullyville</t>
  </si>
  <si>
    <t>dataProd1Seg1Comp1ActualShare</t>
  </si>
  <si>
    <t>dataProd1Seg2Comp1ActualShare</t>
  </si>
  <si>
    <t>dataProd1Seg3Comp1ActualShare</t>
  </si>
  <si>
    <t>dataProd1Comp1ActualShare</t>
  </si>
  <si>
    <t>dataProd1Seg1Comp2ActualShare</t>
  </si>
  <si>
    <t>dataProd1Seg2Comp2ActualShare</t>
  </si>
  <si>
    <t>dataProd1Seg3Comp2ActualShare</t>
  </si>
  <si>
    <t>dataProd1Comp2ActualShare</t>
  </si>
  <si>
    <t>dataReg1Seg1Comp1ActualShare</t>
  </si>
  <si>
    <t>dataReg1Seg2Comp1ActualShare</t>
  </si>
  <si>
    <t>dataReg1Seg3Comp1ActualShare</t>
  </si>
  <si>
    <t>dataReg1Comp1ActualShare</t>
  </si>
  <si>
    <t>dataReg1Seg1Comp2ActualShare</t>
  </si>
  <si>
    <t>dataReg1Seg2Comp2ActualShare</t>
  </si>
  <si>
    <t>dataReg1Seg3Comp2ActualShare</t>
  </si>
  <si>
    <t>dataReg1Comp2ActualShare</t>
  </si>
  <si>
    <t>IF(decInputProd1Seg1Therapy1Rep1Weight_R2&gt;(xxBagWeightProductThresh/(calcProd1Seg1Rep1Products-1)),TRUE)</t>
  </si>
  <si>
    <t>Promotionm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</si>
</sst>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6">
    <numFmt numFmtId="164" formatCode="&quot;$&quot;#,##0_);\(&quot;$&quot;#,##0\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\-* #,##0_-;_-* &quot;-&quot;_-;_-@_-"/>
    <numFmt numFmtId="169" formatCode="_-* #,##0.00_-;\-* #,##0.00_-;_-* &quot;-&quot;??_-;_-@_-"/>
    <numFmt numFmtId="170" formatCode="#,##0.00\ &quot;mk&quot;;[Red]\-#,##0.00\ &quot;mk&quot;"/>
    <numFmt numFmtId="171" formatCode="\ #,##0_);\ \(#,##0\);_(* &quot;-&quot;??_);_(@_)"/>
    <numFmt numFmtId="172" formatCode="#,##0.0_);\(#,##0.0\)"/>
    <numFmt numFmtId="173" formatCode="#,##0,_);\ \(#,##0,\);_(* &quot;-&quot;_);_(@_)"/>
    <numFmt numFmtId="174" formatCode="#,###.##,,_);\ \(#,##0,,\);_(* &quot;-&quot;_);_(@_)"/>
    <numFmt numFmtId="175" formatCode="#,##0,,_);\ \(#,##0,,\);_(* &quot;-&quot;_);_(@_)"/>
    <numFmt numFmtId="176" formatCode="_(* #,##0.0_);_(* \(#,##0.0\);_(* &quot;-&quot;?_);_(@_)"/>
    <numFmt numFmtId="177" formatCode="0%\ \ "/>
    <numFmt numFmtId="178" formatCode="_(&quot;$&quot;\ #,##0,_);_(&quot;$&quot;\ \ \(#,##0,\);_(&quot;$&quot;\ &quot;-&quot;_);_(@_)"/>
    <numFmt numFmtId="179" formatCode="mmm\ dd\ &quot;Year&quot;\ yy"/>
    <numFmt numFmtId="180" formatCode="_([$€-2]* #,##0.00_);_([$€-2]* \(#,##0.00\);_([$€-2]* &quot;-&quot;??_)"/>
    <numFmt numFmtId="181" formatCode="#,###,;\(#,###,\);_(* &quot;-&quot;_);_(@_)"/>
    <numFmt numFmtId="182" formatCode="0.00_)"/>
    <numFmt numFmtId="183" formatCode="0.0%"/>
    <numFmt numFmtId="184" formatCode="#,##0;\-#,##0;&quot;-&quot;"/>
    <numFmt numFmtId="185" formatCode="&quot;$&quot;#,##0"/>
    <numFmt numFmtId="186" formatCode="_(&quot;$&quot;* #,##0_);_(&quot;$&quot;* \(#,##0\);_(&quot;$&quot;* &quot;-&quot;??_);_(@_)"/>
    <numFmt numFmtId="187" formatCode="#,##0.0"/>
    <numFmt numFmtId="188" formatCode="0.0"/>
    <numFmt numFmtId="189" formatCode="0.000%"/>
  </numFmts>
  <fonts count="90">
    <font>
      <sz val="11"/>
      <color theme="1"/>
      <name val="Verdana"/>
      <family val="2"/>
    </font>
    <font>
      <sz val="11"/>
      <color theme="1"/>
      <name val="Myriad Pro"/>
      <family val="2"/>
      <scheme val="minor"/>
    </font>
    <font>
      <sz val="11"/>
      <color theme="1"/>
      <name val="Myriad Pro"/>
      <family val="2"/>
      <scheme val="minor"/>
    </font>
    <font>
      <sz val="11"/>
      <color theme="1"/>
      <name val="Myriad Pro"/>
      <family val="2"/>
      <scheme val="minor"/>
    </font>
    <font>
      <sz val="11"/>
      <color theme="1"/>
      <name val="Myriad Pro"/>
      <family val="2"/>
      <scheme val="minor"/>
    </font>
    <font>
      <sz val="11"/>
      <color theme="1"/>
      <name val="Myriad Pro"/>
      <family val="2"/>
      <scheme val="minor"/>
    </font>
    <font>
      <sz val="11"/>
      <color theme="1"/>
      <name val="Myriad Pro"/>
      <family val="2"/>
      <scheme val="minor"/>
    </font>
    <font>
      <sz val="11"/>
      <color theme="0"/>
      <name val="Verdana"/>
      <family val="2"/>
    </font>
    <font>
      <b/>
      <sz val="11"/>
      <color theme="1"/>
      <name val="Verdana"/>
      <family val="2"/>
    </font>
    <font>
      <sz val="11"/>
      <color theme="1"/>
      <name val="Myriad Pro"/>
      <family val="2"/>
      <scheme val="minor"/>
    </font>
    <font>
      <sz val="12"/>
      <name val="Myriad Pro"/>
      <family val="2"/>
      <scheme val="minor"/>
    </font>
    <font>
      <b/>
      <sz val="12"/>
      <name val="Myriad Pro"/>
      <family val="2"/>
      <scheme val="minor"/>
    </font>
    <font>
      <sz val="10"/>
      <name val="MS Sans Serif"/>
      <family val="2"/>
    </font>
    <font>
      <sz val="8"/>
      <name val="Arial"/>
      <family val="2"/>
    </font>
    <font>
      <sz val="10"/>
      <name val="Arial Black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name val="Helv"/>
    </font>
    <font>
      <sz val="9"/>
      <name val="Arial Rounded MT Bold"/>
      <family val="2"/>
    </font>
    <font>
      <b/>
      <sz val="10"/>
      <name val="Helv"/>
    </font>
    <font>
      <b/>
      <sz val="18"/>
      <name val="Garamond"/>
      <family val="1"/>
    </font>
    <font>
      <sz val="7"/>
      <name val="Small Fonts"/>
      <family val="2"/>
    </font>
    <font>
      <b/>
      <i/>
      <sz val="16"/>
      <name val="Helv"/>
    </font>
    <font>
      <sz val="12"/>
      <color theme="1"/>
      <name val="Open Sans"/>
      <family val="2"/>
    </font>
    <font>
      <b/>
      <sz val="12"/>
      <name val="Garamond"/>
      <family val="1"/>
    </font>
    <font>
      <sz val="11"/>
      <color theme="1"/>
      <name val="Verdana"/>
      <family val="2"/>
    </font>
    <font>
      <sz val="11"/>
      <name val="Verdana"/>
      <family val="2"/>
    </font>
    <font>
      <sz val="12"/>
      <color theme="1"/>
      <name val="Myriad Pro"/>
      <family val="2"/>
      <scheme val="minor"/>
    </font>
    <font>
      <u/>
      <sz val="11"/>
      <color theme="10"/>
      <name val="Myriad Pro"/>
      <family val="2"/>
      <scheme val="minor"/>
    </font>
    <font>
      <u/>
      <sz val="11"/>
      <color theme="10"/>
      <name val="Verdana"/>
      <family val="2"/>
    </font>
    <font>
      <b/>
      <sz val="11"/>
      <color theme="0"/>
      <name val="Verdana"/>
      <family val="2"/>
    </font>
    <font>
      <b/>
      <sz val="11"/>
      <name val="Verdana"/>
      <family val="2"/>
    </font>
    <font>
      <sz val="11"/>
      <color rgb="FFFF0000"/>
      <name val="Verdana"/>
      <family val="2"/>
    </font>
    <font>
      <sz val="10"/>
      <color theme="1"/>
      <name val="Verdana"/>
      <family val="2"/>
    </font>
    <font>
      <i/>
      <sz val="11"/>
      <color theme="1"/>
      <name val="Verdana"/>
      <family val="2"/>
    </font>
    <font>
      <i/>
      <sz val="11"/>
      <name val="Verdana"/>
      <family val="2"/>
    </font>
    <font>
      <sz val="11"/>
      <color rgb="FF000000"/>
      <name val="Verdana"/>
      <family val="2"/>
    </font>
    <font>
      <i/>
      <sz val="10"/>
      <name val="Verdana"/>
      <family val="2"/>
    </font>
    <font>
      <sz val="10"/>
      <name val="Verdana"/>
      <family val="2"/>
    </font>
    <font>
      <sz val="10"/>
      <color rgb="FF000000"/>
      <name val="Verdana"/>
      <family val="2"/>
    </font>
    <font>
      <sz val="10"/>
      <color rgb="FFFF0000"/>
      <name val="Verdana"/>
      <family val="2"/>
    </font>
    <font>
      <b/>
      <sz val="10"/>
      <name val="Verdana"/>
      <family val="2"/>
    </font>
    <font>
      <b/>
      <sz val="10"/>
      <color theme="1"/>
      <name val="Verdana"/>
      <family val="2"/>
    </font>
    <font>
      <u/>
      <sz val="10"/>
      <color theme="10"/>
      <name val="Verdana"/>
      <family val="2"/>
    </font>
    <font>
      <sz val="12"/>
      <color theme="1"/>
      <name val="Verdana"/>
      <family val="2"/>
    </font>
    <font>
      <b/>
      <sz val="16"/>
      <color theme="5"/>
      <name val="Verdana"/>
      <family val="2"/>
    </font>
    <font>
      <b/>
      <sz val="12"/>
      <color theme="4"/>
      <name val="Verdana"/>
      <family val="2"/>
    </font>
    <font>
      <b/>
      <i/>
      <sz val="14"/>
      <color theme="0"/>
      <name val="Verdana"/>
      <family val="2"/>
    </font>
    <font>
      <sz val="22"/>
      <color theme="5"/>
      <name val="Verdana"/>
      <family val="2"/>
    </font>
    <font>
      <sz val="36"/>
      <color theme="2"/>
      <name val="Verdana"/>
      <family val="2"/>
    </font>
    <font>
      <sz val="12"/>
      <color theme="0"/>
      <name val="Verdana"/>
      <family val="2"/>
    </font>
    <font>
      <sz val="18"/>
      <color theme="4"/>
      <name val="Verdana"/>
      <family val="2"/>
    </font>
    <font>
      <sz val="10"/>
      <color theme="0"/>
      <name val="Verdana"/>
      <family val="2"/>
    </font>
    <font>
      <sz val="14"/>
      <color theme="1"/>
      <name val="Verdana"/>
      <family val="2"/>
    </font>
    <font>
      <sz val="14"/>
      <color theme="0"/>
      <name val="Verdana"/>
      <family val="2"/>
    </font>
    <font>
      <sz val="22"/>
      <color theme="0"/>
      <name val="Verdana"/>
      <family val="2"/>
    </font>
    <font>
      <sz val="9"/>
      <color theme="0"/>
      <name val="Verdana"/>
      <family val="2"/>
    </font>
    <font>
      <i/>
      <sz val="10"/>
      <color theme="1"/>
      <name val="Verdana"/>
      <family val="2"/>
    </font>
    <font>
      <b/>
      <sz val="11"/>
      <color rgb="FF000000"/>
      <name val="Verdana"/>
      <family val="2"/>
    </font>
    <font>
      <b/>
      <sz val="11"/>
      <color theme="1"/>
      <name val="Myriad Pro"/>
      <family val="2"/>
      <scheme val="minor"/>
    </font>
    <font>
      <b/>
      <sz val="10"/>
      <color theme="0"/>
      <name val="Verdana"/>
      <family val="2"/>
    </font>
    <font>
      <sz val="10"/>
      <color theme="1"/>
      <name val="Myriad Pro"/>
      <family val="2"/>
      <scheme val="minor"/>
    </font>
    <font>
      <b/>
      <sz val="11"/>
      <color indexed="8"/>
      <name val="Verdana"/>
      <family val="2"/>
    </font>
    <font>
      <sz val="11"/>
      <color indexed="8"/>
      <name val="Verdana"/>
      <family val="2"/>
    </font>
    <font>
      <i/>
      <sz val="11"/>
      <color rgb="FFFF0000"/>
      <name val="Verdana"/>
      <family val="2"/>
    </font>
    <font>
      <b/>
      <sz val="12"/>
      <color theme="1"/>
      <name val="Verdana"/>
      <family val="2"/>
    </font>
    <font>
      <b/>
      <sz val="12"/>
      <color theme="0"/>
      <name val="Verdana"/>
      <family val="2"/>
    </font>
    <font>
      <sz val="12"/>
      <name val="Verdana"/>
      <family val="2"/>
    </font>
    <font>
      <sz val="12"/>
      <color theme="0" tint="-0.34998626667073579"/>
      <name val="Verdana"/>
      <family val="2"/>
    </font>
    <font>
      <sz val="11"/>
      <color theme="4"/>
      <name val="Verdana"/>
      <family val="2"/>
    </font>
    <font>
      <b/>
      <sz val="11"/>
      <color theme="4"/>
      <name val="Verdana"/>
      <family val="2"/>
    </font>
    <font>
      <u/>
      <sz val="10"/>
      <color theme="1"/>
      <name val="Verdana"/>
      <family val="2"/>
    </font>
    <font>
      <b/>
      <u/>
      <sz val="12"/>
      <color theme="1"/>
      <name val="Verdana"/>
      <family val="2"/>
    </font>
    <font>
      <sz val="18"/>
      <color theme="5"/>
      <name val="Verdana"/>
      <family val="2"/>
    </font>
    <font>
      <sz val="11"/>
      <color theme="3"/>
      <name val="Verdana"/>
      <family val="2"/>
    </font>
    <font>
      <b/>
      <u/>
      <sz val="16"/>
      <color theme="3"/>
      <name val="Verdana"/>
      <family val="2"/>
    </font>
    <font>
      <b/>
      <u/>
      <sz val="10"/>
      <color theme="1"/>
      <name val="Verdana"/>
      <family val="2"/>
    </font>
    <font>
      <b/>
      <i/>
      <u/>
      <sz val="10"/>
      <color theme="1"/>
      <name val="Verdana"/>
      <family val="2"/>
    </font>
    <font>
      <i/>
      <sz val="12"/>
      <color theme="1"/>
      <name val="Verdana"/>
      <family val="2"/>
    </font>
    <font>
      <sz val="18"/>
      <color theme="1"/>
      <name val="Verdana"/>
      <family val="2"/>
    </font>
    <font>
      <b/>
      <u/>
      <sz val="11"/>
      <color theme="1"/>
      <name val="Verdana"/>
      <family val="2"/>
    </font>
    <font>
      <sz val="8"/>
      <color theme="1"/>
      <name val="Verdana"/>
      <family val="2"/>
    </font>
    <font>
      <b/>
      <sz val="16"/>
      <color theme="1"/>
      <name val="Verdana"/>
      <family val="2"/>
    </font>
    <font>
      <b/>
      <sz val="14"/>
      <color theme="1"/>
      <name val="Verdana"/>
      <family val="2"/>
    </font>
    <font>
      <b/>
      <u/>
      <sz val="16"/>
      <color theme="4"/>
      <name val="Verdana"/>
      <family val="2"/>
    </font>
    <font>
      <b/>
      <u/>
      <sz val="16"/>
      <color theme="7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13"/>
        <bgColor indexed="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3"/>
      </left>
      <right style="medium">
        <color indexed="9"/>
      </right>
      <top style="medium">
        <color indexed="63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55"/>
      </right>
      <top style="medium">
        <color indexed="64"/>
      </top>
      <bottom style="medium">
        <color indexed="55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ck">
        <color theme="0"/>
      </right>
      <top/>
      <bottom/>
      <diagonal/>
    </border>
    <border>
      <left/>
      <right style="hair">
        <color theme="5"/>
      </right>
      <top/>
      <bottom style="hair">
        <color theme="5"/>
      </bottom>
      <diagonal/>
    </border>
    <border>
      <left/>
      <right/>
      <top/>
      <bottom style="hair">
        <color theme="5"/>
      </bottom>
      <diagonal/>
    </border>
    <border>
      <left style="hair">
        <color theme="5"/>
      </left>
      <right/>
      <top/>
      <bottom style="hair">
        <color theme="5"/>
      </bottom>
      <diagonal/>
    </border>
    <border>
      <left/>
      <right/>
      <top style="medium">
        <color theme="5" tint="0.79998168889431442"/>
      </top>
      <bottom/>
      <diagonal/>
    </border>
    <border>
      <left/>
      <right/>
      <top style="medium">
        <color theme="4" tint="0.79998168889431442"/>
      </top>
      <bottom/>
      <diagonal/>
    </border>
    <border>
      <left/>
      <right style="hair">
        <color theme="5"/>
      </right>
      <top/>
      <bottom/>
      <diagonal/>
    </border>
    <border>
      <left style="hair">
        <color theme="5"/>
      </left>
      <right/>
      <top/>
      <bottom/>
      <diagonal/>
    </border>
    <border>
      <left/>
      <right/>
      <top/>
      <bottom style="medium">
        <color theme="3" tint="0.79998168889431442"/>
      </bottom>
      <diagonal/>
    </border>
    <border>
      <left/>
      <right style="hair">
        <color theme="5"/>
      </right>
      <top style="hair">
        <color theme="5"/>
      </top>
      <bottom/>
      <diagonal/>
    </border>
    <border>
      <left/>
      <right/>
      <top style="hair">
        <color theme="5"/>
      </top>
      <bottom/>
      <diagonal/>
    </border>
    <border>
      <left style="hair">
        <color theme="5"/>
      </left>
      <right/>
      <top style="hair">
        <color theme="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/>
    <xf numFmtId="0" fontId="9" fillId="0" borderId="0"/>
    <xf numFmtId="1" fontId="12" fillId="0" borderId="0"/>
    <xf numFmtId="0" fontId="13" fillId="6" borderId="0" applyFont="0" applyFill="0" applyBorder="0" applyAlignment="0" applyProtection="0"/>
    <xf numFmtId="0" fontId="13" fillId="6" borderId="0" applyFont="0" applyFill="0" applyBorder="0" applyAlignment="0" applyProtection="0"/>
    <xf numFmtId="0" fontId="14" fillId="7" borderId="12" applyNumberFormat="0" applyFont="0" applyProtection="0"/>
    <xf numFmtId="0" fontId="14" fillId="7" borderId="12" applyNumberFormat="0" applyFont="0" applyProtection="0"/>
    <xf numFmtId="0" fontId="14" fillId="7" borderId="13" applyNumberFormat="0" applyFont="0" applyProtection="0"/>
    <xf numFmtId="0" fontId="14" fillId="7" borderId="13" applyNumberFormat="0" applyFont="0" applyProtection="0"/>
    <xf numFmtId="0" fontId="14" fillId="7" borderId="13" applyFont="0"/>
    <xf numFmtId="0" fontId="14" fillId="7" borderId="13" applyFont="0"/>
    <xf numFmtId="0" fontId="15" fillId="6" borderId="12" applyNumberFormat="0" applyFont="0"/>
    <xf numFmtId="0" fontId="15" fillId="6" borderId="12" applyNumberFormat="0" applyFont="0"/>
    <xf numFmtId="0" fontId="15" fillId="6" borderId="13" applyNumberFormat="0" applyFont="0"/>
    <xf numFmtId="0" fontId="15" fillId="6" borderId="13" applyNumberFormat="0" applyFont="0"/>
    <xf numFmtId="0" fontId="13" fillId="8" borderId="0" applyNumberFormat="0" applyFont="0" applyBorder="0" applyAlignment="0"/>
    <xf numFmtId="0" fontId="13" fillId="8" borderId="0" applyNumberFormat="0" applyFont="0" applyBorder="0" applyAlignment="0"/>
    <xf numFmtId="0" fontId="13" fillId="9" borderId="0" applyNumberFormat="0" applyFont="0" applyBorder="0" applyAlignment="0">
      <protection locked="0"/>
    </xf>
    <xf numFmtId="0" fontId="13" fillId="9" borderId="0" applyNumberFormat="0" applyFont="0" applyBorder="0" applyAlignment="0">
      <protection locked="0"/>
    </xf>
    <xf numFmtId="0" fontId="16" fillId="0" borderId="14">
      <alignment horizontal="center"/>
    </xf>
    <xf numFmtId="170" fontId="17" fillId="0" borderId="0"/>
    <xf numFmtId="170" fontId="17" fillId="0" borderId="0"/>
    <xf numFmtId="170" fontId="17" fillId="0" borderId="0"/>
    <xf numFmtId="170" fontId="17" fillId="0" borderId="0"/>
    <xf numFmtId="170" fontId="17" fillId="0" borderId="0"/>
    <xf numFmtId="170" fontId="17" fillId="0" borderId="0"/>
    <xf numFmtId="170" fontId="17" fillId="0" borderId="0"/>
    <xf numFmtId="170" fontId="17" fillId="0" borderId="0"/>
    <xf numFmtId="168" fontId="17" fillId="0" borderId="0" applyFont="0" applyFill="0" applyBorder="0" applyAlignment="0" applyProtection="0"/>
    <xf numFmtId="168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171" fontId="16" fillId="10" borderId="1" applyFont="0" applyFill="0" applyBorder="0" applyAlignment="0" applyProtection="0">
      <alignment horizontal="center"/>
      <protection locked="0"/>
    </xf>
    <xf numFmtId="171" fontId="16" fillId="10" borderId="1" applyFont="0" applyFill="0" applyBorder="0" applyAlignment="0" applyProtection="0">
      <alignment horizontal="center"/>
      <protection locked="0"/>
    </xf>
    <xf numFmtId="172" fontId="17" fillId="0" borderId="0" applyFont="0" applyFill="0" applyBorder="0" applyAlignment="0" applyProtection="0">
      <alignment horizontal="center"/>
    </xf>
    <xf numFmtId="173" fontId="18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0" fontId="18" fillId="0" borderId="0" applyFont="0" applyFill="0" applyBorder="0" applyAlignment="0" applyProtection="0"/>
    <xf numFmtId="176" fontId="19" fillId="0" borderId="0" applyFont="0" applyFill="0" applyBorder="0" applyAlignment="0" applyProtection="0"/>
    <xf numFmtId="169" fontId="17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9" fillId="0" borderId="0" applyFont="0" applyFill="0" applyBorder="0" applyAlignment="0" applyProtection="0"/>
    <xf numFmtId="168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37" fontId="20" fillId="11" borderId="15" applyFont="0" applyFill="0" applyBorder="0" applyAlignment="0" applyProtection="0">
      <alignment horizontal="centerContinuous" vertical="center"/>
    </xf>
    <xf numFmtId="0" fontId="17" fillId="7" borderId="13" applyFont="0" applyFill="0" applyBorder="0" applyAlignment="0" applyProtection="0">
      <alignment horizontal="center"/>
      <protection locked="0"/>
    </xf>
    <xf numFmtId="0" fontId="17" fillId="7" borderId="13" applyFont="0" applyFill="0" applyBorder="0" applyAlignment="0" applyProtection="0">
      <alignment horizontal="center"/>
      <protection locked="0"/>
    </xf>
    <xf numFmtId="0" fontId="17" fillId="10" borderId="0" applyFont="0" applyFill="0" applyBorder="0" applyAlignment="0" applyProtection="0"/>
    <xf numFmtId="0" fontId="17" fillId="7" borderId="13" applyFont="0" applyFill="0" applyBorder="0" applyAlignment="0" applyProtection="0">
      <protection locked="0"/>
    </xf>
    <xf numFmtId="0" fontId="17" fillId="7" borderId="13" applyFont="0" applyFill="0" applyBorder="0" applyAlignment="0" applyProtection="0">
      <protection locked="0"/>
    </xf>
    <xf numFmtId="0" fontId="17" fillId="6" borderId="0" applyFont="0" applyFill="0" applyBorder="0" applyAlignment="0" applyProtection="0"/>
    <xf numFmtId="0" fontId="17" fillId="7" borderId="13" applyFont="0" applyFill="0" applyBorder="0" applyAlignment="0" applyProtection="0">
      <protection locked="0"/>
    </xf>
    <xf numFmtId="0" fontId="17" fillId="7" borderId="13" applyFont="0" applyFill="0" applyBorder="0" applyAlignment="0" applyProtection="0">
      <protection locked="0"/>
    </xf>
    <xf numFmtId="177" fontId="17" fillId="6" borderId="0" applyFont="0" applyFill="0" applyBorder="0" applyAlignment="0" applyProtection="0"/>
    <xf numFmtId="3" fontId="17" fillId="0" borderId="0" applyFont="0" applyFill="0" applyBorder="0" applyAlignment="0" applyProtection="0"/>
    <xf numFmtId="0" fontId="21" fillId="0" borderId="0"/>
    <xf numFmtId="3" fontId="17" fillId="6" borderId="0" applyFont="0" applyFill="0" applyBorder="0" applyAlignment="0" applyProtection="0">
      <alignment horizontal="center"/>
    </xf>
    <xf numFmtId="0" fontId="21" fillId="0" borderId="0"/>
    <xf numFmtId="0" fontId="17" fillId="0" borderId="0"/>
    <xf numFmtId="0" fontId="21" fillId="0" borderId="0"/>
    <xf numFmtId="0" fontId="21" fillId="0" borderId="0"/>
    <xf numFmtId="178" fontId="19" fillId="12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0" fontId="18" fillId="7" borderId="13" applyFont="0" applyFill="0" applyBorder="0" applyAlignment="0" applyProtection="0">
      <protection locked="0"/>
    </xf>
    <xf numFmtId="0" fontId="18" fillId="7" borderId="13" applyFont="0" applyFill="0" applyBorder="0" applyAlignment="0" applyProtection="0">
      <protection locked="0"/>
    </xf>
    <xf numFmtId="0" fontId="17" fillId="7" borderId="13" applyFont="0" applyFill="0" applyBorder="0" applyAlignment="0" applyProtection="0">
      <protection locked="0"/>
    </xf>
    <xf numFmtId="0" fontId="17" fillId="7" borderId="13" applyFont="0" applyFill="0" applyBorder="0" applyAlignment="0" applyProtection="0">
      <protection locked="0"/>
    </xf>
    <xf numFmtId="0" fontId="17" fillId="7" borderId="13" applyFont="0" applyFill="0" applyBorder="0" applyAlignment="0" applyProtection="0">
      <protection locked="0"/>
    </xf>
    <xf numFmtId="0" fontId="17" fillId="7" borderId="13" applyFont="0" applyFill="0" applyBorder="0" applyAlignment="0" applyProtection="0">
      <protection locked="0"/>
    </xf>
    <xf numFmtId="164" fontId="17" fillId="0" borderId="0" applyFont="0" applyFill="0" applyBorder="0" applyAlignment="0" applyProtection="0"/>
    <xf numFmtId="0" fontId="17" fillId="0" borderId="0" applyFill="0" applyBorder="0" applyAlignment="0" applyProtection="0"/>
    <xf numFmtId="179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3" fontId="22" fillId="13" borderId="16">
      <alignment horizontal="center" vertical="center"/>
      <protection locked="0"/>
    </xf>
    <xf numFmtId="180" fontId="13" fillId="0" borderId="0" applyFont="0" applyFill="0" applyBorder="0" applyAlignment="0" applyProtection="0"/>
    <xf numFmtId="180" fontId="13" fillId="0" borderId="0" applyFont="0" applyFill="0" applyBorder="0" applyAlignment="0" applyProtection="0"/>
    <xf numFmtId="0" fontId="13" fillId="14" borderId="0" applyFont="0" applyBorder="0" applyAlignment="0" applyProtection="0"/>
    <xf numFmtId="0" fontId="13" fillId="14" borderId="0" applyFont="0" applyBorder="0" applyAlignment="0" applyProtection="0"/>
    <xf numFmtId="0" fontId="13" fillId="15" borderId="0" applyFont="0" applyBorder="0" applyAlignment="0" applyProtection="0"/>
    <xf numFmtId="0" fontId="13" fillId="15" borderId="0" applyFont="0" applyBorder="0" applyAlignment="0" applyProtection="0"/>
    <xf numFmtId="181" fontId="13" fillId="14" borderId="0" applyFont="0" applyBorder="0" applyAlignment="0" applyProtection="0"/>
    <xf numFmtId="2" fontId="17" fillId="0" borderId="0" applyFont="0" applyFill="0" applyBorder="0" applyAlignment="0" applyProtection="0"/>
    <xf numFmtId="0" fontId="21" fillId="0" borderId="0"/>
    <xf numFmtId="12" fontId="23" fillId="0" borderId="17" applyFont="0" applyFill="0" applyBorder="0" applyAlignment="0" applyProtection="0"/>
    <xf numFmtId="38" fontId="13" fillId="6" borderId="0" applyNumberFormat="0" applyBorder="0" applyAlignment="0" applyProtection="0"/>
    <xf numFmtId="38" fontId="13" fillId="6" borderId="0" applyNumberFormat="0" applyBorder="0" applyAlignment="0" applyProtection="0"/>
    <xf numFmtId="10" fontId="13" fillId="13" borderId="18" applyNumberFormat="0" applyBorder="0" applyAlignment="0" applyProtection="0"/>
    <xf numFmtId="10" fontId="13" fillId="13" borderId="18" applyNumberFormat="0" applyBorder="0" applyAlignment="0" applyProtection="0"/>
    <xf numFmtId="0" fontId="24" fillId="10" borderId="13" applyNumberFormat="0" applyFont="0">
      <alignment horizontal="center"/>
      <protection locked="0"/>
    </xf>
    <xf numFmtId="0" fontId="24" fillId="10" borderId="13" applyNumberFormat="0" applyFont="0">
      <alignment horizontal="center"/>
      <protection locked="0"/>
    </xf>
    <xf numFmtId="37" fontId="25" fillId="0" borderId="0"/>
    <xf numFmtId="182" fontId="26" fillId="0" borderId="0"/>
    <xf numFmtId="0" fontId="13" fillId="0" borderId="0"/>
    <xf numFmtId="0" fontId="17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7" fillId="0" borderId="0"/>
    <xf numFmtId="37" fontId="17" fillId="10" borderId="0" applyFont="0" applyFill="0" applyBorder="0" applyAlignment="0" applyProtection="0">
      <alignment horizontal="center"/>
    </xf>
    <xf numFmtId="0" fontId="21" fillId="0" borderId="0"/>
    <xf numFmtId="0" fontId="21" fillId="0" borderId="0"/>
    <xf numFmtId="183" fontId="28" fillId="13" borderId="0" applyFont="0" applyFill="0" applyBorder="0" applyAlignment="0" applyProtection="0"/>
    <xf numFmtId="10" fontId="21" fillId="0" borderId="0" applyFont="0" applyFill="0" applyBorder="0" applyAlignment="0" applyProtection="0">
      <protection locked="0"/>
    </xf>
    <xf numFmtId="10" fontId="17" fillId="0" borderId="0" applyFont="0" applyFill="0" applyBorder="0" applyAlignment="0" applyProtection="0"/>
    <xf numFmtId="183" fontId="13" fillId="0" borderId="0" applyFont="0" applyFill="0" applyBorder="0" applyAlignment="0" applyProtection="0"/>
    <xf numFmtId="183" fontId="13" fillId="0" borderId="0" applyFont="0" applyFill="0" applyBorder="0" applyAlignment="0" applyProtection="0"/>
    <xf numFmtId="10" fontId="13" fillId="0" borderId="4" applyFont="0" applyFill="0" applyBorder="0" applyAlignment="0" applyProtection="0"/>
    <xf numFmtId="10" fontId="13" fillId="0" borderId="4" applyFont="0" applyFill="0" applyBorder="0" applyAlignment="0" applyProtection="0"/>
    <xf numFmtId="10" fontId="13" fillId="0" borderId="4" applyFont="0" applyFill="0" applyBorder="0" applyAlignment="0" applyProtection="0"/>
    <xf numFmtId="10" fontId="13" fillId="0" borderId="4" applyFont="0" applyFill="0" applyBorder="0" applyAlignment="0" applyProtection="0"/>
    <xf numFmtId="9" fontId="17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17" fillId="7" borderId="13" applyFont="0" applyFill="0" applyBorder="0" applyAlignment="0" applyProtection="0">
      <protection locked="0"/>
    </xf>
    <xf numFmtId="0" fontId="17" fillId="7" borderId="13" applyFont="0" applyFill="0" applyBorder="0" applyAlignment="0" applyProtection="0">
      <protection locked="0"/>
    </xf>
    <xf numFmtId="0" fontId="17" fillId="7" borderId="13" applyFont="0" applyFill="0" applyBorder="0" applyAlignment="0" applyProtection="0">
      <protection locked="0"/>
    </xf>
    <xf numFmtId="0" fontId="17" fillId="7" borderId="13" applyFont="0" applyFill="0" applyBorder="0" applyAlignment="0" applyProtection="0">
      <protection locked="0"/>
    </xf>
    <xf numFmtId="0" fontId="6" fillId="0" borderId="0"/>
    <xf numFmtId="0" fontId="29" fillId="0" borderId="0"/>
    <xf numFmtId="168" fontId="17" fillId="0" borderId="0" applyFont="0" applyFill="0" applyBorder="0" applyAlignment="0" applyProtection="0"/>
    <xf numFmtId="168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169" fontId="17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6" fillId="0" borderId="0" applyFont="0" applyFill="0" applyBorder="0" applyAlignment="0" applyProtection="0"/>
    <xf numFmtId="168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0" fontId="6" fillId="0" borderId="0"/>
    <xf numFmtId="9" fontId="29" fillId="0" borderId="0" applyFont="0" applyFill="0" applyBorder="0" applyAlignment="0" applyProtection="0"/>
    <xf numFmtId="0" fontId="5" fillId="0" borderId="0"/>
    <xf numFmtId="0" fontId="5" fillId="0" borderId="0"/>
    <xf numFmtId="0" fontId="32" fillId="0" borderId="0" applyNumberFormat="0" applyFill="0" applyBorder="0" applyAlignment="0" applyProtection="0"/>
    <xf numFmtId="0" fontId="4" fillId="0" borderId="0"/>
    <xf numFmtId="0" fontId="4" fillId="0" borderId="0"/>
    <xf numFmtId="167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4" fillId="0" borderId="0"/>
    <xf numFmtId="0" fontId="4" fillId="0" borderId="0"/>
    <xf numFmtId="0" fontId="3" fillId="0" borderId="0"/>
    <xf numFmtId="0" fontId="2" fillId="0" borderId="0"/>
    <xf numFmtId="166" fontId="29" fillId="0" borderId="0" applyFont="0" applyFill="0" applyBorder="0" applyAlignment="0" applyProtection="0"/>
  </cellStyleXfs>
  <cellXfs count="604">
    <xf numFmtId="0" fontId="0" fillId="0" borderId="0" xfId="0"/>
    <xf numFmtId="0" fontId="7" fillId="2" borderId="0" xfId="0" applyFont="1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8" fillId="0" borderId="0" xfId="0" applyFont="1"/>
    <xf numFmtId="0" fontId="7" fillId="16" borderId="0" xfId="0" applyFont="1" applyFill="1"/>
    <xf numFmtId="0" fontId="29" fillId="0" borderId="0" xfId="0" applyFont="1"/>
    <xf numFmtId="0" fontId="7" fillId="3" borderId="0" xfId="0" applyFont="1" applyFill="1" applyAlignment="1">
      <alignment horizontal="left"/>
    </xf>
    <xf numFmtId="0" fontId="29" fillId="17" borderId="0" xfId="0" applyFont="1" applyFill="1"/>
    <xf numFmtId="0" fontId="30" fillId="0" borderId="0" xfId="0" quotePrefix="1" applyFont="1"/>
    <xf numFmtId="0" fontId="29" fillId="4" borderId="0" xfId="0" applyFont="1" applyFill="1"/>
    <xf numFmtId="0" fontId="7" fillId="18" borderId="0" xfId="0" applyFont="1" applyFill="1"/>
    <xf numFmtId="0" fontId="7" fillId="19" borderId="0" xfId="0" applyFont="1" applyFill="1"/>
    <xf numFmtId="0" fontId="0" fillId="17" borderId="0" xfId="0" applyFill="1" applyAlignment="1">
      <alignment horizontal="center"/>
    </xf>
    <xf numFmtId="0" fontId="7" fillId="19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0" borderId="0" xfId="0" applyFont="1"/>
    <xf numFmtId="0" fontId="0" fillId="0" borderId="0" xfId="0" applyAlignment="1">
      <alignment horizontal="right"/>
    </xf>
    <xf numFmtId="0" fontId="8" fillId="0" borderId="18" xfId="0" applyFont="1" applyBorder="1"/>
    <xf numFmtId="0" fontId="0" fillId="0" borderId="18" xfId="0" applyBorder="1" applyAlignment="1">
      <alignment vertical="center"/>
    </xf>
    <xf numFmtId="0" fontId="0" fillId="0" borderId="18" xfId="0" applyBorder="1" applyAlignment="1">
      <alignment vertical="center" wrapText="1"/>
    </xf>
    <xf numFmtId="0" fontId="33" fillId="0" borderId="18" xfId="162" applyFont="1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18" xfId="0" applyBorder="1" applyAlignment="1">
      <alignment horizontal="left" vertical="center" wrapText="1"/>
    </xf>
    <xf numFmtId="0" fontId="33" fillId="0" borderId="18" xfId="162" applyFont="1" applyBorder="1" applyAlignment="1">
      <alignment horizontal="left" vertical="center"/>
    </xf>
    <xf numFmtId="0" fontId="10" fillId="0" borderId="0" xfId="163" applyFont="1" applyFill="1"/>
    <xf numFmtId="0" fontId="31" fillId="0" borderId="0" xfId="141" applyFont="1" applyFill="1"/>
    <xf numFmtId="0" fontId="10" fillId="17" borderId="3" xfId="104" applyFont="1" applyFill="1" applyBorder="1" applyAlignment="1">
      <alignment horizontal="center"/>
    </xf>
    <xf numFmtId="0" fontId="10" fillId="17" borderId="2" xfId="104" applyFont="1" applyFill="1" applyBorder="1" applyAlignment="1">
      <alignment horizontal="center"/>
    </xf>
    <xf numFmtId="0" fontId="30" fillId="17" borderId="1" xfId="141" applyFont="1" applyFill="1" applyBorder="1" applyAlignment="1">
      <alignment horizontal="center"/>
    </xf>
    <xf numFmtId="0" fontId="10" fillId="0" borderId="11" xfId="163" applyFont="1" applyFill="1" applyBorder="1" applyAlignment="1">
      <alignment horizontal="right"/>
    </xf>
    <xf numFmtId="0" fontId="10" fillId="0" borderId="9" xfId="163" applyFont="1" applyFill="1" applyBorder="1" applyAlignment="1">
      <alignment horizontal="right"/>
    </xf>
    <xf numFmtId="0" fontId="10" fillId="0" borderId="8" xfId="163" applyFont="1" applyFill="1" applyBorder="1" applyAlignment="1">
      <alignment horizontal="right"/>
    </xf>
    <xf numFmtId="0" fontId="10" fillId="0" borderId="7" xfId="163" applyFont="1" applyFill="1" applyBorder="1" applyAlignment="1">
      <alignment horizontal="right"/>
    </xf>
    <xf numFmtId="0" fontId="11" fillId="0" borderId="6" xfId="163" applyFont="1" applyFill="1" applyBorder="1" applyAlignment="1">
      <alignment horizontal="center"/>
    </xf>
    <xf numFmtId="0" fontId="11" fillId="0" borderId="4" xfId="163" applyFont="1" applyFill="1" applyBorder="1" applyAlignment="1">
      <alignment horizontal="center"/>
    </xf>
    <xf numFmtId="0" fontId="7" fillId="3" borderId="0" xfId="163" applyFont="1" applyFill="1"/>
    <xf numFmtId="0" fontId="7" fillId="3" borderId="0" xfId="163" applyFont="1" applyFill="1" applyAlignment="1">
      <alignment vertical="center"/>
    </xf>
    <xf numFmtId="0" fontId="34" fillId="3" borderId="0" xfId="163" applyFont="1" applyFill="1" applyAlignment="1">
      <alignment vertical="center"/>
    </xf>
    <xf numFmtId="0" fontId="10" fillId="5" borderId="0" xfId="163" applyFont="1" applyFill="1"/>
    <xf numFmtId="0" fontId="10" fillId="4" borderId="3" xfId="163" applyFont="1" applyFill="1" applyBorder="1"/>
    <xf numFmtId="0" fontId="10" fillId="4" borderId="2" xfId="163" applyFont="1" applyFill="1" applyBorder="1"/>
    <xf numFmtId="0" fontId="10" fillId="4" borderId="1" xfId="163" applyFont="1" applyFill="1" applyBorder="1"/>
    <xf numFmtId="0" fontId="10" fillId="0" borderId="0" xfId="163" applyFont="1" applyFill="1" applyAlignment="1">
      <alignment horizontal="right"/>
    </xf>
    <xf numFmtId="0" fontId="10" fillId="17" borderId="11" xfId="163" applyFont="1" applyFill="1" applyBorder="1" applyAlignment="1">
      <alignment horizontal="center"/>
    </xf>
    <xf numFmtId="0" fontId="10" fillId="4" borderId="10" xfId="163" quotePrefix="1" applyFont="1" applyFill="1" applyBorder="1" applyAlignment="1">
      <alignment horizontal="left"/>
    </xf>
    <xf numFmtId="0" fontId="10" fillId="17" borderId="10" xfId="163" applyFont="1" applyFill="1" applyBorder="1" applyAlignment="1">
      <alignment horizontal="left"/>
    </xf>
    <xf numFmtId="1" fontId="10" fillId="17" borderId="10" xfId="163" applyNumberFormat="1" applyFont="1" applyFill="1" applyBorder="1" applyAlignment="1">
      <alignment horizontal="left"/>
    </xf>
    <xf numFmtId="1" fontId="10" fillId="17" borderId="9" xfId="163" applyNumberFormat="1" applyFont="1" applyFill="1" applyBorder="1" applyAlignment="1">
      <alignment horizontal="center"/>
    </xf>
    <xf numFmtId="0" fontId="10" fillId="17" borderId="8" xfId="163" applyFont="1" applyFill="1" applyBorder="1" applyAlignment="1">
      <alignment horizontal="center"/>
    </xf>
    <xf numFmtId="0" fontId="10" fillId="4" borderId="0" xfId="163" applyFont="1" applyFill="1" applyBorder="1" applyAlignment="1">
      <alignment horizontal="left"/>
    </xf>
    <xf numFmtId="0" fontId="10" fillId="17" borderId="0" xfId="163" applyFont="1" applyFill="1" applyBorder="1" applyAlignment="1">
      <alignment horizontal="left"/>
    </xf>
    <xf numFmtId="1" fontId="10" fillId="17" borderId="0" xfId="163" applyNumberFormat="1" applyFont="1" applyFill="1" applyBorder="1" applyAlignment="1">
      <alignment horizontal="left"/>
    </xf>
    <xf numFmtId="1" fontId="10" fillId="17" borderId="7" xfId="163" applyNumberFormat="1" applyFont="1" applyFill="1" applyBorder="1" applyAlignment="1">
      <alignment horizontal="center"/>
    </xf>
    <xf numFmtId="0" fontId="10" fillId="0" borderId="6" xfId="163" applyFont="1" applyFill="1" applyBorder="1" applyAlignment="1">
      <alignment horizontal="center"/>
    </xf>
    <xf numFmtId="0" fontId="10" fillId="0" borderId="5" xfId="163" applyFont="1" applyFill="1" applyBorder="1" applyAlignment="1">
      <alignment horizontal="center"/>
    </xf>
    <xf numFmtId="0" fontId="10" fillId="0" borderId="4" xfId="163" applyFont="1" applyFill="1" applyBorder="1" applyAlignment="1">
      <alignment horizontal="center"/>
    </xf>
    <xf numFmtId="0" fontId="7" fillId="3" borderId="0" xfId="163" applyFont="1" applyFill="1" applyAlignment="1">
      <alignment horizontal="center"/>
    </xf>
    <xf numFmtId="0" fontId="7" fillId="3" borderId="0" xfId="163" applyFont="1" applyFill="1" applyAlignment="1">
      <alignment horizontal="left"/>
    </xf>
    <xf numFmtId="0" fontId="10" fillId="17" borderId="3" xfId="163" applyFont="1" applyFill="1" applyBorder="1" applyAlignment="1">
      <alignment horizontal="center"/>
    </xf>
    <xf numFmtId="0" fontId="10" fillId="17" borderId="1" xfId="163" applyFont="1" applyFill="1" applyBorder="1" applyAlignment="1">
      <alignment horizontal="center"/>
    </xf>
    <xf numFmtId="0" fontId="29" fillId="0" borderId="0" xfId="163" applyFont="1"/>
    <xf numFmtId="0" fontId="30" fillId="0" borderId="0" xfId="163" applyFont="1"/>
    <xf numFmtId="1" fontId="35" fillId="0" borderId="0" xfId="163" applyNumberFormat="1" applyFont="1" applyFill="1"/>
    <xf numFmtId="0" fontId="35" fillId="0" borderId="0" xfId="163" applyFont="1" applyFill="1" applyAlignment="1">
      <alignment horizontal="right"/>
    </xf>
    <xf numFmtId="0" fontId="30" fillId="0" borderId="0" xfId="163" applyFont="1" applyFill="1"/>
    <xf numFmtId="0" fontId="30" fillId="0" borderId="0" xfId="163" quotePrefix="1" applyFont="1"/>
    <xf numFmtId="0" fontId="7" fillId="19" borderId="0" xfId="163" applyFont="1" applyFill="1"/>
    <xf numFmtId="0" fontId="7" fillId="18" borderId="0" xfId="163" applyFont="1" applyFill="1"/>
    <xf numFmtId="0" fontId="29" fillId="4" borderId="0" xfId="163" applyFont="1" applyFill="1"/>
    <xf numFmtId="0" fontId="29" fillId="17" borderId="0" xfId="163" applyFont="1" applyFill="1"/>
    <xf numFmtId="0" fontId="35" fillId="0" borderId="0" xfId="163" applyFont="1"/>
    <xf numFmtId="0" fontId="8" fillId="0" borderId="0" xfId="163" applyFont="1"/>
    <xf numFmtId="0" fontId="29" fillId="0" borderId="0" xfId="164" applyFont="1"/>
    <xf numFmtId="0" fontId="33" fillId="0" borderId="0" xfId="162" applyFont="1" applyAlignment="1">
      <alignment horizontal="center" vertical="center"/>
    </xf>
    <xf numFmtId="0" fontId="33" fillId="0" borderId="0" xfId="162" applyFont="1" applyAlignment="1">
      <alignment horizontal="left" vertical="center"/>
    </xf>
    <xf numFmtId="0" fontId="29" fillId="0" borderId="0" xfId="164" applyFont="1" applyFill="1" applyBorder="1"/>
    <xf numFmtId="0" fontId="7" fillId="2" borderId="0" xfId="163" applyFont="1" applyFill="1"/>
    <xf numFmtId="0" fontId="34" fillId="2" borderId="0" xfId="163" applyFont="1" applyFill="1"/>
    <xf numFmtId="0" fontId="29" fillId="0" borderId="0" xfId="0" quotePrefix="1" applyFont="1"/>
    <xf numFmtId="0" fontId="0" fillId="0" borderId="0" xfId="0" quotePrefix="1" applyFont="1"/>
    <xf numFmtId="0" fontId="0" fillId="0" borderId="0" xfId="0" applyAlignment="1">
      <alignment horizontal="center"/>
    </xf>
    <xf numFmtId="0" fontId="10" fillId="17" borderId="10" xfId="163" quotePrefix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17" borderId="19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0" fontId="0" fillId="20" borderId="0" xfId="0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37" fillId="0" borderId="0" xfId="0" applyFont="1" applyFill="1" applyBorder="1"/>
    <xf numFmtId="0" fontId="38" fillId="0" borderId="0" xfId="0" applyFont="1"/>
    <xf numFmtId="0" fontId="29" fillId="0" borderId="0" xfId="0" applyFont="1" applyFill="1" applyBorder="1"/>
    <xf numFmtId="0" fontId="39" fillId="0" borderId="0" xfId="0" applyFont="1"/>
    <xf numFmtId="0" fontId="40" fillId="21" borderId="0" xfId="0" applyFont="1" applyFill="1" applyBorder="1"/>
    <xf numFmtId="0" fontId="36" fillId="22" borderId="0" xfId="0" applyFont="1" applyFill="1" applyBorder="1"/>
    <xf numFmtId="0" fontId="35" fillId="0" borderId="0" xfId="0" applyFont="1"/>
    <xf numFmtId="0" fontId="40" fillId="20" borderId="0" xfId="0" applyFont="1" applyFill="1" applyBorder="1"/>
    <xf numFmtId="0" fontId="33" fillId="0" borderId="0" xfId="162" applyFont="1" applyFill="1" applyBorder="1"/>
    <xf numFmtId="0" fontId="29" fillId="0" borderId="0" xfId="163" applyFont="1" applyFill="1"/>
    <xf numFmtId="0" fontId="33" fillId="0" borderId="0" xfId="162" applyFont="1" applyAlignment="1">
      <alignment horizontal="left"/>
    </xf>
    <xf numFmtId="0" fontId="29" fillId="0" borderId="0" xfId="163" applyFont="1" applyFill="1" applyBorder="1"/>
    <xf numFmtId="0" fontId="7" fillId="2" borderId="0" xfId="0" applyFont="1" applyFill="1" applyAlignment="1">
      <alignment horizontal="center"/>
    </xf>
    <xf numFmtId="0" fontId="34" fillId="2" borderId="0" xfId="0" applyFont="1" applyFill="1" applyAlignment="1">
      <alignment vertical="center"/>
    </xf>
    <xf numFmtId="0" fontId="34" fillId="2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vertical="center"/>
    </xf>
    <xf numFmtId="184" fontId="0" fillId="4" borderId="0" xfId="0" applyNumberFormat="1" applyFill="1" applyAlignment="1">
      <alignment horizontal="center" vertical="center"/>
    </xf>
    <xf numFmtId="0" fontId="0" fillId="4" borderId="19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7" fillId="19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40" fillId="4" borderId="0" xfId="0" applyFont="1" applyFill="1" applyAlignment="1">
      <alignment horizontal="center" vertical="center"/>
    </xf>
    <xf numFmtId="0" fontId="40" fillId="4" borderId="0" xfId="0" quotePrefix="1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37" fillId="0" borderId="0" xfId="0" applyFont="1"/>
    <xf numFmtId="0" fontId="41" fillId="0" borderId="0" xfId="0" applyFont="1"/>
    <xf numFmtId="0" fontId="42" fillId="0" borderId="0" xfId="0" quotePrefix="1" applyFont="1"/>
    <xf numFmtId="0" fontId="43" fillId="21" borderId="0" xfId="0" applyFont="1" applyFill="1" applyBorder="1"/>
    <xf numFmtId="0" fontId="37" fillId="4" borderId="0" xfId="0" applyFont="1" applyFill="1"/>
    <xf numFmtId="0" fontId="44" fillId="22" borderId="0" xfId="0" applyFont="1" applyFill="1" applyBorder="1"/>
    <xf numFmtId="0" fontId="45" fillId="0" borderId="0" xfId="0" applyFont="1"/>
    <xf numFmtId="0" fontId="43" fillId="20" borderId="0" xfId="0" applyFont="1" applyFill="1" applyBorder="1"/>
    <xf numFmtId="0" fontId="46" fillId="0" borderId="0" xfId="0" applyFont="1"/>
    <xf numFmtId="0" fontId="37" fillId="0" borderId="0" xfId="163" applyFont="1"/>
    <xf numFmtId="0" fontId="47" fillId="0" borderId="0" xfId="162" applyFont="1" applyFill="1" applyBorder="1"/>
    <xf numFmtId="0" fontId="37" fillId="0" borderId="0" xfId="163" applyFont="1" applyFill="1"/>
    <xf numFmtId="0" fontId="47" fillId="0" borderId="0" xfId="162" applyFont="1" applyAlignment="1">
      <alignment horizontal="left"/>
    </xf>
    <xf numFmtId="0" fontId="37" fillId="0" borderId="0" xfId="163" applyFont="1" applyFill="1" applyBorder="1"/>
    <xf numFmtId="0" fontId="0" fillId="0" borderId="0" xfId="0" applyFill="1"/>
    <xf numFmtId="0" fontId="0" fillId="0" borderId="0" xfId="0" applyFill="1" applyAlignment="1">
      <alignment horizontal="center"/>
    </xf>
    <xf numFmtId="0" fontId="0" fillId="23" borderId="20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48" fillId="5" borderId="0" xfId="0" applyFont="1" applyFill="1" applyAlignment="1">
      <alignment horizontal="center" vertical="center"/>
    </xf>
    <xf numFmtId="0" fontId="48" fillId="5" borderId="0" xfId="0" applyFont="1" applyFill="1" applyBorder="1" applyAlignment="1">
      <alignment horizontal="center" vertical="center"/>
    </xf>
    <xf numFmtId="0" fontId="48" fillId="23" borderId="20" xfId="0" applyFont="1" applyFill="1" applyBorder="1" applyAlignment="1">
      <alignment horizontal="center" vertical="center"/>
    </xf>
    <xf numFmtId="0" fontId="48" fillId="5" borderId="21" xfId="0" applyFont="1" applyFill="1" applyBorder="1" applyAlignment="1">
      <alignment horizontal="center" vertical="center"/>
    </xf>
    <xf numFmtId="0" fontId="48" fillId="5" borderId="22" xfId="0" applyFont="1" applyFill="1" applyBorder="1" applyAlignment="1">
      <alignment horizontal="center" vertical="center"/>
    </xf>
    <xf numFmtId="0" fontId="48" fillId="5" borderId="23" xfId="0" applyFont="1" applyFill="1" applyBorder="1" applyAlignment="1">
      <alignment horizontal="center" vertical="center"/>
    </xf>
    <xf numFmtId="0" fontId="49" fillId="5" borderId="0" xfId="0" applyFont="1" applyFill="1" applyBorder="1" applyAlignment="1">
      <alignment vertical="center"/>
    </xf>
    <xf numFmtId="0" fontId="50" fillId="0" borderId="25" xfId="0" applyFont="1" applyBorder="1" applyAlignment="1">
      <alignment horizontal="center" vertical="center"/>
    </xf>
    <xf numFmtId="0" fontId="48" fillId="5" borderId="26" xfId="0" applyFont="1" applyFill="1" applyBorder="1" applyAlignment="1">
      <alignment horizontal="center" vertical="center"/>
    </xf>
    <xf numFmtId="0" fontId="48" fillId="5" borderId="27" xfId="0" applyFont="1" applyFill="1" applyBorder="1" applyAlignment="1">
      <alignment horizontal="center" vertical="center"/>
    </xf>
    <xf numFmtId="0" fontId="48" fillId="5" borderId="0" xfId="0" applyFont="1" applyFill="1" applyBorder="1" applyAlignment="1">
      <alignment vertical="center"/>
    </xf>
    <xf numFmtId="0" fontId="52" fillId="5" borderId="0" xfId="0" applyFont="1" applyFill="1" applyAlignment="1">
      <alignment vertical="center"/>
    </xf>
    <xf numFmtId="0" fontId="48" fillId="5" borderId="28" xfId="0" applyFont="1" applyFill="1" applyBorder="1" applyAlignment="1">
      <alignment horizontal="center" vertical="center"/>
    </xf>
    <xf numFmtId="0" fontId="53" fillId="5" borderId="28" xfId="0" applyFont="1" applyFill="1" applyBorder="1" applyAlignment="1">
      <alignment vertical="center"/>
    </xf>
    <xf numFmtId="0" fontId="0" fillId="5" borderId="0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right" vertical="center"/>
    </xf>
    <xf numFmtId="0" fontId="48" fillId="0" borderId="0" xfId="0" applyFont="1" applyAlignment="1">
      <alignment vertical="center"/>
    </xf>
    <xf numFmtId="0" fontId="48" fillId="26" borderId="0" xfId="0" applyFont="1" applyFill="1" applyAlignment="1">
      <alignment vertical="center"/>
    </xf>
    <xf numFmtId="0" fontId="48" fillId="5" borderId="0" xfId="0" applyFont="1" applyFill="1" applyAlignment="1">
      <alignment vertical="center"/>
    </xf>
    <xf numFmtId="0" fontId="48" fillId="5" borderId="32" xfId="0" applyFont="1" applyFill="1" applyBorder="1" applyAlignment="1">
      <alignment vertical="center"/>
    </xf>
    <xf numFmtId="0" fontId="48" fillId="17" borderId="0" xfId="0" applyFont="1" applyFill="1" applyAlignment="1">
      <alignment vertical="center"/>
    </xf>
    <xf numFmtId="0" fontId="48" fillId="5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26" borderId="0" xfId="0" applyFill="1" applyAlignment="1">
      <alignment horizontal="left" vertical="center"/>
    </xf>
    <xf numFmtId="0" fontId="56" fillId="3" borderId="0" xfId="0" applyFont="1" applyFill="1" applyAlignment="1">
      <alignment horizontal="center" vertical="center" wrapText="1"/>
    </xf>
    <xf numFmtId="0" fontId="57" fillId="3" borderId="0" xfId="0" applyFont="1" applyFill="1" applyAlignment="1">
      <alignment horizontal="center" vertical="center"/>
    </xf>
    <xf numFmtId="0" fontId="56" fillId="3" borderId="0" xfId="0" applyFont="1" applyFill="1" applyAlignment="1">
      <alignment horizontal="left" vertical="center"/>
    </xf>
    <xf numFmtId="0" fontId="58" fillId="2" borderId="0" xfId="0" applyFont="1" applyFill="1" applyAlignment="1">
      <alignment horizontal="center" vertical="center"/>
    </xf>
    <xf numFmtId="0" fontId="58" fillId="2" borderId="0" xfId="0" applyFont="1" applyFill="1" applyAlignment="1">
      <alignment horizontal="left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59" fillId="2" borderId="0" xfId="0" applyFont="1" applyFill="1" applyAlignment="1">
      <alignment horizontal="left" vertical="center"/>
    </xf>
    <xf numFmtId="0" fontId="58" fillId="3" borderId="0" xfId="0" applyFont="1" applyFill="1" applyAlignment="1">
      <alignment horizontal="center" vertical="center"/>
    </xf>
    <xf numFmtId="0" fontId="60" fillId="3" borderId="0" xfId="0" applyFont="1" applyFill="1" applyAlignment="1">
      <alignment horizontal="center" vertical="center" wrapText="1"/>
    </xf>
    <xf numFmtId="0" fontId="57" fillId="3" borderId="0" xfId="0" applyFont="1" applyFill="1" applyAlignment="1">
      <alignment horizontal="left" vertical="center"/>
    </xf>
    <xf numFmtId="0" fontId="54" fillId="2" borderId="0" xfId="0" applyFont="1" applyFill="1" applyAlignment="1">
      <alignment horizontal="center" vertical="center" wrapText="1"/>
    </xf>
    <xf numFmtId="0" fontId="38" fillId="0" borderId="0" xfId="0" applyFont="1" applyAlignment="1">
      <alignment horizontal="left" vertical="center"/>
    </xf>
    <xf numFmtId="0" fontId="42" fillId="4" borderId="11" xfId="0" applyFont="1" applyFill="1" applyBorder="1"/>
    <xf numFmtId="0" fontId="37" fillId="17" borderId="3" xfId="0" applyFont="1" applyFill="1" applyBorder="1"/>
    <xf numFmtId="0" fontId="56" fillId="19" borderId="0" xfId="0" applyFont="1" applyFill="1"/>
    <xf numFmtId="0" fontId="37" fillId="17" borderId="0" xfId="0" applyFont="1" applyFill="1"/>
    <xf numFmtId="0" fontId="42" fillId="4" borderId="8" xfId="0" applyFont="1" applyFill="1" applyBorder="1"/>
    <xf numFmtId="0" fontId="37" fillId="17" borderId="2" xfId="0" applyFont="1" applyFill="1" applyBorder="1"/>
    <xf numFmtId="0" fontId="42" fillId="4" borderId="6" xfId="0" applyFont="1" applyFill="1" applyBorder="1"/>
    <xf numFmtId="0" fontId="37" fillId="17" borderId="1" xfId="0" applyFont="1" applyFill="1" applyBorder="1"/>
    <xf numFmtId="0" fontId="37" fillId="4" borderId="0" xfId="0" applyFont="1" applyFill="1" applyAlignment="1">
      <alignment horizont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1" fillId="0" borderId="0" xfId="0" applyFont="1" applyFill="1" applyBorder="1"/>
    <xf numFmtId="0" fontId="46" fillId="19" borderId="0" xfId="0" applyFont="1" applyFill="1" applyAlignment="1">
      <alignment horizontal="center"/>
    </xf>
    <xf numFmtId="0" fontId="42" fillId="0" borderId="0" xfId="0" quotePrefix="1" applyFont="1" applyFill="1" applyBorder="1"/>
    <xf numFmtId="0" fontId="56" fillId="2" borderId="0" xfId="0" applyFont="1" applyFill="1"/>
    <xf numFmtId="0" fontId="56" fillId="2" borderId="0" xfId="0" applyFont="1" applyFill="1" applyAlignment="1">
      <alignment horizontal="center" vertical="center"/>
    </xf>
    <xf numFmtId="4" fontId="37" fillId="4" borderId="0" xfId="166" applyNumberFormat="1" applyFont="1" applyFill="1" applyAlignment="1"/>
    <xf numFmtId="0" fontId="37" fillId="0" borderId="0" xfId="0" applyFont="1" applyAlignment="1"/>
    <xf numFmtId="0" fontId="37" fillId="0" borderId="0" xfId="0" applyFont="1" applyBorder="1" applyAlignment="1">
      <alignment vertical="center"/>
    </xf>
    <xf numFmtId="0" fontId="42" fillId="4" borderId="3" xfId="0" applyFont="1" applyFill="1" applyBorder="1"/>
    <xf numFmtId="0" fontId="42" fillId="4" borderId="2" xfId="0" applyFont="1" applyFill="1" applyBorder="1"/>
    <xf numFmtId="4" fontId="37" fillId="4" borderId="0" xfId="0" applyNumberFormat="1" applyFont="1" applyFill="1" applyAlignment="1"/>
    <xf numFmtId="0" fontId="42" fillId="4" borderId="1" xfId="0" applyFont="1" applyFill="1" applyBorder="1"/>
    <xf numFmtId="0" fontId="37" fillId="17" borderId="0" xfId="0" applyFont="1" applyFill="1" applyAlignment="1">
      <alignment vertical="center"/>
    </xf>
    <xf numFmtId="0" fontId="45" fillId="0" borderId="0" xfId="0" applyFont="1" applyAlignment="1">
      <alignment horizontal="right"/>
    </xf>
    <xf numFmtId="167" fontId="37" fillId="0" borderId="0" xfId="165" applyFont="1" applyAlignment="1"/>
    <xf numFmtId="0" fontId="45" fillId="4" borderId="33" xfId="0" applyFont="1" applyFill="1" applyBorder="1" applyAlignment="1">
      <alignment horizontal="center"/>
    </xf>
    <xf numFmtId="0" fontId="45" fillId="4" borderId="15" xfId="0" applyFont="1" applyFill="1" applyBorder="1" applyAlignment="1">
      <alignment horizontal="left"/>
    </xf>
    <xf numFmtId="165" fontId="37" fillId="4" borderId="0" xfId="166" applyFont="1" applyFill="1" applyAlignment="1"/>
    <xf numFmtId="0" fontId="37" fillId="4" borderId="0" xfId="0" applyFont="1" applyFill="1" applyAlignment="1"/>
    <xf numFmtId="0" fontId="56" fillId="2" borderId="0" xfId="0" applyFont="1" applyFill="1" applyAlignment="1">
      <alignment vertical="center"/>
    </xf>
    <xf numFmtId="0" fontId="20" fillId="2" borderId="0" xfId="0" applyFont="1" applyFill="1" applyAlignment="1"/>
    <xf numFmtId="0" fontId="34" fillId="3" borderId="0" xfId="163" applyFont="1" applyFill="1" applyAlignment="1">
      <alignment horizontal="left" vertical="center"/>
    </xf>
    <xf numFmtId="0" fontId="34" fillId="2" borderId="0" xfId="163" applyFont="1" applyFill="1" applyAlignment="1">
      <alignment vertical="center"/>
    </xf>
    <xf numFmtId="0" fontId="29" fillId="27" borderId="18" xfId="169" applyFont="1" applyFill="1" applyBorder="1" applyAlignment="1">
      <alignment vertical="center"/>
    </xf>
    <xf numFmtId="0" fontId="34" fillId="16" borderId="0" xfId="0" applyFont="1" applyFill="1"/>
    <xf numFmtId="0" fontId="0" fillId="17" borderId="0" xfId="0" applyFill="1"/>
    <xf numFmtId="0" fontId="7" fillId="18" borderId="0" xfId="169" applyFont="1" applyFill="1" applyAlignment="1">
      <alignment vertical="center"/>
    </xf>
    <xf numFmtId="0" fontId="0" fillId="4" borderId="18" xfId="0" applyFill="1" applyBorder="1"/>
    <xf numFmtId="0" fontId="37" fillId="0" borderId="0" xfId="169" applyFont="1" applyAlignment="1">
      <alignment vertical="center"/>
    </xf>
    <xf numFmtId="0" fontId="39" fillId="0" borderId="0" xfId="169" applyFont="1" applyAlignment="1">
      <alignment vertical="center"/>
    </xf>
    <xf numFmtId="0" fontId="29" fillId="0" borderId="0" xfId="169" applyFont="1" applyAlignment="1">
      <alignment vertical="center"/>
    </xf>
    <xf numFmtId="0" fontId="30" fillId="0" borderId="0" xfId="169" quotePrefix="1" applyFont="1" applyAlignment="1">
      <alignment vertical="center"/>
    </xf>
    <xf numFmtId="0" fontId="29" fillId="0" borderId="0" xfId="169" applyFont="1" applyAlignment="1">
      <alignment horizontal="center" vertical="center"/>
    </xf>
    <xf numFmtId="0" fontId="29" fillId="18" borderId="0" xfId="169" applyFont="1" applyFill="1" applyAlignment="1">
      <alignment vertical="center"/>
    </xf>
    <xf numFmtId="0" fontId="42" fillId="0" borderId="0" xfId="169" quotePrefix="1" applyFont="1" applyAlignment="1">
      <alignment vertical="center"/>
    </xf>
    <xf numFmtId="0" fontId="29" fillId="0" borderId="0" xfId="169" applyFont="1" applyFill="1" applyAlignment="1">
      <alignment vertical="center"/>
    </xf>
    <xf numFmtId="0" fontId="29" fillId="27" borderId="0" xfId="169" applyFont="1" applyFill="1" applyAlignment="1">
      <alignment vertical="center"/>
    </xf>
    <xf numFmtId="0" fontId="30" fillId="0" borderId="0" xfId="169" quotePrefix="1" applyFont="1" applyAlignment="1">
      <alignment horizontal="left" vertical="center"/>
    </xf>
    <xf numFmtId="0" fontId="29" fillId="17" borderId="0" xfId="169" applyFont="1" applyFill="1" applyAlignment="1">
      <alignment vertical="center"/>
    </xf>
    <xf numFmtId="0" fontId="35" fillId="0" borderId="0" xfId="169" applyFont="1" applyAlignment="1">
      <alignment vertical="center"/>
    </xf>
    <xf numFmtId="0" fontId="8" fillId="0" borderId="0" xfId="169" applyFont="1" applyAlignment="1">
      <alignment vertical="center"/>
    </xf>
    <xf numFmtId="0" fontId="48" fillId="3" borderId="0" xfId="169" applyFont="1" applyFill="1" applyAlignment="1">
      <alignment vertical="center"/>
    </xf>
    <xf numFmtId="0" fontId="29" fillId="3" borderId="0" xfId="169" applyFont="1" applyFill="1" applyAlignment="1">
      <alignment vertical="center"/>
    </xf>
    <xf numFmtId="0" fontId="7" fillId="3" borderId="0" xfId="169" applyFont="1" applyFill="1" applyAlignment="1">
      <alignment vertical="center"/>
    </xf>
    <xf numFmtId="0" fontId="29" fillId="0" borderId="0" xfId="170" applyFont="1" applyAlignment="1">
      <alignment vertical="center"/>
    </xf>
    <xf numFmtId="0" fontId="33" fillId="0" borderId="0" xfId="162" applyFont="1" applyAlignment="1">
      <alignment vertical="center"/>
    </xf>
    <xf numFmtId="0" fontId="61" fillId="0" borderId="0" xfId="169" applyFont="1" applyAlignment="1">
      <alignment vertical="center"/>
    </xf>
    <xf numFmtId="0" fontId="46" fillId="0" borderId="0" xfId="169" applyFont="1" applyAlignment="1">
      <alignment vertical="center"/>
    </xf>
    <xf numFmtId="3" fontId="0" fillId="17" borderId="0" xfId="0" applyNumberFormat="1" applyFill="1" applyAlignment="1">
      <alignment horizontal="center"/>
    </xf>
    <xf numFmtId="0" fontId="4" fillId="0" borderId="0" xfId="164"/>
    <xf numFmtId="0" fontId="37" fillId="17" borderId="0" xfId="164" applyNumberFormat="1" applyFont="1" applyFill="1" applyBorder="1" applyAlignment="1" applyProtection="1">
      <alignment horizontal="center"/>
    </xf>
    <xf numFmtId="0" fontId="4" fillId="0" borderId="0" xfId="164" applyAlignment="1">
      <alignment horizontal="center"/>
    </xf>
    <xf numFmtId="0" fontId="56" fillId="18" borderId="0" xfId="164" applyNumberFormat="1" applyFont="1" applyFill="1" applyBorder="1" applyAlignment="1" applyProtection="1">
      <alignment horizontal="center"/>
    </xf>
    <xf numFmtId="0" fontId="37" fillId="0" borderId="0" xfId="164" applyFont="1" applyAlignment="1">
      <alignment horizontal="center"/>
    </xf>
    <xf numFmtId="0" fontId="45" fillId="0" borderId="0" xfId="164" quotePrefix="1" applyFont="1" applyFill="1" applyBorder="1" applyAlignment="1">
      <alignment horizontal="center"/>
    </xf>
    <xf numFmtId="0" fontId="37" fillId="0" borderId="0" xfId="164" applyFont="1"/>
    <xf numFmtId="0" fontId="37" fillId="0" borderId="0" xfId="164" applyFont="1" applyFill="1" applyBorder="1" applyAlignment="1">
      <alignment horizontal="center" vertical="center"/>
    </xf>
    <xf numFmtId="0" fontId="37" fillId="0" borderId="0" xfId="164" applyFont="1" applyFill="1" applyBorder="1"/>
    <xf numFmtId="0" fontId="42" fillId="0" borderId="0" xfId="164" quotePrefix="1" applyFont="1" applyFill="1" applyBorder="1"/>
    <xf numFmtId="0" fontId="45" fillId="0" borderId="0" xfId="164" quotePrefix="1" applyFont="1" applyFill="1" applyBorder="1"/>
    <xf numFmtId="0" fontId="41" fillId="0" borderId="0" xfId="164" quotePrefix="1" applyFont="1" applyFill="1" applyBorder="1" applyAlignment="1">
      <alignment horizontal="right"/>
    </xf>
    <xf numFmtId="0" fontId="46" fillId="17" borderId="3" xfId="164" applyFont="1" applyFill="1" applyBorder="1" applyAlignment="1">
      <alignment horizontal="center"/>
    </xf>
    <xf numFmtId="0" fontId="4" fillId="5" borderId="2" xfId="164" applyFill="1" applyBorder="1"/>
    <xf numFmtId="0" fontId="63" fillId="5" borderId="1" xfId="164" applyFont="1" applyFill="1" applyBorder="1" applyAlignment="1">
      <alignment horizontal="center"/>
    </xf>
    <xf numFmtId="0" fontId="42" fillId="0" borderId="0" xfId="164" applyFont="1" applyFill="1" applyBorder="1"/>
    <xf numFmtId="0" fontId="37" fillId="0" borderId="0" xfId="164" applyFont="1" applyFill="1" applyBorder="1" applyAlignment="1">
      <alignment horizontal="left" vertical="center"/>
    </xf>
    <xf numFmtId="0" fontId="64" fillId="19" borderId="0" xfId="164" applyNumberFormat="1" applyFont="1" applyFill="1" applyBorder="1" applyAlignment="1" applyProtection="1">
      <alignment horizontal="center"/>
    </xf>
    <xf numFmtId="0" fontId="61" fillId="0" borderId="0" xfId="164" applyFont="1"/>
    <xf numFmtId="0" fontId="37" fillId="0" borderId="0" xfId="164" quotePrefix="1" applyFont="1" applyFill="1" applyBorder="1"/>
    <xf numFmtId="0" fontId="37" fillId="0" borderId="0" xfId="164" applyNumberFormat="1" applyFont="1" applyFill="1" applyBorder="1" applyAlignment="1" applyProtection="1">
      <alignment horizontal="center"/>
    </xf>
    <xf numFmtId="0" fontId="4" fillId="0" borderId="0" xfId="164" applyFont="1" applyFill="1"/>
    <xf numFmtId="0" fontId="46" fillId="0" borderId="0" xfId="164" applyFont="1" applyFill="1" applyBorder="1"/>
    <xf numFmtId="0" fontId="46" fillId="0" borderId="0" xfId="164" applyFont="1"/>
    <xf numFmtId="0" fontId="42" fillId="0" borderId="0" xfId="163" quotePrefix="1" applyFont="1"/>
    <xf numFmtId="0" fontId="56" fillId="19" borderId="0" xfId="163" applyFont="1" applyFill="1" applyAlignment="1">
      <alignment horizontal="center"/>
    </xf>
    <xf numFmtId="0" fontId="65" fillId="0" borderId="0" xfId="164" applyFont="1"/>
    <xf numFmtId="0" fontId="56" fillId="18" borderId="0" xfId="163" applyFont="1" applyFill="1" applyAlignment="1">
      <alignment horizontal="center"/>
    </xf>
    <xf numFmtId="0" fontId="37" fillId="4" borderId="0" xfId="163" applyFont="1" applyFill="1"/>
    <xf numFmtId="0" fontId="37" fillId="17" borderId="0" xfId="163" applyFont="1" applyFill="1" applyAlignment="1">
      <alignment horizontal="center"/>
    </xf>
    <xf numFmtId="0" fontId="45" fillId="0" borderId="0" xfId="163" applyFont="1"/>
    <xf numFmtId="0" fontId="46" fillId="0" borderId="0" xfId="163" applyFont="1"/>
    <xf numFmtId="0" fontId="32" fillId="0" borderId="0" xfId="162" applyAlignment="1">
      <alignment horizontal="center" vertical="center"/>
    </xf>
    <xf numFmtId="0" fontId="8" fillId="28" borderId="0" xfId="163" applyFont="1" applyFill="1" applyAlignment="1">
      <alignment vertical="center"/>
    </xf>
    <xf numFmtId="0" fontId="34" fillId="2" borderId="0" xfId="163" applyFont="1" applyFill="1" applyAlignment="1">
      <alignment horizontal="right" vertical="center"/>
    </xf>
    <xf numFmtId="0" fontId="36" fillId="0" borderId="0" xfId="0" applyFont="1"/>
    <xf numFmtId="0" fontId="68" fillId="0" borderId="0" xfId="0" applyFont="1"/>
    <xf numFmtId="0" fontId="48" fillId="5" borderId="0" xfId="0" applyFont="1" applyFill="1" applyAlignment="1">
      <alignment horizontal="center" vertical="center"/>
    </xf>
    <xf numFmtId="0" fontId="69" fillId="5" borderId="0" xfId="0" applyFont="1" applyFill="1" applyAlignment="1">
      <alignment vertical="center"/>
    </xf>
    <xf numFmtId="0" fontId="34" fillId="2" borderId="0" xfId="112" applyFont="1" applyFill="1"/>
    <xf numFmtId="0" fontId="7" fillId="2" borderId="0" xfId="112" applyFont="1" applyFill="1"/>
    <xf numFmtId="0" fontId="29" fillId="0" borderId="0" xfId="171" applyFont="1"/>
    <xf numFmtId="0" fontId="29" fillId="0" borderId="0" xfId="171" applyFont="1" applyFill="1" applyBorder="1"/>
    <xf numFmtId="0" fontId="29" fillId="0" borderId="0" xfId="112" applyFont="1"/>
    <xf numFmtId="0" fontId="7" fillId="3" borderId="0" xfId="112" applyFont="1" applyFill="1" applyAlignment="1">
      <alignment horizontal="left"/>
    </xf>
    <xf numFmtId="0" fontId="7" fillId="3" borderId="0" xfId="112" applyFont="1" applyFill="1"/>
    <xf numFmtId="0" fontId="7" fillId="3" borderId="0" xfId="112" applyFont="1" applyFill="1" applyAlignment="1">
      <alignment horizontal="center"/>
    </xf>
    <xf numFmtId="0" fontId="8" fillId="0" borderId="0" xfId="112" applyFont="1"/>
    <xf numFmtId="0" fontId="35" fillId="0" borderId="0" xfId="112" applyFont="1"/>
    <xf numFmtId="0" fontId="29" fillId="17" borderId="0" xfId="112" applyFont="1" applyFill="1"/>
    <xf numFmtId="0" fontId="30" fillId="0" borderId="0" xfId="112" quotePrefix="1" applyFont="1"/>
    <xf numFmtId="0" fontId="29" fillId="4" borderId="0" xfId="112" applyFont="1" applyFill="1"/>
    <xf numFmtId="0" fontId="7" fillId="18" borderId="0" xfId="112" applyFont="1" applyFill="1"/>
    <xf numFmtId="0" fontId="7" fillId="19" borderId="0" xfId="112" applyFont="1" applyFill="1"/>
    <xf numFmtId="0" fontId="70" fillId="2" borderId="0" xfId="112" applyFont="1" applyFill="1"/>
    <xf numFmtId="0" fontId="54" fillId="2" borderId="0" xfId="112" applyFont="1" applyFill="1"/>
    <xf numFmtId="0" fontId="48" fillId="0" borderId="0" xfId="112" applyFont="1" applyFill="1"/>
    <xf numFmtId="0" fontId="48" fillId="4" borderId="0" xfId="112" applyFont="1" applyFill="1" applyAlignment="1"/>
    <xf numFmtId="0" fontId="48" fillId="0" borderId="0" xfId="112" applyFont="1" applyFill="1" applyAlignment="1"/>
    <xf numFmtId="0" fontId="71" fillId="0" borderId="0" xfId="112" applyFont="1" applyFill="1"/>
    <xf numFmtId="0" fontId="72" fillId="0" borderId="0" xfId="112" applyFont="1" applyFill="1"/>
    <xf numFmtId="0" fontId="48" fillId="0" borderId="0" xfId="112" applyFont="1" applyFill="1" applyAlignment="1">
      <alignment horizontal="left"/>
    </xf>
    <xf numFmtId="0" fontId="48" fillId="17" borderId="18" xfId="112" applyFont="1" applyFill="1" applyBorder="1" applyAlignment="1">
      <alignment horizontal="center"/>
    </xf>
    <xf numFmtId="0" fontId="69" fillId="0" borderId="0" xfId="112" applyFont="1" applyFill="1"/>
    <xf numFmtId="0" fontId="48" fillId="17" borderId="14" xfId="112" applyFont="1" applyFill="1" applyBorder="1"/>
    <xf numFmtId="0" fontId="54" fillId="19" borderId="14" xfId="112" applyFont="1" applyFill="1" applyBorder="1" applyAlignment="1">
      <alignment horizontal="center"/>
    </xf>
    <xf numFmtId="0" fontId="48" fillId="4" borderId="14" xfId="112" applyFont="1" applyFill="1" applyBorder="1" applyAlignment="1">
      <alignment horizontal="center"/>
    </xf>
    <xf numFmtId="0" fontId="48" fillId="17" borderId="34" xfId="112" applyFont="1" applyFill="1" applyBorder="1"/>
    <xf numFmtId="0" fontId="54" fillId="19" borderId="34" xfId="112" applyFont="1" applyFill="1" applyBorder="1" applyAlignment="1">
      <alignment horizontal="center"/>
    </xf>
    <xf numFmtId="0" fontId="48" fillId="4" borderId="34" xfId="112" applyFont="1" applyFill="1" applyBorder="1" applyAlignment="1">
      <alignment horizontal="center"/>
    </xf>
    <xf numFmtId="0" fontId="48" fillId="17" borderId="35" xfId="112" applyFont="1" applyFill="1" applyBorder="1"/>
    <xf numFmtId="0" fontId="54" fillId="19" borderId="35" xfId="112" applyFont="1" applyFill="1" applyBorder="1" applyAlignment="1">
      <alignment horizontal="center"/>
    </xf>
    <xf numFmtId="0" fontId="48" fillId="4" borderId="35" xfId="112" applyFont="1" applyFill="1" applyBorder="1" applyAlignment="1">
      <alignment horizontal="center"/>
    </xf>
    <xf numFmtId="0" fontId="48" fillId="5" borderId="0" xfId="112" applyFont="1" applyFill="1"/>
    <xf numFmtId="0" fontId="48" fillId="4" borderId="18" xfId="112" applyFont="1" applyFill="1" applyBorder="1"/>
    <xf numFmtId="0" fontId="48" fillId="5" borderId="14" xfId="112" applyFont="1" applyFill="1" applyBorder="1" applyAlignment="1">
      <alignment horizontal="left"/>
    </xf>
    <xf numFmtId="0" fontId="48" fillId="5" borderId="14" xfId="112" applyFont="1" applyFill="1" applyBorder="1"/>
    <xf numFmtId="0" fontId="48" fillId="5" borderId="34" xfId="112" applyFont="1" applyFill="1" applyBorder="1" applyAlignment="1">
      <alignment horizontal="left"/>
    </xf>
    <xf numFmtId="0" fontId="48" fillId="5" borderId="34" xfId="112" applyFont="1" applyFill="1" applyBorder="1"/>
    <xf numFmtId="0" fontId="48" fillId="5" borderId="35" xfId="112" applyFont="1" applyFill="1" applyBorder="1" applyAlignment="1">
      <alignment horizontal="left"/>
    </xf>
    <xf numFmtId="0" fontId="48" fillId="5" borderId="35" xfId="112" applyFont="1" applyFill="1" applyBorder="1"/>
    <xf numFmtId="0" fontId="48" fillId="0" borderId="0" xfId="112" applyFont="1"/>
    <xf numFmtId="9" fontId="48" fillId="5" borderId="0" xfId="0" applyNumberFormat="1" applyFont="1" applyFill="1" applyAlignment="1">
      <alignment vertical="center"/>
    </xf>
    <xf numFmtId="0" fontId="55" fillId="5" borderId="0" xfId="0" applyFont="1" applyFill="1" applyAlignment="1">
      <alignment vertical="center"/>
    </xf>
    <xf numFmtId="0" fontId="48" fillId="5" borderId="0" xfId="0" applyFont="1" applyFill="1" applyAlignment="1">
      <alignment horizontal="right" vertical="center"/>
    </xf>
    <xf numFmtId="10" fontId="54" fillId="19" borderId="14" xfId="112" applyNumberFormat="1" applyFont="1" applyFill="1" applyBorder="1" applyAlignment="1">
      <alignment horizontal="center"/>
    </xf>
    <xf numFmtId="0" fontId="48" fillId="17" borderId="34" xfId="112" quotePrefix="1" applyFont="1" applyFill="1" applyBorder="1"/>
    <xf numFmtId="0" fontId="48" fillId="29" borderId="0" xfId="0" applyFont="1" applyFill="1" applyAlignment="1">
      <alignment vertical="center"/>
    </xf>
    <xf numFmtId="0" fontId="8" fillId="30" borderId="0" xfId="0" applyFont="1" applyFill="1" applyAlignment="1">
      <alignment horizontal="left" vertical="center"/>
    </xf>
    <xf numFmtId="0" fontId="46" fillId="5" borderId="0" xfId="0" applyFont="1" applyFill="1" applyAlignment="1">
      <alignment horizontal="center" vertical="center"/>
    </xf>
    <xf numFmtId="9" fontId="56" fillId="5" borderId="0" xfId="167" applyFont="1" applyFill="1" applyAlignment="1" applyProtection="1">
      <alignment horizontal="center" vertical="center"/>
      <protection locked="0"/>
    </xf>
    <xf numFmtId="0" fontId="0" fillId="5" borderId="0" xfId="0" applyFont="1" applyFill="1" applyAlignment="1">
      <alignment vertical="center"/>
    </xf>
    <xf numFmtId="0" fontId="37" fillId="5" borderId="0" xfId="0" applyFont="1" applyFill="1" applyAlignment="1">
      <alignment vertical="center"/>
    </xf>
    <xf numFmtId="0" fontId="74" fillId="30" borderId="0" xfId="0" applyFont="1" applyFill="1" applyAlignment="1">
      <alignment vertical="center"/>
    </xf>
    <xf numFmtId="0" fontId="74" fillId="30" borderId="0" xfId="0" applyFont="1" applyFill="1" applyAlignment="1">
      <alignment horizontal="right" vertical="center"/>
    </xf>
    <xf numFmtId="0" fontId="74" fillId="30" borderId="0" xfId="0" applyFont="1" applyFill="1" applyAlignment="1">
      <alignment horizontal="left" vertical="center"/>
    </xf>
    <xf numFmtId="3" fontId="37" fillId="5" borderId="0" xfId="0" applyNumberFormat="1" applyFont="1" applyFill="1" applyAlignment="1">
      <alignment horizontal="center" vertical="center"/>
    </xf>
    <xf numFmtId="0" fontId="76" fillId="5" borderId="0" xfId="0" applyFont="1" applyFill="1" applyAlignment="1">
      <alignment vertical="center"/>
    </xf>
    <xf numFmtId="0" fontId="73" fillId="5" borderId="0" xfId="0" applyFont="1" applyFill="1" applyAlignment="1">
      <alignment vertical="center"/>
    </xf>
    <xf numFmtId="9" fontId="37" fillId="17" borderId="0" xfId="167" applyFont="1" applyFill="1" applyAlignment="1" applyProtection="1">
      <alignment horizontal="center" vertical="center"/>
      <protection locked="0"/>
    </xf>
    <xf numFmtId="10" fontId="48" fillId="5" borderId="0" xfId="0" applyNumberFormat="1" applyFont="1" applyFill="1" applyAlignment="1">
      <alignment vertical="center"/>
    </xf>
    <xf numFmtId="0" fontId="75" fillId="5" borderId="0" xfId="0" applyFont="1" applyFill="1" applyAlignment="1">
      <alignment horizontal="right" vertical="center"/>
    </xf>
    <xf numFmtId="185" fontId="48" fillId="5" borderId="0" xfId="0" applyNumberFormat="1" applyFont="1" applyFill="1" applyAlignment="1">
      <alignment vertical="center"/>
    </xf>
    <xf numFmtId="9" fontId="37" fillId="5" borderId="0" xfId="167" applyFont="1" applyFill="1" applyAlignment="1" applyProtection="1">
      <alignment horizontal="center" vertical="center"/>
      <protection locked="0"/>
    </xf>
    <xf numFmtId="1" fontId="46" fillId="17" borderId="0" xfId="167" applyNumberFormat="1" applyFont="1" applyFill="1" applyAlignment="1" applyProtection="1">
      <alignment horizontal="center" vertical="center"/>
      <protection locked="0"/>
    </xf>
    <xf numFmtId="0" fontId="0" fillId="5" borderId="0" xfId="0" applyFont="1" applyFill="1" applyAlignment="1">
      <alignment horizontal="center" vertical="center"/>
    </xf>
    <xf numFmtId="1" fontId="46" fillId="5" borderId="0" xfId="167" applyNumberFormat="1" applyFont="1" applyFill="1" applyAlignment="1" applyProtection="1">
      <alignment horizontal="center" vertical="center"/>
      <protection locked="0"/>
    </xf>
    <xf numFmtId="9" fontId="48" fillId="5" borderId="0" xfId="0" applyNumberFormat="1" applyFont="1" applyFill="1" applyAlignment="1">
      <alignment horizontal="center" vertical="center"/>
    </xf>
    <xf numFmtId="0" fontId="77" fillId="5" borderId="32" xfId="0" applyFont="1" applyFill="1" applyBorder="1" applyAlignment="1">
      <alignment horizontal="left" vertical="center" indent="3"/>
    </xf>
    <xf numFmtId="0" fontId="37" fillId="5" borderId="0" xfId="0" applyFont="1" applyFill="1" applyAlignment="1">
      <alignment horizontal="center" vertical="center"/>
    </xf>
    <xf numFmtId="185" fontId="37" fillId="5" borderId="0" xfId="0" applyNumberFormat="1" applyFont="1" applyFill="1" applyAlignment="1">
      <alignment horizontal="center" vertical="center"/>
    </xf>
    <xf numFmtId="0" fontId="75" fillId="5" borderId="0" xfId="0" applyFont="1" applyFill="1" applyAlignment="1">
      <alignment horizontal="center" vertical="center"/>
    </xf>
    <xf numFmtId="183" fontId="0" fillId="5" borderId="0" xfId="167" applyNumberFormat="1" applyFont="1" applyFill="1" applyAlignment="1">
      <alignment vertical="center"/>
    </xf>
    <xf numFmtId="0" fontId="78" fillId="5" borderId="0" xfId="0" applyFont="1" applyFill="1" applyAlignment="1">
      <alignment horizontal="right" vertical="center"/>
    </xf>
    <xf numFmtId="0" fontId="48" fillId="29" borderId="0" xfId="0" applyFont="1" applyFill="1" applyAlignment="1">
      <alignment horizontal="center" vertical="center"/>
    </xf>
    <xf numFmtId="0" fontId="0" fillId="29" borderId="0" xfId="0" applyFont="1" applyFill="1" applyAlignment="1">
      <alignment horizontal="center" vertical="center"/>
    </xf>
    <xf numFmtId="0" fontId="79" fillId="5" borderId="0" xfId="0" applyFont="1" applyFill="1" applyAlignment="1">
      <alignment vertical="center"/>
    </xf>
    <xf numFmtId="0" fontId="29" fillId="0" borderId="0" xfId="172" applyFont="1"/>
    <xf numFmtId="0" fontId="29" fillId="0" borderId="0" xfId="172" applyFont="1" applyFill="1" applyBorder="1"/>
    <xf numFmtId="0" fontId="48" fillId="5" borderId="0" xfId="0" applyFont="1" applyFill="1" applyAlignment="1">
      <alignment horizontal="center" vertical="center"/>
    </xf>
    <xf numFmtId="9" fontId="44" fillId="5" borderId="0" xfId="167" applyFont="1" applyFill="1" applyAlignment="1" applyProtection="1">
      <alignment horizontal="center" vertical="center"/>
      <protection locked="0"/>
    </xf>
    <xf numFmtId="0" fontId="80" fillId="5" borderId="0" xfId="0" applyFont="1" applyFill="1" applyAlignment="1">
      <alignment horizontal="center" vertical="center"/>
    </xf>
    <xf numFmtId="0" fontId="81" fillId="5" borderId="0" xfId="0" applyFont="1" applyFill="1" applyAlignment="1">
      <alignment horizontal="center" vertical="center"/>
    </xf>
    <xf numFmtId="1" fontId="37" fillId="5" borderId="0" xfId="0" applyNumberFormat="1" applyFont="1" applyFill="1" applyAlignment="1">
      <alignment horizontal="center" vertical="center"/>
    </xf>
    <xf numFmtId="9" fontId="48" fillId="31" borderId="0" xfId="0" applyNumberFormat="1" applyFont="1" applyFill="1" applyAlignment="1">
      <alignment horizontal="center" vertical="center"/>
    </xf>
    <xf numFmtId="9" fontId="82" fillId="5" borderId="0" xfId="0" applyNumberFormat="1" applyFont="1" applyFill="1" applyAlignment="1">
      <alignment horizontal="center" vertical="center"/>
    </xf>
    <xf numFmtId="9" fontId="48" fillId="5" borderId="0" xfId="0" applyNumberFormat="1" applyFont="1" applyFill="1" applyBorder="1" applyAlignment="1">
      <alignment vertical="center"/>
    </xf>
    <xf numFmtId="0" fontId="8" fillId="32" borderId="0" xfId="0" applyFont="1" applyFill="1"/>
    <xf numFmtId="0" fontId="0" fillId="32" borderId="0" xfId="0" applyFill="1"/>
    <xf numFmtId="0" fontId="8" fillId="33" borderId="0" xfId="0" applyFont="1" applyFill="1"/>
    <xf numFmtId="0" fontId="0" fillId="33" borderId="0" xfId="0" applyFill="1"/>
    <xf numFmtId="3" fontId="0" fillId="0" borderId="0" xfId="0" applyNumberFormat="1"/>
    <xf numFmtId="9" fontId="0" fillId="0" borderId="0" xfId="0" applyNumberFormat="1"/>
    <xf numFmtId="9" fontId="0" fillId="17" borderId="0" xfId="0" applyNumberFormat="1" applyFill="1"/>
    <xf numFmtId="0" fontId="8" fillId="34" borderId="0" xfId="0" applyFont="1" applyFill="1"/>
    <xf numFmtId="0" fontId="0" fillId="34" borderId="0" xfId="0" applyFill="1"/>
    <xf numFmtId="0" fontId="8" fillId="31" borderId="0" xfId="0" applyFont="1" applyFill="1"/>
    <xf numFmtId="0" fontId="0" fillId="31" borderId="0" xfId="0" applyFill="1"/>
    <xf numFmtId="183" fontId="0" fillId="0" borderId="0" xfId="167" applyNumberFormat="1" applyFont="1"/>
    <xf numFmtId="183" fontId="0" fillId="0" borderId="0" xfId="0" applyNumberFormat="1"/>
    <xf numFmtId="0" fontId="48" fillId="5" borderId="0" xfId="0" applyFont="1" applyFill="1" applyAlignment="1">
      <alignment horizontal="center" vertical="center"/>
    </xf>
    <xf numFmtId="186" fontId="0" fillId="0" borderId="0" xfId="173" applyNumberFormat="1" applyFont="1"/>
    <xf numFmtId="0" fontId="84" fillId="5" borderId="0" xfId="0" applyFont="1" applyFill="1" applyAlignment="1">
      <alignment horizontal="center" vertical="center"/>
    </xf>
    <xf numFmtId="0" fontId="48" fillId="5" borderId="0" xfId="0" applyFont="1" applyFill="1" applyAlignment="1">
      <alignment horizontal="left" vertical="center" indent="1"/>
    </xf>
    <xf numFmtId="0" fontId="48" fillId="5" borderId="0" xfId="0" applyFont="1" applyFill="1" applyAlignment="1">
      <alignment horizontal="left" vertical="center" indent="2"/>
    </xf>
    <xf numFmtId="0" fontId="37" fillId="5" borderId="0" xfId="0" applyFont="1" applyFill="1" applyBorder="1" applyAlignment="1">
      <alignment vertical="center"/>
    </xf>
    <xf numFmtId="0" fontId="48" fillId="5" borderId="39" xfId="0" applyFont="1" applyFill="1" applyBorder="1" applyAlignment="1">
      <alignment vertical="center"/>
    </xf>
    <xf numFmtId="0" fontId="48" fillId="5" borderId="19" xfId="0" applyFont="1" applyFill="1" applyBorder="1" applyAlignment="1">
      <alignment vertical="center"/>
    </xf>
    <xf numFmtId="3" fontId="37" fillId="5" borderId="0" xfId="0" applyNumberFormat="1" applyFont="1" applyFill="1" applyBorder="1" applyAlignment="1">
      <alignment horizontal="center" vertical="center"/>
    </xf>
    <xf numFmtId="9" fontId="46" fillId="5" borderId="40" xfId="167" applyFont="1" applyFill="1" applyBorder="1" applyAlignment="1" applyProtection="1">
      <alignment horizontal="center" vertical="center"/>
      <protection locked="0"/>
    </xf>
    <xf numFmtId="0" fontId="48" fillId="5" borderId="41" xfId="0" applyFont="1" applyFill="1" applyBorder="1" applyAlignment="1">
      <alignment vertical="center"/>
    </xf>
    <xf numFmtId="3" fontId="37" fillId="5" borderId="41" xfId="0" applyNumberFormat="1" applyFont="1" applyFill="1" applyBorder="1" applyAlignment="1">
      <alignment horizontal="center" vertical="center"/>
    </xf>
    <xf numFmtId="3" fontId="37" fillId="5" borderId="42" xfId="0" applyNumberFormat="1" applyFont="1" applyFill="1" applyBorder="1" applyAlignment="1">
      <alignment horizontal="center" vertical="center"/>
    </xf>
    <xf numFmtId="0" fontId="48" fillId="5" borderId="40" xfId="0" applyFont="1" applyFill="1" applyBorder="1" applyAlignment="1">
      <alignment vertical="center"/>
    </xf>
    <xf numFmtId="0" fontId="48" fillId="5" borderId="42" xfId="0" applyFont="1" applyFill="1" applyBorder="1" applyAlignment="1">
      <alignment vertical="center"/>
    </xf>
    <xf numFmtId="0" fontId="85" fillId="5" borderId="39" xfId="0" applyFont="1" applyFill="1" applyBorder="1" applyAlignment="1">
      <alignment horizontal="center" vertical="center"/>
    </xf>
    <xf numFmtId="0" fontId="85" fillId="5" borderId="0" xfId="0" applyFont="1" applyFill="1" applyBorder="1" applyAlignment="1">
      <alignment horizontal="center" vertical="center"/>
    </xf>
    <xf numFmtId="0" fontId="85" fillId="5" borderId="19" xfId="0" applyFont="1" applyFill="1" applyBorder="1" applyAlignment="1">
      <alignment horizontal="center" vertical="center"/>
    </xf>
    <xf numFmtId="0" fontId="85" fillId="5" borderId="36" xfId="0" applyFont="1" applyFill="1" applyBorder="1" applyAlignment="1">
      <alignment horizontal="center" vertical="center" wrapText="1"/>
    </xf>
    <xf numFmtId="0" fontId="85" fillId="5" borderId="38" xfId="0" applyFont="1" applyFill="1" applyBorder="1" applyAlignment="1">
      <alignment horizontal="center" vertical="center" wrapText="1"/>
    </xf>
    <xf numFmtId="9" fontId="37" fillId="5" borderId="40" xfId="167" applyFont="1" applyFill="1" applyBorder="1" applyAlignment="1" applyProtection="1">
      <alignment horizontal="center" vertical="center"/>
      <protection locked="0"/>
    </xf>
    <xf numFmtId="0" fontId="85" fillId="5" borderId="37" xfId="0" applyFont="1" applyFill="1" applyBorder="1" applyAlignment="1">
      <alignment horizontal="center" vertical="center" wrapText="1"/>
    </xf>
    <xf numFmtId="185" fontId="37" fillId="5" borderId="40" xfId="0" applyNumberFormat="1" applyFont="1" applyFill="1" applyBorder="1" applyAlignment="1">
      <alignment horizontal="center" vertical="center"/>
    </xf>
    <xf numFmtId="0" fontId="85" fillId="5" borderId="0" xfId="0" applyFont="1" applyFill="1" applyBorder="1" applyAlignment="1">
      <alignment horizontal="center" vertical="center" wrapText="1"/>
    </xf>
    <xf numFmtId="1" fontId="46" fillId="5" borderId="40" xfId="167" applyNumberFormat="1" applyFont="1" applyFill="1" applyBorder="1" applyAlignment="1" applyProtection="1">
      <alignment horizontal="center" vertical="center"/>
      <protection locked="0"/>
    </xf>
    <xf numFmtId="1" fontId="46" fillId="5" borderId="41" xfId="167" applyNumberFormat="1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>
      <alignment vertical="center"/>
    </xf>
    <xf numFmtId="0" fontId="85" fillId="5" borderId="19" xfId="0" applyFont="1" applyFill="1" applyBorder="1" applyAlignment="1">
      <alignment horizontal="center" vertical="center" wrapText="1"/>
    </xf>
    <xf numFmtId="1" fontId="46" fillId="5" borderId="42" xfId="167" applyNumberFormat="1" applyFont="1" applyFill="1" applyBorder="1" applyAlignment="1" applyProtection="1">
      <alignment horizontal="center" vertical="center"/>
      <protection locked="0"/>
    </xf>
    <xf numFmtId="0" fontId="87" fillId="5" borderId="0" xfId="0" applyFont="1" applyFill="1" applyAlignment="1">
      <alignment vertical="center"/>
    </xf>
    <xf numFmtId="0" fontId="57" fillId="5" borderId="0" xfId="0" applyFont="1" applyFill="1" applyAlignment="1">
      <alignment vertical="center"/>
    </xf>
    <xf numFmtId="185" fontId="58" fillId="5" borderId="0" xfId="0" applyNumberFormat="1" applyFont="1" applyFill="1" applyBorder="1" applyAlignment="1">
      <alignment horizontal="center" vertical="center"/>
    </xf>
    <xf numFmtId="185" fontId="57" fillId="5" borderId="0" xfId="0" applyNumberFormat="1" applyFont="1" applyFill="1" applyAlignment="1">
      <alignment vertical="center"/>
    </xf>
    <xf numFmtId="0" fontId="85" fillId="5" borderId="39" xfId="0" applyFont="1" applyFill="1" applyBorder="1" applyAlignment="1">
      <alignment horizontal="center" vertical="center" wrapText="1"/>
    </xf>
    <xf numFmtId="0" fontId="48" fillId="35" borderId="0" xfId="0" applyFont="1" applyFill="1" applyBorder="1" applyAlignment="1">
      <alignment vertical="center"/>
    </xf>
    <xf numFmtId="3" fontId="37" fillId="35" borderId="0" xfId="0" applyNumberFormat="1" applyFont="1" applyFill="1" applyBorder="1" applyAlignment="1">
      <alignment horizontal="center" vertical="center"/>
    </xf>
    <xf numFmtId="0" fontId="76" fillId="35" borderId="0" xfId="0" applyFont="1" applyFill="1" applyBorder="1" applyAlignment="1">
      <alignment vertical="center"/>
    </xf>
    <xf numFmtId="0" fontId="8" fillId="17" borderId="0" xfId="0" applyFont="1" applyFill="1" applyAlignment="1">
      <alignment horizontal="center"/>
    </xf>
    <xf numFmtId="9" fontId="8" fillId="17" borderId="0" xfId="0" applyNumberFormat="1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0" fontId="88" fillId="5" borderId="0" xfId="0" applyFont="1" applyFill="1" applyAlignment="1">
      <alignment vertical="center"/>
    </xf>
    <xf numFmtId="0" fontId="89" fillId="5" borderId="0" xfId="0" applyFont="1" applyFill="1" applyAlignment="1">
      <alignment vertical="center"/>
    </xf>
    <xf numFmtId="3" fontId="0" fillId="17" borderId="0" xfId="0" applyNumberFormat="1" applyFill="1"/>
    <xf numFmtId="183" fontId="0" fillId="17" borderId="0" xfId="167" applyNumberFormat="1" applyFont="1" applyFill="1"/>
    <xf numFmtId="9" fontId="0" fillId="5" borderId="0" xfId="0" applyNumberFormat="1" applyFill="1"/>
    <xf numFmtId="0" fontId="0" fillId="5" borderId="0" xfId="0" applyFill="1"/>
    <xf numFmtId="183" fontId="0" fillId="8" borderId="0" xfId="167" applyNumberFormat="1" applyFont="1" applyFill="1"/>
    <xf numFmtId="183" fontId="0" fillId="5" borderId="0" xfId="167" applyNumberFormat="1" applyFont="1" applyFill="1"/>
    <xf numFmtId="3" fontId="0" fillId="5" borderId="0" xfId="167" applyNumberFormat="1" applyFont="1" applyFill="1"/>
    <xf numFmtId="3" fontId="0" fillId="17" borderId="0" xfId="167" applyNumberFormat="1" applyFont="1" applyFill="1"/>
    <xf numFmtId="3" fontId="0" fillId="5" borderId="0" xfId="0" applyNumberFormat="1" applyFill="1"/>
    <xf numFmtId="183" fontId="0" fillId="17" borderId="0" xfId="0" applyNumberFormat="1" applyFill="1"/>
    <xf numFmtId="10" fontId="0" fillId="5" borderId="0" xfId="0" applyNumberFormat="1" applyFill="1"/>
    <xf numFmtId="183" fontId="0" fillId="0" borderId="0" xfId="167" applyNumberFormat="1" applyFont="1" applyAlignment="1">
      <alignment horizontal="center"/>
    </xf>
    <xf numFmtId="10" fontId="0" fillId="4" borderId="0" xfId="167" applyNumberFormat="1" applyFont="1" applyFill="1" applyAlignment="1">
      <alignment horizontal="center"/>
    </xf>
    <xf numFmtId="0" fontId="8" fillId="0" borderId="0" xfId="0" applyFont="1" applyFill="1"/>
    <xf numFmtId="0" fontId="8" fillId="5" borderId="0" xfId="0" applyFont="1" applyFill="1"/>
    <xf numFmtId="10" fontId="46" fillId="35" borderId="39" xfId="167" applyNumberFormat="1" applyFont="1" applyFill="1" applyBorder="1" applyAlignment="1">
      <alignment horizontal="center" vertical="center"/>
    </xf>
    <xf numFmtId="10" fontId="37" fillId="35" borderId="0" xfId="167" applyNumberFormat="1" applyFont="1" applyFill="1" applyBorder="1" applyAlignment="1">
      <alignment vertical="center"/>
    </xf>
    <xf numFmtId="10" fontId="37" fillId="5" borderId="0" xfId="167" applyNumberFormat="1" applyFont="1" applyFill="1" applyBorder="1" applyAlignment="1">
      <alignment vertical="center"/>
    </xf>
    <xf numFmtId="10" fontId="46" fillId="5" borderId="39" xfId="0" applyNumberFormat="1" applyFont="1" applyFill="1" applyBorder="1" applyAlignment="1">
      <alignment horizontal="right" vertical="center"/>
    </xf>
    <xf numFmtId="10" fontId="46" fillId="35" borderId="39" xfId="167" applyNumberFormat="1" applyFont="1" applyFill="1" applyBorder="1" applyAlignment="1" applyProtection="1">
      <alignment horizontal="right" vertical="center"/>
      <protection locked="0"/>
    </xf>
    <xf numFmtId="3" fontId="0" fillId="0" borderId="0" xfId="167" applyNumberFormat="1" applyFont="1" applyAlignment="1">
      <alignment horizontal="center"/>
    </xf>
    <xf numFmtId="3" fontId="0" fillId="4" borderId="0" xfId="167" applyNumberFormat="1" applyFont="1" applyFill="1" applyAlignment="1">
      <alignment horizontal="center"/>
    </xf>
    <xf numFmtId="0" fontId="0" fillId="36" borderId="0" xfId="0" applyFill="1"/>
    <xf numFmtId="183" fontId="0" fillId="36" borderId="0" xfId="167" applyNumberFormat="1" applyFont="1" applyFill="1" applyAlignment="1">
      <alignment horizontal="center"/>
    </xf>
    <xf numFmtId="10" fontId="0" fillId="36" borderId="0" xfId="167" applyNumberFormat="1" applyFont="1" applyFill="1" applyAlignment="1">
      <alignment horizontal="center"/>
    </xf>
    <xf numFmtId="0" fontId="0" fillId="34" borderId="0" xfId="0" applyFill="1" applyAlignment="1">
      <alignment horizontal="center"/>
    </xf>
    <xf numFmtId="3" fontId="8" fillId="0" borderId="0" xfId="0" applyNumberFormat="1" applyFont="1"/>
    <xf numFmtId="183" fontId="8" fillId="0" borderId="0" xfId="167" applyNumberFormat="1" applyFont="1"/>
    <xf numFmtId="0" fontId="48" fillId="5" borderId="0" xfId="0" applyFont="1" applyFill="1" applyAlignment="1">
      <alignment horizontal="center" vertical="center"/>
    </xf>
    <xf numFmtId="0" fontId="48" fillId="5" borderId="0" xfId="0" applyFont="1" applyFill="1" applyAlignment="1">
      <alignment horizontal="center" vertical="center"/>
    </xf>
    <xf numFmtId="3" fontId="37" fillId="5" borderId="0" xfId="0" applyNumberFormat="1" applyFont="1" applyFill="1" applyBorder="1" applyAlignment="1">
      <alignment horizontal="right" vertical="center"/>
    </xf>
    <xf numFmtId="3" fontId="37" fillId="35" borderId="0" xfId="0" applyNumberFormat="1" applyFont="1" applyFill="1" applyBorder="1" applyAlignment="1">
      <alignment horizontal="right" vertical="center"/>
    </xf>
    <xf numFmtId="10" fontId="37" fillId="35" borderId="0" xfId="167" applyNumberFormat="1" applyFont="1" applyFill="1" applyBorder="1" applyAlignment="1">
      <alignment horizontal="left" vertical="center"/>
    </xf>
    <xf numFmtId="10" fontId="0" fillId="0" borderId="0" xfId="167" applyNumberFormat="1" applyFont="1" applyAlignment="1">
      <alignment horizontal="center"/>
    </xf>
    <xf numFmtId="10" fontId="0" fillId="0" borderId="0" xfId="0" applyNumberFormat="1"/>
    <xf numFmtId="3" fontId="37" fillId="35" borderId="39" xfId="0" applyNumberFormat="1" applyFont="1" applyFill="1" applyBorder="1" applyAlignment="1">
      <alignment vertical="center"/>
    </xf>
    <xf numFmtId="3" fontId="37" fillId="5" borderId="39" xfId="0" applyNumberFormat="1" applyFont="1" applyFill="1" applyBorder="1" applyAlignment="1">
      <alignment vertical="center"/>
    </xf>
    <xf numFmtId="183" fontId="37" fillId="35" borderId="0" xfId="0" applyNumberFormat="1" applyFont="1" applyFill="1" applyBorder="1" applyAlignment="1">
      <alignment vertical="center"/>
    </xf>
    <xf numFmtId="183" fontId="37" fillId="5" borderId="0" xfId="0" applyNumberFormat="1" applyFont="1" applyFill="1" applyBorder="1" applyAlignment="1">
      <alignment horizontal="right" vertical="center"/>
    </xf>
    <xf numFmtId="183" fontId="37" fillId="35" borderId="0" xfId="0" applyNumberFormat="1" applyFont="1" applyFill="1" applyBorder="1" applyAlignment="1">
      <alignment horizontal="right" vertical="center"/>
    </xf>
    <xf numFmtId="3" fontId="37" fillId="35" borderId="0" xfId="167" applyNumberFormat="1" applyFont="1" applyFill="1" applyBorder="1" applyAlignment="1" applyProtection="1">
      <alignment horizontal="center" vertical="center"/>
      <protection locked="0"/>
    </xf>
    <xf numFmtId="3" fontId="37" fillId="5" borderId="0" xfId="167" applyNumberFormat="1" applyFont="1" applyFill="1" applyBorder="1" applyAlignment="1" applyProtection="1">
      <alignment horizontal="center" vertical="center"/>
      <protection locked="0"/>
    </xf>
    <xf numFmtId="10" fontId="37" fillId="5" borderId="0" xfId="0" applyNumberFormat="1" applyFont="1" applyFill="1" applyBorder="1" applyAlignment="1">
      <alignment vertical="center"/>
    </xf>
    <xf numFmtId="10" fontId="37" fillId="35" borderId="0" xfId="0" applyNumberFormat="1" applyFont="1" applyFill="1" applyBorder="1" applyAlignment="1">
      <alignment horizontal="right" vertical="center"/>
    </xf>
    <xf numFmtId="10" fontId="37" fillId="5" borderId="0" xfId="0" applyNumberFormat="1" applyFont="1" applyFill="1" applyBorder="1" applyAlignment="1">
      <alignment horizontal="right" vertical="center"/>
    </xf>
    <xf numFmtId="10" fontId="37" fillId="35" borderId="0" xfId="0" applyNumberFormat="1" applyFont="1" applyFill="1" applyBorder="1" applyAlignment="1">
      <alignment vertical="center"/>
    </xf>
    <xf numFmtId="3" fontId="46" fillId="35" borderId="39" xfId="167" applyNumberFormat="1" applyFont="1" applyFill="1" applyBorder="1" applyAlignment="1" applyProtection="1">
      <alignment horizontal="center" vertical="center"/>
      <protection locked="0"/>
    </xf>
    <xf numFmtId="3" fontId="37" fillId="35" borderId="39" xfId="167" applyNumberFormat="1" applyFont="1" applyFill="1" applyBorder="1" applyAlignment="1" applyProtection="1">
      <alignment horizontal="right" vertical="center"/>
      <protection locked="0"/>
    </xf>
    <xf numFmtId="10" fontId="37" fillId="35" borderId="0" xfId="167" applyNumberFormat="1" applyFont="1" applyFill="1" applyBorder="1" applyAlignment="1" applyProtection="1">
      <alignment horizontal="center" vertical="center"/>
      <protection locked="0"/>
    </xf>
    <xf numFmtId="10" fontId="37" fillId="5" borderId="0" xfId="167" applyNumberFormat="1" applyFont="1" applyFill="1" applyBorder="1" applyAlignment="1" applyProtection="1">
      <alignment horizontal="center" vertical="center"/>
      <protection locked="0"/>
    </xf>
    <xf numFmtId="3" fontId="37" fillId="5" borderId="39" xfId="167" applyNumberFormat="1" applyFont="1" applyFill="1" applyBorder="1" applyAlignment="1" applyProtection="1">
      <alignment horizontal="right" vertical="center"/>
      <protection locked="0"/>
    </xf>
    <xf numFmtId="0" fontId="37" fillId="35" borderId="19" xfId="0" applyFont="1" applyFill="1" applyBorder="1" applyAlignment="1">
      <alignment vertical="center"/>
    </xf>
    <xf numFmtId="10" fontId="37" fillId="35" borderId="0" xfId="167" applyNumberFormat="1" applyFont="1" applyFill="1" applyAlignment="1">
      <alignment horizontal="left" vertical="center"/>
    </xf>
    <xf numFmtId="0" fontId="37" fillId="35" borderId="0" xfId="0" applyFont="1" applyFill="1" applyAlignment="1">
      <alignment vertical="center"/>
    </xf>
    <xf numFmtId="3" fontId="46" fillId="35" borderId="0" xfId="167" applyNumberFormat="1" applyFont="1" applyFill="1" applyAlignment="1">
      <alignment horizontal="left" vertical="center"/>
    </xf>
    <xf numFmtId="0" fontId="37" fillId="5" borderId="19" xfId="0" applyFont="1" applyFill="1" applyBorder="1" applyAlignment="1">
      <alignment vertical="center"/>
    </xf>
    <xf numFmtId="10" fontId="37" fillId="5" borderId="39" xfId="167" applyNumberFormat="1" applyFont="1" applyFill="1" applyBorder="1" applyAlignment="1">
      <alignment horizontal="right" vertical="center"/>
    </xf>
    <xf numFmtId="10" fontId="37" fillId="5" borderId="0" xfId="167" applyNumberFormat="1" applyFont="1" applyFill="1" applyAlignment="1">
      <alignment horizontal="right" vertical="center"/>
    </xf>
    <xf numFmtId="3" fontId="37" fillId="5" borderId="0" xfId="167" applyNumberFormat="1" applyFont="1" applyFill="1" applyAlignment="1">
      <alignment horizontal="right" vertical="center"/>
    </xf>
    <xf numFmtId="10" fontId="37" fillId="35" borderId="39" xfId="167" applyNumberFormat="1" applyFont="1" applyFill="1" applyBorder="1" applyAlignment="1">
      <alignment horizontal="right" vertical="center"/>
    </xf>
    <xf numFmtId="10" fontId="37" fillId="35" borderId="0" xfId="167" applyNumberFormat="1" applyFont="1" applyFill="1" applyAlignment="1">
      <alignment horizontal="right" vertical="center"/>
    </xf>
    <xf numFmtId="3" fontId="37" fillId="35" borderId="0" xfId="167" applyNumberFormat="1" applyFont="1" applyFill="1" applyAlignment="1">
      <alignment horizontal="right" vertical="center"/>
    </xf>
    <xf numFmtId="0" fontId="37" fillId="35" borderId="19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187" fontId="0" fillId="0" borderId="0" xfId="167" applyNumberFormat="1" applyFont="1" applyAlignment="1">
      <alignment horizontal="center"/>
    </xf>
    <xf numFmtId="188" fontId="48" fillId="5" borderId="0" xfId="0" applyNumberFormat="1" applyFont="1" applyFill="1" applyAlignment="1">
      <alignment vertical="center"/>
    </xf>
    <xf numFmtId="0" fontId="37" fillId="35" borderId="39" xfId="0" applyFont="1" applyFill="1" applyBorder="1" applyAlignment="1">
      <alignment horizontal="center" vertical="center"/>
    </xf>
    <xf numFmtId="0" fontId="37" fillId="5" borderId="39" xfId="0" applyFont="1" applyFill="1" applyBorder="1" applyAlignment="1">
      <alignment horizontal="center" vertical="center"/>
    </xf>
    <xf numFmtId="0" fontId="7" fillId="23" borderId="0" xfId="0" applyFont="1" applyFill="1"/>
    <xf numFmtId="10" fontId="8" fillId="0" borderId="0" xfId="0" applyNumberFormat="1" applyFont="1"/>
    <xf numFmtId="0" fontId="8" fillId="37" borderId="0" xfId="0" applyFont="1" applyFill="1"/>
    <xf numFmtId="0" fontId="0" fillId="37" borderId="0" xfId="0" applyFill="1"/>
    <xf numFmtId="2" fontId="37" fillId="35" borderId="0" xfId="167" applyNumberFormat="1" applyFont="1" applyFill="1" applyBorder="1" applyAlignment="1">
      <alignment horizontal="left" vertical="center"/>
    </xf>
    <xf numFmtId="2" fontId="37" fillId="5" borderId="0" xfId="167" applyNumberFormat="1" applyFont="1" applyFill="1" applyBorder="1" applyAlignment="1">
      <alignment vertical="center"/>
    </xf>
    <xf numFmtId="2" fontId="37" fillId="35" borderId="0" xfId="167" applyNumberFormat="1" applyFont="1" applyFill="1" applyBorder="1" applyAlignment="1">
      <alignment vertical="center"/>
    </xf>
    <xf numFmtId="0" fontId="8" fillId="38" borderId="0" xfId="0" applyFont="1" applyFill="1"/>
    <xf numFmtId="0" fontId="0" fillId="38" borderId="0" xfId="0" applyFill="1"/>
    <xf numFmtId="0" fontId="8" fillId="35" borderId="0" xfId="0" applyFont="1" applyFill="1"/>
    <xf numFmtId="0" fontId="0" fillId="35" borderId="0" xfId="0" applyFill="1"/>
    <xf numFmtId="0" fontId="1" fillId="0" borderId="0" xfId="162" applyFont="1"/>
    <xf numFmtId="10" fontId="0" fillId="0" borderId="0" xfId="167" applyNumberFormat="1" applyFont="1"/>
    <xf numFmtId="10" fontId="37" fillId="5" borderId="39" xfId="0" applyNumberFormat="1" applyFont="1" applyFill="1" applyBorder="1" applyAlignment="1">
      <alignment horizontal="right" vertical="center"/>
    </xf>
    <xf numFmtId="10" fontId="37" fillId="35" borderId="39" xfId="167" applyNumberFormat="1" applyFont="1" applyFill="1" applyBorder="1" applyAlignment="1" applyProtection="1">
      <alignment horizontal="right" vertical="center"/>
      <protection locked="0"/>
    </xf>
    <xf numFmtId="2" fontId="48" fillId="5" borderId="0" xfId="0" applyNumberFormat="1" applyFont="1" applyFill="1" applyAlignment="1">
      <alignment vertical="center"/>
    </xf>
    <xf numFmtId="0" fontId="7" fillId="23" borderId="0" xfId="0" applyFont="1" applyFill="1" applyAlignment="1">
      <alignment horizontal="center"/>
    </xf>
    <xf numFmtId="0" fontId="73" fillId="23" borderId="0" xfId="0" applyFont="1" applyFill="1" applyAlignment="1">
      <alignment vertical="center"/>
    </xf>
    <xf numFmtId="3" fontId="0" fillId="0" borderId="0" xfId="167" applyNumberFormat="1" applyFont="1"/>
    <xf numFmtId="10" fontId="37" fillId="8" borderId="0" xfId="167" applyNumberFormat="1" applyFont="1" applyFill="1" applyBorder="1" applyAlignment="1" applyProtection="1">
      <alignment horizontal="center" vertical="center"/>
      <protection locked="0"/>
    </xf>
    <xf numFmtId="15" fontId="0" fillId="0" borderId="0" xfId="0" applyNumberFormat="1"/>
    <xf numFmtId="15" fontId="0" fillId="4" borderId="0" xfId="0" applyNumberFormat="1" applyFill="1"/>
    <xf numFmtId="0" fontId="48" fillId="5" borderId="0" xfId="0" applyFont="1" applyFill="1" applyAlignment="1">
      <alignment horizontal="center" vertical="center"/>
    </xf>
    <xf numFmtId="0" fontId="48" fillId="5" borderId="0" xfId="0" applyFont="1" applyFill="1" applyAlignment="1">
      <alignment horizontal="center" vertical="center"/>
    </xf>
    <xf numFmtId="1" fontId="8" fillId="0" borderId="0" xfId="0" applyNumberFormat="1" applyFont="1"/>
    <xf numFmtId="0" fontId="0" fillId="17" borderId="18" xfId="0" applyFill="1" applyBorder="1"/>
    <xf numFmtId="10" fontId="0" fillId="17" borderId="0" xfId="0" applyNumberFormat="1" applyFill="1"/>
    <xf numFmtId="0" fontId="48" fillId="5" borderId="0" xfId="0" applyFont="1" applyFill="1" applyAlignment="1">
      <alignment horizontal="center" vertical="center"/>
    </xf>
    <xf numFmtId="0" fontId="48" fillId="5" borderId="0" xfId="0" applyFont="1" applyFill="1" applyAlignment="1">
      <alignment horizontal="center" vertical="center"/>
    </xf>
    <xf numFmtId="10" fontId="54" fillId="19" borderId="34" xfId="112" applyNumberFormat="1" applyFont="1" applyFill="1" applyBorder="1" applyAlignment="1">
      <alignment horizontal="center"/>
    </xf>
    <xf numFmtId="183" fontId="0" fillId="9" borderId="0" xfId="167" applyNumberFormat="1" applyFont="1" applyFill="1" applyAlignment="1">
      <alignment horizontal="center"/>
    </xf>
    <xf numFmtId="0" fontId="48" fillId="5" borderId="0" xfId="0" applyFont="1" applyFill="1" applyAlignment="1">
      <alignment horizontal="center" vertical="center"/>
    </xf>
    <xf numFmtId="0" fontId="69" fillId="5" borderId="0" xfId="0" applyFont="1" applyFill="1" applyAlignment="1">
      <alignment horizontal="left" vertical="center"/>
    </xf>
    <xf numFmtId="9" fontId="37" fillId="17" borderId="0" xfId="167" applyFont="1" applyFill="1" applyAlignment="1">
      <alignment horizontal="center" vertical="center"/>
    </xf>
    <xf numFmtId="1" fontId="0" fillId="5" borderId="0" xfId="167" applyNumberFormat="1" applyFont="1" applyFill="1" applyAlignment="1">
      <alignment horizontal="center" vertical="center"/>
    </xf>
    <xf numFmtId="0" fontId="48" fillId="5" borderId="0" xfId="0" applyFont="1" applyFill="1" applyAlignment="1">
      <alignment horizontal="center" vertical="center"/>
    </xf>
    <xf numFmtId="0" fontId="61" fillId="5" borderId="0" xfId="0" applyFont="1" applyFill="1" applyAlignment="1">
      <alignment horizontal="right" vertical="center"/>
    </xf>
    <xf numFmtId="185" fontId="61" fillId="5" borderId="0" xfId="0" applyNumberFormat="1" applyFont="1" applyFill="1" applyAlignment="1">
      <alignment horizontal="right" vertical="center"/>
    </xf>
    <xf numFmtId="10" fontId="48" fillId="5" borderId="0" xfId="167" applyNumberFormat="1" applyFont="1" applyFill="1" applyAlignment="1">
      <alignment vertical="center"/>
    </xf>
    <xf numFmtId="9" fontId="37" fillId="31" borderId="0" xfId="167" applyFont="1" applyFill="1" applyAlignment="1">
      <alignment horizontal="center" vertical="center"/>
    </xf>
    <xf numFmtId="9" fontId="37" fillId="31" borderId="0" xfId="167" applyFont="1" applyFill="1" applyAlignment="1" applyProtection="1">
      <alignment horizontal="center" vertical="center"/>
      <protection locked="0"/>
    </xf>
    <xf numFmtId="1" fontId="48" fillId="5" borderId="0" xfId="0" applyNumberFormat="1" applyFon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7" fillId="0" borderId="0" xfId="0" applyFont="1" applyFill="1"/>
    <xf numFmtId="0" fontId="29" fillId="0" borderId="0" xfId="0" applyFont="1" applyFill="1"/>
    <xf numFmtId="0" fontId="37" fillId="0" borderId="0" xfId="0" applyFont="1" applyFill="1"/>
    <xf numFmtId="10" fontId="0" fillId="0" borderId="0" xfId="167" applyNumberFormat="1" applyFont="1" applyFill="1" applyAlignment="1">
      <alignment horizontal="center"/>
    </xf>
    <xf numFmtId="3" fontId="0" fillId="0" borderId="0" xfId="167" applyNumberFormat="1" applyFont="1" applyFill="1" applyAlignment="1">
      <alignment horizontal="center"/>
    </xf>
    <xf numFmtId="9" fontId="37" fillId="31" borderId="0" xfId="167" applyFont="1" applyFill="1" applyAlignment="1" applyProtection="1">
      <alignment horizontal="center" vertical="center"/>
    </xf>
    <xf numFmtId="1" fontId="46" fillId="35" borderId="0" xfId="167" applyNumberFormat="1" applyFont="1" applyFill="1" applyAlignment="1" applyProtection="1">
      <alignment horizontal="center" vertical="center"/>
      <protection locked="0"/>
    </xf>
    <xf numFmtId="9" fontId="0" fillId="0" borderId="0" xfId="167" applyFont="1"/>
    <xf numFmtId="10" fontId="0" fillId="17" borderId="18" xfId="167" applyNumberFormat="1" applyFont="1" applyFill="1" applyBorder="1"/>
    <xf numFmtId="9" fontId="8" fillId="33" borderId="0" xfId="0" applyNumberFormat="1" applyFont="1" applyFill="1"/>
    <xf numFmtId="189" fontId="8" fillId="0" borderId="0" xfId="167" applyNumberFormat="1" applyFont="1"/>
    <xf numFmtId="9" fontId="0" fillId="0" borderId="0" xfId="167" applyFont="1" applyFill="1" applyAlignment="1">
      <alignment horizontal="center" vertical="center"/>
    </xf>
    <xf numFmtId="188" fontId="0" fillId="0" borderId="0" xfId="0" applyNumberFormat="1"/>
    <xf numFmtId="10" fontId="48" fillId="0" borderId="0" xfId="167" applyNumberFormat="1" applyFont="1" applyFill="1"/>
    <xf numFmtId="1" fontId="48" fillId="0" borderId="0" xfId="112" applyNumberFormat="1" applyFont="1" applyFill="1"/>
    <xf numFmtId="1" fontId="37" fillId="35" borderId="19" xfId="167" applyNumberFormat="1" applyFont="1" applyFill="1" applyBorder="1" applyAlignment="1">
      <alignment horizontal="left" vertical="center"/>
    </xf>
    <xf numFmtId="1" fontId="37" fillId="5" borderId="19" xfId="167" applyNumberFormat="1" applyFont="1" applyFill="1" applyBorder="1" applyAlignment="1">
      <alignment horizontal="right" vertical="center"/>
    </xf>
    <xf numFmtId="1" fontId="37" fillId="35" borderId="19" xfId="167" applyNumberFormat="1" applyFont="1" applyFill="1" applyBorder="1" applyAlignment="1">
      <alignment horizontal="right" vertical="center"/>
    </xf>
    <xf numFmtId="1" fontId="37" fillId="35" borderId="19" xfId="0" applyNumberFormat="1" applyFont="1" applyFill="1" applyBorder="1" applyAlignment="1">
      <alignment horizontal="center" vertical="center"/>
    </xf>
    <xf numFmtId="1" fontId="37" fillId="5" borderId="19" xfId="0" applyNumberFormat="1" applyFont="1" applyFill="1" applyBorder="1" applyAlignment="1">
      <alignment horizontal="center" vertical="center"/>
    </xf>
    <xf numFmtId="183" fontId="54" fillId="19" borderId="34" xfId="167" applyNumberFormat="1" applyFont="1" applyFill="1" applyBorder="1" applyAlignment="1">
      <alignment horizontal="center"/>
    </xf>
    <xf numFmtId="1" fontId="37" fillId="35" borderId="19" xfId="167" applyNumberFormat="1" applyFont="1" applyFill="1" applyBorder="1" applyAlignment="1">
      <alignment horizontal="center" vertical="center"/>
    </xf>
    <xf numFmtId="3" fontId="0" fillId="0" borderId="0" xfId="0" applyNumberFormat="1" applyBorder="1"/>
    <xf numFmtId="0" fontId="8" fillId="0" borderId="0" xfId="0" applyFont="1" applyBorder="1"/>
    <xf numFmtId="10" fontId="8" fillId="0" borderId="0" xfId="0" applyNumberFormat="1" applyFont="1" applyBorder="1"/>
    <xf numFmtId="1" fontId="0" fillId="0" borderId="0" xfId="0" applyNumberFormat="1"/>
    <xf numFmtId="188" fontId="8" fillId="0" borderId="0" xfId="0" applyNumberFormat="1" applyFont="1"/>
    <xf numFmtId="10" fontId="8" fillId="0" borderId="0" xfId="167" applyNumberFormat="1" applyFont="1"/>
    <xf numFmtId="10" fontId="0" fillId="35" borderId="0" xfId="167" applyNumberFormat="1" applyFont="1" applyFill="1"/>
    <xf numFmtId="9" fontId="0" fillId="17" borderId="0" xfId="167" applyFont="1" applyFill="1"/>
    <xf numFmtId="0" fontId="54" fillId="0" borderId="34" xfId="112" applyFont="1" applyFill="1" applyBorder="1" applyAlignment="1">
      <alignment horizontal="center"/>
    </xf>
    <xf numFmtId="185" fontId="48" fillId="9" borderId="0" xfId="0" applyNumberFormat="1" applyFont="1" applyFill="1" applyAlignment="1">
      <alignment vertical="center"/>
    </xf>
    <xf numFmtId="0" fontId="8" fillId="17" borderId="0" xfId="0" applyFont="1" applyFill="1"/>
    <xf numFmtId="188" fontId="0" fillId="0" borderId="0" xfId="0" quotePrefix="1" applyNumberFormat="1"/>
    <xf numFmtId="1" fontId="0" fillId="17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0" fillId="5" borderId="0" xfId="0" applyFill="1" applyBorder="1" applyAlignment="1">
      <alignment horizontal="center" vertical="center" wrapText="1"/>
    </xf>
    <xf numFmtId="0" fontId="48" fillId="5" borderId="0" xfId="0" applyFont="1" applyFill="1" applyAlignment="1">
      <alignment horizontal="center" vertical="center"/>
    </xf>
    <xf numFmtId="0" fontId="49" fillId="0" borderId="24" xfId="0" applyFont="1" applyBorder="1" applyAlignment="1">
      <alignment horizontal="center" vertical="center"/>
    </xf>
    <xf numFmtId="0" fontId="51" fillId="25" borderId="0" xfId="0" applyFont="1" applyFill="1" applyAlignment="1" applyProtection="1">
      <alignment horizontal="center" vertical="center"/>
      <protection locked="0"/>
    </xf>
    <xf numFmtId="0" fontId="86" fillId="31" borderId="0" xfId="0" applyFont="1" applyFill="1" applyAlignment="1">
      <alignment horizontal="center" vertical="center"/>
    </xf>
    <xf numFmtId="185" fontId="58" fillId="36" borderId="43" xfId="0" applyNumberFormat="1" applyFont="1" applyFill="1" applyBorder="1" applyAlignment="1">
      <alignment horizontal="center" vertical="center"/>
    </xf>
    <xf numFmtId="185" fontId="58" fillId="36" borderId="44" xfId="0" applyNumberFormat="1" applyFont="1" applyFill="1" applyBorder="1" applyAlignment="1">
      <alignment horizontal="center" vertical="center"/>
    </xf>
    <xf numFmtId="185" fontId="58" fillId="36" borderId="45" xfId="0" applyNumberFormat="1" applyFont="1" applyFill="1" applyBorder="1" applyAlignment="1">
      <alignment horizontal="center" vertical="center"/>
    </xf>
    <xf numFmtId="0" fontId="58" fillId="23" borderId="43" xfId="0" applyFont="1" applyFill="1" applyBorder="1" applyAlignment="1">
      <alignment horizontal="center" vertical="center"/>
    </xf>
    <xf numFmtId="0" fontId="58" fillId="23" borderId="44" xfId="0" applyFont="1" applyFill="1" applyBorder="1" applyAlignment="1">
      <alignment horizontal="center" vertical="center"/>
    </xf>
    <xf numFmtId="0" fontId="58" fillId="23" borderId="45" xfId="0" applyFont="1" applyFill="1" applyBorder="1" applyAlignment="1">
      <alignment horizontal="center" vertical="center"/>
    </xf>
    <xf numFmtId="0" fontId="58" fillId="34" borderId="43" xfId="0" applyFont="1" applyFill="1" applyBorder="1" applyAlignment="1">
      <alignment horizontal="center" vertical="center"/>
    </xf>
    <xf numFmtId="0" fontId="58" fillId="34" borderId="44" xfId="0" applyFont="1" applyFill="1" applyBorder="1" applyAlignment="1">
      <alignment horizontal="center" vertical="center"/>
    </xf>
    <xf numFmtId="0" fontId="58" fillId="34" borderId="45" xfId="0" applyFont="1" applyFill="1" applyBorder="1" applyAlignment="1">
      <alignment horizontal="center" vertical="center"/>
    </xf>
    <xf numFmtId="185" fontId="58" fillId="36" borderId="36" xfId="0" applyNumberFormat="1" applyFont="1" applyFill="1" applyBorder="1" applyAlignment="1">
      <alignment horizontal="center" vertical="center"/>
    </xf>
    <xf numFmtId="185" fontId="58" fillId="36" borderId="37" xfId="0" applyNumberFormat="1" applyFont="1" applyFill="1" applyBorder="1" applyAlignment="1">
      <alignment horizontal="center" vertical="center"/>
    </xf>
    <xf numFmtId="185" fontId="58" fillId="36" borderId="38" xfId="0" applyNumberFormat="1" applyFont="1" applyFill="1" applyBorder="1" applyAlignment="1">
      <alignment horizontal="center" vertical="center"/>
    </xf>
    <xf numFmtId="0" fontId="54" fillId="34" borderId="43" xfId="0" applyFont="1" applyFill="1" applyBorder="1" applyAlignment="1">
      <alignment horizontal="center" vertical="center"/>
    </xf>
    <xf numFmtId="0" fontId="54" fillId="34" borderId="44" xfId="0" applyFont="1" applyFill="1" applyBorder="1" applyAlignment="1">
      <alignment horizontal="center" vertical="center"/>
    </xf>
    <xf numFmtId="0" fontId="54" fillId="34" borderId="45" xfId="0" applyFont="1" applyFill="1" applyBorder="1" applyAlignment="1">
      <alignment horizontal="center" vertical="center"/>
    </xf>
    <xf numFmtId="0" fontId="83" fillId="5" borderId="0" xfId="0" applyFont="1" applyFill="1" applyBorder="1" applyAlignment="1">
      <alignment horizontal="center" vertical="center" wrapText="1"/>
    </xf>
    <xf numFmtId="0" fontId="83" fillId="5" borderId="32" xfId="0" applyFont="1" applyFill="1" applyBorder="1" applyAlignment="1">
      <alignment horizontal="center" vertical="center" wrapText="1"/>
    </xf>
    <xf numFmtId="0" fontId="70" fillId="23" borderId="36" xfId="0" applyFont="1" applyFill="1" applyBorder="1" applyAlignment="1">
      <alignment horizontal="center" vertical="center"/>
    </xf>
    <xf numFmtId="0" fontId="70" fillId="23" borderId="37" xfId="0" applyFont="1" applyFill="1" applyBorder="1" applyAlignment="1">
      <alignment horizontal="center" vertical="center"/>
    </xf>
    <xf numFmtId="0" fontId="70" fillId="23" borderId="38" xfId="0" applyFont="1" applyFill="1" applyBorder="1" applyAlignment="1">
      <alignment horizontal="center" vertical="center"/>
    </xf>
  </cellXfs>
  <cellStyles count="174">
    <cellStyle name="0" xfId="2"/>
    <cellStyle name="000" xfId="3"/>
    <cellStyle name="000 2" xfId="4"/>
    <cellStyle name="3_D" xfId="5"/>
    <cellStyle name="3_D 2" xfId="6"/>
    <cellStyle name="3_D_BTS_DTK" xfId="7"/>
    <cellStyle name="3_D_BTS_DTK 2" xfId="8"/>
    <cellStyle name="3_D_Tool" xfId="9"/>
    <cellStyle name="3_D_Tool 2" xfId="10"/>
    <cellStyle name="3_DNoColor" xfId="11"/>
    <cellStyle name="3_DNoColor 2" xfId="12"/>
    <cellStyle name="3_DNoColor_BTS_DTK" xfId="13"/>
    <cellStyle name="3_DNoColor_BTS_DTK 2" xfId="14"/>
    <cellStyle name="CellLock" xfId="15"/>
    <cellStyle name="CellLock 2" xfId="16"/>
    <cellStyle name="CellUnlock" xfId="17"/>
    <cellStyle name="CellUnlock 2" xfId="18"/>
    <cellStyle name="Column_Title" xfId="19"/>
    <cellStyle name="Comma" xfId="165" builtinId="3"/>
    <cellStyle name="Comma  - Style1" xfId="20"/>
    <cellStyle name="Comma  - Style2" xfId="21"/>
    <cellStyle name="Comma  - Style3" xfId="22"/>
    <cellStyle name="Comma  - Style4" xfId="23"/>
    <cellStyle name="Comma  - Style5" xfId="24"/>
    <cellStyle name="Comma  - Style6" xfId="25"/>
    <cellStyle name="Comma  - Style7" xfId="26"/>
    <cellStyle name="Comma  - Style8" xfId="27"/>
    <cellStyle name="Comma [0]" xfId="166" builtinId="6"/>
    <cellStyle name="Comma [0] 2" xfId="28"/>
    <cellStyle name="Comma [0] 2 2" xfId="142"/>
    <cellStyle name="Comma [0] 3" xfId="29"/>
    <cellStyle name="Comma [0] 3 2" xfId="30"/>
    <cellStyle name="Comma [0] 3 2 2" xfId="143"/>
    <cellStyle name="Comma [0] 3 3" xfId="144"/>
    <cellStyle name="Comma [0] Centered" xfId="31"/>
    <cellStyle name="Comma [0] Centered 2" xfId="32"/>
    <cellStyle name="Comma 0" xfId="33"/>
    <cellStyle name="Comma 000" xfId="34"/>
    <cellStyle name="Comma 000,0" xfId="35"/>
    <cellStyle name="Comma 000,0 2" xfId="36"/>
    <cellStyle name="Comma 000,000" xfId="37"/>
    <cellStyle name="Comma 000,000 2" xfId="38"/>
    <cellStyle name="Comma 000_Toyota_Dealer_Sim.2004Jul28" xfId="39"/>
    <cellStyle name="Comma 1" xfId="40"/>
    <cellStyle name="Comma 2" xfId="41"/>
    <cellStyle name="Comma 2 2" xfId="145"/>
    <cellStyle name="Comma 3" xfId="42"/>
    <cellStyle name="Comma 3 2" xfId="43"/>
    <cellStyle name="Comma 3 2 2" xfId="146"/>
    <cellStyle name="Comma 3 3" xfId="147"/>
    <cellStyle name="Comma 4" xfId="44"/>
    <cellStyle name="Comma 4 2" xfId="45"/>
    <cellStyle name="Comma 4 2 2" xfId="148"/>
    <cellStyle name="Comma 4 3" xfId="149"/>
    <cellStyle name="Comma 5" xfId="46"/>
    <cellStyle name="Comma 5 2" xfId="47"/>
    <cellStyle name="Comma 5 2 2" xfId="150"/>
    <cellStyle name="Comma 5 3" xfId="151"/>
    <cellStyle name="Comma 6" xfId="48"/>
    <cellStyle name="Comma 6 2" xfId="49"/>
    <cellStyle name="Comma 6 2 2" xfId="152"/>
    <cellStyle name="Comma 6 3" xfId="153"/>
    <cellStyle name="Comma 7" xfId="50"/>
    <cellStyle name="Comma 7 2" xfId="154"/>
    <cellStyle name="Comma 8" xfId="51"/>
    <cellStyle name="Comma 8 2" xfId="155"/>
    <cellStyle name="Comma Centered" xfId="52"/>
    <cellStyle name="Comma Centered 2" xfId="53"/>
    <cellStyle name="Comma Centered 2 2" xfId="156"/>
    <cellStyle name="Comma Centered 3" xfId="157"/>
    <cellStyle name="Comma, Centered" xfId="54"/>
    <cellStyle name="Comma, No Dec" xfId="55"/>
    <cellStyle name="Comma, No Dec 2" xfId="56"/>
    <cellStyle name="Comma, No Dec No 0" xfId="57"/>
    <cellStyle name="Comma, Pos" xfId="58"/>
    <cellStyle name="Comma, Pos 2" xfId="59"/>
    <cellStyle name="Comma, Pos, No Dec" xfId="60"/>
    <cellStyle name="Comma, Pos, No Dec, No 0" xfId="61"/>
    <cellStyle name="Comma, Pos, No Dec, No 0 2" xfId="62"/>
    <cellStyle name="Comma, Pos, No Dec_BarclaysFeedbacks" xfId="63"/>
    <cellStyle name="Comma0" xfId="64"/>
    <cellStyle name="Comma0 - Style4" xfId="65"/>
    <cellStyle name="Comma000" xfId="66"/>
    <cellStyle name="Comma1 - Style1" xfId="67"/>
    <cellStyle name="ContentsHyperlink" xfId="68"/>
    <cellStyle name="Curren - Style2" xfId="69"/>
    <cellStyle name="Curren - Style5" xfId="70"/>
    <cellStyle name="Currency" xfId="173" builtinId="4"/>
    <cellStyle name="Currency [0] (000)" xfId="71"/>
    <cellStyle name="Currency 2" xfId="72"/>
    <cellStyle name="Currency 2 2" xfId="73"/>
    <cellStyle name="Currency, No Dec" xfId="74"/>
    <cellStyle name="Currency, No Dec 2" xfId="75"/>
    <cellStyle name="Currency, Pos, 2 Dec" xfId="76"/>
    <cellStyle name="Currency, Pos, 2 Dec 2" xfId="77"/>
    <cellStyle name="Currency, Pos, No Dec" xfId="78"/>
    <cellStyle name="Currency, Pos, No Dec 2" xfId="79"/>
    <cellStyle name="Currency0" xfId="80"/>
    <cellStyle name="Date" xfId="81"/>
    <cellStyle name="DateTTM" xfId="82"/>
    <cellStyle name="DateTTM 2" xfId="83"/>
    <cellStyle name="Decision" xfId="84"/>
    <cellStyle name="Euro" xfId="85"/>
    <cellStyle name="Euro 2" xfId="86"/>
    <cellStyle name="Feedback000" xfId="87"/>
    <cellStyle name="Feedback000 2" xfId="88"/>
    <cellStyle name="Feedback000,000" xfId="89"/>
    <cellStyle name="Feedback000,000 2" xfId="90"/>
    <cellStyle name="Feedback000_Autodesk_SW_BAFeedbacks" xfId="91"/>
    <cellStyle name="Fixed" xfId="92"/>
    <cellStyle name="Fixed3 - Style3" xfId="93"/>
    <cellStyle name="Fraction (1)" xfId="94"/>
    <cellStyle name="Grey" xfId="95"/>
    <cellStyle name="Grey 2" xfId="96"/>
    <cellStyle name="Hyperlink" xfId="162" builtinId="8"/>
    <cellStyle name="Input [yellow]" xfId="97"/>
    <cellStyle name="Input [yellow] 2" xfId="98"/>
    <cellStyle name="InputBox" xfId="99"/>
    <cellStyle name="InputBox 2" xfId="100"/>
    <cellStyle name="no dec" xfId="101"/>
    <cellStyle name="Normal" xfId="0" builtinId="0"/>
    <cellStyle name="Normal - Style1" xfId="102"/>
    <cellStyle name="Normal 10" xfId="160"/>
    <cellStyle name="Normal 11" xfId="163"/>
    <cellStyle name="Normal 11 4" xfId="170"/>
    <cellStyle name="Normal 15" xfId="161"/>
    <cellStyle name="Normal 15 12" xfId="164"/>
    <cellStyle name="Normal 15 12 2" xfId="171"/>
    <cellStyle name="Normal 15 12 3" xfId="172"/>
    <cellStyle name="Normal 2" xfId="1"/>
    <cellStyle name="Normal 2 2" xfId="103"/>
    <cellStyle name="Normal 2 3" xfId="158"/>
    <cellStyle name="Normal 2 4" xfId="168"/>
    <cellStyle name="Normal 20" xfId="169"/>
    <cellStyle name="Normal 3" xfId="104"/>
    <cellStyle name="Normal 4" xfId="105"/>
    <cellStyle name="Normal 4 2" xfId="106"/>
    <cellStyle name="Normal 5" xfId="107"/>
    <cellStyle name="Normal 5 2" xfId="108"/>
    <cellStyle name="Normal 6" xfId="109"/>
    <cellStyle name="Normal 6 2" xfId="110"/>
    <cellStyle name="Normal 7" xfId="111"/>
    <cellStyle name="Normal 8" xfId="112"/>
    <cellStyle name="Normal 9" xfId="140"/>
    <cellStyle name="Normal 9 2" xfId="141"/>
    <cellStyle name="Number [0]" xfId="113"/>
    <cellStyle name="Percen - Style2" xfId="114"/>
    <cellStyle name="Percen - Style3" xfId="115"/>
    <cellStyle name="Percent" xfId="167" builtinId="5"/>
    <cellStyle name="Percent (1)" xfId="116"/>
    <cellStyle name="Percent (2)" xfId="117"/>
    <cellStyle name="Percent [2]" xfId="118"/>
    <cellStyle name="Percent 0" xfId="119"/>
    <cellStyle name="Percent 0 2" xfId="120"/>
    <cellStyle name="Percent 00" xfId="121"/>
    <cellStyle name="Percent 00 2" xfId="122"/>
    <cellStyle name="Percent 00 2 2" xfId="123"/>
    <cellStyle name="Percent 00 3" xfId="124"/>
    <cellStyle name="Percent 2" xfId="125"/>
    <cellStyle name="Percent 3" xfId="126"/>
    <cellStyle name="Percent 3 2" xfId="127"/>
    <cellStyle name="Percent 4" xfId="128"/>
    <cellStyle name="Percent 4 2" xfId="129"/>
    <cellStyle name="Percent 5" xfId="130"/>
    <cellStyle name="Percent 5 2" xfId="131"/>
    <cellStyle name="Percent 6" xfId="132"/>
    <cellStyle name="Percent 6 2" xfId="133"/>
    <cellStyle name="Percent 7" xfId="134"/>
    <cellStyle name="Percent 8" xfId="135"/>
    <cellStyle name="Percent 9" xfId="159"/>
    <cellStyle name="Percent, Pos" xfId="136"/>
    <cellStyle name="Percent, Pos 2" xfId="137"/>
    <cellStyle name="Percent, Pos, No 0" xfId="138"/>
    <cellStyle name="Percent, Pos, No 0 2" xfId="139"/>
  </cellStyles>
  <dxfs count="16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rgb="FFCCCCCC"/>
        </patternFill>
      </fill>
    </dxf>
    <dxf>
      <fill>
        <patternFill>
          <bgColor rgb="FFCCCCCC"/>
        </patternFill>
      </fill>
    </dxf>
    <dxf>
      <fill>
        <patternFill>
          <bgColor rgb="FFCCCCCC"/>
        </patternFill>
      </fill>
    </dxf>
    <dxf>
      <fill>
        <patternFill>
          <bgColor rgb="FFCCCCCC"/>
        </patternFill>
      </fill>
    </dxf>
    <dxf>
      <fill>
        <patternFill>
          <bgColor rgb="FFCCCCCC"/>
        </patternFill>
      </fill>
    </dxf>
    <dxf>
      <fill>
        <patternFill>
          <bgColor rgb="FFCCCCCC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tlTerritory1R1!$Y$9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tlTerritory1R1!$X$10:$X$11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tlTerritory1R1!$Y$10:$Y$11</c:f>
              <c:numCache>
                <c:formatCode>0.00%</c:formatCode>
                <c:ptCount val="2"/>
                <c:pt idx="0">
                  <c:v>3.2000000000000002E-3</c:v>
                </c:pt>
                <c:pt idx="1">
                  <c:v>3.2000000000000002E-3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3-46EB-95CF-87E0AFE2FC5A}"/>
            </c:ext>
          </c:extLst>
        </c:ser>
        <c:ser>
          <c:idx val="1"/>
          <c:order val="1"/>
          <c:tx>
            <c:strRef>
              <c:f>tlTerritory1R1!$Z$9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tlTerritory1R1!$X$10:$X$11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tlTerritory1R1!$Z$10:$Z$11</c:f>
              <c:numCache>
                <c:formatCode>0.00%</c:formatCode>
                <c:ptCount val="2"/>
                <c:pt idx="0">
                  <c:v>3.32768E-3</c:v>
                </c:pt>
                <c:pt idx="1">
                  <c:v>3.3276800000000004E-3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3-46EB-95CF-87E0AFE2F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tlTerritory1R1!$W$19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tlTerritory1R1!$X$17:$Y$17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tlTerritory1R1!$X$19:$Y$19</c:f>
              <c:numCache>
                <c:formatCode>"$"#.##0</c:formatCode>
                <c:ptCount val="2"/>
                <c:pt idx="0">
                  <c:v>258316.89605568006</c:v>
                </c:pt>
                <c:pt idx="1">
                  <c:v>258316.89605568006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ED-4EA8-BE11-065D2CFFDD1D}"/>
            </c:ext>
          </c:extLst>
        </c:ser>
        <c:ser>
          <c:idx val="2"/>
          <c:order val="2"/>
          <c:tx>
            <c:strRef>
              <c:f>tlTerritory1R1!$W$21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tlTerritory1R1!$X$17:$Y$17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tlTerritory1R1!$X$21:$Y$21</c:f>
              <c:numCache>
                <c:formatCode>"$"#.##0</c:formatCode>
                <c:ptCount val="2"/>
                <c:pt idx="0">
                  <c:v>16500</c:v>
                </c:pt>
                <c:pt idx="1">
                  <c:v>16500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ED-4EA8-BE11-065D2CFFDD1D}"/>
            </c:ext>
          </c:extLst>
        </c:ser>
        <c:ser>
          <c:idx val="3"/>
          <c:order val="3"/>
          <c:tx>
            <c:strRef>
              <c:f>tlTerritory1R1!$W$22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tlTerritory1R1!$X$17:$Y$17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tlTerritory1R1!$X$22:$Y$22</c:f>
              <c:numCache>
                <c:formatCode>"$"#.##0</c:formatCode>
                <c:ptCount val="2"/>
                <c:pt idx="0">
                  <c:v>33000</c:v>
                </c:pt>
                <c:pt idx="1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ED-4EA8-BE11-065D2CFFDD1D}"/>
            </c:ext>
          </c:extLst>
        </c:ser>
        <c:ser>
          <c:idx val="4"/>
          <c:order val="4"/>
          <c:tx>
            <c:strRef>
              <c:f>tlTerritory1R1!$W$23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tlTerritory1R1!$X$17:$Y$17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tlTerritory1R1!$X$23:$Y$23</c:f>
              <c:numCache>
                <c:formatCode>"$"#.##0</c:formatCode>
                <c:ptCount val="2"/>
                <c:pt idx="0">
                  <c:v>33000</c:v>
                </c:pt>
                <c:pt idx="1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ED-4EA8-BE11-065D2CFFDD1D}"/>
            </c:ext>
          </c:extLst>
        </c:ser>
        <c:ser>
          <c:idx val="5"/>
          <c:order val="5"/>
          <c:tx>
            <c:strRef>
              <c:f>tlTerritory1R1!$W$24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tlTerritory1R1!$X$17:$Y$17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tlTerritory1R1!$X$24:$Y$24</c:f>
              <c:numCache>
                <c:formatCode>"$"#.##0</c:formatCode>
                <c:ptCount val="2"/>
                <c:pt idx="0">
                  <c:v>10000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ED-4EA8-BE11-065D2CFFDD1D}"/>
            </c:ext>
          </c:extLst>
        </c:ser>
        <c:ser>
          <c:idx val="6"/>
          <c:order val="6"/>
          <c:tx>
            <c:strRef>
              <c:f>tlTerritory1R1!$W$25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tlTerritory1R1!$X$17:$Y$17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tlTerritory1R1!$X$25:$Y$25</c:f>
              <c:numCache>
                <c:formatCode>"$"#.##0</c:formatCode>
                <c:ptCount val="2"/>
                <c:pt idx="0">
                  <c:v>126131.22569792002</c:v>
                </c:pt>
                <c:pt idx="1">
                  <c:v>136131.22569792002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ED-4EA8-BE11-065D2CFFD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tlTerritory1R1!$W$20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tlTerritory1R1!$X$17:$Y$17</c15:sqref>
                        </c15:formulaRef>
                      </c:ext>
                    </c:extLst>
                    <c:strCache>
                      <c:ptCount val="2"/>
                      <c:pt idx="0">
                        <c:v>Previous</c:v>
                      </c:pt>
                      <c:pt idx="1">
                        <c:v>Current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tlTerritory1R1!$X$20:$Y$20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218631.22569792002</c:v>
                      </c:pt>
                      <c:pt idx="1">
                        <c:v>218631.22569792002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6ED-4EA8-BE11-065D2CFFDD1D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tlTerritory1R1!$X$33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FF0-4A87-B811-FF2FBF22589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FF0-4A87-B811-FF2FBF22589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tlTerritory1R1!$W$34:$W$35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tlTerritory1R1!$X$34:$X$35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F0-4A87-B811-FF2FBF22589F}"/>
            </c:ext>
          </c:extLst>
        </c:ser>
        <c:ser>
          <c:idx val="1"/>
          <c:order val="1"/>
          <c:tx>
            <c:strRef>
              <c:f>tlTerritory1R1!$Y$33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FF0-4A87-B811-FF2FBF22589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tlTerritory1R1!$W$34:$W$35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tlTerritory1R1!$Y$34:$Y$35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F0-4A87-B811-FF2FBF225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tlTerritory1R1!$W$39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tlTerritory1R1!$X$38:$Z$38</c:f>
              <c:strCache>
                <c:ptCount val="3"/>
                <c:pt idx="0">
                  <c:v>Rep Allen</c:v>
                </c:pt>
                <c:pt idx="1">
                  <c:v>Rep Betty</c:v>
                </c:pt>
                <c:pt idx="2">
                  <c:v>Rep Chris</c:v>
                </c:pt>
              </c:strCache>
            </c:strRef>
          </c:cat>
          <c:val>
            <c:numRef>
              <c:f>tlTerritory1R1!$X$39:$Z$39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0E-47A6-8CB0-7073B0234FD4}"/>
            </c:ext>
          </c:extLst>
        </c:ser>
        <c:ser>
          <c:idx val="1"/>
          <c:order val="1"/>
          <c:tx>
            <c:strRef>
              <c:f>tlTerritory1R1!$W$41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tlTerritory1R1!$X$38:$Z$38</c:f>
              <c:strCache>
                <c:ptCount val="3"/>
                <c:pt idx="0">
                  <c:v>Rep Allen</c:v>
                </c:pt>
                <c:pt idx="1">
                  <c:v>Rep Betty</c:v>
                </c:pt>
                <c:pt idx="2">
                  <c:v>Rep Chris</c:v>
                </c:pt>
              </c:strCache>
            </c:strRef>
          </c:cat>
          <c:val>
            <c:numRef>
              <c:f>tlTerritory1R1!$X$41:$Z$41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0E-47A6-8CB0-7073B0234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tlTerritory2R1!$Y$9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tlTerritory2R1!$X$10:$X$11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tlTerritory2R1!$Y$10:$Y$11</c:f>
              <c:numCache>
                <c:formatCode>0.00%</c:formatCode>
                <c:ptCount val="2"/>
                <c:pt idx="0">
                  <c:v>3.3333333333333335E-3</c:v>
                </c:pt>
                <c:pt idx="1">
                  <c:v>3.3333333333333335E-3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BF-453C-9BE8-E9D4FF83FBA0}"/>
            </c:ext>
          </c:extLst>
        </c:ser>
        <c:ser>
          <c:idx val="1"/>
          <c:order val="1"/>
          <c:tx>
            <c:strRef>
              <c:f>tlTerritory2R1!$Z$9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tlTerritory2R1!$X$10:$X$11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tlTerritory2R1!$Z$10:$Z$11</c:f>
              <c:numCache>
                <c:formatCode>0.00%</c:formatCode>
                <c:ptCount val="2"/>
                <c:pt idx="0">
                  <c:v>3.6886666666666669E-3</c:v>
                </c:pt>
                <c:pt idx="1">
                  <c:v>3.6886666666666669E-3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BF-453C-9BE8-E9D4FF83F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tlTerritory2R1!$W$19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tlTerritory2R1!$X$17:$Y$17</c:f>
              <c:numCache>
                <c:formatCode>0%</c:formatCode>
                <c:ptCount val="2"/>
              </c:numCache>
            </c:numRef>
          </c:cat>
          <c:val>
            <c:numRef>
              <c:f>tlTerritory2R1!$X$19:$Y$19</c:f>
              <c:numCache>
                <c:formatCode>"$"#.##0</c:formatCode>
                <c:ptCount val="2"/>
                <c:pt idx="0">
                  <c:v>248113.97228520003</c:v>
                </c:pt>
                <c:pt idx="1">
                  <c:v>234424.97948519996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6-4FB0-A8A4-CA937ECB7F89}"/>
            </c:ext>
          </c:extLst>
        </c:ser>
        <c:ser>
          <c:idx val="2"/>
          <c:order val="2"/>
          <c:tx>
            <c:strRef>
              <c:f>tlTerritory2R1!$W$21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tlTerritory2R1!$X$17:$Y$17</c:f>
              <c:numCache>
                <c:formatCode>0%</c:formatCode>
                <c:ptCount val="2"/>
              </c:numCache>
            </c:numRef>
          </c:cat>
          <c:val>
            <c:numRef>
              <c:f>tlTerritory2R1!$X$21:$Y$21</c:f>
              <c:numCache>
                <c:formatCode>"$"#.##0</c:formatCode>
                <c:ptCount val="2"/>
                <c:pt idx="0">
                  <c:v>16500</c:v>
                </c:pt>
                <c:pt idx="1">
                  <c:v>16500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6-4FB0-A8A4-CA937ECB7F89}"/>
            </c:ext>
          </c:extLst>
        </c:ser>
        <c:ser>
          <c:idx val="3"/>
          <c:order val="3"/>
          <c:tx>
            <c:strRef>
              <c:f>tlTerritory2R1!$W$22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tlTerritory2R1!$X$17:$Y$17</c:f>
              <c:numCache>
                <c:formatCode>0%</c:formatCode>
                <c:ptCount val="2"/>
              </c:numCache>
            </c:numRef>
          </c:cat>
          <c:val>
            <c:numRef>
              <c:f>tlTerritory2R1!$X$22:$Y$22</c:f>
              <c:numCache>
                <c:formatCode>"$"#.##0</c:formatCode>
                <c:ptCount val="2"/>
                <c:pt idx="0">
                  <c:v>33000</c:v>
                </c:pt>
                <c:pt idx="1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E6-4FB0-A8A4-CA937ECB7F89}"/>
            </c:ext>
          </c:extLst>
        </c:ser>
        <c:ser>
          <c:idx val="4"/>
          <c:order val="4"/>
          <c:tx>
            <c:strRef>
              <c:f>tlTerritory2R1!$W$23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tlTerritory2R1!$X$17:$Y$17</c:f>
              <c:numCache>
                <c:formatCode>0%</c:formatCode>
                <c:ptCount val="2"/>
              </c:numCache>
            </c:numRef>
          </c:cat>
          <c:val>
            <c:numRef>
              <c:f>tlTerritory2R1!$X$23:$Y$23</c:f>
              <c:numCache>
                <c:formatCode>"$"#.##0</c:formatCode>
                <c:ptCount val="2"/>
                <c:pt idx="0">
                  <c:v>33000</c:v>
                </c:pt>
                <c:pt idx="1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E6-4FB0-A8A4-CA937ECB7F89}"/>
            </c:ext>
          </c:extLst>
        </c:ser>
        <c:ser>
          <c:idx val="5"/>
          <c:order val="5"/>
          <c:tx>
            <c:strRef>
              <c:f>tlTerritory2R1!$W$24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tlTerritory2R1!$X$17:$Y$17</c:f>
              <c:numCache>
                <c:formatCode>0%</c:formatCode>
                <c:ptCount val="2"/>
              </c:numCache>
            </c:numRef>
          </c:cat>
          <c:val>
            <c:numRef>
              <c:f>tlTerritory2R1!$X$24:$Y$24</c:f>
              <c:numCache>
                <c:formatCode>"$"#.##0</c:formatCode>
                <c:ptCount val="2"/>
                <c:pt idx="0">
                  <c:v>10000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E6-4FB0-A8A4-CA937ECB7F89}"/>
            </c:ext>
          </c:extLst>
        </c:ser>
        <c:ser>
          <c:idx val="6"/>
          <c:order val="6"/>
          <c:tx>
            <c:strRef>
              <c:f>tlTerritory2R1!$W$25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tlTerritory2R1!$X$17:$Y$17</c:f>
              <c:numCache>
                <c:formatCode>0%</c:formatCode>
                <c:ptCount val="2"/>
              </c:numCache>
            </c:numRef>
          </c:cat>
          <c:val>
            <c:numRef>
              <c:f>tlTerritory2R1!$X$25:$Y$25</c:f>
              <c:numCache>
                <c:formatCode>"$"#.##0</c:formatCode>
                <c:ptCount val="2"/>
                <c:pt idx="0">
                  <c:v>92192.868642800022</c:v>
                </c:pt>
                <c:pt idx="1">
                  <c:v>115881.86144279997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E6-4FB0-A8A4-CA937ECB7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tlTerritory2R1!$W$20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tlTerritory2R1!$X$17:$Y$17</c15:sqref>
                        </c15:formulaRef>
                      </c:ext>
                    </c:extLst>
                    <c:numCache>
                      <c:formatCode>0%</c:formatCode>
                      <c:ptCount val="2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tlTerritory2R1!$X$20:$Y$20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184692.86864280002</c:v>
                      </c:pt>
                      <c:pt idx="1">
                        <c:v>198381.86144279997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EBE6-4FB0-A8A4-CA937ECB7F89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tlTerritory2R1!$X$33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D54-40BA-8D7D-41E1CFE1EBE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54-40BA-8D7D-41E1CFE1EB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tlTerritory2R1!$W$34:$W$35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tlTerritory2R1!$X$34:$X$35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54-40BA-8D7D-41E1CFE1EBEA}"/>
            </c:ext>
          </c:extLst>
        </c:ser>
        <c:ser>
          <c:idx val="1"/>
          <c:order val="1"/>
          <c:tx>
            <c:strRef>
              <c:f>tlTerritory2R1!$Y$33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D54-40BA-8D7D-41E1CFE1EB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tlTerritory2R1!$W$34:$W$35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tlTerritory2R1!$Y$34:$Y$35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D54-40BA-8D7D-41E1CFE1E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tlTerritory2R1!$W$39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tlTerritory2R1!$X$38:$Z$38</c:f>
              <c:strCache>
                <c:ptCount val="3"/>
                <c:pt idx="0">
                  <c:v>Rep Danielle</c:v>
                </c:pt>
                <c:pt idx="1">
                  <c:v>Rep Elliot</c:v>
                </c:pt>
                <c:pt idx="2">
                  <c:v>Rep Fiona</c:v>
                </c:pt>
              </c:strCache>
            </c:strRef>
          </c:cat>
          <c:val>
            <c:numRef>
              <c:f>tlTerritory2R1!$X$39:$Z$39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7D-48DC-85C1-2F568C552731}"/>
            </c:ext>
          </c:extLst>
        </c:ser>
        <c:ser>
          <c:idx val="1"/>
          <c:order val="1"/>
          <c:tx>
            <c:strRef>
              <c:f>tlTerritory2R1!$W$41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tlTerritory2R1!$X$38:$Z$38</c:f>
              <c:strCache>
                <c:ptCount val="3"/>
                <c:pt idx="0">
                  <c:v>Rep Danielle</c:v>
                </c:pt>
                <c:pt idx="1">
                  <c:v>Rep Elliot</c:v>
                </c:pt>
                <c:pt idx="2">
                  <c:v>Rep Fiona</c:v>
                </c:pt>
              </c:strCache>
            </c:strRef>
          </c:cat>
          <c:val>
            <c:numRef>
              <c:f>tlTerritory2R1!$X$41:$Z$41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7D-48DC-85C1-2F568C552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tlTerritory3R1!$Y$9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tlTerritory3R1!$X$10:$X$11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tlTerritory3R1!$Y$10:$Y$11</c:f>
              <c:numCache>
                <c:formatCode>0.00%</c:formatCode>
                <c:ptCount val="2"/>
                <c:pt idx="0">
                  <c:v>3.116883116883116E-3</c:v>
                </c:pt>
                <c:pt idx="1">
                  <c:v>3.116883116883116E-3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E-4432-9DC4-8531144F0A5A}"/>
            </c:ext>
          </c:extLst>
        </c:ser>
        <c:ser>
          <c:idx val="1"/>
          <c:order val="1"/>
          <c:tx>
            <c:strRef>
              <c:f>tlTerritory3R1!$Z$9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tlTerritory3R1!$X$10:$X$11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tlTerritory3R1!$Z$10:$Z$11</c:f>
              <c:numCache>
                <c:formatCode>0.00%</c:formatCode>
                <c:ptCount val="2"/>
                <c:pt idx="0">
                  <c:v>2.4922278496494741E-3</c:v>
                </c:pt>
                <c:pt idx="1">
                  <c:v>2.5376623376623373E-3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E-4432-9DC4-8531144F0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tlTerritory3R1!$W$19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tlTerritory3R1!$X$17:$Y$17</c:f>
              <c:numCache>
                <c:formatCode>0%</c:formatCode>
                <c:ptCount val="2"/>
              </c:numCache>
            </c:numRef>
          </c:cat>
          <c:val>
            <c:numRef>
              <c:f>tlTerritory3R1!$X$19:$Y$19</c:f>
              <c:numCache>
                <c:formatCode>"$"#.##0</c:formatCode>
                <c:ptCount val="2"/>
                <c:pt idx="0">
                  <c:v>128520.73875789467</c:v>
                </c:pt>
                <c:pt idx="1">
                  <c:v>128520.73875789467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D7-4940-9C6F-DCCE9165290F}"/>
            </c:ext>
          </c:extLst>
        </c:ser>
        <c:ser>
          <c:idx val="2"/>
          <c:order val="2"/>
          <c:tx>
            <c:strRef>
              <c:f>tlTerritory3R1!$W$21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tlTerritory3R1!$X$17:$Y$17</c:f>
              <c:numCache>
                <c:formatCode>0%</c:formatCode>
                <c:ptCount val="2"/>
              </c:numCache>
            </c:numRef>
          </c:cat>
          <c:val>
            <c:numRef>
              <c:f>tlTerritory3R1!$X$21:$Y$21</c:f>
              <c:numCache>
                <c:formatCode>"$"#.##0</c:formatCode>
                <c:ptCount val="2"/>
                <c:pt idx="0">
                  <c:v>16500</c:v>
                </c:pt>
                <c:pt idx="1">
                  <c:v>16500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D7-4940-9C6F-DCCE9165290F}"/>
            </c:ext>
          </c:extLst>
        </c:ser>
        <c:ser>
          <c:idx val="3"/>
          <c:order val="3"/>
          <c:tx>
            <c:strRef>
              <c:f>tlTerritory3R1!$W$22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tlTerritory3R1!$X$17:$Y$17</c:f>
              <c:numCache>
                <c:formatCode>0%</c:formatCode>
                <c:ptCount val="2"/>
              </c:numCache>
            </c:numRef>
          </c:cat>
          <c:val>
            <c:numRef>
              <c:f>tlTerritory3R1!$X$22:$Y$22</c:f>
              <c:numCache>
                <c:formatCode>"$"#.##0</c:formatCode>
                <c:ptCount val="2"/>
                <c:pt idx="0">
                  <c:v>33000</c:v>
                </c:pt>
                <c:pt idx="1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D7-4940-9C6F-DCCE9165290F}"/>
            </c:ext>
          </c:extLst>
        </c:ser>
        <c:ser>
          <c:idx val="4"/>
          <c:order val="4"/>
          <c:tx>
            <c:strRef>
              <c:f>tlTerritory3R1!$W$23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tlTerritory3R1!$X$17:$Y$17</c:f>
              <c:numCache>
                <c:formatCode>0%</c:formatCode>
                <c:ptCount val="2"/>
              </c:numCache>
            </c:numRef>
          </c:cat>
          <c:val>
            <c:numRef>
              <c:f>tlTerritory3R1!$X$23:$Y$23</c:f>
              <c:numCache>
                <c:formatCode>"$"#.##0</c:formatCode>
                <c:ptCount val="2"/>
                <c:pt idx="0">
                  <c:v>33000</c:v>
                </c:pt>
                <c:pt idx="1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D7-4940-9C6F-DCCE9165290F}"/>
            </c:ext>
          </c:extLst>
        </c:ser>
        <c:ser>
          <c:idx val="5"/>
          <c:order val="5"/>
          <c:tx>
            <c:strRef>
              <c:f>tlTerritory3R1!$W$24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tlTerritory3R1!$X$17:$Y$17</c:f>
              <c:numCache>
                <c:formatCode>0%</c:formatCode>
                <c:ptCount val="2"/>
              </c:numCache>
            </c:numRef>
          </c:cat>
          <c:val>
            <c:numRef>
              <c:f>tlTerritory3R1!$X$24:$Y$24</c:f>
              <c:numCache>
                <c:formatCode>"$"#.##0</c:formatCode>
                <c:ptCount val="2"/>
                <c:pt idx="0">
                  <c:v>10000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D7-4940-9C6F-DCCE9165290F}"/>
            </c:ext>
          </c:extLst>
        </c:ser>
        <c:ser>
          <c:idx val="6"/>
          <c:order val="6"/>
          <c:tx>
            <c:strRef>
              <c:f>tlTerritory3R1!$W$25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tlTerritory3R1!$X$17:$Y$17</c:f>
              <c:numCache>
                <c:formatCode>0%</c:formatCode>
                <c:ptCount val="2"/>
              </c:numCache>
            </c:numRef>
          </c:cat>
          <c:val>
            <c:numRef>
              <c:f>tlTerritory3R1!$X$25:$Y$25</c:f>
              <c:numCache>
                <c:formatCode>"$"#.##0</c:formatCode>
                <c:ptCount val="2"/>
                <c:pt idx="0">
                  <c:v>17796.930136842071</c:v>
                </c:pt>
                <c:pt idx="1">
                  <c:v>27796.930136842071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D7-4940-9C6F-DCCE9165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tlTerritory3R1!$W$20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tlTerritory3R1!$X$17:$Y$17</c15:sqref>
                        </c15:formulaRef>
                      </c:ext>
                    </c:extLst>
                    <c:numCache>
                      <c:formatCode>0%</c:formatCode>
                      <c:ptCount val="2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tlTerritory3R1!$X$20:$Y$20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110296.93013684207</c:v>
                      </c:pt>
                      <c:pt idx="1">
                        <c:v>110296.93013684207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27D7-4940-9C6F-DCCE9165290F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tlTerritory3R1!$X$33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F8E-476C-8464-078302A826E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F8E-476C-8464-078302A82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tlTerritory3R1!$W$34:$W$35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tlTerritory3R1!$X$34:$X$35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8E-476C-8464-078302A826EB}"/>
            </c:ext>
          </c:extLst>
        </c:ser>
        <c:ser>
          <c:idx val="1"/>
          <c:order val="1"/>
          <c:tx>
            <c:strRef>
              <c:f>tlTerritory3R1!$Y$33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F8E-476C-8464-078302A82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tlTerritory3R1!$W$34:$W$35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tlTerritory3R1!$Y$34:$Y$35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8E-476C-8464-078302A82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tlTerritory3R1!$W$39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tlTerritory3R1!$X$38:$Z$38</c:f>
              <c:strCache>
                <c:ptCount val="3"/>
                <c:pt idx="0">
                  <c:v>Rep Gregg</c:v>
                </c:pt>
                <c:pt idx="1">
                  <c:v>Rep Howard</c:v>
                </c:pt>
                <c:pt idx="2">
                  <c:v>Rep Isabelle</c:v>
                </c:pt>
              </c:strCache>
            </c:strRef>
          </c:cat>
          <c:val>
            <c:numRef>
              <c:f>tlTerritory3R1!$X$39:$Z$39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B-4AC0-8354-B7D1AE10ED01}"/>
            </c:ext>
          </c:extLst>
        </c:ser>
        <c:ser>
          <c:idx val="1"/>
          <c:order val="1"/>
          <c:tx>
            <c:strRef>
              <c:f>tlTerritory3R1!$W$41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tlTerritory3R1!$X$38:$Z$38</c:f>
              <c:strCache>
                <c:ptCount val="3"/>
                <c:pt idx="0">
                  <c:v>Rep Gregg</c:v>
                </c:pt>
                <c:pt idx="1">
                  <c:v>Rep Howard</c:v>
                </c:pt>
                <c:pt idx="2">
                  <c:v>Rep Isabelle</c:v>
                </c:pt>
              </c:strCache>
            </c:strRef>
          </c:cat>
          <c:val>
            <c:numRef>
              <c:f>tlTerritory3R1!$X$41:$Z$41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B-4AC0-8354-B7D1AE10E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tlTerritory1R2!$Y$9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tlTerritory1R2!$X$10:$X$11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tlTerritory1R2!$Y$10:$Y$11</c:f>
              <c:numCache>
                <c:formatCode>0.00%</c:formatCode>
                <c:ptCount val="2"/>
                <c:pt idx="0">
                  <c:v>3.32768E-3</c:v>
                </c:pt>
                <c:pt idx="1">
                  <c:v>3.3276800000000004E-3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2-47BB-B6B2-46DF14FA7AFB}"/>
            </c:ext>
          </c:extLst>
        </c:ser>
        <c:ser>
          <c:idx val="1"/>
          <c:order val="1"/>
          <c:tx>
            <c:strRef>
              <c:f>tlTerritory1R2!$Z$9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tlTerritory1R2!$X$10:$X$11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tlTerritory1R2!$Z$10:$Z$11</c:f>
              <c:numCache>
                <c:formatCode>0.00%</c:formatCode>
                <c:ptCount val="2"/>
                <c:pt idx="0">
                  <c:v>3.369968000000001E-3</c:v>
                </c:pt>
                <c:pt idx="1">
                  <c:v>3.3699680000000001E-3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2-47BB-B6B2-46DF14FA7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tlTerritory1R2!$W$19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tlTerritory1R2!$X$17:$Y$17</c:f>
              <c:numCache>
                <c:formatCode>0%</c:formatCode>
                <c:ptCount val="2"/>
              </c:numCache>
            </c:numRef>
          </c:cat>
          <c:val>
            <c:numRef>
              <c:f>tlTerritory1R2!$X$19:$Y$19</c:f>
              <c:numCache>
                <c:formatCode>"$"#.##0</c:formatCode>
                <c:ptCount val="2"/>
                <c:pt idx="0">
                  <c:v>258316.89605568006</c:v>
                </c:pt>
                <c:pt idx="1">
                  <c:v>306773.71102199808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B7-4733-A8C0-ED028420F77A}"/>
            </c:ext>
          </c:extLst>
        </c:ser>
        <c:ser>
          <c:idx val="2"/>
          <c:order val="2"/>
          <c:tx>
            <c:strRef>
              <c:f>tlTerritory1R2!$W$21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tlTerritory1R2!$X$17:$Y$17</c:f>
              <c:numCache>
                <c:formatCode>0%</c:formatCode>
                <c:ptCount val="2"/>
              </c:numCache>
            </c:numRef>
          </c:cat>
          <c:val>
            <c:numRef>
              <c:f>tlTerritory1R2!$X$21:$Y$21</c:f>
              <c:numCache>
                <c:formatCode>"$"#.##0</c:formatCode>
                <c:ptCount val="2"/>
                <c:pt idx="0">
                  <c:v>16500</c:v>
                </c:pt>
                <c:pt idx="1">
                  <c:v>16500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4B7-4733-A8C0-ED028420F77A}"/>
            </c:ext>
          </c:extLst>
        </c:ser>
        <c:ser>
          <c:idx val="3"/>
          <c:order val="3"/>
          <c:tx>
            <c:strRef>
              <c:f>tlTerritory1R2!$W$22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tlTerritory1R2!$X$17:$Y$17</c:f>
              <c:numCache>
                <c:formatCode>0%</c:formatCode>
                <c:ptCount val="2"/>
              </c:numCache>
            </c:numRef>
          </c:cat>
          <c:val>
            <c:numRef>
              <c:f>tlTerritory1R2!$X$22:$Y$22</c:f>
              <c:numCache>
                <c:formatCode>"$"#.##0</c:formatCode>
                <c:ptCount val="2"/>
                <c:pt idx="0">
                  <c:v>33000</c:v>
                </c:pt>
                <c:pt idx="1">
                  <c:v>31350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4B7-4733-A8C0-ED028420F77A}"/>
            </c:ext>
          </c:extLst>
        </c:ser>
        <c:ser>
          <c:idx val="4"/>
          <c:order val="4"/>
          <c:tx>
            <c:strRef>
              <c:f>tlTerritory1R2!$W$23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tlTerritory1R2!$X$17:$Y$17</c:f>
              <c:numCache>
                <c:formatCode>0%</c:formatCode>
                <c:ptCount val="2"/>
              </c:numCache>
            </c:numRef>
          </c:cat>
          <c:val>
            <c:numRef>
              <c:f>tlTerritory1R2!$X$23:$Y$23</c:f>
              <c:numCache>
                <c:formatCode>"$"#.##0</c:formatCode>
                <c:ptCount val="2"/>
                <c:pt idx="0">
                  <c:v>33000</c:v>
                </c:pt>
                <c:pt idx="1">
                  <c:v>31350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4B7-4733-A8C0-ED028420F77A}"/>
            </c:ext>
          </c:extLst>
        </c:ser>
        <c:ser>
          <c:idx val="5"/>
          <c:order val="5"/>
          <c:tx>
            <c:strRef>
              <c:f>tlTerritory1R2!$W$24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tlTerritory1R2!$X$17:$Y$17</c:f>
              <c:numCache>
                <c:formatCode>0%</c:formatCode>
                <c:ptCount val="2"/>
              </c:numCache>
            </c:numRef>
          </c:cat>
          <c:val>
            <c:numRef>
              <c:f>tlTerritory1R2!$X$24:$Y$24</c:f>
              <c:numCache>
                <c:formatCode>"$"#.##0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4B7-4733-A8C0-ED028420F77A}"/>
            </c:ext>
          </c:extLst>
        </c:ser>
        <c:ser>
          <c:idx val="6"/>
          <c:order val="6"/>
          <c:tx>
            <c:strRef>
              <c:f>tlTerritory1R2!$W$25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tlTerritory1R2!$X$17:$Y$17</c:f>
              <c:numCache>
                <c:formatCode>0%</c:formatCode>
                <c:ptCount val="2"/>
              </c:numCache>
            </c:numRef>
          </c:cat>
          <c:val>
            <c:numRef>
              <c:f>tlTerritory1R2!$X$25:$Y$25</c:f>
              <c:numCache>
                <c:formatCode>"$"#.##0</c:formatCode>
                <c:ptCount val="2"/>
                <c:pt idx="0">
                  <c:v>136131.22569792002</c:v>
                </c:pt>
                <c:pt idx="1">
                  <c:v>179883.79503132679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4B7-4733-A8C0-ED028420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tlTerritory1R2!$W$20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tlTerritory1R2!$X$17:$Y$17</c15:sqref>
                        </c15:formulaRef>
                      </c:ext>
                    </c:extLst>
                    <c:numCache>
                      <c:formatCode>0%</c:formatCode>
                      <c:ptCount val="2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tlTerritory1R2!$X$20:$Y$20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218631.22569792002</c:v>
                      </c:pt>
                      <c:pt idx="1">
                        <c:v>259083.79503132679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4B7-4733-A8C0-ED028420F77A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tlTerritory1R2!$X$33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FE4-4B28-ADA5-5E1755BB8BC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FE4-4B28-ADA5-5E1755BB8B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tlTerritory1R2!$W$34:$W$35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tlTerritory1R2!$X$34:$X$35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E4-4B28-ADA5-5E1755BB8BC1}"/>
            </c:ext>
          </c:extLst>
        </c:ser>
        <c:ser>
          <c:idx val="1"/>
          <c:order val="1"/>
          <c:tx>
            <c:strRef>
              <c:f>tlTerritory1R2!$Y$33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FE4-4B28-ADA5-5E1755BB8B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tlTerritory1R2!$W$34:$W$35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tlTerritory1R2!$Y$34:$Y$35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E4-4B28-ADA5-5E1755BB8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tlTerritory1R2!$W$39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tlTerritory1R2!$X$38:$Z$38</c:f>
              <c:strCache>
                <c:ptCount val="3"/>
                <c:pt idx="0">
                  <c:v>Rep Allen</c:v>
                </c:pt>
                <c:pt idx="1">
                  <c:v>Rep Betty</c:v>
                </c:pt>
                <c:pt idx="2">
                  <c:v>Rep Chris</c:v>
                </c:pt>
              </c:strCache>
            </c:strRef>
          </c:cat>
          <c:val>
            <c:numRef>
              <c:f>tlTerritory1R2!$X$39:$Z$39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7-4F24-BF98-3F962A92E8DB}"/>
            </c:ext>
          </c:extLst>
        </c:ser>
        <c:ser>
          <c:idx val="1"/>
          <c:order val="1"/>
          <c:tx>
            <c:strRef>
              <c:f>tlTerritory1R2!$W$41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tlTerritory1R2!$X$38:$Z$38</c:f>
              <c:strCache>
                <c:ptCount val="3"/>
                <c:pt idx="0">
                  <c:v>Rep Allen</c:v>
                </c:pt>
                <c:pt idx="1">
                  <c:v>Rep Betty</c:v>
                </c:pt>
                <c:pt idx="2">
                  <c:v>Rep Chris</c:v>
                </c:pt>
              </c:strCache>
            </c:strRef>
          </c:cat>
          <c:val>
            <c:numRef>
              <c:f>tlTerritory1R2!$X$41:$Z$41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E7-4F24-BF98-3F962A92E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tlTerritory2R2!$Y$9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tlTerritory2R2!$X$10:$X$11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tlTerritory2R2!$Y$10:$Y$11</c:f>
              <c:numCache>
                <c:formatCode>0.00%</c:formatCode>
                <c:ptCount val="2"/>
                <c:pt idx="0">
                  <c:v>3.6886666666666669E-3</c:v>
                </c:pt>
                <c:pt idx="1">
                  <c:v>3.6886666666666669E-3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46-442D-9704-59D7CB856853}"/>
            </c:ext>
          </c:extLst>
        </c:ser>
        <c:ser>
          <c:idx val="1"/>
          <c:order val="1"/>
          <c:tx>
            <c:strRef>
              <c:f>tlTerritory2R2!$Z$9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tlTerritory2R2!$X$10:$X$11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tlTerritory2R2!$Z$10:$Z$11</c:f>
              <c:numCache>
                <c:formatCode>0.00%</c:formatCode>
                <c:ptCount val="2"/>
                <c:pt idx="0">
                  <c:v>3.4594784722222216E-3</c:v>
                </c:pt>
                <c:pt idx="1">
                  <c:v>3.459478472222222E-3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46-442D-9704-59D7CB856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tlTerritory2R2!$W$19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tlTerritory2R2!$X$17:$Y$17</c:f>
              <c:numCache>
                <c:formatCode>0%</c:formatCode>
                <c:ptCount val="2"/>
              </c:numCache>
            </c:numRef>
          </c:cat>
          <c:val>
            <c:numRef>
              <c:f>tlTerritory2R2!$X$19:$Y$19</c:f>
              <c:numCache>
                <c:formatCode>"$"#.##0</c:formatCode>
                <c:ptCount val="2"/>
                <c:pt idx="0">
                  <c:v>234424.97948519996</c:v>
                </c:pt>
                <c:pt idx="1">
                  <c:v>251670.91438203747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6F-4C47-A836-626C0495235C}"/>
            </c:ext>
          </c:extLst>
        </c:ser>
        <c:ser>
          <c:idx val="2"/>
          <c:order val="2"/>
          <c:tx>
            <c:strRef>
              <c:f>tlTerritory2R2!$W$21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tlTerritory2R2!$X$17:$Y$17</c:f>
              <c:numCache>
                <c:formatCode>0%</c:formatCode>
                <c:ptCount val="2"/>
              </c:numCache>
            </c:numRef>
          </c:cat>
          <c:val>
            <c:numRef>
              <c:f>tlTerritory2R2!$X$21:$Y$21</c:f>
              <c:numCache>
                <c:formatCode>"$"#.##0</c:formatCode>
                <c:ptCount val="2"/>
                <c:pt idx="0">
                  <c:v>16500</c:v>
                </c:pt>
                <c:pt idx="1">
                  <c:v>16500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6F-4C47-A836-626C0495235C}"/>
            </c:ext>
          </c:extLst>
        </c:ser>
        <c:ser>
          <c:idx val="3"/>
          <c:order val="3"/>
          <c:tx>
            <c:strRef>
              <c:f>tlTerritory2R2!$W$22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tlTerritory2R2!$X$17:$Y$17</c:f>
              <c:numCache>
                <c:formatCode>0%</c:formatCode>
                <c:ptCount val="2"/>
              </c:numCache>
            </c:numRef>
          </c:cat>
          <c:val>
            <c:numRef>
              <c:f>tlTerritory2R2!$X$22:$Y$22</c:f>
              <c:numCache>
                <c:formatCode>"$"#.##0</c:formatCode>
                <c:ptCount val="2"/>
                <c:pt idx="0">
                  <c:v>33000</c:v>
                </c:pt>
                <c:pt idx="1">
                  <c:v>31350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6F-4C47-A836-626C0495235C}"/>
            </c:ext>
          </c:extLst>
        </c:ser>
        <c:ser>
          <c:idx val="4"/>
          <c:order val="4"/>
          <c:tx>
            <c:strRef>
              <c:f>tlTerritory2R2!$W$23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tlTerritory2R2!$X$17:$Y$17</c:f>
              <c:numCache>
                <c:formatCode>0%</c:formatCode>
                <c:ptCount val="2"/>
              </c:numCache>
            </c:numRef>
          </c:cat>
          <c:val>
            <c:numRef>
              <c:f>tlTerritory2R2!$X$23:$Y$23</c:f>
              <c:numCache>
                <c:formatCode>"$"#.##0</c:formatCode>
                <c:ptCount val="2"/>
                <c:pt idx="0">
                  <c:v>33000</c:v>
                </c:pt>
                <c:pt idx="1">
                  <c:v>31350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6F-4C47-A836-626C0495235C}"/>
            </c:ext>
          </c:extLst>
        </c:ser>
        <c:ser>
          <c:idx val="5"/>
          <c:order val="5"/>
          <c:tx>
            <c:strRef>
              <c:f>tlTerritory2R2!$W$24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tlTerritory2R2!$X$17:$Y$17</c:f>
              <c:numCache>
                <c:formatCode>0%</c:formatCode>
                <c:ptCount val="2"/>
              </c:numCache>
            </c:numRef>
          </c:cat>
          <c:val>
            <c:numRef>
              <c:f>tlTerritory2R2!$X$24:$Y$24</c:f>
              <c:numCache>
                <c:formatCode>"$"#.##0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6F-4C47-A836-626C0495235C}"/>
            </c:ext>
          </c:extLst>
        </c:ser>
        <c:ser>
          <c:idx val="6"/>
          <c:order val="6"/>
          <c:tx>
            <c:strRef>
              <c:f>tlTerritory2R2!$W$25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tlTerritory2R2!$X$17:$Y$17</c:f>
              <c:numCache>
                <c:formatCode>0%</c:formatCode>
                <c:ptCount val="2"/>
              </c:numCache>
            </c:numRef>
          </c:cat>
          <c:val>
            <c:numRef>
              <c:f>tlTerritory2R2!$X$25:$Y$25</c:f>
              <c:numCache>
                <c:formatCode>"$"#.##0</c:formatCode>
                <c:ptCount val="2"/>
                <c:pt idx="0">
                  <c:v>115881.86144279997</c:v>
                </c:pt>
                <c:pt idx="1">
                  <c:v>132401.89331583749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6F-4C47-A836-626C04952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tlTerritory2R2!$W$20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tlTerritory2R2!$X$17:$Y$17</c15:sqref>
                        </c15:formulaRef>
                      </c:ext>
                    </c:extLst>
                    <c:numCache>
                      <c:formatCode>0%</c:formatCode>
                      <c:ptCount val="2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tlTerritory2R2!$X$20:$Y$20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198381.86144279997</c:v>
                      </c:pt>
                      <c:pt idx="1">
                        <c:v>211601.89331583749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86F-4C47-A836-626C0495235C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tlTerritory2R2!$X$33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70-4961-8C6D-5EFB1B85F8C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70-4961-8C6D-5EFB1B85F8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tlTerritory2R2!$W$34:$W$35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tlTerritory2R2!$X$34:$X$35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70-4961-8C6D-5EFB1B85F8C7}"/>
            </c:ext>
          </c:extLst>
        </c:ser>
        <c:ser>
          <c:idx val="1"/>
          <c:order val="1"/>
          <c:tx>
            <c:strRef>
              <c:f>tlTerritory2R2!$Y$33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470-4961-8C6D-5EFB1B85F8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tlTerritory2R2!$W$34:$W$35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tlTerritory2R2!$Y$34:$Y$35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0-4961-8C6D-5EFB1B85F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tlTerritory2R2!$W$39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tlTerritory2R2!$X$38:$Z$38</c:f>
              <c:strCache>
                <c:ptCount val="3"/>
                <c:pt idx="0">
                  <c:v>Rep Danielle</c:v>
                </c:pt>
                <c:pt idx="1">
                  <c:v>Rep Elliot</c:v>
                </c:pt>
                <c:pt idx="2">
                  <c:v>Rep Fiona</c:v>
                </c:pt>
              </c:strCache>
            </c:strRef>
          </c:cat>
          <c:val>
            <c:numRef>
              <c:f>tlTerritory2R2!$X$39:$Z$39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A-4047-8D90-86056D51C2C2}"/>
            </c:ext>
          </c:extLst>
        </c:ser>
        <c:ser>
          <c:idx val="1"/>
          <c:order val="1"/>
          <c:tx>
            <c:strRef>
              <c:f>tlTerritory2R2!$W$41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tlTerritory2R2!$X$38:$Z$38</c:f>
              <c:strCache>
                <c:ptCount val="3"/>
                <c:pt idx="0">
                  <c:v>Rep Danielle</c:v>
                </c:pt>
                <c:pt idx="1">
                  <c:v>Rep Elliot</c:v>
                </c:pt>
                <c:pt idx="2">
                  <c:v>Rep Fiona</c:v>
                </c:pt>
              </c:strCache>
            </c:strRef>
          </c:cat>
          <c:val>
            <c:numRef>
              <c:f>tlTerritory2R2!$X$41:$Z$41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A-4047-8D90-86056D51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tlTerritory3R2!$Y$9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tlTerritory3R2!$X$10:$X$11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tlTerritory3R2!$Y$10:$Y$11</c:f>
              <c:numCache>
                <c:formatCode>0.00%</c:formatCode>
                <c:ptCount val="2"/>
                <c:pt idx="0">
                  <c:v>2.4922278496494741E-3</c:v>
                </c:pt>
                <c:pt idx="1">
                  <c:v>2.5376623376623373E-3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6-459B-8539-3404A9563B19}"/>
            </c:ext>
          </c:extLst>
        </c:ser>
        <c:ser>
          <c:idx val="1"/>
          <c:order val="1"/>
          <c:tx>
            <c:strRef>
              <c:f>tlTerritory3R2!$Z$9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tlTerritory3R2!$X$10:$X$11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tlTerritory3R2!$Z$10:$Z$11</c:f>
              <c:numCache>
                <c:formatCode>0.00%</c:formatCode>
                <c:ptCount val="2"/>
                <c:pt idx="0">
                  <c:v>1.9014134441309345E-3</c:v>
                </c:pt>
                <c:pt idx="1">
                  <c:v>1.9917857142857137E-3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6-459B-8539-3404A9563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tlTerritory3R2!$W$19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tlTerritory3R2!$X$17:$Y$17</c:f>
              <c:numCache>
                <c:formatCode>0%</c:formatCode>
                <c:ptCount val="2"/>
              </c:numCache>
            </c:numRef>
          </c:cat>
          <c:val>
            <c:numRef>
              <c:f>tlTerritory3R2!$X$19:$Y$19</c:f>
              <c:numCache>
                <c:formatCode>"$"#.##0</c:formatCode>
                <c:ptCount val="2"/>
                <c:pt idx="0">
                  <c:v>128520.73875789467</c:v>
                </c:pt>
                <c:pt idx="1">
                  <c:v>109106.35548484733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71-4871-A104-A387DDA76EDF}"/>
            </c:ext>
          </c:extLst>
        </c:ser>
        <c:ser>
          <c:idx val="2"/>
          <c:order val="2"/>
          <c:tx>
            <c:strRef>
              <c:f>tlTerritory3R2!$W$21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tlTerritory3R2!$X$17:$Y$17</c:f>
              <c:numCache>
                <c:formatCode>0%</c:formatCode>
                <c:ptCount val="2"/>
              </c:numCache>
            </c:numRef>
          </c:cat>
          <c:val>
            <c:numRef>
              <c:f>tlTerritory3R2!$X$21:$Y$21</c:f>
              <c:numCache>
                <c:formatCode>"$"#.##0</c:formatCode>
                <c:ptCount val="2"/>
                <c:pt idx="0">
                  <c:v>16500</c:v>
                </c:pt>
                <c:pt idx="1">
                  <c:v>16500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71-4871-A104-A387DDA76EDF}"/>
            </c:ext>
          </c:extLst>
        </c:ser>
        <c:ser>
          <c:idx val="3"/>
          <c:order val="3"/>
          <c:tx>
            <c:strRef>
              <c:f>tlTerritory3R2!$W$22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tlTerritory3R2!$X$17:$Y$17</c:f>
              <c:numCache>
                <c:formatCode>0%</c:formatCode>
                <c:ptCount val="2"/>
              </c:numCache>
            </c:numRef>
          </c:cat>
          <c:val>
            <c:numRef>
              <c:f>tlTerritory3R2!$X$22:$Y$22</c:f>
              <c:numCache>
                <c:formatCode>"$"#.##0</c:formatCode>
                <c:ptCount val="2"/>
                <c:pt idx="0">
                  <c:v>33000</c:v>
                </c:pt>
                <c:pt idx="1">
                  <c:v>31350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71-4871-A104-A387DDA76EDF}"/>
            </c:ext>
          </c:extLst>
        </c:ser>
        <c:ser>
          <c:idx val="4"/>
          <c:order val="4"/>
          <c:tx>
            <c:strRef>
              <c:f>tlTerritory3R2!$W$23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tlTerritory3R2!$X$17:$Y$17</c:f>
              <c:numCache>
                <c:formatCode>0%</c:formatCode>
                <c:ptCount val="2"/>
              </c:numCache>
            </c:numRef>
          </c:cat>
          <c:val>
            <c:numRef>
              <c:f>tlTerritory3R2!$X$23:$Y$23</c:f>
              <c:numCache>
                <c:formatCode>"$"#.##0</c:formatCode>
                <c:ptCount val="2"/>
                <c:pt idx="0">
                  <c:v>33000</c:v>
                </c:pt>
                <c:pt idx="1">
                  <c:v>31350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71-4871-A104-A387DDA76EDF}"/>
            </c:ext>
          </c:extLst>
        </c:ser>
        <c:ser>
          <c:idx val="5"/>
          <c:order val="5"/>
          <c:tx>
            <c:strRef>
              <c:f>tlTerritory3R2!$W$24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tlTerritory3R2!$X$17:$Y$17</c:f>
              <c:numCache>
                <c:formatCode>0%</c:formatCode>
                <c:ptCount val="2"/>
              </c:numCache>
            </c:numRef>
          </c:cat>
          <c:val>
            <c:numRef>
              <c:f>tlTerritory3R2!$X$24:$Y$24</c:f>
              <c:numCache>
                <c:formatCode>"$"#.##0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71-4871-A104-A387DDA76EDF}"/>
            </c:ext>
          </c:extLst>
        </c:ser>
        <c:ser>
          <c:idx val="6"/>
          <c:order val="6"/>
          <c:tx>
            <c:strRef>
              <c:f>tlTerritory3R2!$W$25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tlTerritory3R2!$X$17:$Y$17</c:f>
              <c:numCache>
                <c:formatCode>0%</c:formatCode>
                <c:ptCount val="2"/>
              </c:numCache>
            </c:numRef>
          </c:cat>
          <c:val>
            <c:numRef>
              <c:f>tlTerritory3R2!$X$25:$Y$25</c:f>
              <c:numCache>
                <c:formatCode>"$"#.##0</c:formatCode>
                <c:ptCount val="2"/>
                <c:pt idx="0">
                  <c:v>27796.930136842071</c:v>
                </c:pt>
                <c:pt idx="1">
                  <c:v>11057.714485271019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71-4871-A104-A387DDA76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tlTerritory3R2!$W$20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tlTerritory3R2!$X$17:$Y$17</c15:sqref>
                        </c15:formulaRef>
                      </c:ext>
                    </c:extLst>
                    <c:numCache>
                      <c:formatCode>0%</c:formatCode>
                      <c:ptCount val="2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tlTerritory3R2!$X$20:$Y$20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110296.93013684207</c:v>
                      </c:pt>
                      <c:pt idx="1">
                        <c:v>90257.714485271019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7071-4871-A104-A387DDA76EDF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tlTerritory3R2!$X$33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E6F-41E7-822A-75913E9EA3C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6F-41E7-822A-75913E9EA3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tlTerritory3R2!$W$34:$W$35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tlTerritory3R2!$X$34:$X$35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6F-41E7-822A-75913E9EA3CD}"/>
            </c:ext>
          </c:extLst>
        </c:ser>
        <c:ser>
          <c:idx val="1"/>
          <c:order val="1"/>
          <c:tx>
            <c:strRef>
              <c:f>tlTerritory3R2!$Y$33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E6F-41E7-822A-75913E9EA3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tlTerritory3R2!$W$34:$W$35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tlTerritory3R2!$Y$34:$Y$35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6F-41E7-822A-75913E9EA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tlTerritory3R2!$W$39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tlTerritory3R2!$X$38:$Z$38</c:f>
              <c:strCache>
                <c:ptCount val="3"/>
                <c:pt idx="0">
                  <c:v>Rep Gregg</c:v>
                </c:pt>
                <c:pt idx="1">
                  <c:v>Rep Howard</c:v>
                </c:pt>
                <c:pt idx="2">
                  <c:v>Rep Isabelle</c:v>
                </c:pt>
              </c:strCache>
            </c:strRef>
          </c:cat>
          <c:val>
            <c:numRef>
              <c:f>tlTerritory3R2!$X$39:$Z$39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3D-48AE-9858-8AB5AB47F3C4}"/>
            </c:ext>
          </c:extLst>
        </c:ser>
        <c:ser>
          <c:idx val="1"/>
          <c:order val="1"/>
          <c:tx>
            <c:strRef>
              <c:f>tlTerritory3R2!$W$41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tlTerritory3R2!$X$38:$Z$38</c:f>
              <c:strCache>
                <c:ptCount val="3"/>
                <c:pt idx="0">
                  <c:v>Rep Gregg</c:v>
                </c:pt>
                <c:pt idx="1">
                  <c:v>Rep Howard</c:v>
                </c:pt>
                <c:pt idx="2">
                  <c:v>Rep Isabelle</c:v>
                </c:pt>
              </c:strCache>
            </c:strRef>
          </c:cat>
          <c:val>
            <c:numRef>
              <c:f>tlTerritory3R2!$X$41:$Z$41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3D-48AE-9858-8AB5AB47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tlDistrict1R1!$Y$9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tlDistrict1R1!$X$10:$X$11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tlDistrict1R1!$Y$10:$Y$11</c:f>
              <c:numCache>
                <c:formatCode>0.00%</c:formatCode>
                <c:ptCount val="2"/>
                <c:pt idx="0">
                  <c:v>3.2432432432432426E-3</c:v>
                </c:pt>
                <c:pt idx="1">
                  <c:v>3.2432432432432426E-3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8-4BB2-A596-36D61830663B}"/>
            </c:ext>
          </c:extLst>
        </c:ser>
        <c:ser>
          <c:idx val="1"/>
          <c:order val="1"/>
          <c:tx>
            <c:strRef>
              <c:f>tlDistrict1R1!$Z$9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tlDistrict1R1!$X$10:$X$11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tlDistrict1R1!$Z$10:$Z$11</c:f>
              <c:numCache>
                <c:formatCode>0.00%</c:formatCode>
                <c:ptCount val="2"/>
                <c:pt idx="0">
                  <c:v>3.2059896302079754E-3</c:v>
                </c:pt>
                <c:pt idx="1">
                  <c:v>3.3717095238095245E-3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88-4BB2-A596-36D618306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tlDistrict1R1!$W$19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tlDistrict1R1!$X$17:$Y$17</c:f>
              <c:numCache>
                <c:formatCode>0%</c:formatCode>
                <c:ptCount val="2"/>
              </c:numCache>
            </c:numRef>
          </c:cat>
          <c:val>
            <c:numRef>
              <c:f>tlDistrict1R1!$X$19:$Y$19</c:f>
              <c:numCache>
                <c:formatCode>"$"#.##0</c:formatCode>
                <c:ptCount val="2"/>
                <c:pt idx="0">
                  <c:v>548270.18573579995</c:v>
                </c:pt>
                <c:pt idx="1">
                  <c:v>548270.18573579995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8-4226-A4D0-D959D717BA9A}"/>
            </c:ext>
          </c:extLst>
        </c:ser>
        <c:ser>
          <c:idx val="2"/>
          <c:order val="2"/>
          <c:tx>
            <c:strRef>
              <c:f>tlDistrict1R1!$W$21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tlDistrict1R1!$X$17:$Y$17</c:f>
              <c:numCache>
                <c:formatCode>0%</c:formatCode>
                <c:ptCount val="2"/>
              </c:numCache>
            </c:numRef>
          </c:cat>
          <c:val>
            <c:numRef>
              <c:f>tlDistrict1R1!$X$21:$Y$21</c:f>
              <c:numCache>
                <c:formatCode>"$"#.##0</c:formatCode>
                <c:ptCount val="2"/>
                <c:pt idx="0">
                  <c:v>49500</c:v>
                </c:pt>
                <c:pt idx="1">
                  <c:v>49500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8-4226-A4D0-D959D717BA9A}"/>
            </c:ext>
          </c:extLst>
        </c:ser>
        <c:ser>
          <c:idx val="3"/>
          <c:order val="3"/>
          <c:tx>
            <c:strRef>
              <c:f>tlDistrict1R1!$W$22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tlDistrict1R1!$X$17:$Y$17</c:f>
              <c:numCache>
                <c:formatCode>0%</c:formatCode>
                <c:ptCount val="2"/>
              </c:numCache>
            </c:numRef>
          </c:cat>
          <c:val>
            <c:numRef>
              <c:f>tlDistrict1R1!$X$22:$Y$22</c:f>
              <c:numCache>
                <c:formatCode>"$"#.##0</c:formatCode>
                <c:ptCount val="2"/>
                <c:pt idx="0">
                  <c:v>99000</c:v>
                </c:pt>
                <c:pt idx="1">
                  <c:v>99000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8-4226-A4D0-D959D717BA9A}"/>
            </c:ext>
          </c:extLst>
        </c:ser>
        <c:ser>
          <c:idx val="4"/>
          <c:order val="4"/>
          <c:tx>
            <c:strRef>
              <c:f>tlDistrict1R1!$W$23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tlDistrict1R1!$X$17:$Y$17</c:f>
              <c:numCache>
                <c:formatCode>0%</c:formatCode>
                <c:ptCount val="2"/>
              </c:numCache>
            </c:numRef>
          </c:cat>
          <c:val>
            <c:numRef>
              <c:f>tlDistrict1R1!$X$23:$Y$23</c:f>
              <c:numCache>
                <c:formatCode>"$"#.##0</c:formatCode>
                <c:ptCount val="2"/>
                <c:pt idx="0">
                  <c:v>99000</c:v>
                </c:pt>
                <c:pt idx="1">
                  <c:v>99000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8-4226-A4D0-D959D717BA9A}"/>
            </c:ext>
          </c:extLst>
        </c:ser>
        <c:ser>
          <c:idx val="5"/>
          <c:order val="5"/>
          <c:tx>
            <c:strRef>
              <c:f>tlDistrict1R1!$W$24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tlDistrict1R1!$X$17:$Y$17</c:f>
              <c:numCache>
                <c:formatCode>0%</c:formatCode>
                <c:ptCount val="2"/>
              </c:numCache>
            </c:numRef>
          </c:cat>
          <c:val>
            <c:numRef>
              <c:f>tlDistrict1R1!$X$24:$Y$24</c:f>
              <c:numCache>
                <c:formatCode>"$"#.##0</c:formatCode>
                <c:ptCount val="2"/>
                <c:pt idx="0">
                  <c:v>30000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8-4226-A4D0-D959D717BA9A}"/>
            </c:ext>
          </c:extLst>
        </c:ser>
        <c:ser>
          <c:idx val="6"/>
          <c:order val="6"/>
          <c:tx>
            <c:strRef>
              <c:f>tlDistrict1R1!$W$25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tlDistrict1R1!$X$17:$Y$17</c:f>
              <c:numCache>
                <c:formatCode>0%</c:formatCode>
                <c:ptCount val="2"/>
              </c:numCache>
            </c:numRef>
          </c:cat>
          <c:val>
            <c:numRef>
              <c:f>tlDistrict1R1!$X$25:$Y$25</c:f>
              <c:numCache>
                <c:formatCode>"$"#.##0</c:formatCode>
                <c:ptCount val="2"/>
                <c:pt idx="0">
                  <c:v>294056.34546119987</c:v>
                </c:pt>
                <c:pt idx="1">
                  <c:v>324056.34546119987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8-4226-A4D0-D959D717B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tlDistrict1R1!$W$20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tlDistrict1R1!$X$17:$Y$17</c15:sqref>
                        </c15:formulaRef>
                      </c:ext>
                    </c:extLst>
                    <c:numCache>
                      <c:formatCode>0%</c:formatCode>
                      <c:ptCount val="2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tlDistrict1R1!$X$20:$Y$20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571556.34546119987</c:v>
                      </c:pt>
                      <c:pt idx="1">
                        <c:v>571556.34546119987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BC38-4226-A4D0-D959D717BA9A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tlDistrict1R1!$X$33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49-493A-A00C-431DC116C16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49-493A-A00C-431DC116C1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tlDistrict1R1!$W$34:$W$35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tlDistrict1R1!$X$34:$X$35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49-493A-A00C-431DC116C16F}"/>
            </c:ext>
          </c:extLst>
        </c:ser>
        <c:ser>
          <c:idx val="1"/>
          <c:order val="1"/>
          <c:tx>
            <c:strRef>
              <c:f>tlDistrict1R1!$Y$33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549-493A-A00C-431DC116C1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tlDistrict1R1!$W$34:$W$35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tlDistrict1R1!$Y$34:$Y$35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49-493A-A00C-431DC116C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District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tlDistrict1R1!$W$38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tlDistrict1R1!$X$37:$Z$37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tlDistrict1R1!$X$38:$Z$38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5-479D-AE75-186D9FA77418}"/>
            </c:ext>
          </c:extLst>
        </c:ser>
        <c:ser>
          <c:idx val="1"/>
          <c:order val="1"/>
          <c:tx>
            <c:strRef>
              <c:f>tlDistrict1R1!$W$40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tlDistrict1R1!$X$37:$Z$37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tlDistrict1R1!$X$40:$Z$40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25-479D-AE75-186D9FA77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tlDistrict2R1!$Y$9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tlDistrict2R1!$X$10:$X$11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tlDistrict2R1!$Y$10:$Y$11</c:f>
              <c:numCache>
                <c:formatCode>0.00%</c:formatCode>
                <c:ptCount val="2"/>
                <c:pt idx="0">
                  <c:v>4.0000000000000001E-3</c:v>
                </c:pt>
                <c:pt idx="1">
                  <c:v>4.0000000000000001E-3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D6-41BF-8686-4EDD66EF3BB5}"/>
            </c:ext>
          </c:extLst>
        </c:ser>
        <c:ser>
          <c:idx val="1"/>
          <c:order val="1"/>
          <c:tx>
            <c:strRef>
              <c:f>tlDistrict2R1!$Z$9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tlDistrict2R1!$X$10:$X$11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tlDistrict2R1!$Z$10:$Z$11</c:f>
              <c:numCache>
                <c:formatCode>0.00%</c:formatCode>
                <c:ptCount val="2"/>
                <c:pt idx="0">
                  <c:v>3.889465148981453E-3</c:v>
                </c:pt>
                <c:pt idx="1">
                  <c:v>4.2522382478632475E-3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D6-41BF-8686-4EDD66EF3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tlDistrict2R1!$W$19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tlDistrict2R1!$X$19:$Y$19</c:f>
              <c:numCache>
                <c:formatCode>"$"#.##0</c:formatCode>
                <c:ptCount val="2"/>
                <c:pt idx="0">
                  <c:v>604978.56889795372</c:v>
                </c:pt>
                <c:pt idx="1">
                  <c:v>604978.56889795372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2-4962-9AE6-510F41963749}"/>
            </c:ext>
          </c:extLst>
        </c:ser>
        <c:ser>
          <c:idx val="2"/>
          <c:order val="2"/>
          <c:tx>
            <c:strRef>
              <c:f>tlDistrict2R1!$W$21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tlDistrict2R1!$X$21:$Y$21</c:f>
              <c:numCache>
                <c:formatCode>"$"#.##0</c:formatCode>
                <c:ptCount val="2"/>
                <c:pt idx="0">
                  <c:v>49500</c:v>
                </c:pt>
                <c:pt idx="1">
                  <c:v>49500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12-4962-9AE6-510F41963749}"/>
            </c:ext>
          </c:extLst>
        </c:ser>
        <c:ser>
          <c:idx val="3"/>
          <c:order val="3"/>
          <c:tx>
            <c:strRef>
              <c:f>tlDistrict2R1!$W$22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tlDistrict2R1!$X$22:$Y$22</c:f>
              <c:numCache>
                <c:formatCode>"$"#.##0</c:formatCode>
                <c:ptCount val="2"/>
                <c:pt idx="0">
                  <c:v>99000</c:v>
                </c:pt>
                <c:pt idx="1">
                  <c:v>99000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12-4962-9AE6-510F41963749}"/>
            </c:ext>
          </c:extLst>
        </c:ser>
        <c:ser>
          <c:idx val="4"/>
          <c:order val="4"/>
          <c:tx>
            <c:strRef>
              <c:f>tlDistrict2R1!$W$23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tlDistrict2R1!$X$23:$Y$23</c:f>
              <c:numCache>
                <c:formatCode>"$"#.##0</c:formatCode>
                <c:ptCount val="2"/>
                <c:pt idx="0">
                  <c:v>99000</c:v>
                </c:pt>
                <c:pt idx="1">
                  <c:v>99000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12-4962-9AE6-510F41963749}"/>
            </c:ext>
          </c:extLst>
        </c:ser>
        <c:ser>
          <c:idx val="5"/>
          <c:order val="5"/>
          <c:tx>
            <c:strRef>
              <c:f>tlDistrict2R1!$W$24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tlDistrict2R1!$X$24:$Y$24</c:f>
              <c:numCache>
                <c:formatCode>"$"#.##0</c:formatCode>
                <c:ptCount val="2"/>
                <c:pt idx="0">
                  <c:v>30000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12-4962-9AE6-510F41963749}"/>
            </c:ext>
          </c:extLst>
        </c:ser>
        <c:ser>
          <c:idx val="6"/>
          <c:order val="6"/>
          <c:tx>
            <c:strRef>
              <c:f>tlDistrict2R1!$W$25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tlDistrict2R1!$X$17:$Y$17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tlDistrict2R1!$X$25:$Y$25</c:f>
              <c:numCache>
                <c:formatCode>"$"#.##0</c:formatCode>
                <c:ptCount val="2"/>
                <c:pt idx="0">
                  <c:v>315685.99688693089</c:v>
                </c:pt>
                <c:pt idx="1">
                  <c:v>345685.99688693089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12-4962-9AE6-510F41963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tlDistrict2R1!$W$20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tlDistrict2R1!$X$17:$Y$17</c15:sqref>
                        </c15:formulaRef>
                      </c:ext>
                    </c:extLst>
                    <c:strCache>
                      <c:ptCount val="2"/>
                      <c:pt idx="0">
                        <c:v>Previous</c:v>
                      </c:pt>
                      <c:pt idx="1">
                        <c:v>Current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tlDistrict2R1!$X$20:$Y$20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593185.99688693089</c:v>
                      </c:pt>
                      <c:pt idx="1">
                        <c:v>593185.99688693089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2212-4962-9AE6-510F41963749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tlDistrict2R1!$X$33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3C-4422-AB03-34837262763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3C-4422-AB03-3483726276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tlDistrict2R1!$W$34:$W$35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tlDistrict2R1!$X$34:$X$35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3C-4422-AB03-348372627634}"/>
            </c:ext>
          </c:extLst>
        </c:ser>
        <c:ser>
          <c:idx val="1"/>
          <c:order val="1"/>
          <c:tx>
            <c:strRef>
              <c:f>tlDistrict2R1!$Y$33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83C-4422-AB03-3483726276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tlDistrict2R1!$W$34:$W$35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tlDistrict2R1!$Y$34:$Y$35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3C-4422-AB03-348372627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tlDistrict2R1!$W$38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tlDistrict2R1!$X$37:$Z$37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tlDistrict2R1!$X$38:$Z$38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9-4FA5-BD26-77B499CFB630}"/>
            </c:ext>
          </c:extLst>
        </c:ser>
        <c:ser>
          <c:idx val="1"/>
          <c:order val="1"/>
          <c:tx>
            <c:strRef>
              <c:f>tlDistrict2R1!$W$40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tlDistrict2R1!$X$37:$Z$37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tlDistrict2R1!$X$40:$Z$40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9-4FA5-BD26-77B499CF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tlDistrict3R1!$Y$9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tlDistrict3R1!$X$10:$X$11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tlDistrict3R1!$Y$10:$Y$11</c:f>
              <c:numCache>
                <c:formatCode>0.00%</c:formatCode>
                <c:ptCount val="2"/>
                <c:pt idx="0">
                  <c:v>3.1884057971014496E-3</c:v>
                </c:pt>
                <c:pt idx="1">
                  <c:v>3.1884057971014496E-3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A-439E-845B-AE95DC642062}"/>
            </c:ext>
          </c:extLst>
        </c:ser>
        <c:ser>
          <c:idx val="1"/>
          <c:order val="1"/>
          <c:tx>
            <c:strRef>
              <c:f>tlDistrict3R1!$Z$9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tlDistrict3R1!$X$10:$X$11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tlDistrict3R1!$Z$10:$Z$11</c:f>
              <c:numCache>
                <c:formatCode>0.00%</c:formatCode>
                <c:ptCount val="2"/>
                <c:pt idx="0">
                  <c:v>3.1898366237869029E-3</c:v>
                </c:pt>
                <c:pt idx="1">
                  <c:v>3.3809804815067971E-3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9A-439E-845B-AE95DC642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tlDistrict3R1!$W$19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tlDistrict3R1!$X$17:$Y$17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tlDistrict3R1!$X$19:$Y$19</c:f>
              <c:numCache>
                <c:formatCode>"$"#.##0</c:formatCode>
                <c:ptCount val="2"/>
                <c:pt idx="0">
                  <c:v>678924.73258576856</c:v>
                </c:pt>
                <c:pt idx="1">
                  <c:v>678924.73258576856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8-479E-AD02-0815270E3388}"/>
            </c:ext>
          </c:extLst>
        </c:ser>
        <c:ser>
          <c:idx val="2"/>
          <c:order val="2"/>
          <c:tx>
            <c:strRef>
              <c:f>tlDistrict3R1!$W$21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tlDistrict3R1!$X$17:$Y$17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tlDistrict3R1!$X$21:$Y$21</c:f>
              <c:numCache>
                <c:formatCode>"$"#.##0</c:formatCode>
                <c:ptCount val="2"/>
                <c:pt idx="0">
                  <c:v>49500</c:v>
                </c:pt>
                <c:pt idx="1">
                  <c:v>49500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8-479E-AD02-0815270E3388}"/>
            </c:ext>
          </c:extLst>
        </c:ser>
        <c:ser>
          <c:idx val="3"/>
          <c:order val="3"/>
          <c:tx>
            <c:strRef>
              <c:f>tlDistrict3R1!$W$22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tlDistrict3R1!$X$17:$Y$17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tlDistrict3R1!$X$22:$Y$22</c:f>
              <c:numCache>
                <c:formatCode>"$"#.##0</c:formatCode>
                <c:ptCount val="2"/>
                <c:pt idx="0">
                  <c:v>99000</c:v>
                </c:pt>
                <c:pt idx="1">
                  <c:v>99000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8-479E-AD02-0815270E3388}"/>
            </c:ext>
          </c:extLst>
        </c:ser>
        <c:ser>
          <c:idx val="4"/>
          <c:order val="4"/>
          <c:tx>
            <c:strRef>
              <c:f>tlDistrict3R1!$W$23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tlDistrict3R1!$X$17:$Y$17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tlDistrict3R1!$X$23:$Y$23</c:f>
              <c:numCache>
                <c:formatCode>"$"#.##0</c:formatCode>
                <c:ptCount val="2"/>
                <c:pt idx="0">
                  <c:v>99000</c:v>
                </c:pt>
                <c:pt idx="1">
                  <c:v>99000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8-479E-AD02-0815270E3388}"/>
            </c:ext>
          </c:extLst>
        </c:ser>
        <c:ser>
          <c:idx val="5"/>
          <c:order val="5"/>
          <c:tx>
            <c:strRef>
              <c:f>tlDistrict3R1!$W$24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tlDistrict3R1!$X$17:$Y$17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tlDistrict3R1!$X$24:$Y$24</c:f>
              <c:numCache>
                <c:formatCode>"$"#.##0</c:formatCode>
                <c:ptCount val="2"/>
                <c:pt idx="0">
                  <c:v>30000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8-479E-AD02-0815270E3388}"/>
            </c:ext>
          </c:extLst>
        </c:ser>
        <c:ser>
          <c:idx val="6"/>
          <c:order val="6"/>
          <c:tx>
            <c:strRef>
              <c:f>tlDistrict3R1!$W$25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tlDistrict3R1!$X$17:$Y$17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tlDistrict3R1!$X$25:$Y$25</c:f>
              <c:numCache>
                <c:formatCode>"$"#.##0</c:formatCode>
                <c:ptCount val="2"/>
                <c:pt idx="0">
                  <c:v>381545.06340517907</c:v>
                </c:pt>
                <c:pt idx="1">
                  <c:v>411545.06340517907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8-479E-AD02-0815270E3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tlDistrict3R1!$W$20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tlDistrict3R1!$X$17:$Y$17</c15:sqref>
                        </c15:formulaRef>
                      </c:ext>
                    </c:extLst>
                    <c:strCache>
                      <c:ptCount val="2"/>
                      <c:pt idx="0">
                        <c:v>Previous</c:v>
                      </c:pt>
                      <c:pt idx="1">
                        <c:v>Current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tlDistrict3R1!$X$20:$Y$20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659045.06340517907</c:v>
                      </c:pt>
                      <c:pt idx="1">
                        <c:v>659045.06340517907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DE18-479E-AD02-0815270E3388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tlDistrict3R1!$X$33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90-4544-9385-80B5BF9FE29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490-4544-9385-80B5BF9FE2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tlDistrict3R1!$W$34:$W$35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tlDistrict3R1!$X$34:$X$35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90-4544-9385-80B5BF9FE294}"/>
            </c:ext>
          </c:extLst>
        </c:ser>
        <c:ser>
          <c:idx val="1"/>
          <c:order val="1"/>
          <c:tx>
            <c:strRef>
              <c:f>tlDistrict3R1!$Y$33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490-4544-9385-80B5BF9FE2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tlDistrict3R1!$W$34:$W$35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tlDistrict3R1!$Y$34:$Y$35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90-4544-9385-80B5BF9FE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tlDistrict3R1!$W$38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tlDistrict3R1!$X$37:$Z$37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tlDistrict3R1!$X$38:$Z$38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B-440B-9A90-55E504F84306}"/>
            </c:ext>
          </c:extLst>
        </c:ser>
        <c:ser>
          <c:idx val="1"/>
          <c:order val="1"/>
          <c:tx>
            <c:strRef>
              <c:f>tlDistrict3R1!$W$40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tlDistrict3R1!$X$37:$Z$37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tlDistrict3R1!$X$40:$Z$40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B-440B-9A90-55E504F84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tlDistrict1R2!$Y$9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tlDistrict1R2!$X$10:$X$11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tlDistrict1R2!$Y$10:$Y$11</c:f>
              <c:numCache>
                <c:formatCode>0.00%</c:formatCode>
                <c:ptCount val="2"/>
                <c:pt idx="0">
                  <c:v>3.2059896302079754E-3</c:v>
                </c:pt>
                <c:pt idx="1">
                  <c:v>3.3717095238095245E-3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D4-4DD3-8588-226F5A425E39}"/>
            </c:ext>
          </c:extLst>
        </c:ser>
        <c:ser>
          <c:idx val="1"/>
          <c:order val="1"/>
          <c:tx>
            <c:strRef>
              <c:f>tlDistrict1R2!$Z$9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tlDistrict1R2!$X$10:$X$11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tlDistrict1R2!$Z$10:$Z$11</c:f>
              <c:numCache>
                <c:formatCode>0.00%</c:formatCode>
                <c:ptCount val="2"/>
                <c:pt idx="0">
                  <c:v>3.0963025034194173E-3</c:v>
                </c:pt>
                <c:pt idx="1">
                  <c:v>3.2511495238095232E-3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D4-4DD3-8588-226F5A425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tlDistrict1R2!$W$19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tlDistrict1R2!$X$17:$Y$17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tlDistrict1R2!$X$19:$Y$19</c:f>
              <c:numCache>
                <c:formatCode>"$"#.##0</c:formatCode>
                <c:ptCount val="2"/>
                <c:pt idx="0">
                  <c:v>548270.18573579995</c:v>
                </c:pt>
                <c:pt idx="1">
                  <c:v>600766.13044339186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C-4EBE-A427-CB3BC0401B79}"/>
            </c:ext>
          </c:extLst>
        </c:ser>
        <c:ser>
          <c:idx val="2"/>
          <c:order val="2"/>
          <c:tx>
            <c:strRef>
              <c:f>tlDistrict1R2!$W$21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tlDistrict1R2!$X$17:$Y$17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tlDistrict1R2!$X$21:$Y$21</c:f>
              <c:numCache>
                <c:formatCode>"$"#.##0</c:formatCode>
                <c:ptCount val="2"/>
                <c:pt idx="0">
                  <c:v>49500</c:v>
                </c:pt>
                <c:pt idx="1">
                  <c:v>49500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C-4EBE-A427-CB3BC0401B79}"/>
            </c:ext>
          </c:extLst>
        </c:ser>
        <c:ser>
          <c:idx val="3"/>
          <c:order val="3"/>
          <c:tx>
            <c:strRef>
              <c:f>tlDistrict1R2!$W$22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tlDistrict1R2!$X$17:$Y$17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tlDistrict1R2!$X$22:$Y$22</c:f>
              <c:numCache>
                <c:formatCode>"$"#.##0</c:formatCode>
                <c:ptCount val="2"/>
                <c:pt idx="0">
                  <c:v>99000</c:v>
                </c:pt>
                <c:pt idx="1">
                  <c:v>94050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7C-4EBE-A427-CB3BC0401B79}"/>
            </c:ext>
          </c:extLst>
        </c:ser>
        <c:ser>
          <c:idx val="4"/>
          <c:order val="4"/>
          <c:tx>
            <c:strRef>
              <c:f>tlDistrict1R2!$W$23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tlDistrict1R2!$X$17:$Y$17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tlDistrict1R2!$X$23:$Y$23</c:f>
              <c:numCache>
                <c:formatCode>"$"#.##0</c:formatCode>
                <c:ptCount val="2"/>
                <c:pt idx="0">
                  <c:v>99000</c:v>
                </c:pt>
                <c:pt idx="1">
                  <c:v>94050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7C-4EBE-A427-CB3BC0401B79}"/>
            </c:ext>
          </c:extLst>
        </c:ser>
        <c:ser>
          <c:idx val="5"/>
          <c:order val="5"/>
          <c:tx>
            <c:strRef>
              <c:f>tlDistrict1R2!$W$24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tlDistrict1R2!$X$17:$Y$17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tlDistrict1R2!$X$24:$Y$24</c:f>
              <c:numCache>
                <c:formatCode>"$"#.##0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7C-4EBE-A427-CB3BC0401B79}"/>
            </c:ext>
          </c:extLst>
        </c:ser>
        <c:ser>
          <c:idx val="6"/>
          <c:order val="6"/>
          <c:tx>
            <c:strRef>
              <c:f>tlDistrict1R2!$W$25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tlDistrict1R2!$X$17:$Y$17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tlDistrict1R2!$X$25:$Y$25</c:f>
              <c:numCache>
                <c:formatCode>"$"#.##0</c:formatCode>
                <c:ptCount val="2"/>
                <c:pt idx="0">
                  <c:v>324056.34546119987</c:v>
                </c:pt>
                <c:pt idx="1">
                  <c:v>390430.27250821795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7C-4EBE-A427-CB3BC0401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tlDistrict1R2!$W$20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tlDistrict1R2!$X$17:$Y$17</c15:sqref>
                        </c15:formulaRef>
                      </c:ext>
                    </c:extLst>
                    <c:strCache>
                      <c:ptCount val="2"/>
                      <c:pt idx="0">
                        <c:v>Previous</c:v>
                      </c:pt>
                      <c:pt idx="1">
                        <c:v>Current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tlDistrict1R2!$X$20:$Y$20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571556.34546119987</c:v>
                      </c:pt>
                      <c:pt idx="1">
                        <c:v>628030.27250821795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947C-4EBE-A427-CB3BC0401B79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tlDistrict1R2!$X$33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37-4657-A9A8-57E5F1BD8C7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37-4657-A9A8-57E5F1BD8C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tlDistrict1R2!$W$34:$W$35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tlDistrict1R2!$X$34:$X$35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37-4657-A9A8-57E5F1BD8C7D}"/>
            </c:ext>
          </c:extLst>
        </c:ser>
        <c:ser>
          <c:idx val="1"/>
          <c:order val="1"/>
          <c:tx>
            <c:strRef>
              <c:f>tlDistrict1R2!$Y$33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837-4657-A9A8-57E5F1BD8C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tlDistrict1R2!$W$34:$W$35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tlDistrict1R2!$Y$34:$Y$35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37-4657-A9A8-57E5F1BD8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tlDistrict1R2!$W$38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tlDistrict1R2!$X$37:$Z$37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tlDistrict1R2!$X$38:$Z$38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E-49F5-9C1E-5D7DC6DF4F54}"/>
            </c:ext>
          </c:extLst>
        </c:ser>
        <c:ser>
          <c:idx val="1"/>
          <c:order val="1"/>
          <c:tx>
            <c:strRef>
              <c:f>tlDistrict1R2!$W$40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tlDistrict1R2!$X$37:$Z$37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tlDistrict1R2!$X$40:$Z$40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E-49F5-9C1E-5D7DC6DF4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tlDistrict2R2!$Y$9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tlDistrict2R2!$X$10:$X$11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tlDistrict2R2!$Y$10:$Y$11</c:f>
              <c:numCache>
                <c:formatCode>0.00%</c:formatCode>
                <c:ptCount val="2"/>
                <c:pt idx="0">
                  <c:v>3.889465148981453E-3</c:v>
                </c:pt>
                <c:pt idx="1">
                  <c:v>4.2522382478632475E-3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75-4A1F-8060-40233B15118D}"/>
            </c:ext>
          </c:extLst>
        </c:ser>
        <c:ser>
          <c:idx val="1"/>
          <c:order val="1"/>
          <c:tx>
            <c:strRef>
              <c:f>tlDistrict2R2!$Z$9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tlDistrict2R2!$X$10:$X$11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tlDistrict2R2!$Z$10:$Z$11</c:f>
              <c:numCache>
                <c:formatCode>0.00%</c:formatCode>
                <c:ptCount val="2"/>
                <c:pt idx="0">
                  <c:v>3.6651635185466708E-3</c:v>
                </c:pt>
                <c:pt idx="1">
                  <c:v>4.020703525641026E-3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75-4A1F-8060-40233B151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tlDistrict2R2!$W$19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tlDistrict2R2!$X$19:$Y$19</c:f>
              <c:numCache>
                <c:formatCode>"$"#.##0</c:formatCode>
                <c:ptCount val="2"/>
                <c:pt idx="0">
                  <c:v>604978.56889795372</c:v>
                </c:pt>
                <c:pt idx="1">
                  <c:v>642674.37143835495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E-4B2C-ACA6-3E829E40ACCA}"/>
            </c:ext>
          </c:extLst>
        </c:ser>
        <c:ser>
          <c:idx val="2"/>
          <c:order val="2"/>
          <c:tx>
            <c:strRef>
              <c:f>tlDistrict2R2!$W$21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tlDistrict2R2!$X$21:$Y$21</c:f>
              <c:numCache>
                <c:formatCode>"$"#.##0</c:formatCode>
                <c:ptCount val="2"/>
                <c:pt idx="0">
                  <c:v>49500</c:v>
                </c:pt>
                <c:pt idx="1">
                  <c:v>49500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1E-4B2C-ACA6-3E829E40ACCA}"/>
            </c:ext>
          </c:extLst>
        </c:ser>
        <c:ser>
          <c:idx val="3"/>
          <c:order val="3"/>
          <c:tx>
            <c:strRef>
              <c:f>tlDistrict2R2!$W$22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tlDistrict2R2!$X$22:$Y$22</c:f>
              <c:numCache>
                <c:formatCode>"$"#.##0</c:formatCode>
                <c:ptCount val="2"/>
                <c:pt idx="0">
                  <c:v>99000</c:v>
                </c:pt>
                <c:pt idx="1">
                  <c:v>94050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1E-4B2C-ACA6-3E829E40ACCA}"/>
            </c:ext>
          </c:extLst>
        </c:ser>
        <c:ser>
          <c:idx val="4"/>
          <c:order val="4"/>
          <c:tx>
            <c:strRef>
              <c:f>tlDistrict2R2!$W$23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tlDistrict2R2!$X$23:$Y$23</c:f>
              <c:numCache>
                <c:formatCode>"$"#.##0</c:formatCode>
                <c:ptCount val="2"/>
                <c:pt idx="0">
                  <c:v>99000</c:v>
                </c:pt>
                <c:pt idx="1">
                  <c:v>94050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1E-4B2C-ACA6-3E829E40ACCA}"/>
            </c:ext>
          </c:extLst>
        </c:ser>
        <c:ser>
          <c:idx val="5"/>
          <c:order val="5"/>
          <c:tx>
            <c:strRef>
              <c:f>tlDistrict2R2!$W$24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tlDistrict2R2!$X$17:$Y$17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tlDistrict2R2!$X$24:$Y$24</c:f>
              <c:numCache>
                <c:formatCode>"$"#.##0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1E-4B2C-ACA6-3E829E40ACCA}"/>
            </c:ext>
          </c:extLst>
        </c:ser>
        <c:ser>
          <c:idx val="6"/>
          <c:order val="6"/>
          <c:tx>
            <c:strRef>
              <c:f>tlDistrict2R2!$W$25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tlDistrict2R2!$X$17:$Y$17</c:f>
              <c:strCache>
                <c:ptCount val="2"/>
                <c:pt idx="0">
                  <c:v>Previous</c:v>
                </c:pt>
                <c:pt idx="1">
                  <c:v>Current</c:v>
                </c:pt>
              </c:strCache>
            </c:strRef>
          </c:cat>
          <c:val>
            <c:numRef>
              <c:f>tlDistrict2R2!$X$25:$Y$25</c:f>
              <c:numCache>
                <c:formatCode>"$"#.##0</c:formatCode>
                <c:ptCount val="2"/>
                <c:pt idx="0">
                  <c:v>345685.99688693089</c:v>
                </c:pt>
                <c:pt idx="1">
                  <c:v>395572.00920719234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1E-4B2C-ACA6-3E829E40A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tlDistrict2R2!$W$20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tlDistrict2R2!$X$17:$Y$17</c15:sqref>
                        </c15:formulaRef>
                      </c:ext>
                    </c:extLst>
                    <c:strCache>
                      <c:ptCount val="2"/>
                      <c:pt idx="0">
                        <c:v>Previous</c:v>
                      </c:pt>
                      <c:pt idx="1">
                        <c:v>Current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tlDistrict2R2!$X$20:$Y$20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593185.99688693089</c:v>
                      </c:pt>
                      <c:pt idx="1">
                        <c:v>633172.00920719234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E1E-4B2C-ACA6-3E829E40ACCA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tlDistrict2R2!$X$33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17-4F4B-9EC3-629A0C35C0D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17-4F4B-9EC3-629A0C35C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tlDistrict2R2!$W$34:$W$35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tlDistrict2R2!$X$34:$X$35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17-4F4B-9EC3-629A0C35C0DD}"/>
            </c:ext>
          </c:extLst>
        </c:ser>
        <c:ser>
          <c:idx val="1"/>
          <c:order val="1"/>
          <c:tx>
            <c:strRef>
              <c:f>tlDistrict2R2!$Y$33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D17-4F4B-9EC3-629A0C35C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tlDistrict2R2!$W$34:$W$35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tlDistrict2R2!$Y$34:$Y$35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17-4F4B-9EC3-629A0C35C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tlDistrict2R2!$W$38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tlDistrict2R2!$X$37:$Z$37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tlDistrict2R2!$X$38:$Z$38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FC-49DF-B668-7C9326386AE1}"/>
            </c:ext>
          </c:extLst>
        </c:ser>
        <c:ser>
          <c:idx val="1"/>
          <c:order val="1"/>
          <c:tx>
            <c:strRef>
              <c:f>tlDistrict2R2!$W$40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tlDistrict2R2!$X$37:$Z$37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tlDistrict2R2!$X$40:$Z$40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FC-49DF-B668-7C9326386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tlDistrict3R2!$Y$9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tlDistrict3R2!$X$10:$X$11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tlDistrict3R2!$Y$10:$Y$11</c:f>
              <c:numCache>
                <c:formatCode>0.00%</c:formatCode>
                <c:ptCount val="2"/>
                <c:pt idx="0">
                  <c:v>3.1898366237869029E-3</c:v>
                </c:pt>
                <c:pt idx="1">
                  <c:v>3.3809804815067971E-3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C-44C5-87C1-4837511347E2}"/>
            </c:ext>
          </c:extLst>
        </c:ser>
        <c:ser>
          <c:idx val="1"/>
          <c:order val="1"/>
          <c:tx>
            <c:strRef>
              <c:f>tlDistrict3R2!$Z$9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tlDistrict3R2!$X$10:$X$11</c:f>
              <c:strCache>
                <c:ptCount val="2"/>
                <c:pt idx="0">
                  <c:v>TRx Share</c:v>
                </c:pt>
                <c:pt idx="1">
                  <c:v>NRx Share</c:v>
                </c:pt>
              </c:strCache>
            </c:strRef>
          </c:cat>
          <c:val>
            <c:numRef>
              <c:f>tlDistrict3R2!$Z$10:$Z$11</c:f>
              <c:numCache>
                <c:formatCode>0.00%</c:formatCode>
                <c:ptCount val="2"/>
                <c:pt idx="0">
                  <c:v>3.1056509110970014E-3</c:v>
                </c:pt>
                <c:pt idx="1">
                  <c:v>3.2921168451431611E-3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C-44C5-87C1-483751134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633024"/>
        <c:axId val="594633680"/>
      </c:barChart>
      <c:catAx>
        <c:axId val="5946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680"/>
        <c:crosses val="autoZero"/>
        <c:auto val="1"/>
        <c:lblAlgn val="ctr"/>
        <c:lblOffset val="100"/>
        <c:noMultiLvlLbl val="0"/>
      </c:catAx>
      <c:valAx>
        <c:axId val="5946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Profit &amp; Loss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49501664050786"/>
          <c:y val="0.15427350427350428"/>
          <c:w val="0.56765542498142507"/>
          <c:h val="0.7517948717948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tlDistrict3R2!$W$19</c:f>
              <c:strCache>
                <c:ptCount val="1"/>
                <c:pt idx="0">
                  <c:v>Rebate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tlDistrict3R2!$X$17:$Y$17</c:f>
              <c:numCache>
                <c:formatCode>0%</c:formatCode>
                <c:ptCount val="2"/>
              </c:numCache>
            </c:numRef>
          </c:cat>
          <c:val>
            <c:numRef>
              <c:f>tlDistrict3R2!$X$19:$Y$19</c:f>
              <c:numCache>
                <c:formatCode>"$"#.##0</c:formatCode>
                <c:ptCount val="2"/>
                <c:pt idx="0">
                  <c:v>678924.73258576856</c:v>
                </c:pt>
                <c:pt idx="1">
                  <c:v>747111.39887831383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F-4835-AF7D-3404501B97B6}"/>
            </c:ext>
          </c:extLst>
        </c:ser>
        <c:ser>
          <c:idx val="2"/>
          <c:order val="2"/>
          <c:tx>
            <c:strRef>
              <c:f>tlDistrict3R2!$W$21</c:f>
              <c:strCache>
                <c:ptCount val="1"/>
                <c:pt idx="0">
                  <c:v>Samples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tlDistrict3R2!$X$17:$Y$17</c:f>
              <c:numCache>
                <c:formatCode>0%</c:formatCode>
                <c:ptCount val="2"/>
              </c:numCache>
            </c:numRef>
          </c:cat>
          <c:val>
            <c:numRef>
              <c:f>tlDistrict3R2!$X$21:$Y$21</c:f>
              <c:numCache>
                <c:formatCode>"$"#.##0</c:formatCode>
                <c:ptCount val="2"/>
                <c:pt idx="0">
                  <c:v>49500</c:v>
                </c:pt>
                <c:pt idx="1">
                  <c:v>49500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F-4835-AF7D-3404501B97B6}"/>
            </c:ext>
          </c:extLst>
        </c:ser>
        <c:ser>
          <c:idx val="3"/>
          <c:order val="3"/>
          <c:tx>
            <c:strRef>
              <c:f>tlDistrict3R2!$W$22</c:f>
              <c:strCache>
                <c:ptCount val="1"/>
                <c:pt idx="0">
                  <c:v>Peer-to-Peer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tlDistrict3R2!$X$17:$Y$17</c:f>
              <c:numCache>
                <c:formatCode>0%</c:formatCode>
                <c:ptCount val="2"/>
              </c:numCache>
            </c:numRef>
          </c:cat>
          <c:val>
            <c:numRef>
              <c:f>tlDistrict3R2!$X$22:$Y$22</c:f>
              <c:numCache>
                <c:formatCode>"$"#.##0</c:formatCode>
                <c:ptCount val="2"/>
                <c:pt idx="0">
                  <c:v>99000</c:v>
                </c:pt>
                <c:pt idx="1">
                  <c:v>94050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CF-4835-AF7D-3404501B97B6}"/>
            </c:ext>
          </c:extLst>
        </c:ser>
        <c:ser>
          <c:idx val="4"/>
          <c:order val="4"/>
          <c:tx>
            <c:strRef>
              <c:f>tlDistrict3R2!$W$23</c:f>
              <c:strCache>
                <c:ptCount val="1"/>
                <c:pt idx="0">
                  <c:v>Promotional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tlDistrict3R2!$X$17:$Y$17</c:f>
              <c:numCache>
                <c:formatCode>0%</c:formatCode>
                <c:ptCount val="2"/>
              </c:numCache>
            </c:numRef>
          </c:cat>
          <c:val>
            <c:numRef>
              <c:f>tlDistrict3R2!$X$23:$Y$23</c:f>
              <c:numCache>
                <c:formatCode>"$"#.##0</c:formatCode>
                <c:ptCount val="2"/>
                <c:pt idx="0">
                  <c:v>99000</c:v>
                </c:pt>
                <c:pt idx="1">
                  <c:v>94050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CF-4835-AF7D-3404501B97B6}"/>
            </c:ext>
          </c:extLst>
        </c:ser>
        <c:ser>
          <c:idx val="5"/>
          <c:order val="5"/>
          <c:tx>
            <c:strRef>
              <c:f>tlDistrict3R2!$W$24</c:f>
              <c:strCache>
                <c:ptCount val="1"/>
                <c:pt idx="0">
                  <c:v>Internal Development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tlDistrict3R2!$X$17:$Y$17</c:f>
              <c:numCache>
                <c:formatCode>0%</c:formatCode>
                <c:ptCount val="2"/>
              </c:numCache>
            </c:numRef>
          </c:cat>
          <c:val>
            <c:numRef>
              <c:f>tlDistrict3R2!$X$24:$Y$24</c:f>
              <c:numCache>
                <c:formatCode>"$"#.##0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CF-4835-AF7D-3404501B97B6}"/>
            </c:ext>
          </c:extLst>
        </c:ser>
        <c:ser>
          <c:idx val="6"/>
          <c:order val="6"/>
          <c:tx>
            <c:strRef>
              <c:f>tlDistrict3R2!$W$25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tlDistrict3R2!$X$17:$Y$17</c:f>
              <c:numCache>
                <c:formatCode>0%</c:formatCode>
                <c:ptCount val="2"/>
              </c:numCache>
            </c:numRef>
          </c:cat>
          <c:val>
            <c:numRef>
              <c:f>tlDistrict3R2!$X$25:$Y$25</c:f>
              <c:numCache>
                <c:formatCode>"$"#.##0</c:formatCode>
                <c:ptCount val="2"/>
                <c:pt idx="0">
                  <c:v>411545.06340517907</c:v>
                </c:pt>
                <c:pt idx="1">
                  <c:v>487292.46677338914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CF-4835-AF7D-3404501B9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301872"/>
        <c:axId val="6543130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tlDistrict3R2!$W$20</c15:sqref>
                        </c15:formulaRef>
                      </c:ext>
                    </c:extLst>
                    <c:strCache>
                      <c:ptCount val="1"/>
                      <c:pt idx="0">
                        <c:v>Net Sales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tlDistrict3R2!$X$17:$Y$17</c15:sqref>
                        </c15:formulaRef>
                      </c:ext>
                    </c:extLst>
                    <c:numCache>
                      <c:formatCode>0%</c:formatCode>
                      <c:ptCount val="2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tlDistrict3R2!$X$20:$Y$20</c15:sqref>
                        </c15:formulaRef>
                      </c:ext>
                    </c:extLst>
                    <c:numCache>
                      <c:formatCode>"$"#.##0</c:formatCode>
                      <c:ptCount val="2"/>
                      <c:pt idx="0">
                        <c:v>659045.06340517907</c:v>
                      </c:pt>
                      <c:pt idx="1">
                        <c:v>724892.46677338914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7CF-4835-AF7D-3404501B97B6}"/>
                  </c:ext>
                </c:extLst>
              </c15:ser>
            </c15:filteredBarSeries>
          </c:ext>
        </c:extLst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01872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94217808201101"/>
          <c:y val="0.25940776633690016"/>
          <c:w val="0.24730740315751989"/>
          <c:h val="0.49870583484756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Internal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05190311418678E-2"/>
          <c:y val="0.18970280230122746"/>
          <c:w val="0.87312572087658591"/>
          <c:h val="0.56377908569509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tlDistrict3R2!$X$33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E3-47DB-918F-2BDA3280AC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E3-47DB-918F-2BDA3280AC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tlDistrict3R2!$W$34:$W$35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tlDistrict3R2!$X$34:$X$35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E3-47DB-918F-2BDA3280ACE8}"/>
            </c:ext>
          </c:extLst>
        </c:ser>
        <c:ser>
          <c:idx val="1"/>
          <c:order val="1"/>
          <c:tx>
            <c:strRef>
              <c:f>tlDistrict3R2!$Y$33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AE3-47DB-918F-2BDA3280AC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tlDistrict3R2!$W$34:$W$35</c:f>
              <c:strCache>
                <c:ptCount val="2"/>
                <c:pt idx="0">
                  <c:v>ESAT</c:v>
                </c:pt>
                <c:pt idx="1">
                  <c:v>Market Execution</c:v>
                </c:pt>
              </c:strCache>
            </c:strRef>
          </c:cat>
          <c:val>
            <c:numRef>
              <c:f>tlDistrict3R2!$Y$34:$Y$35</c:f>
              <c:numCache>
                <c:formatCode>0\.0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E3-47DB-918F-2BDA3280A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301872"/>
        <c:axId val="654313024"/>
      </c:barChart>
      <c:catAx>
        <c:axId val="6543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313024"/>
        <c:crosses val="autoZero"/>
        <c:auto val="1"/>
        <c:lblAlgn val="ctr"/>
        <c:lblOffset val="100"/>
        <c:noMultiLvlLbl val="0"/>
      </c:catAx>
      <c:valAx>
        <c:axId val="654313024"/>
        <c:scaling>
          <c:orientation val="minMax"/>
          <c:min val="50"/>
        </c:scaling>
        <c:delete val="1"/>
        <c:axPos val="l"/>
        <c:numFmt formatCode="0\.0" sourceLinked="1"/>
        <c:majorTickMark val="none"/>
        <c:minorTickMark val="none"/>
        <c:tickLblPos val="nextTo"/>
        <c:crossAx val="6543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Rep Time Management</a:t>
            </a:r>
          </a:p>
        </c:rich>
      </c:tx>
      <c:layout>
        <c:manualLayout>
          <c:xMode val="edge"/>
          <c:yMode val="edge"/>
          <c:x val="0.13306100217864925"/>
          <c:y val="3.5096446139390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1458665706003"/>
          <c:y val="0.26208294183754299"/>
          <c:w val="0.73717255931243886"/>
          <c:h val="0.4809553418449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tlDistrict3R2!$W$38</c:f>
              <c:strCache>
                <c:ptCount val="1"/>
                <c:pt idx="0">
                  <c:v>Field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tlDistrict3R2!$X$37:$Z$37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tlDistrict3R2!$X$38:$Z$38</c:f>
              <c:numCache>
                <c:formatCode>0%</c:formatCode>
                <c:ptCount val="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E-4C24-BB88-B9386E7C83E2}"/>
            </c:ext>
          </c:extLst>
        </c:ser>
        <c:ser>
          <c:idx val="1"/>
          <c:order val="1"/>
          <c:tx>
            <c:strRef>
              <c:f>tlDistrict3R2!$W$40</c:f>
              <c:strCache>
                <c:ptCount val="1"/>
                <c:pt idx="0">
                  <c:v>Internal 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tlDistrict3R2!$X$37:$Z$37</c:f>
              <c:strCache>
                <c:ptCount val="3"/>
                <c:pt idx="0">
                  <c:v>Riverrun</c:v>
                </c:pt>
                <c:pt idx="1">
                  <c:v>Winterfell</c:v>
                </c:pt>
                <c:pt idx="2">
                  <c:v>Harrenhal</c:v>
                </c:pt>
              </c:strCache>
            </c:strRef>
          </c:cat>
          <c:val>
            <c:numRef>
              <c:f>tlDistrict3R2!$X$40:$Z$40</c:f>
              <c:numCache>
                <c:formatCode>0%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6E-4C24-BB88-B9386E7C8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100216"/>
        <c:axId val="597099888"/>
      </c:barChart>
      <c:catAx>
        <c:axId val="59710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99888"/>
        <c:crosses val="autoZero"/>
        <c:auto val="1"/>
        <c:lblAlgn val="ctr"/>
        <c:lblOffset val="100"/>
        <c:noMultiLvlLbl val="0"/>
      </c:catAx>
      <c:valAx>
        <c:axId val="597099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1647825</xdr:colOff>
      <xdr:row>5</xdr:row>
      <xdr:rowOff>142875</xdr:rowOff>
    </xdr:from>
    <xdr:to>
      <xdr:col>5</xdr:col>
      <xdr:colOff>285367</xdr:colOff>
      <xdr:row>7</xdr:row>
      <xdr:rowOff>66644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82225" y="1047750"/>
          <a:ext cx="3066667" cy="24761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28575</xdr:colOff>
      <xdr:row>19</xdr:row>
      <xdr:rowOff>38099</xdr:rowOff>
    </xdr:from>
    <xdr:to>
      <xdr:col>1</xdr:col>
      <xdr:colOff>1447800</xdr:colOff>
      <xdr:row>30</xdr:row>
      <xdr:rowOff>98277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6775" y="3228974"/>
          <a:ext cx="1419225" cy="20509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68035</xdr:colOff>
      <xdr:row>1</xdr:row>
      <xdr:rowOff>20909</xdr:rowOff>
    </xdr:from>
    <xdr:ext cx="2279231" cy="61862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435" y="201884"/>
          <a:ext cx="2279231" cy="61862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7</xdr:col>
      <xdr:colOff>83820</xdr:colOff>
      <xdr:row>4</xdr:row>
      <xdr:rowOff>57150</xdr:rowOff>
    </xdr:from>
    <xdr:to>
      <xdr:col>10</xdr:col>
      <xdr:colOff>396240</xdr:colOff>
      <xdr:row>5</xdr:row>
      <xdr:rowOff>140970</xdr:rowOff>
    </xdr:to>
    <xdr:sp macro="" textlink="nmProd1Seg1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4762500" y="979170"/>
          <a:ext cx="1501140" cy="33528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40CD6F-FF92-474A-8AB1-D18A6305EF73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 Central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830580</xdr:colOff>
      <xdr:row>4</xdr:row>
      <xdr:rowOff>41910</xdr:rowOff>
    </xdr:from>
    <xdr:to>
      <xdr:col>14</xdr:col>
      <xdr:colOff>243840</xdr:colOff>
      <xdr:row>5</xdr:row>
      <xdr:rowOff>125730</xdr:rowOff>
    </xdr:to>
    <xdr:sp macro="" textlink="nmProd1Seg2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6469380" y="96393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D2BBEFC-8E14-41F3-B204-F757E6A8819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Tullyville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</xdr:colOff>
      <xdr:row>20</xdr:row>
      <xdr:rowOff>38100</xdr:rowOff>
    </xdr:from>
    <xdr:to>
      <xdr:col>6</xdr:col>
      <xdr:colOff>53340</xdr:colOff>
      <xdr:row>20</xdr:row>
      <xdr:rowOff>190500</xdr:rowOff>
    </xdr:to>
    <xdr:sp macro="" textlink="">
      <xdr:nvSpPr>
        <xdr:cNvPr id="19" name="Plus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3665220" y="429006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</xdr:row>
      <xdr:rowOff>68580</xdr:rowOff>
    </xdr:from>
    <xdr:to>
      <xdr:col>6</xdr:col>
      <xdr:colOff>99060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348234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2293620</xdr:colOff>
      <xdr:row>23</xdr:row>
      <xdr:rowOff>45720</xdr:rowOff>
    </xdr:from>
    <xdr:to>
      <xdr:col>3</xdr:col>
      <xdr:colOff>129540</xdr:colOff>
      <xdr:row>23</xdr:row>
      <xdr:rowOff>167640</xdr:rowOff>
    </xdr:to>
    <xdr:sp macro="" textlink="">
      <xdr:nvSpPr>
        <xdr:cNvPr id="22" name="Minus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2583180" y="4800600"/>
          <a:ext cx="137160" cy="12192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40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701040</xdr:colOff>
      <xdr:row>40</xdr:row>
      <xdr:rowOff>60960</xdr:rowOff>
    </xdr:from>
    <xdr:to>
      <xdr:col>4</xdr:col>
      <xdr:colOff>868680</xdr:colOff>
      <xdr:row>40</xdr:row>
      <xdr:rowOff>213360</xdr:rowOff>
    </xdr:to>
    <xdr:sp macro="" textlink="">
      <xdr:nvSpPr>
        <xdr:cNvPr id="25" name="Plus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3208020" y="7673340"/>
          <a:ext cx="167640" cy="152400"/>
        </a:xfrm>
        <a:prstGeom prst="mathPl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40</xdr:row>
      <xdr:rowOff>68580</xdr:rowOff>
    </xdr:from>
    <xdr:to>
      <xdr:col>4</xdr:col>
      <xdr:colOff>175260</xdr:colOff>
      <xdr:row>40</xdr:row>
      <xdr:rowOff>167640</xdr:rowOff>
    </xdr:to>
    <xdr:sp macro="" textlink="">
      <xdr:nvSpPr>
        <xdr:cNvPr id="26" name="Minus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2545080" y="7680960"/>
          <a:ext cx="137160" cy="99060"/>
        </a:xfrm>
        <a:prstGeom prst="mathMin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670560</xdr:colOff>
      <xdr:row>40</xdr:row>
      <xdr:rowOff>60960</xdr:rowOff>
    </xdr:from>
    <xdr:to>
      <xdr:col>6</xdr:col>
      <xdr:colOff>838200</xdr:colOff>
      <xdr:row>40</xdr:row>
      <xdr:rowOff>213360</xdr:rowOff>
    </xdr:to>
    <xdr:sp macro="" textlink="">
      <xdr:nvSpPr>
        <xdr:cNvPr id="27" name="Plus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221480" y="76733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</xdr:colOff>
      <xdr:row>40</xdr:row>
      <xdr:rowOff>68580</xdr:rowOff>
    </xdr:from>
    <xdr:to>
      <xdr:col>6</xdr:col>
      <xdr:colOff>144780</xdr:colOff>
      <xdr:row>40</xdr:row>
      <xdr:rowOff>167640</xdr:rowOff>
    </xdr:to>
    <xdr:sp macro="" textlink="">
      <xdr:nvSpPr>
        <xdr:cNvPr id="28" name="Minus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3558540" y="768096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716280</xdr:colOff>
      <xdr:row>40</xdr:row>
      <xdr:rowOff>45720</xdr:rowOff>
    </xdr:from>
    <xdr:to>
      <xdr:col>8</xdr:col>
      <xdr:colOff>883920</xdr:colOff>
      <xdr:row>40</xdr:row>
      <xdr:rowOff>198120</xdr:rowOff>
    </xdr:to>
    <xdr:sp macro="" textlink="">
      <xdr:nvSpPr>
        <xdr:cNvPr id="29" name="Plus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5311140" y="76581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</xdr:colOff>
      <xdr:row>40</xdr:row>
      <xdr:rowOff>76200</xdr:rowOff>
    </xdr:from>
    <xdr:to>
      <xdr:col>8</xdr:col>
      <xdr:colOff>190500</xdr:colOff>
      <xdr:row>40</xdr:row>
      <xdr:rowOff>175260</xdr:rowOff>
    </xdr:to>
    <xdr:sp macro="" textlink="">
      <xdr:nvSpPr>
        <xdr:cNvPr id="30" name="Minus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4648200" y="76885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40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373380</xdr:colOff>
      <xdr:row>4</xdr:row>
      <xdr:rowOff>41910</xdr:rowOff>
    </xdr:from>
    <xdr:to>
      <xdr:col>19</xdr:col>
      <xdr:colOff>685800</xdr:colOff>
      <xdr:row>5</xdr:row>
      <xdr:rowOff>125730</xdr:rowOff>
    </xdr:to>
    <xdr:sp macro="" textlink="nmProd1Seg3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9144000" y="96393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8D5DAF-E35A-4CCB-97E5-1A4EBA504C09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Lordfrey City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2293620</xdr:colOff>
      <xdr:row>20</xdr:row>
      <xdr:rowOff>68580</xdr:rowOff>
    </xdr:from>
    <xdr:to>
      <xdr:col>3</xdr:col>
      <xdr:colOff>129540</xdr:colOff>
      <xdr:row>20</xdr:row>
      <xdr:rowOff>167640</xdr:rowOff>
    </xdr:to>
    <xdr:sp macro="" textlink="">
      <xdr:nvSpPr>
        <xdr:cNvPr id="36" name="Minus 21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2583180" y="43205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358140</xdr:colOff>
      <xdr:row>21</xdr:row>
      <xdr:rowOff>38100</xdr:rowOff>
    </xdr:from>
    <xdr:to>
      <xdr:col>4</xdr:col>
      <xdr:colOff>495300</xdr:colOff>
      <xdr:row>22</xdr:row>
      <xdr:rowOff>30480</xdr:rowOff>
    </xdr:to>
    <xdr:sp macro="" textlink="">
      <xdr:nvSpPr>
        <xdr:cNvPr id="14" name="Arrow: Down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3093720" y="4533900"/>
          <a:ext cx="137160" cy="167640"/>
        </a:xfrm>
        <a:prstGeom prst="down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</xdr:colOff>
      <xdr:row>17</xdr:row>
      <xdr:rowOff>266700</xdr:rowOff>
    </xdr:from>
    <xdr:to>
      <xdr:col>6</xdr:col>
      <xdr:colOff>53340</xdr:colOff>
      <xdr:row>18</xdr:row>
      <xdr:rowOff>144780</xdr:rowOff>
    </xdr:to>
    <xdr:sp macro="" textlink="">
      <xdr:nvSpPr>
        <xdr:cNvPr id="40" name="Plus 18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3665220" y="379476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2293620</xdr:colOff>
      <xdr:row>18</xdr:row>
      <xdr:rowOff>22860</xdr:rowOff>
    </xdr:from>
    <xdr:to>
      <xdr:col>3</xdr:col>
      <xdr:colOff>129540</xdr:colOff>
      <xdr:row>18</xdr:row>
      <xdr:rowOff>121920</xdr:rowOff>
    </xdr:to>
    <xdr:sp macro="" textlink="">
      <xdr:nvSpPr>
        <xdr:cNvPr id="41" name="Minus 21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>
          <a:off x="2583180" y="38252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9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</xdr:colOff>
      <xdr:row>20</xdr:row>
      <xdr:rowOff>53340</xdr:rowOff>
    </xdr:from>
    <xdr:to>
      <xdr:col>6</xdr:col>
      <xdr:colOff>53340</xdr:colOff>
      <xdr:row>20</xdr:row>
      <xdr:rowOff>205740</xdr:rowOff>
    </xdr:to>
    <xdr:sp macro="" textlink="">
      <xdr:nvSpPr>
        <xdr:cNvPr id="19" name="Plus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3436620" y="43053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</xdr:colOff>
      <xdr:row>22</xdr:row>
      <xdr:rowOff>68580</xdr:rowOff>
    </xdr:from>
    <xdr:to>
      <xdr:col>6</xdr:col>
      <xdr:colOff>53340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343662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40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701040</xdr:colOff>
      <xdr:row>40</xdr:row>
      <xdr:rowOff>60960</xdr:rowOff>
    </xdr:from>
    <xdr:to>
      <xdr:col>4</xdr:col>
      <xdr:colOff>868680</xdr:colOff>
      <xdr:row>40</xdr:row>
      <xdr:rowOff>213360</xdr:rowOff>
    </xdr:to>
    <xdr:sp macro="" textlink="">
      <xdr:nvSpPr>
        <xdr:cNvPr id="25" name="Plus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3208020" y="7673340"/>
          <a:ext cx="167640" cy="152400"/>
        </a:xfrm>
        <a:prstGeom prst="mathPl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40</xdr:row>
      <xdr:rowOff>68580</xdr:rowOff>
    </xdr:from>
    <xdr:to>
      <xdr:col>4</xdr:col>
      <xdr:colOff>175260</xdr:colOff>
      <xdr:row>40</xdr:row>
      <xdr:rowOff>167640</xdr:rowOff>
    </xdr:to>
    <xdr:sp macro="" textlink="">
      <xdr:nvSpPr>
        <xdr:cNvPr id="26" name="Minus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2545080" y="7680960"/>
          <a:ext cx="137160" cy="99060"/>
        </a:xfrm>
        <a:prstGeom prst="mathMin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670560</xdr:colOff>
      <xdr:row>40</xdr:row>
      <xdr:rowOff>60960</xdr:rowOff>
    </xdr:from>
    <xdr:to>
      <xdr:col>6</xdr:col>
      <xdr:colOff>838200</xdr:colOff>
      <xdr:row>40</xdr:row>
      <xdr:rowOff>213360</xdr:rowOff>
    </xdr:to>
    <xdr:sp macro="" textlink="">
      <xdr:nvSpPr>
        <xdr:cNvPr id="27" name="Plus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221480" y="76733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</xdr:colOff>
      <xdr:row>40</xdr:row>
      <xdr:rowOff>68580</xdr:rowOff>
    </xdr:from>
    <xdr:to>
      <xdr:col>6</xdr:col>
      <xdr:colOff>144780</xdr:colOff>
      <xdr:row>40</xdr:row>
      <xdr:rowOff>167640</xdr:rowOff>
    </xdr:to>
    <xdr:sp macro="" textlink="">
      <xdr:nvSpPr>
        <xdr:cNvPr id="28" name="Minus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558540" y="768096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716280</xdr:colOff>
      <xdr:row>40</xdr:row>
      <xdr:rowOff>45720</xdr:rowOff>
    </xdr:from>
    <xdr:to>
      <xdr:col>8</xdr:col>
      <xdr:colOff>883920</xdr:colOff>
      <xdr:row>40</xdr:row>
      <xdr:rowOff>198120</xdr:rowOff>
    </xdr:to>
    <xdr:sp macro="" textlink="">
      <xdr:nvSpPr>
        <xdr:cNvPr id="29" name="Plus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5311140" y="76581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</xdr:colOff>
      <xdr:row>40</xdr:row>
      <xdr:rowOff>76200</xdr:rowOff>
    </xdr:from>
    <xdr:to>
      <xdr:col>8</xdr:col>
      <xdr:colOff>190500</xdr:colOff>
      <xdr:row>40</xdr:row>
      <xdr:rowOff>175260</xdr:rowOff>
    </xdr:to>
    <xdr:sp macro="" textlink="">
      <xdr:nvSpPr>
        <xdr:cNvPr id="30" name="Minus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4648200" y="76885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40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2042160</xdr:colOff>
      <xdr:row>20</xdr:row>
      <xdr:rowOff>114300</xdr:rowOff>
    </xdr:from>
    <xdr:to>
      <xdr:col>3</xdr:col>
      <xdr:colOff>106680</xdr:colOff>
      <xdr:row>20</xdr:row>
      <xdr:rowOff>213360</xdr:rowOff>
    </xdr:to>
    <xdr:sp macro="" textlink="">
      <xdr:nvSpPr>
        <xdr:cNvPr id="37" name="Minus 21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2331720" y="436626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2293620</xdr:colOff>
      <xdr:row>23</xdr:row>
      <xdr:rowOff>45720</xdr:rowOff>
    </xdr:from>
    <xdr:to>
      <xdr:col>3</xdr:col>
      <xdr:colOff>129540</xdr:colOff>
      <xdr:row>23</xdr:row>
      <xdr:rowOff>167640</xdr:rowOff>
    </xdr:to>
    <xdr:sp macro="" textlink="">
      <xdr:nvSpPr>
        <xdr:cNvPr id="38" name="Minus 21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>
          <a:off x="2583180" y="4800600"/>
          <a:ext cx="137160" cy="12192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7620</xdr:rowOff>
    </xdr:from>
    <xdr:to>
      <xdr:col>6</xdr:col>
      <xdr:colOff>22860</xdr:colOff>
      <xdr:row>18</xdr:row>
      <xdr:rowOff>160020</xdr:rowOff>
    </xdr:to>
    <xdr:sp macro="" textlink="">
      <xdr:nvSpPr>
        <xdr:cNvPr id="41" name="Plus 18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>
        <a:xfrm>
          <a:off x="3406140" y="38100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2034540</xdr:colOff>
      <xdr:row>18</xdr:row>
      <xdr:rowOff>38100</xdr:rowOff>
    </xdr:from>
    <xdr:to>
      <xdr:col>3</xdr:col>
      <xdr:colOff>99060</xdr:colOff>
      <xdr:row>18</xdr:row>
      <xdr:rowOff>137160</xdr:rowOff>
    </xdr:to>
    <xdr:sp macro="" textlink="">
      <xdr:nvSpPr>
        <xdr:cNvPr id="42" name="Minus 2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/>
      </xdr:nvSpPr>
      <xdr:spPr>
        <a:xfrm>
          <a:off x="2324100" y="38404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160020</xdr:colOff>
      <xdr:row>4</xdr:row>
      <xdr:rowOff>53340</xdr:rowOff>
    </xdr:from>
    <xdr:to>
      <xdr:col>10</xdr:col>
      <xdr:colOff>617220</xdr:colOff>
      <xdr:row>5</xdr:row>
      <xdr:rowOff>137160</xdr:rowOff>
    </xdr:to>
    <xdr:sp macro="" textlink="nmProd1Seg1">
      <xdr:nvSpPr>
        <xdr:cNvPr id="39" name="Rounded Rectangle 11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/>
      </xdr:nvSpPr>
      <xdr:spPr>
        <a:xfrm>
          <a:off x="4754880" y="975360"/>
          <a:ext cx="1501140" cy="33528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40CD6F-FF92-474A-8AB1-D18A6305EF73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 Central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7620</xdr:colOff>
      <xdr:row>4</xdr:row>
      <xdr:rowOff>38100</xdr:rowOff>
    </xdr:from>
    <xdr:to>
      <xdr:col>14</xdr:col>
      <xdr:colOff>464820</xdr:colOff>
      <xdr:row>5</xdr:row>
      <xdr:rowOff>121920</xdr:rowOff>
    </xdr:to>
    <xdr:sp macro="" textlink="nmProd1Seg2">
      <xdr:nvSpPr>
        <xdr:cNvPr id="40" name="Rounded Rectangle 1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6690360" y="96012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D2BBEFC-8E14-41F3-B204-F757E6A8819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Tullyville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594360</xdr:colOff>
      <xdr:row>4</xdr:row>
      <xdr:rowOff>38100</xdr:rowOff>
    </xdr:from>
    <xdr:to>
      <xdr:col>19</xdr:col>
      <xdr:colOff>906780</xdr:colOff>
      <xdr:row>5</xdr:row>
      <xdr:rowOff>121920</xdr:rowOff>
    </xdr:to>
    <xdr:sp macro="" textlink="nmProd1Seg3">
      <xdr:nvSpPr>
        <xdr:cNvPr id="43" name="Rounded Rectangle 31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9364980" y="96012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8D5DAF-E35A-4CCB-97E5-1A4EBA504C09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Lordfrey City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40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701040</xdr:colOff>
      <xdr:row>40</xdr:row>
      <xdr:rowOff>60960</xdr:rowOff>
    </xdr:from>
    <xdr:to>
      <xdr:col>4</xdr:col>
      <xdr:colOff>868680</xdr:colOff>
      <xdr:row>40</xdr:row>
      <xdr:rowOff>213360</xdr:rowOff>
    </xdr:to>
    <xdr:sp macro="" textlink="">
      <xdr:nvSpPr>
        <xdr:cNvPr id="25" name="Plus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3208020" y="7673340"/>
          <a:ext cx="167640" cy="152400"/>
        </a:xfrm>
        <a:prstGeom prst="mathPl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40</xdr:row>
      <xdr:rowOff>68580</xdr:rowOff>
    </xdr:from>
    <xdr:to>
      <xdr:col>4</xdr:col>
      <xdr:colOff>175260</xdr:colOff>
      <xdr:row>40</xdr:row>
      <xdr:rowOff>167640</xdr:rowOff>
    </xdr:to>
    <xdr:sp macro="" textlink="">
      <xdr:nvSpPr>
        <xdr:cNvPr id="26" name="Minus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2545080" y="7680960"/>
          <a:ext cx="137160" cy="99060"/>
        </a:xfrm>
        <a:prstGeom prst="mathMin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670560</xdr:colOff>
      <xdr:row>40</xdr:row>
      <xdr:rowOff>60960</xdr:rowOff>
    </xdr:from>
    <xdr:to>
      <xdr:col>6</xdr:col>
      <xdr:colOff>838200</xdr:colOff>
      <xdr:row>40</xdr:row>
      <xdr:rowOff>213360</xdr:rowOff>
    </xdr:to>
    <xdr:sp macro="" textlink="">
      <xdr:nvSpPr>
        <xdr:cNvPr id="27" name="Plus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221480" y="76733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</xdr:colOff>
      <xdr:row>40</xdr:row>
      <xdr:rowOff>68580</xdr:rowOff>
    </xdr:from>
    <xdr:to>
      <xdr:col>6</xdr:col>
      <xdr:colOff>144780</xdr:colOff>
      <xdr:row>40</xdr:row>
      <xdr:rowOff>167640</xdr:rowOff>
    </xdr:to>
    <xdr:sp macro="" textlink="">
      <xdr:nvSpPr>
        <xdr:cNvPr id="28" name="Minus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3558540" y="768096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716280</xdr:colOff>
      <xdr:row>40</xdr:row>
      <xdr:rowOff>45720</xdr:rowOff>
    </xdr:from>
    <xdr:to>
      <xdr:col>8</xdr:col>
      <xdr:colOff>883920</xdr:colOff>
      <xdr:row>40</xdr:row>
      <xdr:rowOff>198120</xdr:rowOff>
    </xdr:to>
    <xdr:sp macro="" textlink="">
      <xdr:nvSpPr>
        <xdr:cNvPr id="29" name="Plus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5311140" y="76581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</xdr:colOff>
      <xdr:row>40</xdr:row>
      <xdr:rowOff>76200</xdr:rowOff>
    </xdr:from>
    <xdr:to>
      <xdr:col>8</xdr:col>
      <xdr:colOff>190500</xdr:colOff>
      <xdr:row>40</xdr:row>
      <xdr:rowOff>175260</xdr:rowOff>
    </xdr:to>
    <xdr:sp macro="" textlink="">
      <xdr:nvSpPr>
        <xdr:cNvPr id="30" name="Minus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4648200" y="76885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40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22860</xdr:colOff>
      <xdr:row>23</xdr:row>
      <xdr:rowOff>15240</xdr:rowOff>
    </xdr:from>
    <xdr:to>
      <xdr:col>6</xdr:col>
      <xdr:colOff>45720</xdr:colOff>
      <xdr:row>23</xdr:row>
      <xdr:rowOff>167640</xdr:rowOff>
    </xdr:to>
    <xdr:sp macro="" textlink="">
      <xdr:nvSpPr>
        <xdr:cNvPr id="45" name="Plus 18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SpPr/>
      </xdr:nvSpPr>
      <xdr:spPr>
        <a:xfrm>
          <a:off x="3429000" y="477012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2057400</xdr:colOff>
      <xdr:row>23</xdr:row>
      <xdr:rowOff>45720</xdr:rowOff>
    </xdr:from>
    <xdr:to>
      <xdr:col>3</xdr:col>
      <xdr:colOff>121920</xdr:colOff>
      <xdr:row>23</xdr:row>
      <xdr:rowOff>144780</xdr:rowOff>
    </xdr:to>
    <xdr:sp macro="" textlink="">
      <xdr:nvSpPr>
        <xdr:cNvPr id="46" name="Minus 21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SpPr/>
      </xdr:nvSpPr>
      <xdr:spPr>
        <a:xfrm>
          <a:off x="2346960" y="480060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</xdr:colOff>
      <xdr:row>4</xdr:row>
      <xdr:rowOff>45720</xdr:rowOff>
    </xdr:from>
    <xdr:to>
      <xdr:col>12</xdr:col>
      <xdr:colOff>495300</xdr:colOff>
      <xdr:row>5</xdr:row>
      <xdr:rowOff>129540</xdr:rowOff>
    </xdr:to>
    <xdr:sp macro="" textlink="nmProd1Seg1">
      <xdr:nvSpPr>
        <xdr:cNvPr id="34" name="Rounded Rectangle 11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5676900" y="967740"/>
          <a:ext cx="1501140" cy="33528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40CD6F-FF92-474A-8AB1-D18A6305EF73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 Central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30480</xdr:colOff>
      <xdr:row>4</xdr:row>
      <xdr:rowOff>30480</xdr:rowOff>
    </xdr:from>
    <xdr:to>
      <xdr:col>16</xdr:col>
      <xdr:colOff>342900</xdr:colOff>
      <xdr:row>5</xdr:row>
      <xdr:rowOff>114300</xdr:rowOff>
    </xdr:to>
    <xdr:sp macro="" textlink="nmProd1Seg2">
      <xdr:nvSpPr>
        <xdr:cNvPr id="35" name="Rounded Rectangle 12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/>
      </xdr:nvSpPr>
      <xdr:spPr>
        <a:xfrm>
          <a:off x="7612380" y="95250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D2BBEFC-8E14-41F3-B204-F757E6A8819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Tullyville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327660</xdr:colOff>
      <xdr:row>4</xdr:row>
      <xdr:rowOff>30480</xdr:rowOff>
    </xdr:from>
    <xdr:to>
      <xdr:col>20</xdr:col>
      <xdr:colOff>91440</xdr:colOff>
      <xdr:row>5</xdr:row>
      <xdr:rowOff>114300</xdr:rowOff>
    </xdr:to>
    <xdr:sp macro="" textlink="nmProd1Seg3">
      <xdr:nvSpPr>
        <xdr:cNvPr id="36" name="Rounded Rectangle 31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>
        <a:xfrm>
          <a:off x="10287000" y="95250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8D5DAF-E35A-4CCB-97E5-1A4EBA504C09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Lordfrey City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B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B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B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B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1704975" y="4248150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38100</xdr:colOff>
      <xdr:row>22</xdr:row>
      <xdr:rowOff>76200</xdr:rowOff>
    </xdr:from>
    <xdr:to>
      <xdr:col>6</xdr:col>
      <xdr:colOff>60960</xdr:colOff>
      <xdr:row>23</xdr:row>
      <xdr:rowOff>144780</xdr:rowOff>
    </xdr:to>
    <xdr:sp macro="" textlink="">
      <xdr:nvSpPr>
        <xdr:cNvPr id="23" name="Plus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3444240" y="474726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40</xdr:row>
      <xdr:rowOff>228600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701040</xdr:colOff>
      <xdr:row>40</xdr:row>
      <xdr:rowOff>60960</xdr:rowOff>
    </xdr:from>
    <xdr:to>
      <xdr:col>4</xdr:col>
      <xdr:colOff>868680</xdr:colOff>
      <xdr:row>40</xdr:row>
      <xdr:rowOff>213360</xdr:rowOff>
    </xdr:to>
    <xdr:sp macro="" textlink="">
      <xdr:nvSpPr>
        <xdr:cNvPr id="38" name="Plus 3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/>
      </xdr:nvSpPr>
      <xdr:spPr>
        <a:xfrm>
          <a:off x="3208020" y="7612380"/>
          <a:ext cx="167640" cy="152400"/>
        </a:xfrm>
        <a:prstGeom prst="mathPl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40</xdr:row>
      <xdr:rowOff>68580</xdr:rowOff>
    </xdr:from>
    <xdr:to>
      <xdr:col>4</xdr:col>
      <xdr:colOff>175260</xdr:colOff>
      <xdr:row>40</xdr:row>
      <xdr:rowOff>167640</xdr:rowOff>
    </xdr:to>
    <xdr:sp macro="" textlink="">
      <xdr:nvSpPr>
        <xdr:cNvPr id="39" name="Minus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/>
      </xdr:nvSpPr>
      <xdr:spPr>
        <a:xfrm>
          <a:off x="2545080" y="7620000"/>
          <a:ext cx="137160" cy="99060"/>
        </a:xfrm>
        <a:prstGeom prst="mathMin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670560</xdr:colOff>
      <xdr:row>40</xdr:row>
      <xdr:rowOff>60960</xdr:rowOff>
    </xdr:from>
    <xdr:to>
      <xdr:col>6</xdr:col>
      <xdr:colOff>838200</xdr:colOff>
      <xdr:row>40</xdr:row>
      <xdr:rowOff>213360</xdr:rowOff>
    </xdr:to>
    <xdr:sp macro="" textlink="">
      <xdr:nvSpPr>
        <xdr:cNvPr id="40" name="Plus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SpPr/>
      </xdr:nvSpPr>
      <xdr:spPr>
        <a:xfrm>
          <a:off x="4221480" y="761238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</xdr:colOff>
      <xdr:row>40</xdr:row>
      <xdr:rowOff>68580</xdr:rowOff>
    </xdr:from>
    <xdr:to>
      <xdr:col>6</xdr:col>
      <xdr:colOff>144780</xdr:colOff>
      <xdr:row>40</xdr:row>
      <xdr:rowOff>167640</xdr:rowOff>
    </xdr:to>
    <xdr:sp macro="" textlink="">
      <xdr:nvSpPr>
        <xdr:cNvPr id="41" name="Minus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>
          <a:off x="3558540" y="762000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716280</xdr:colOff>
      <xdr:row>40</xdr:row>
      <xdr:rowOff>45720</xdr:rowOff>
    </xdr:from>
    <xdr:to>
      <xdr:col>8</xdr:col>
      <xdr:colOff>883920</xdr:colOff>
      <xdr:row>40</xdr:row>
      <xdr:rowOff>198120</xdr:rowOff>
    </xdr:to>
    <xdr:sp macro="" textlink="">
      <xdr:nvSpPr>
        <xdr:cNvPr id="46" name="Plus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/>
      </xdr:nvSpPr>
      <xdr:spPr>
        <a:xfrm>
          <a:off x="6012180" y="787146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</xdr:colOff>
      <xdr:row>40</xdr:row>
      <xdr:rowOff>76200</xdr:rowOff>
    </xdr:from>
    <xdr:to>
      <xdr:col>8</xdr:col>
      <xdr:colOff>190500</xdr:colOff>
      <xdr:row>40</xdr:row>
      <xdr:rowOff>175260</xdr:rowOff>
    </xdr:to>
    <xdr:sp macro="" textlink="">
      <xdr:nvSpPr>
        <xdr:cNvPr id="47" name="Minus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/>
      </xdr:nvSpPr>
      <xdr:spPr>
        <a:xfrm>
          <a:off x="5349240" y="79019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40</xdr:row>
      <xdr:rowOff>243840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50" name="Picture 49" descr="http://logonoid.com/images/takeda-logo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2057400</xdr:colOff>
      <xdr:row>18</xdr:row>
      <xdr:rowOff>60960</xdr:rowOff>
    </xdr:from>
    <xdr:to>
      <xdr:col>3</xdr:col>
      <xdr:colOff>121920</xdr:colOff>
      <xdr:row>18</xdr:row>
      <xdr:rowOff>160020</xdr:rowOff>
    </xdr:to>
    <xdr:sp macro="" textlink="">
      <xdr:nvSpPr>
        <xdr:cNvPr id="32" name="Minus 19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2346960" y="38633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2293620</xdr:colOff>
      <xdr:row>23</xdr:row>
      <xdr:rowOff>45720</xdr:rowOff>
    </xdr:from>
    <xdr:to>
      <xdr:col>3</xdr:col>
      <xdr:colOff>129540</xdr:colOff>
      <xdr:row>23</xdr:row>
      <xdr:rowOff>167640</xdr:rowOff>
    </xdr:to>
    <xdr:sp macro="" textlink="">
      <xdr:nvSpPr>
        <xdr:cNvPr id="34" name="Minus 21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2583180" y="4800600"/>
          <a:ext cx="137160" cy="12192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2049780</xdr:colOff>
      <xdr:row>20</xdr:row>
      <xdr:rowOff>83820</xdr:rowOff>
    </xdr:from>
    <xdr:to>
      <xdr:col>3</xdr:col>
      <xdr:colOff>114300</xdr:colOff>
      <xdr:row>20</xdr:row>
      <xdr:rowOff>182880</xdr:rowOff>
    </xdr:to>
    <xdr:sp macro="" textlink="">
      <xdr:nvSpPr>
        <xdr:cNvPr id="35" name="Minus 21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2339340" y="43357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</xdr:colOff>
      <xdr:row>18</xdr:row>
      <xdr:rowOff>30480</xdr:rowOff>
    </xdr:from>
    <xdr:to>
      <xdr:col>6</xdr:col>
      <xdr:colOff>68580</xdr:colOff>
      <xdr:row>19</xdr:row>
      <xdr:rowOff>7620</xdr:rowOff>
    </xdr:to>
    <xdr:sp macro="" textlink="">
      <xdr:nvSpPr>
        <xdr:cNvPr id="42" name="Plus 22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/>
      </xdr:nvSpPr>
      <xdr:spPr>
        <a:xfrm>
          <a:off x="3451860" y="383286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</xdr:colOff>
      <xdr:row>20</xdr:row>
      <xdr:rowOff>45720</xdr:rowOff>
    </xdr:from>
    <xdr:to>
      <xdr:col>6</xdr:col>
      <xdr:colOff>30480</xdr:colOff>
      <xdr:row>20</xdr:row>
      <xdr:rowOff>198120</xdr:rowOff>
    </xdr:to>
    <xdr:sp macro="" textlink="">
      <xdr:nvSpPr>
        <xdr:cNvPr id="43" name="Plus 2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/>
      </xdr:nvSpPr>
      <xdr:spPr>
        <a:xfrm>
          <a:off x="3413760" y="429768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</xdr:colOff>
      <xdr:row>4</xdr:row>
      <xdr:rowOff>38100</xdr:rowOff>
    </xdr:from>
    <xdr:to>
      <xdr:col>12</xdr:col>
      <xdr:colOff>487680</xdr:colOff>
      <xdr:row>5</xdr:row>
      <xdr:rowOff>121920</xdr:rowOff>
    </xdr:to>
    <xdr:sp macro="" textlink="nmProd1Seg1">
      <xdr:nvSpPr>
        <xdr:cNvPr id="33" name="Rounded Rectangle 11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5669280" y="960120"/>
          <a:ext cx="1501140" cy="33528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40CD6F-FF92-474A-8AB1-D18A6305EF73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 Central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22860</xdr:colOff>
      <xdr:row>4</xdr:row>
      <xdr:rowOff>22860</xdr:rowOff>
    </xdr:from>
    <xdr:to>
      <xdr:col>16</xdr:col>
      <xdr:colOff>335280</xdr:colOff>
      <xdr:row>5</xdr:row>
      <xdr:rowOff>106680</xdr:rowOff>
    </xdr:to>
    <xdr:sp macro="" textlink="nmProd1Seg2">
      <xdr:nvSpPr>
        <xdr:cNvPr id="36" name="Rounded Rectangle 12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>
        <a:xfrm>
          <a:off x="7604760" y="94488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D2BBEFC-8E14-41F3-B204-F757E6A8819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Tullyville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320040</xdr:colOff>
      <xdr:row>4</xdr:row>
      <xdr:rowOff>22860</xdr:rowOff>
    </xdr:from>
    <xdr:to>
      <xdr:col>20</xdr:col>
      <xdr:colOff>83820</xdr:colOff>
      <xdr:row>5</xdr:row>
      <xdr:rowOff>106680</xdr:rowOff>
    </xdr:to>
    <xdr:sp macro="" textlink="nmProd1Seg3">
      <xdr:nvSpPr>
        <xdr:cNvPr id="44" name="Rounded Rectangle 31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>
        <a:xfrm>
          <a:off x="10279380" y="94488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8D5DAF-E35A-4CCB-97E5-1A4EBA504C09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Lordfrey City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670560</xdr:colOff>
      <xdr:row>40</xdr:row>
      <xdr:rowOff>60960</xdr:rowOff>
    </xdr:from>
    <xdr:to>
      <xdr:col>4</xdr:col>
      <xdr:colOff>838200</xdr:colOff>
      <xdr:row>40</xdr:row>
      <xdr:rowOff>213360</xdr:rowOff>
    </xdr:to>
    <xdr:sp macro="" textlink="">
      <xdr:nvSpPr>
        <xdr:cNvPr id="45" name="Plus 39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>
        <a:xfrm>
          <a:off x="4221480" y="832866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</xdr:colOff>
      <xdr:row>40</xdr:row>
      <xdr:rowOff>68580</xdr:rowOff>
    </xdr:from>
    <xdr:to>
      <xdr:col>4</xdr:col>
      <xdr:colOff>144780</xdr:colOff>
      <xdr:row>40</xdr:row>
      <xdr:rowOff>167640</xdr:rowOff>
    </xdr:to>
    <xdr:sp macro="" textlink="">
      <xdr:nvSpPr>
        <xdr:cNvPr id="49" name="Minus 40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/>
      </xdr:nvSpPr>
      <xdr:spPr>
        <a:xfrm>
          <a:off x="3558540" y="83362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C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38100</xdr:colOff>
      <xdr:row>18</xdr:row>
      <xdr:rowOff>0</xdr:rowOff>
    </xdr:from>
    <xdr:to>
      <xdr:col>6</xdr:col>
      <xdr:colOff>60960</xdr:colOff>
      <xdr:row>18</xdr:row>
      <xdr:rowOff>152400</xdr:rowOff>
    </xdr:to>
    <xdr:sp macro="" textlink="">
      <xdr:nvSpPr>
        <xdr:cNvPr id="19" name="Plus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3444240" y="44958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2065020</xdr:colOff>
      <xdr:row>18</xdr:row>
      <xdr:rowOff>45720</xdr:rowOff>
    </xdr:from>
    <xdr:to>
      <xdr:col>3</xdr:col>
      <xdr:colOff>129540</xdr:colOff>
      <xdr:row>18</xdr:row>
      <xdr:rowOff>144780</xdr:rowOff>
    </xdr:to>
    <xdr:sp macro="" textlink="">
      <xdr:nvSpPr>
        <xdr:cNvPr id="20" name="Minus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354580" y="384810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</xdr:colOff>
      <xdr:row>22</xdr:row>
      <xdr:rowOff>68580</xdr:rowOff>
    </xdr:from>
    <xdr:to>
      <xdr:col>6</xdr:col>
      <xdr:colOff>53340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343662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40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701040</xdr:colOff>
      <xdr:row>40</xdr:row>
      <xdr:rowOff>60960</xdr:rowOff>
    </xdr:from>
    <xdr:to>
      <xdr:col>4</xdr:col>
      <xdr:colOff>868680</xdr:colOff>
      <xdr:row>40</xdr:row>
      <xdr:rowOff>213360</xdr:rowOff>
    </xdr:to>
    <xdr:sp macro="" textlink="">
      <xdr:nvSpPr>
        <xdr:cNvPr id="25" name="Plus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3208020" y="7673340"/>
          <a:ext cx="167640" cy="152400"/>
        </a:xfrm>
        <a:prstGeom prst="mathPl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40</xdr:row>
      <xdr:rowOff>68580</xdr:rowOff>
    </xdr:from>
    <xdr:to>
      <xdr:col>4</xdr:col>
      <xdr:colOff>175260</xdr:colOff>
      <xdr:row>40</xdr:row>
      <xdr:rowOff>167640</xdr:rowOff>
    </xdr:to>
    <xdr:sp macro="" textlink="">
      <xdr:nvSpPr>
        <xdr:cNvPr id="26" name="Minus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2545080" y="7680960"/>
          <a:ext cx="137160" cy="99060"/>
        </a:xfrm>
        <a:prstGeom prst="mathMin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670560</xdr:colOff>
      <xdr:row>40</xdr:row>
      <xdr:rowOff>60960</xdr:rowOff>
    </xdr:from>
    <xdr:to>
      <xdr:col>6</xdr:col>
      <xdr:colOff>838200</xdr:colOff>
      <xdr:row>40</xdr:row>
      <xdr:rowOff>213360</xdr:rowOff>
    </xdr:to>
    <xdr:sp macro="" textlink="">
      <xdr:nvSpPr>
        <xdr:cNvPr id="27" name="Plus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221480" y="76733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</xdr:colOff>
      <xdr:row>40</xdr:row>
      <xdr:rowOff>68580</xdr:rowOff>
    </xdr:from>
    <xdr:to>
      <xdr:col>6</xdr:col>
      <xdr:colOff>144780</xdr:colOff>
      <xdr:row>40</xdr:row>
      <xdr:rowOff>167640</xdr:rowOff>
    </xdr:to>
    <xdr:sp macro="" textlink="">
      <xdr:nvSpPr>
        <xdr:cNvPr id="28" name="Minus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3558540" y="768096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716280</xdr:colOff>
      <xdr:row>40</xdr:row>
      <xdr:rowOff>45720</xdr:rowOff>
    </xdr:from>
    <xdr:to>
      <xdr:col>8</xdr:col>
      <xdr:colOff>883920</xdr:colOff>
      <xdr:row>40</xdr:row>
      <xdr:rowOff>198120</xdr:rowOff>
    </xdr:to>
    <xdr:sp macro="" textlink="">
      <xdr:nvSpPr>
        <xdr:cNvPr id="29" name="Plus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5311140" y="76581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</xdr:colOff>
      <xdr:row>40</xdr:row>
      <xdr:rowOff>76200</xdr:rowOff>
    </xdr:from>
    <xdr:to>
      <xdr:col>8</xdr:col>
      <xdr:colOff>190500</xdr:colOff>
      <xdr:row>40</xdr:row>
      <xdr:rowOff>175260</xdr:rowOff>
    </xdr:to>
    <xdr:sp macro="" textlink="">
      <xdr:nvSpPr>
        <xdr:cNvPr id="30" name="Minus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4648200" y="76885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40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2293620</xdr:colOff>
      <xdr:row>23</xdr:row>
      <xdr:rowOff>45720</xdr:rowOff>
    </xdr:from>
    <xdr:to>
      <xdr:col>3</xdr:col>
      <xdr:colOff>129540</xdr:colOff>
      <xdr:row>23</xdr:row>
      <xdr:rowOff>167640</xdr:rowOff>
    </xdr:to>
    <xdr:sp macro="" textlink="">
      <xdr:nvSpPr>
        <xdr:cNvPr id="38" name="Minus 21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/>
      </xdr:nvSpPr>
      <xdr:spPr>
        <a:xfrm>
          <a:off x="2583180" y="4800600"/>
          <a:ext cx="137160" cy="12192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2057400</xdr:colOff>
      <xdr:row>20</xdr:row>
      <xdr:rowOff>76200</xdr:rowOff>
    </xdr:from>
    <xdr:to>
      <xdr:col>3</xdr:col>
      <xdr:colOff>121920</xdr:colOff>
      <xdr:row>20</xdr:row>
      <xdr:rowOff>175260</xdr:rowOff>
    </xdr:to>
    <xdr:sp macro="" textlink="">
      <xdr:nvSpPr>
        <xdr:cNvPr id="40" name="Minus 21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/>
      </xdr:nvSpPr>
      <xdr:spPr>
        <a:xfrm>
          <a:off x="2346960" y="432816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</xdr:colOff>
      <xdr:row>20</xdr:row>
      <xdr:rowOff>45720</xdr:rowOff>
    </xdr:from>
    <xdr:to>
      <xdr:col>6</xdr:col>
      <xdr:colOff>60960</xdr:colOff>
      <xdr:row>20</xdr:row>
      <xdr:rowOff>198120</xdr:rowOff>
    </xdr:to>
    <xdr:sp macro="" textlink="">
      <xdr:nvSpPr>
        <xdr:cNvPr id="41" name="Plus 2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>
        <a:xfrm>
          <a:off x="3444240" y="429768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746760</xdr:colOff>
      <xdr:row>4</xdr:row>
      <xdr:rowOff>68580</xdr:rowOff>
    </xdr:from>
    <xdr:to>
      <xdr:col>12</xdr:col>
      <xdr:colOff>160020</xdr:colOff>
      <xdr:row>5</xdr:row>
      <xdr:rowOff>152400</xdr:rowOff>
    </xdr:to>
    <xdr:sp macro="" textlink="nmProd1Seg1">
      <xdr:nvSpPr>
        <xdr:cNvPr id="34" name="Rounded Rectangle 11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5341620" y="990600"/>
          <a:ext cx="1501140" cy="33528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40CD6F-FF92-474A-8AB1-D18A6305EF73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 Central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594360</xdr:colOff>
      <xdr:row>4</xdr:row>
      <xdr:rowOff>53340</xdr:rowOff>
    </xdr:from>
    <xdr:to>
      <xdr:col>16</xdr:col>
      <xdr:colOff>7620</xdr:colOff>
      <xdr:row>5</xdr:row>
      <xdr:rowOff>137160</xdr:rowOff>
    </xdr:to>
    <xdr:sp macro="" textlink="nmProd1Seg2">
      <xdr:nvSpPr>
        <xdr:cNvPr id="35" name="Rounded Rectangle 12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/>
      </xdr:nvSpPr>
      <xdr:spPr>
        <a:xfrm>
          <a:off x="7277100" y="97536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D2BBEFC-8E14-41F3-B204-F757E6A8819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Tullyville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137160</xdr:colOff>
      <xdr:row>4</xdr:row>
      <xdr:rowOff>53340</xdr:rowOff>
    </xdr:from>
    <xdr:to>
      <xdr:col>19</xdr:col>
      <xdr:colOff>1493520</xdr:colOff>
      <xdr:row>5</xdr:row>
      <xdr:rowOff>137160</xdr:rowOff>
    </xdr:to>
    <xdr:sp macro="" textlink="nmProd1Seg3">
      <xdr:nvSpPr>
        <xdr:cNvPr id="36" name="Rounded Rectangle 31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/>
      </xdr:nvSpPr>
      <xdr:spPr>
        <a:xfrm>
          <a:off x="9951720" y="97536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8D5DAF-E35A-4CCB-97E5-1A4EBA504C09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Lordfrey City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D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D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D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</xdr:colOff>
      <xdr:row>22</xdr:row>
      <xdr:rowOff>68580</xdr:rowOff>
    </xdr:from>
    <xdr:to>
      <xdr:col>6</xdr:col>
      <xdr:colOff>53340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343662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40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701040</xdr:colOff>
      <xdr:row>40</xdr:row>
      <xdr:rowOff>60960</xdr:rowOff>
    </xdr:from>
    <xdr:to>
      <xdr:col>4</xdr:col>
      <xdr:colOff>868680</xdr:colOff>
      <xdr:row>40</xdr:row>
      <xdr:rowOff>213360</xdr:rowOff>
    </xdr:to>
    <xdr:sp macro="" textlink="">
      <xdr:nvSpPr>
        <xdr:cNvPr id="25" name="Plus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3208020" y="7673340"/>
          <a:ext cx="167640" cy="152400"/>
        </a:xfrm>
        <a:prstGeom prst="mathPl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40</xdr:row>
      <xdr:rowOff>68580</xdr:rowOff>
    </xdr:from>
    <xdr:to>
      <xdr:col>4</xdr:col>
      <xdr:colOff>175260</xdr:colOff>
      <xdr:row>40</xdr:row>
      <xdr:rowOff>167640</xdr:rowOff>
    </xdr:to>
    <xdr:sp macro="" textlink="">
      <xdr:nvSpPr>
        <xdr:cNvPr id="26" name="Minus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2545080" y="7680960"/>
          <a:ext cx="137160" cy="99060"/>
        </a:xfrm>
        <a:prstGeom prst="mathMinus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670560</xdr:colOff>
      <xdr:row>40</xdr:row>
      <xdr:rowOff>60960</xdr:rowOff>
    </xdr:from>
    <xdr:to>
      <xdr:col>6</xdr:col>
      <xdr:colOff>838200</xdr:colOff>
      <xdr:row>40</xdr:row>
      <xdr:rowOff>213360</xdr:rowOff>
    </xdr:to>
    <xdr:sp macro="" textlink="">
      <xdr:nvSpPr>
        <xdr:cNvPr id="27" name="Plus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221480" y="76733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</xdr:colOff>
      <xdr:row>40</xdr:row>
      <xdr:rowOff>68580</xdr:rowOff>
    </xdr:from>
    <xdr:to>
      <xdr:col>6</xdr:col>
      <xdr:colOff>144780</xdr:colOff>
      <xdr:row>40</xdr:row>
      <xdr:rowOff>167640</xdr:rowOff>
    </xdr:to>
    <xdr:sp macro="" textlink="">
      <xdr:nvSpPr>
        <xdr:cNvPr id="28" name="Minus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3558540" y="768096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716280</xdr:colOff>
      <xdr:row>40</xdr:row>
      <xdr:rowOff>45720</xdr:rowOff>
    </xdr:from>
    <xdr:to>
      <xdr:col>8</xdr:col>
      <xdr:colOff>883920</xdr:colOff>
      <xdr:row>40</xdr:row>
      <xdr:rowOff>198120</xdr:rowOff>
    </xdr:to>
    <xdr:sp macro="" textlink="">
      <xdr:nvSpPr>
        <xdr:cNvPr id="29" name="Plus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5311140" y="76581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</xdr:colOff>
      <xdr:row>40</xdr:row>
      <xdr:rowOff>76200</xdr:rowOff>
    </xdr:from>
    <xdr:to>
      <xdr:col>8</xdr:col>
      <xdr:colOff>190500</xdr:colOff>
      <xdr:row>40</xdr:row>
      <xdr:rowOff>175260</xdr:rowOff>
    </xdr:to>
    <xdr:sp macro="" textlink="">
      <xdr:nvSpPr>
        <xdr:cNvPr id="30" name="Minus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4648200" y="76885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40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2293620</xdr:colOff>
      <xdr:row>23</xdr:row>
      <xdr:rowOff>45720</xdr:rowOff>
    </xdr:from>
    <xdr:to>
      <xdr:col>3</xdr:col>
      <xdr:colOff>129540</xdr:colOff>
      <xdr:row>23</xdr:row>
      <xdr:rowOff>167640</xdr:rowOff>
    </xdr:to>
    <xdr:sp macro="" textlink="">
      <xdr:nvSpPr>
        <xdr:cNvPr id="41" name="Minus 2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>
          <a:off x="2583180" y="4800600"/>
          <a:ext cx="137160" cy="12192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861060</xdr:colOff>
      <xdr:row>4</xdr:row>
      <xdr:rowOff>99060</xdr:rowOff>
    </xdr:from>
    <xdr:to>
      <xdr:col>12</xdr:col>
      <xdr:colOff>274320</xdr:colOff>
      <xdr:row>5</xdr:row>
      <xdr:rowOff>182880</xdr:rowOff>
    </xdr:to>
    <xdr:sp macro="" textlink="nmProd1Seg1">
      <xdr:nvSpPr>
        <xdr:cNvPr id="34" name="Rounded Rectangle 11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5455920" y="1021080"/>
          <a:ext cx="1501140" cy="33528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40CD6F-FF92-474A-8AB1-D18A6305EF73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 Central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708660</xdr:colOff>
      <xdr:row>4</xdr:row>
      <xdr:rowOff>83820</xdr:rowOff>
    </xdr:from>
    <xdr:to>
      <xdr:col>16</xdr:col>
      <xdr:colOff>121920</xdr:colOff>
      <xdr:row>5</xdr:row>
      <xdr:rowOff>167640</xdr:rowOff>
    </xdr:to>
    <xdr:sp macro="" textlink="nmProd1Seg2">
      <xdr:nvSpPr>
        <xdr:cNvPr id="35" name="Rounded Rectangle 12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7391400" y="100584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D2BBEFC-8E14-41F3-B204-F757E6A8819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Tullyville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106680</xdr:colOff>
      <xdr:row>4</xdr:row>
      <xdr:rowOff>83820</xdr:rowOff>
    </xdr:from>
    <xdr:to>
      <xdr:col>19</xdr:col>
      <xdr:colOff>1607820</xdr:colOff>
      <xdr:row>5</xdr:row>
      <xdr:rowOff>167640</xdr:rowOff>
    </xdr:to>
    <xdr:sp macro="" textlink="nmProd1Seg3">
      <xdr:nvSpPr>
        <xdr:cNvPr id="36" name="Rounded Rectangle 31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/>
      </xdr:nvSpPr>
      <xdr:spPr>
        <a:xfrm>
          <a:off x="10066020" y="100584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8D5DAF-E35A-4CCB-97E5-1A4EBA504C09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Lordfrey City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116207</xdr:colOff>
      <xdr:row>4</xdr:row>
      <xdr:rowOff>65610</xdr:rowOff>
    </xdr:from>
    <xdr:to>
      <xdr:col>2</xdr:col>
      <xdr:colOff>175108</xdr:colOff>
      <xdr:row>5</xdr:row>
      <xdr:rowOff>154273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116207" y="970485"/>
          <a:ext cx="382751" cy="33631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10708005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15" name="Picture 14" descr="http://logonoid.com/images/takeda-logo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0</xdr:colOff>
      <xdr:row>4</xdr:row>
      <xdr:rowOff>72390</xdr:rowOff>
    </xdr:from>
    <xdr:to>
      <xdr:col>20</xdr:col>
      <xdr:colOff>601980</xdr:colOff>
      <xdr:row>5</xdr:row>
      <xdr:rowOff>163830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2001500" y="994410"/>
          <a:ext cx="1607820" cy="3429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50"/>
            <a:t>Performance Dashboard</a:t>
          </a:r>
        </a:p>
      </xdr:txBody>
    </xdr:sp>
    <xdr:clientData/>
  </xdr:twoCellAnchor>
  <xdr:twoCellAnchor>
    <xdr:from>
      <xdr:col>8</xdr:col>
      <xdr:colOff>579120</xdr:colOff>
      <xdr:row>4</xdr:row>
      <xdr:rowOff>76200</xdr:rowOff>
    </xdr:from>
    <xdr:to>
      <xdr:col>10</xdr:col>
      <xdr:colOff>464820</xdr:colOff>
      <xdr:row>5</xdr:row>
      <xdr:rowOff>160020</xdr:rowOff>
    </xdr:to>
    <xdr:sp macro="" textlink="nmProd1Seg1">
      <xdr:nvSpPr>
        <xdr:cNvPr id="17" name="Rounded Rectangle 11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5364480" y="998220"/>
          <a:ext cx="1501140" cy="33528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40CD6F-FF92-474A-8AB1-D18A6305EF73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 Central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335280</xdr:colOff>
      <xdr:row>4</xdr:row>
      <xdr:rowOff>60960</xdr:rowOff>
    </xdr:from>
    <xdr:to>
      <xdr:col>13</xdr:col>
      <xdr:colOff>205740</xdr:colOff>
      <xdr:row>5</xdr:row>
      <xdr:rowOff>144780</xdr:rowOff>
    </xdr:to>
    <xdr:sp macro="" textlink="nmProd1Seg2">
      <xdr:nvSpPr>
        <xdr:cNvPr id="18" name="Rounded Rectangle 1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7299960" y="98298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D2BBEFC-8E14-41F3-B204-F757E6A8819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Tullyville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129540</xdr:colOff>
      <xdr:row>4</xdr:row>
      <xdr:rowOff>60960</xdr:rowOff>
    </xdr:from>
    <xdr:to>
      <xdr:col>17</xdr:col>
      <xdr:colOff>449580</xdr:colOff>
      <xdr:row>5</xdr:row>
      <xdr:rowOff>144780</xdr:rowOff>
    </xdr:to>
    <xdr:sp macro="" textlink="nmProd1Seg3">
      <xdr:nvSpPr>
        <xdr:cNvPr id="19" name="Rounded Rectangle 31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9974580" y="982980"/>
          <a:ext cx="150114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8D5DAF-E35A-4CCB-97E5-1A4EBA504C09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Lordfrey City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116207</xdr:colOff>
      <xdr:row>4</xdr:row>
      <xdr:rowOff>65610</xdr:rowOff>
    </xdr:from>
    <xdr:to>
      <xdr:col>2</xdr:col>
      <xdr:colOff>175108</xdr:colOff>
      <xdr:row>5</xdr:row>
      <xdr:rowOff>154273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16207" y="970485"/>
          <a:ext cx="382751" cy="33631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10708005"/>
          <a:ext cx="645928" cy="228600"/>
        </a:xfrm>
        <a:prstGeom prst="rect">
          <a:avLst/>
        </a:prstGeom>
      </xdr:spPr>
    </xdr:pic>
    <xdr:clientData/>
  </xdr:oneCellAnchor>
  <xdr:twoCellAnchor>
    <xdr:from>
      <xdr:col>9</xdr:col>
      <xdr:colOff>411480</xdr:colOff>
      <xdr:row>4</xdr:row>
      <xdr:rowOff>64770</xdr:rowOff>
    </xdr:from>
    <xdr:to>
      <xdr:col>11</xdr:col>
      <xdr:colOff>868680</xdr:colOff>
      <xdr:row>5</xdr:row>
      <xdr:rowOff>148590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6057900" y="986790"/>
          <a:ext cx="177546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Territory</a:t>
          </a:r>
          <a:r>
            <a:rPr lang="en-US" sz="1050" baseline="0"/>
            <a:t> 1</a:t>
          </a:r>
          <a:endParaRPr lang="en-US" sz="1050"/>
        </a:p>
      </xdr:txBody>
    </xdr:sp>
    <xdr:clientData/>
  </xdr:twoCellAnchor>
  <xdr:twoCellAnchor>
    <xdr:from>
      <xdr:col>12</xdr:col>
      <xdr:colOff>205740</xdr:colOff>
      <xdr:row>4</xdr:row>
      <xdr:rowOff>41910</xdr:rowOff>
    </xdr:from>
    <xdr:to>
      <xdr:col>14</xdr:col>
      <xdr:colOff>716280</xdr:colOff>
      <xdr:row>5</xdr:row>
      <xdr:rowOff>125730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145780" y="963930"/>
          <a:ext cx="151638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Territory</a:t>
          </a:r>
          <a:r>
            <a:rPr lang="en-US" sz="1050" baseline="0"/>
            <a:t> 2</a:t>
          </a:r>
          <a:endParaRPr lang="en-US" sz="1050"/>
        </a:p>
      </xdr:txBody>
    </xdr:sp>
    <xdr:clientData/>
  </xdr:twoCellAnchor>
  <xdr:twoCellAnchor>
    <xdr:from>
      <xdr:col>15</xdr:col>
      <xdr:colOff>38100</xdr:colOff>
      <xdr:row>4</xdr:row>
      <xdr:rowOff>19050</xdr:rowOff>
    </xdr:from>
    <xdr:to>
      <xdr:col>17</xdr:col>
      <xdr:colOff>472440</xdr:colOff>
      <xdr:row>5</xdr:row>
      <xdr:rowOff>110490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883140" y="941070"/>
          <a:ext cx="1615440" cy="34290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Territory</a:t>
          </a:r>
          <a:r>
            <a:rPr lang="en-US" sz="1050" baseline="0"/>
            <a:t> 3</a:t>
          </a:r>
          <a:endParaRPr lang="en-US" sz="1050"/>
        </a:p>
      </xdr:txBody>
    </xdr:sp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15" name="Picture 14" descr="http://logonoid.com/images/takeda-logo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0</xdr:colOff>
      <xdr:row>4</xdr:row>
      <xdr:rowOff>72390</xdr:rowOff>
    </xdr:from>
    <xdr:to>
      <xdr:col>20</xdr:col>
      <xdr:colOff>601980</xdr:colOff>
      <xdr:row>5</xdr:row>
      <xdr:rowOff>163830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2001500" y="994410"/>
          <a:ext cx="1607820" cy="3429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50"/>
            <a:t>Performance Dashboard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116207</xdr:colOff>
      <xdr:row>4</xdr:row>
      <xdr:rowOff>65610</xdr:rowOff>
    </xdr:from>
    <xdr:to>
      <xdr:col>2</xdr:col>
      <xdr:colOff>175108</xdr:colOff>
      <xdr:row>5</xdr:row>
      <xdr:rowOff>154273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16207" y="970485"/>
          <a:ext cx="382751" cy="33631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10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10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10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10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10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10708005"/>
          <a:ext cx="645928" cy="228600"/>
        </a:xfrm>
        <a:prstGeom prst="rect">
          <a:avLst/>
        </a:prstGeom>
      </xdr:spPr>
    </xdr:pic>
    <xdr:clientData/>
  </xdr:oneCellAnchor>
  <xdr:twoCellAnchor>
    <xdr:from>
      <xdr:col>9</xdr:col>
      <xdr:colOff>411480</xdr:colOff>
      <xdr:row>4</xdr:row>
      <xdr:rowOff>64770</xdr:rowOff>
    </xdr:from>
    <xdr:to>
      <xdr:col>11</xdr:col>
      <xdr:colOff>868680</xdr:colOff>
      <xdr:row>5</xdr:row>
      <xdr:rowOff>148590</xdr:rowOff>
    </xdr:to>
    <xdr:sp macro="" textlink="nmReg1Seg1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6057900" y="986790"/>
          <a:ext cx="177546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2DAC1D-4B55-4893-B7D2-F2888F188058}" type="TxLink">
            <a:rPr lang="en-US" sz="1100" b="0" i="0" u="none" strike="noStrike" baseline="0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205740</xdr:colOff>
      <xdr:row>4</xdr:row>
      <xdr:rowOff>41910</xdr:rowOff>
    </xdr:from>
    <xdr:to>
      <xdr:col>14</xdr:col>
      <xdr:colOff>716280</xdr:colOff>
      <xdr:row>5</xdr:row>
      <xdr:rowOff>125730</xdr:rowOff>
    </xdr:to>
    <xdr:sp macro="" textlink="nmReg1Seg2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145780" y="963930"/>
          <a:ext cx="151638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4F1BA-3A58-435D-97F3-1AF5654B9D4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Winterfell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38100</xdr:colOff>
      <xdr:row>4</xdr:row>
      <xdr:rowOff>19050</xdr:rowOff>
    </xdr:from>
    <xdr:to>
      <xdr:col>17</xdr:col>
      <xdr:colOff>472440</xdr:colOff>
      <xdr:row>5</xdr:row>
      <xdr:rowOff>110490</xdr:rowOff>
    </xdr:to>
    <xdr:sp macro="" textlink="nmReg1Seg3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883140" y="941070"/>
          <a:ext cx="1615440" cy="34290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03CC52-FC11-4609-84D8-3B25AD92EF4D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Harrenhal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15" name="Picture 14" descr="http://logonoid.com/images/takeda-logo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0</xdr:colOff>
      <xdr:row>4</xdr:row>
      <xdr:rowOff>72390</xdr:rowOff>
    </xdr:from>
    <xdr:to>
      <xdr:col>20</xdr:col>
      <xdr:colOff>601980</xdr:colOff>
      <xdr:row>5</xdr:row>
      <xdr:rowOff>163830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1673840" y="1017270"/>
          <a:ext cx="1516380" cy="35052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50"/>
            <a:t>Performance Dashboard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116207</xdr:colOff>
      <xdr:row>4</xdr:row>
      <xdr:rowOff>65610</xdr:rowOff>
    </xdr:from>
    <xdr:to>
      <xdr:col>2</xdr:col>
      <xdr:colOff>175108</xdr:colOff>
      <xdr:row>5</xdr:row>
      <xdr:rowOff>154273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16207" y="970485"/>
          <a:ext cx="382751" cy="33631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11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11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11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11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11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11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44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10708005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15" name="Picture 14" descr="http://logonoid.com/images/takeda-logo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0</xdr:colOff>
      <xdr:row>4</xdr:row>
      <xdr:rowOff>72390</xdr:rowOff>
    </xdr:from>
    <xdr:to>
      <xdr:col>20</xdr:col>
      <xdr:colOff>601980</xdr:colOff>
      <xdr:row>5</xdr:row>
      <xdr:rowOff>163830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2001500" y="994410"/>
          <a:ext cx="1607820" cy="3429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50"/>
            <a:t>Performance Dashboard</a:t>
          </a:r>
        </a:p>
      </xdr:txBody>
    </xdr:sp>
    <xdr:clientData/>
  </xdr:twoCellAnchor>
  <xdr:twoCellAnchor>
    <xdr:from>
      <xdr:col>9</xdr:col>
      <xdr:colOff>274320</xdr:colOff>
      <xdr:row>4</xdr:row>
      <xdr:rowOff>99060</xdr:rowOff>
    </xdr:from>
    <xdr:to>
      <xdr:col>11</xdr:col>
      <xdr:colOff>731520</xdr:colOff>
      <xdr:row>5</xdr:row>
      <xdr:rowOff>182880</xdr:rowOff>
    </xdr:to>
    <xdr:sp macro="" textlink="nmReg1Seg1">
      <xdr:nvSpPr>
        <xdr:cNvPr id="17" name="Rounded Rectangle 11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5920740" y="1021080"/>
          <a:ext cx="177546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2DAC1D-4B55-4893-B7D2-F2888F188058}" type="TxLink">
            <a:rPr lang="en-US" sz="1100" b="0" i="0" u="none" strike="noStrike" baseline="0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68580</xdr:colOff>
      <xdr:row>4</xdr:row>
      <xdr:rowOff>76200</xdr:rowOff>
    </xdr:from>
    <xdr:to>
      <xdr:col>14</xdr:col>
      <xdr:colOff>579120</xdr:colOff>
      <xdr:row>5</xdr:row>
      <xdr:rowOff>160020</xdr:rowOff>
    </xdr:to>
    <xdr:sp macro="" textlink="nmReg1Seg2">
      <xdr:nvSpPr>
        <xdr:cNvPr id="18" name="Rounded Rectangle 12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8008620" y="998220"/>
          <a:ext cx="151638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4F1BA-3A58-435D-97F3-1AF5654B9D4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Winterfell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800100</xdr:colOff>
      <xdr:row>4</xdr:row>
      <xdr:rowOff>53340</xdr:rowOff>
    </xdr:from>
    <xdr:to>
      <xdr:col>17</xdr:col>
      <xdr:colOff>266700</xdr:colOff>
      <xdr:row>5</xdr:row>
      <xdr:rowOff>144780</xdr:rowOff>
    </xdr:to>
    <xdr:sp macro="" textlink="nmReg1Seg3">
      <xdr:nvSpPr>
        <xdr:cNvPr id="19" name="Rounded Rectangle 13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9745980" y="975360"/>
          <a:ext cx="1615440" cy="34290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03CC52-FC11-4609-84D8-3B25AD92EF4D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Harrenhal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12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12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12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12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12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43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18</xdr:row>
      <xdr:rowOff>15240</xdr:rowOff>
    </xdr:from>
    <xdr:to>
      <xdr:col>6</xdr:col>
      <xdr:colOff>45720</xdr:colOff>
      <xdr:row>18</xdr:row>
      <xdr:rowOff>167640</xdr:rowOff>
    </xdr:to>
    <xdr:sp macro="" textlink="">
      <xdr:nvSpPr>
        <xdr:cNvPr id="19" name="Plus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429000" y="381762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</xdr:colOff>
      <xdr:row>22</xdr:row>
      <xdr:rowOff>68580</xdr:rowOff>
    </xdr:from>
    <xdr:to>
      <xdr:col>6</xdr:col>
      <xdr:colOff>53340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343662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39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39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45720</xdr:colOff>
      <xdr:row>20</xdr:row>
      <xdr:rowOff>15240</xdr:rowOff>
    </xdr:from>
    <xdr:to>
      <xdr:col>6</xdr:col>
      <xdr:colOff>68580</xdr:colOff>
      <xdr:row>20</xdr:row>
      <xdr:rowOff>167640</xdr:rowOff>
    </xdr:to>
    <xdr:sp macro="" textlink="">
      <xdr:nvSpPr>
        <xdr:cNvPr id="26" name="Plus 20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3451860" y="42672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2293620</xdr:colOff>
      <xdr:row>23</xdr:row>
      <xdr:rowOff>45720</xdr:rowOff>
    </xdr:from>
    <xdr:to>
      <xdr:col>3</xdr:col>
      <xdr:colOff>129540</xdr:colOff>
      <xdr:row>23</xdr:row>
      <xdr:rowOff>167640</xdr:rowOff>
    </xdr:to>
    <xdr:sp macro="" textlink="">
      <xdr:nvSpPr>
        <xdr:cNvPr id="30" name="Minus 21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2583180" y="4800600"/>
          <a:ext cx="137160" cy="12192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2293620</xdr:colOff>
      <xdr:row>20</xdr:row>
      <xdr:rowOff>68580</xdr:rowOff>
    </xdr:from>
    <xdr:to>
      <xdr:col>3</xdr:col>
      <xdr:colOff>129540</xdr:colOff>
      <xdr:row>20</xdr:row>
      <xdr:rowOff>167640</xdr:rowOff>
    </xdr:to>
    <xdr:sp macro="" textlink="">
      <xdr:nvSpPr>
        <xdr:cNvPr id="34" name="Minus 21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2583180" y="43205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2057400</xdr:colOff>
      <xdr:row>18</xdr:row>
      <xdr:rowOff>15240</xdr:rowOff>
    </xdr:from>
    <xdr:to>
      <xdr:col>3</xdr:col>
      <xdr:colOff>114300</xdr:colOff>
      <xdr:row>18</xdr:row>
      <xdr:rowOff>114300</xdr:rowOff>
    </xdr:to>
    <xdr:sp macro="" textlink="">
      <xdr:nvSpPr>
        <xdr:cNvPr id="36" name="Minus 21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SpPr/>
      </xdr:nvSpPr>
      <xdr:spPr>
        <a:xfrm>
          <a:off x="2346960" y="3817620"/>
          <a:ext cx="12954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396240</xdr:colOff>
      <xdr:row>4</xdr:row>
      <xdr:rowOff>106680</xdr:rowOff>
    </xdr:from>
    <xdr:to>
      <xdr:col>14</xdr:col>
      <xdr:colOff>83820</xdr:colOff>
      <xdr:row>5</xdr:row>
      <xdr:rowOff>190500</xdr:rowOff>
    </xdr:to>
    <xdr:sp macro="" textlink="nmReg1Seg1">
      <xdr:nvSpPr>
        <xdr:cNvPr id="27" name="Rounded Rectangle 11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6035040" y="1028700"/>
          <a:ext cx="177546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2DAC1D-4B55-4893-B7D2-F2888F188058}" type="TxLink">
            <a:rPr lang="en-US" sz="1100" b="0" i="0" u="none" strike="noStrike" baseline="0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396240</xdr:colOff>
      <xdr:row>4</xdr:row>
      <xdr:rowOff>83820</xdr:rowOff>
    </xdr:from>
    <xdr:to>
      <xdr:col>16</xdr:col>
      <xdr:colOff>868680</xdr:colOff>
      <xdr:row>5</xdr:row>
      <xdr:rowOff>167640</xdr:rowOff>
    </xdr:to>
    <xdr:sp macro="" textlink="nmReg1Seg2">
      <xdr:nvSpPr>
        <xdr:cNvPr id="28" name="Rounded Rectangle 12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8122920" y="1005840"/>
          <a:ext cx="151638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4F1BA-3A58-435D-97F3-1AF5654B9D4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Winterfell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45720</xdr:colOff>
      <xdr:row>4</xdr:row>
      <xdr:rowOff>60960</xdr:rowOff>
    </xdr:from>
    <xdr:to>
      <xdr:col>19</xdr:col>
      <xdr:colOff>1516380</xdr:colOff>
      <xdr:row>5</xdr:row>
      <xdr:rowOff>152400</xdr:rowOff>
    </xdr:to>
    <xdr:sp macro="" textlink="nmReg1Seg3">
      <xdr:nvSpPr>
        <xdr:cNvPr id="29" name="Rounded Rectangle 13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9860280" y="982980"/>
          <a:ext cx="1615440" cy="34290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03CC52-FC11-4609-84D8-3B25AD92EF4D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Harrenhal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13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13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13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13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13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13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43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38100</xdr:colOff>
      <xdr:row>18</xdr:row>
      <xdr:rowOff>0</xdr:rowOff>
    </xdr:from>
    <xdr:to>
      <xdr:col>6</xdr:col>
      <xdr:colOff>60960</xdr:colOff>
      <xdr:row>18</xdr:row>
      <xdr:rowOff>152400</xdr:rowOff>
    </xdr:to>
    <xdr:sp macro="" textlink="">
      <xdr:nvSpPr>
        <xdr:cNvPr id="19" name="Plus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/>
      </xdr:nvSpPr>
      <xdr:spPr>
        <a:xfrm>
          <a:off x="3444240" y="44958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1943100</xdr:colOff>
      <xdr:row>18</xdr:row>
      <xdr:rowOff>53340</xdr:rowOff>
    </xdr:from>
    <xdr:to>
      <xdr:col>3</xdr:col>
      <xdr:colOff>7620</xdr:colOff>
      <xdr:row>18</xdr:row>
      <xdr:rowOff>152400</xdr:rowOff>
    </xdr:to>
    <xdr:sp macro="" textlink="">
      <xdr:nvSpPr>
        <xdr:cNvPr id="20" name="Minus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/>
      </xdr:nvSpPr>
      <xdr:spPr>
        <a:xfrm>
          <a:off x="2232660" y="45491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</xdr:colOff>
      <xdr:row>22</xdr:row>
      <xdr:rowOff>68580</xdr:rowOff>
    </xdr:from>
    <xdr:to>
      <xdr:col>6</xdr:col>
      <xdr:colOff>53340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43662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2034540</xdr:colOff>
      <xdr:row>23</xdr:row>
      <xdr:rowOff>22860</xdr:rowOff>
    </xdr:from>
    <xdr:to>
      <xdr:col>3</xdr:col>
      <xdr:colOff>99060</xdr:colOff>
      <xdr:row>23</xdr:row>
      <xdr:rowOff>121920</xdr:rowOff>
    </xdr:to>
    <xdr:sp macro="" textlink="">
      <xdr:nvSpPr>
        <xdr:cNvPr id="22" name="Minus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2324100" y="47777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39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39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22860</xdr:colOff>
      <xdr:row>20</xdr:row>
      <xdr:rowOff>15240</xdr:rowOff>
    </xdr:from>
    <xdr:to>
      <xdr:col>6</xdr:col>
      <xdr:colOff>45720</xdr:colOff>
      <xdr:row>20</xdr:row>
      <xdr:rowOff>167640</xdr:rowOff>
    </xdr:to>
    <xdr:sp macro="" textlink="">
      <xdr:nvSpPr>
        <xdr:cNvPr id="39" name="Plus 20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SpPr/>
      </xdr:nvSpPr>
      <xdr:spPr>
        <a:xfrm>
          <a:off x="3429000" y="42672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2019300</xdr:colOff>
      <xdr:row>20</xdr:row>
      <xdr:rowOff>68580</xdr:rowOff>
    </xdr:from>
    <xdr:to>
      <xdr:col>3</xdr:col>
      <xdr:colOff>83820</xdr:colOff>
      <xdr:row>20</xdr:row>
      <xdr:rowOff>167640</xdr:rowOff>
    </xdr:to>
    <xdr:sp macro="" textlink="">
      <xdr:nvSpPr>
        <xdr:cNvPr id="40" name="Minus 21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SpPr/>
      </xdr:nvSpPr>
      <xdr:spPr>
        <a:xfrm>
          <a:off x="2308860" y="43205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1943100</xdr:colOff>
      <xdr:row>18</xdr:row>
      <xdr:rowOff>53340</xdr:rowOff>
    </xdr:from>
    <xdr:to>
      <xdr:col>3</xdr:col>
      <xdr:colOff>7620</xdr:colOff>
      <xdr:row>18</xdr:row>
      <xdr:rowOff>152400</xdr:rowOff>
    </xdr:to>
    <xdr:sp macro="" textlink="">
      <xdr:nvSpPr>
        <xdr:cNvPr id="27" name="Minus 19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/>
      </xdr:nvSpPr>
      <xdr:spPr>
        <a:xfrm>
          <a:off x="2232660" y="385572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22860</xdr:colOff>
      <xdr:row>18</xdr:row>
      <xdr:rowOff>15240</xdr:rowOff>
    </xdr:from>
    <xdr:to>
      <xdr:col>6</xdr:col>
      <xdr:colOff>45720</xdr:colOff>
      <xdr:row>18</xdr:row>
      <xdr:rowOff>167640</xdr:rowOff>
    </xdr:to>
    <xdr:sp macro="" textlink="">
      <xdr:nvSpPr>
        <xdr:cNvPr id="28" name="Plus 18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/>
      </xdr:nvSpPr>
      <xdr:spPr>
        <a:xfrm>
          <a:off x="3429000" y="381762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434340</xdr:colOff>
      <xdr:row>4</xdr:row>
      <xdr:rowOff>91440</xdr:rowOff>
    </xdr:from>
    <xdr:to>
      <xdr:col>14</xdr:col>
      <xdr:colOff>121920</xdr:colOff>
      <xdr:row>5</xdr:row>
      <xdr:rowOff>175260</xdr:rowOff>
    </xdr:to>
    <xdr:sp macro="" textlink="nmReg1Seg1">
      <xdr:nvSpPr>
        <xdr:cNvPr id="29" name="Rounded Rectangle 11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>
        <a:xfrm>
          <a:off x="6073140" y="1013460"/>
          <a:ext cx="177546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2DAC1D-4B55-4893-B7D2-F2888F188058}" type="TxLink">
            <a:rPr lang="en-US" sz="1100" b="0" i="0" u="none" strike="noStrike" baseline="0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434340</xdr:colOff>
      <xdr:row>4</xdr:row>
      <xdr:rowOff>68580</xdr:rowOff>
    </xdr:from>
    <xdr:to>
      <xdr:col>17</xdr:col>
      <xdr:colOff>7620</xdr:colOff>
      <xdr:row>5</xdr:row>
      <xdr:rowOff>152400</xdr:rowOff>
    </xdr:to>
    <xdr:sp macro="" textlink="nmReg1Seg2">
      <xdr:nvSpPr>
        <xdr:cNvPr id="30" name="Rounded Rectangle 12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>
        <a:xfrm>
          <a:off x="8161020" y="990600"/>
          <a:ext cx="151638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4F1BA-3A58-435D-97F3-1AF5654B9D4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Winterfell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83820</xdr:colOff>
      <xdr:row>4</xdr:row>
      <xdr:rowOff>45720</xdr:rowOff>
    </xdr:from>
    <xdr:to>
      <xdr:col>19</xdr:col>
      <xdr:colOff>1554480</xdr:colOff>
      <xdr:row>5</xdr:row>
      <xdr:rowOff>137160</xdr:rowOff>
    </xdr:to>
    <xdr:sp macro="" textlink="nmReg1Seg3">
      <xdr:nvSpPr>
        <xdr:cNvPr id="34" name="Rounded Rectangle 1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/>
      </xdr:nvSpPr>
      <xdr:spPr>
        <a:xfrm>
          <a:off x="9898380" y="967740"/>
          <a:ext cx="1615440" cy="34290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03CC52-FC11-4609-84D8-3B25AD92EF4D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Harrenhal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14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14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14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14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14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14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43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38100</xdr:colOff>
      <xdr:row>18</xdr:row>
      <xdr:rowOff>0</xdr:rowOff>
    </xdr:from>
    <xdr:to>
      <xdr:col>6</xdr:col>
      <xdr:colOff>60960</xdr:colOff>
      <xdr:row>18</xdr:row>
      <xdr:rowOff>152400</xdr:rowOff>
    </xdr:to>
    <xdr:sp macro="" textlink="">
      <xdr:nvSpPr>
        <xdr:cNvPr id="19" name="Plus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3444240" y="44958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1943100</xdr:colOff>
      <xdr:row>18</xdr:row>
      <xdr:rowOff>53340</xdr:rowOff>
    </xdr:from>
    <xdr:to>
      <xdr:col>3</xdr:col>
      <xdr:colOff>7620</xdr:colOff>
      <xdr:row>18</xdr:row>
      <xdr:rowOff>152400</xdr:rowOff>
    </xdr:to>
    <xdr:sp macro="" textlink="">
      <xdr:nvSpPr>
        <xdr:cNvPr id="20" name="Minus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SpPr/>
      </xdr:nvSpPr>
      <xdr:spPr>
        <a:xfrm>
          <a:off x="2232660" y="45491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</xdr:colOff>
      <xdr:row>22</xdr:row>
      <xdr:rowOff>68580</xdr:rowOff>
    </xdr:from>
    <xdr:to>
      <xdr:col>6</xdr:col>
      <xdr:colOff>53340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SpPr/>
      </xdr:nvSpPr>
      <xdr:spPr>
        <a:xfrm>
          <a:off x="343662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1935480</xdr:colOff>
      <xdr:row>23</xdr:row>
      <xdr:rowOff>38100</xdr:rowOff>
    </xdr:from>
    <xdr:to>
      <xdr:col>3</xdr:col>
      <xdr:colOff>0</xdr:colOff>
      <xdr:row>23</xdr:row>
      <xdr:rowOff>137160</xdr:rowOff>
    </xdr:to>
    <xdr:sp macro="" textlink="">
      <xdr:nvSpPr>
        <xdr:cNvPr id="22" name="Minus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2225040" y="47929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39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39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83820</xdr:colOff>
      <xdr:row>19</xdr:row>
      <xdr:rowOff>259080</xdr:rowOff>
    </xdr:from>
    <xdr:to>
      <xdr:col>6</xdr:col>
      <xdr:colOff>106680</xdr:colOff>
      <xdr:row>20</xdr:row>
      <xdr:rowOff>137160</xdr:rowOff>
    </xdr:to>
    <xdr:sp macro="" textlink="">
      <xdr:nvSpPr>
        <xdr:cNvPr id="26" name="Plus 18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SpPr/>
      </xdr:nvSpPr>
      <xdr:spPr>
        <a:xfrm>
          <a:off x="3489960" y="37871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1988820</xdr:colOff>
      <xdr:row>20</xdr:row>
      <xdr:rowOff>38100</xdr:rowOff>
    </xdr:from>
    <xdr:to>
      <xdr:col>3</xdr:col>
      <xdr:colOff>53340</xdr:colOff>
      <xdr:row>20</xdr:row>
      <xdr:rowOff>137160</xdr:rowOff>
    </xdr:to>
    <xdr:sp macro="" textlink="">
      <xdr:nvSpPr>
        <xdr:cNvPr id="27" name="Minus 19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SpPr/>
      </xdr:nvSpPr>
      <xdr:spPr>
        <a:xfrm>
          <a:off x="2278380" y="38404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1943100</xdr:colOff>
      <xdr:row>18</xdr:row>
      <xdr:rowOff>53340</xdr:rowOff>
    </xdr:from>
    <xdr:to>
      <xdr:col>3</xdr:col>
      <xdr:colOff>7620</xdr:colOff>
      <xdr:row>18</xdr:row>
      <xdr:rowOff>152400</xdr:rowOff>
    </xdr:to>
    <xdr:sp macro="" textlink="">
      <xdr:nvSpPr>
        <xdr:cNvPr id="28" name="Minus 19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SpPr/>
      </xdr:nvSpPr>
      <xdr:spPr>
        <a:xfrm>
          <a:off x="2232660" y="385572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22860</xdr:colOff>
      <xdr:row>18</xdr:row>
      <xdr:rowOff>15240</xdr:rowOff>
    </xdr:from>
    <xdr:to>
      <xdr:col>6</xdr:col>
      <xdr:colOff>45720</xdr:colOff>
      <xdr:row>18</xdr:row>
      <xdr:rowOff>167640</xdr:rowOff>
    </xdr:to>
    <xdr:sp macro="" textlink="">
      <xdr:nvSpPr>
        <xdr:cNvPr id="29" name="Plus 1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SpPr/>
      </xdr:nvSpPr>
      <xdr:spPr>
        <a:xfrm>
          <a:off x="3429000" y="381762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449580</xdr:colOff>
      <xdr:row>4</xdr:row>
      <xdr:rowOff>83820</xdr:rowOff>
    </xdr:from>
    <xdr:to>
      <xdr:col>14</xdr:col>
      <xdr:colOff>137160</xdr:colOff>
      <xdr:row>5</xdr:row>
      <xdr:rowOff>167640</xdr:rowOff>
    </xdr:to>
    <xdr:sp macro="" textlink="nmReg1Seg1">
      <xdr:nvSpPr>
        <xdr:cNvPr id="30" name="Rounded Rectangle 11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SpPr/>
      </xdr:nvSpPr>
      <xdr:spPr>
        <a:xfrm>
          <a:off x="6088380" y="1005840"/>
          <a:ext cx="177546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2DAC1D-4B55-4893-B7D2-F2888F188058}" type="TxLink">
            <a:rPr lang="en-US" sz="1100" b="0" i="0" u="none" strike="noStrike" baseline="0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449580</xdr:colOff>
      <xdr:row>4</xdr:row>
      <xdr:rowOff>60960</xdr:rowOff>
    </xdr:from>
    <xdr:to>
      <xdr:col>17</xdr:col>
      <xdr:colOff>22860</xdr:colOff>
      <xdr:row>5</xdr:row>
      <xdr:rowOff>144780</xdr:rowOff>
    </xdr:to>
    <xdr:sp macro="" textlink="nmReg1Seg2">
      <xdr:nvSpPr>
        <xdr:cNvPr id="34" name="Rounded Rectangle 12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SpPr/>
      </xdr:nvSpPr>
      <xdr:spPr>
        <a:xfrm>
          <a:off x="8176260" y="982980"/>
          <a:ext cx="151638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4F1BA-3A58-435D-97F3-1AF5654B9D4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Winterfell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99060</xdr:colOff>
      <xdr:row>4</xdr:row>
      <xdr:rowOff>38100</xdr:rowOff>
    </xdr:from>
    <xdr:to>
      <xdr:col>19</xdr:col>
      <xdr:colOff>1569720</xdr:colOff>
      <xdr:row>5</xdr:row>
      <xdr:rowOff>129540</xdr:rowOff>
    </xdr:to>
    <xdr:sp macro="" textlink="nmReg1Seg3">
      <xdr:nvSpPr>
        <xdr:cNvPr id="35" name="Rounded Rectangle 13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SpPr/>
      </xdr:nvSpPr>
      <xdr:spPr>
        <a:xfrm>
          <a:off x="9913620" y="960120"/>
          <a:ext cx="1615440" cy="34290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03CC52-FC11-4609-84D8-3B25AD92EF4D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Harrenhal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15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15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15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15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15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15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43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38100</xdr:colOff>
      <xdr:row>18</xdr:row>
      <xdr:rowOff>0</xdr:rowOff>
    </xdr:from>
    <xdr:to>
      <xdr:col>6</xdr:col>
      <xdr:colOff>60960</xdr:colOff>
      <xdr:row>18</xdr:row>
      <xdr:rowOff>152400</xdr:rowOff>
    </xdr:to>
    <xdr:sp macro="" textlink="">
      <xdr:nvSpPr>
        <xdr:cNvPr id="19" name="Plus 18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3444240" y="44958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1943100</xdr:colOff>
      <xdr:row>18</xdr:row>
      <xdr:rowOff>53340</xdr:rowOff>
    </xdr:from>
    <xdr:to>
      <xdr:col>3</xdr:col>
      <xdr:colOff>7620</xdr:colOff>
      <xdr:row>18</xdr:row>
      <xdr:rowOff>152400</xdr:rowOff>
    </xdr:to>
    <xdr:sp macro="" textlink="">
      <xdr:nvSpPr>
        <xdr:cNvPr id="20" name="Minus 19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2232660" y="45491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</xdr:colOff>
      <xdr:row>22</xdr:row>
      <xdr:rowOff>68580</xdr:rowOff>
    </xdr:from>
    <xdr:to>
      <xdr:col>6</xdr:col>
      <xdr:colOff>53340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/>
      </xdr:nvSpPr>
      <xdr:spPr>
        <a:xfrm>
          <a:off x="343662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1935480</xdr:colOff>
      <xdr:row>23</xdr:row>
      <xdr:rowOff>38100</xdr:rowOff>
    </xdr:from>
    <xdr:to>
      <xdr:col>3</xdr:col>
      <xdr:colOff>0</xdr:colOff>
      <xdr:row>23</xdr:row>
      <xdr:rowOff>137160</xdr:rowOff>
    </xdr:to>
    <xdr:sp macro="" textlink="">
      <xdr:nvSpPr>
        <xdr:cNvPr id="22" name="Minus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/>
      </xdr:nvSpPr>
      <xdr:spPr>
        <a:xfrm>
          <a:off x="2225040" y="47929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39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39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38100</xdr:colOff>
      <xdr:row>20</xdr:row>
      <xdr:rowOff>15240</xdr:rowOff>
    </xdr:from>
    <xdr:to>
      <xdr:col>6</xdr:col>
      <xdr:colOff>60960</xdr:colOff>
      <xdr:row>20</xdr:row>
      <xdr:rowOff>167640</xdr:rowOff>
    </xdr:to>
    <xdr:sp macro="" textlink="">
      <xdr:nvSpPr>
        <xdr:cNvPr id="26" name="Plus 20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3444240" y="42672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1943100</xdr:colOff>
      <xdr:row>20</xdr:row>
      <xdr:rowOff>68580</xdr:rowOff>
    </xdr:from>
    <xdr:to>
      <xdr:col>3</xdr:col>
      <xdr:colOff>7620</xdr:colOff>
      <xdr:row>20</xdr:row>
      <xdr:rowOff>167640</xdr:rowOff>
    </xdr:to>
    <xdr:sp macro="" textlink="">
      <xdr:nvSpPr>
        <xdr:cNvPr id="27" name="Minus 21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2232660" y="43205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1943100</xdr:colOff>
      <xdr:row>18</xdr:row>
      <xdr:rowOff>53340</xdr:rowOff>
    </xdr:from>
    <xdr:to>
      <xdr:col>3</xdr:col>
      <xdr:colOff>7620</xdr:colOff>
      <xdr:row>18</xdr:row>
      <xdr:rowOff>152400</xdr:rowOff>
    </xdr:to>
    <xdr:sp macro="" textlink="">
      <xdr:nvSpPr>
        <xdr:cNvPr id="28" name="Minus 19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/>
      </xdr:nvSpPr>
      <xdr:spPr>
        <a:xfrm>
          <a:off x="2232660" y="385572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22860</xdr:colOff>
      <xdr:row>18</xdr:row>
      <xdr:rowOff>15240</xdr:rowOff>
    </xdr:from>
    <xdr:to>
      <xdr:col>6</xdr:col>
      <xdr:colOff>45720</xdr:colOff>
      <xdr:row>18</xdr:row>
      <xdr:rowOff>167640</xdr:rowOff>
    </xdr:to>
    <xdr:sp macro="" textlink="">
      <xdr:nvSpPr>
        <xdr:cNvPr id="29" name="Plus 18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SpPr/>
      </xdr:nvSpPr>
      <xdr:spPr>
        <a:xfrm>
          <a:off x="3429000" y="381762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274320</xdr:colOff>
      <xdr:row>4</xdr:row>
      <xdr:rowOff>91440</xdr:rowOff>
    </xdr:from>
    <xdr:to>
      <xdr:col>13</xdr:col>
      <xdr:colOff>106680</xdr:colOff>
      <xdr:row>5</xdr:row>
      <xdr:rowOff>175260</xdr:rowOff>
    </xdr:to>
    <xdr:sp macro="" textlink="nmReg1Seg1">
      <xdr:nvSpPr>
        <xdr:cNvPr id="30" name="Rounded Rectangle 11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SpPr/>
      </xdr:nvSpPr>
      <xdr:spPr>
        <a:xfrm>
          <a:off x="5913120" y="1013460"/>
          <a:ext cx="177546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2DAC1D-4B55-4893-B7D2-F2888F188058}" type="TxLink">
            <a:rPr lang="en-US" sz="1100" b="0" i="0" u="none" strike="noStrike" baseline="0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274320</xdr:colOff>
      <xdr:row>4</xdr:row>
      <xdr:rowOff>68580</xdr:rowOff>
    </xdr:from>
    <xdr:to>
      <xdr:col>16</xdr:col>
      <xdr:colOff>746760</xdr:colOff>
      <xdr:row>5</xdr:row>
      <xdr:rowOff>152400</xdr:rowOff>
    </xdr:to>
    <xdr:sp macro="" textlink="nmReg1Seg2">
      <xdr:nvSpPr>
        <xdr:cNvPr id="34" name="Rounded Rectangle 12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/>
      </xdr:nvSpPr>
      <xdr:spPr>
        <a:xfrm>
          <a:off x="8001000" y="990600"/>
          <a:ext cx="151638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4F1BA-3A58-435D-97F3-1AF5654B9D4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Winterfell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68580</xdr:colOff>
      <xdr:row>4</xdr:row>
      <xdr:rowOff>45720</xdr:rowOff>
    </xdr:from>
    <xdr:to>
      <xdr:col>19</xdr:col>
      <xdr:colOff>1394460</xdr:colOff>
      <xdr:row>5</xdr:row>
      <xdr:rowOff>137160</xdr:rowOff>
    </xdr:to>
    <xdr:sp macro="" textlink="nmReg1Seg3">
      <xdr:nvSpPr>
        <xdr:cNvPr id="35" name="Rounded Rectangle 13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9738360" y="967740"/>
          <a:ext cx="1615440" cy="34290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03CC52-FC11-4609-84D8-3B25AD92EF4D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Harrenhal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16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16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16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16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16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16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43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38100</xdr:colOff>
      <xdr:row>18</xdr:row>
      <xdr:rowOff>0</xdr:rowOff>
    </xdr:from>
    <xdr:to>
      <xdr:col>6</xdr:col>
      <xdr:colOff>60960</xdr:colOff>
      <xdr:row>18</xdr:row>
      <xdr:rowOff>152400</xdr:rowOff>
    </xdr:to>
    <xdr:sp macro="" textlink="">
      <xdr:nvSpPr>
        <xdr:cNvPr id="19" name="Plus 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/>
      </xdr:nvSpPr>
      <xdr:spPr>
        <a:xfrm>
          <a:off x="3444240" y="449580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1943100</xdr:colOff>
      <xdr:row>18</xdr:row>
      <xdr:rowOff>53340</xdr:rowOff>
    </xdr:from>
    <xdr:to>
      <xdr:col>3</xdr:col>
      <xdr:colOff>7620</xdr:colOff>
      <xdr:row>18</xdr:row>
      <xdr:rowOff>152400</xdr:rowOff>
    </xdr:to>
    <xdr:sp macro="" textlink="">
      <xdr:nvSpPr>
        <xdr:cNvPr id="20" name="Minus 19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2232660" y="45491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</xdr:colOff>
      <xdr:row>22</xdr:row>
      <xdr:rowOff>68580</xdr:rowOff>
    </xdr:from>
    <xdr:to>
      <xdr:col>6</xdr:col>
      <xdr:colOff>53340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SpPr/>
      </xdr:nvSpPr>
      <xdr:spPr>
        <a:xfrm>
          <a:off x="343662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1935480</xdr:colOff>
      <xdr:row>23</xdr:row>
      <xdr:rowOff>38100</xdr:rowOff>
    </xdr:from>
    <xdr:to>
      <xdr:col>3</xdr:col>
      <xdr:colOff>0</xdr:colOff>
      <xdr:row>23</xdr:row>
      <xdr:rowOff>137160</xdr:rowOff>
    </xdr:to>
    <xdr:sp macro="" textlink="">
      <xdr:nvSpPr>
        <xdr:cNvPr id="22" name="Minus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SpPr/>
      </xdr:nvSpPr>
      <xdr:spPr>
        <a:xfrm>
          <a:off x="2225040" y="47929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39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39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68580</xdr:colOff>
      <xdr:row>20</xdr:row>
      <xdr:rowOff>60960</xdr:rowOff>
    </xdr:from>
    <xdr:to>
      <xdr:col>6</xdr:col>
      <xdr:colOff>91440</xdr:colOff>
      <xdr:row>20</xdr:row>
      <xdr:rowOff>213360</xdr:rowOff>
    </xdr:to>
    <xdr:sp macro="" textlink="">
      <xdr:nvSpPr>
        <xdr:cNvPr id="26" name="Plus 20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/>
      </xdr:nvSpPr>
      <xdr:spPr>
        <a:xfrm>
          <a:off x="3474720" y="450342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1973580</xdr:colOff>
      <xdr:row>20</xdr:row>
      <xdr:rowOff>114300</xdr:rowOff>
    </xdr:from>
    <xdr:to>
      <xdr:col>3</xdr:col>
      <xdr:colOff>38100</xdr:colOff>
      <xdr:row>20</xdr:row>
      <xdr:rowOff>213360</xdr:rowOff>
    </xdr:to>
    <xdr:sp macro="" textlink="">
      <xdr:nvSpPr>
        <xdr:cNvPr id="27" name="Minus 21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/>
      </xdr:nvSpPr>
      <xdr:spPr>
        <a:xfrm>
          <a:off x="2263140" y="455676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1943100</xdr:colOff>
      <xdr:row>18</xdr:row>
      <xdr:rowOff>53340</xdr:rowOff>
    </xdr:from>
    <xdr:to>
      <xdr:col>3</xdr:col>
      <xdr:colOff>7620</xdr:colOff>
      <xdr:row>18</xdr:row>
      <xdr:rowOff>152400</xdr:rowOff>
    </xdr:to>
    <xdr:sp macro="" textlink="">
      <xdr:nvSpPr>
        <xdr:cNvPr id="28" name="Minus 19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/>
      </xdr:nvSpPr>
      <xdr:spPr>
        <a:xfrm>
          <a:off x="2232660" y="385572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22860</xdr:colOff>
      <xdr:row>18</xdr:row>
      <xdr:rowOff>15240</xdr:rowOff>
    </xdr:from>
    <xdr:to>
      <xdr:col>6</xdr:col>
      <xdr:colOff>45720</xdr:colOff>
      <xdr:row>18</xdr:row>
      <xdr:rowOff>167640</xdr:rowOff>
    </xdr:to>
    <xdr:sp macro="" textlink="">
      <xdr:nvSpPr>
        <xdr:cNvPr id="29" name="Plus 18"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/>
      </xdr:nvSpPr>
      <xdr:spPr>
        <a:xfrm>
          <a:off x="3429000" y="381762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449580</xdr:colOff>
      <xdr:row>4</xdr:row>
      <xdr:rowOff>83820</xdr:rowOff>
    </xdr:from>
    <xdr:to>
      <xdr:col>14</xdr:col>
      <xdr:colOff>137160</xdr:colOff>
      <xdr:row>5</xdr:row>
      <xdr:rowOff>167640</xdr:rowOff>
    </xdr:to>
    <xdr:sp macro="" textlink="nmReg1Seg1">
      <xdr:nvSpPr>
        <xdr:cNvPr id="30" name="Rounded Rectangle 11"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/>
      </xdr:nvSpPr>
      <xdr:spPr>
        <a:xfrm>
          <a:off x="6088380" y="1005840"/>
          <a:ext cx="177546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2DAC1D-4B55-4893-B7D2-F2888F188058}" type="TxLink">
            <a:rPr lang="en-US" sz="1100" b="0" i="0" u="none" strike="noStrike" baseline="0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449580</xdr:colOff>
      <xdr:row>4</xdr:row>
      <xdr:rowOff>60960</xdr:rowOff>
    </xdr:from>
    <xdr:to>
      <xdr:col>17</xdr:col>
      <xdr:colOff>22860</xdr:colOff>
      <xdr:row>5</xdr:row>
      <xdr:rowOff>144780</xdr:rowOff>
    </xdr:to>
    <xdr:sp macro="" textlink="nmReg1Seg2">
      <xdr:nvSpPr>
        <xdr:cNvPr id="34" name="Rounded Rectangle 12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>
          <a:off x="8176260" y="982980"/>
          <a:ext cx="151638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4F1BA-3A58-435D-97F3-1AF5654B9D4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Winterfell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99060</xdr:colOff>
      <xdr:row>4</xdr:row>
      <xdr:rowOff>38100</xdr:rowOff>
    </xdr:from>
    <xdr:to>
      <xdr:col>19</xdr:col>
      <xdr:colOff>1569720</xdr:colOff>
      <xdr:row>5</xdr:row>
      <xdr:rowOff>129540</xdr:rowOff>
    </xdr:to>
    <xdr:sp macro="" textlink="nmReg1Seg3">
      <xdr:nvSpPr>
        <xdr:cNvPr id="35" name="Rounded Rectangle 13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/>
      </xdr:nvSpPr>
      <xdr:spPr>
        <a:xfrm>
          <a:off x="9913620" y="960120"/>
          <a:ext cx="1615440" cy="34290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03CC52-FC11-4609-84D8-3B25AD92EF4D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Harrenhal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1907</xdr:colOff>
      <xdr:row>4</xdr:row>
      <xdr:rowOff>179910</xdr:rowOff>
    </xdr:from>
    <xdr:to>
      <xdr:col>2</xdr:col>
      <xdr:colOff>350368</xdr:colOff>
      <xdr:row>5</xdr:row>
      <xdr:rowOff>238093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pSpPr/>
      </xdr:nvGrpSpPr>
      <xdr:grpSpPr>
        <a:xfrm>
          <a:off x="325757" y="1084785"/>
          <a:ext cx="348461" cy="305833"/>
          <a:chOff x="6178116" y="1642515"/>
          <a:chExt cx="632512" cy="63596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SpPr/>
        </xdr:nvSpPr>
        <xdr:spPr>
          <a:xfrm>
            <a:off x="6178116" y="1642515"/>
            <a:ext cx="632512" cy="635965"/>
          </a:xfrm>
          <a:prstGeom prst="ellipse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GrpSpPr/>
        </xdr:nvGrpSpPr>
        <xdr:grpSpPr>
          <a:xfrm>
            <a:off x="6268428" y="1817042"/>
            <a:ext cx="451889" cy="287792"/>
            <a:chOff x="6268918" y="1817042"/>
            <a:chExt cx="451889" cy="287792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1700-000005000000}"/>
                </a:ext>
              </a:extLst>
            </xdr:cNvPr>
            <xdr:cNvSpPr/>
          </xdr:nvSpPr>
          <xdr:spPr>
            <a:xfrm>
              <a:off x="6294026" y="1933130"/>
              <a:ext cx="67271" cy="15089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1700-000006000000}"/>
                </a:ext>
              </a:extLst>
            </xdr:cNvPr>
            <xdr:cNvSpPr/>
          </xdr:nvSpPr>
          <xdr:spPr>
            <a:xfrm>
              <a:off x="6377570" y="1896080"/>
              <a:ext cx="66640" cy="187948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1700-000007000000}"/>
                </a:ext>
              </a:extLst>
            </xdr:cNvPr>
            <xdr:cNvSpPr/>
          </xdr:nvSpPr>
          <xdr:spPr>
            <a:xfrm>
              <a:off x="6460482" y="1854092"/>
              <a:ext cx="70030" cy="22993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1700-000008000000}"/>
                </a:ext>
              </a:extLst>
            </xdr:cNvPr>
            <xdr:cNvSpPr/>
          </xdr:nvSpPr>
          <xdr:spPr>
            <a:xfrm>
              <a:off x="6546785" y="1883731"/>
              <a:ext cx="67271" cy="20029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1700-000009000000}"/>
                </a:ext>
              </a:extLst>
            </xdr:cNvPr>
            <xdr:cNvSpPr/>
          </xdr:nvSpPr>
          <xdr:spPr>
            <a:xfrm>
              <a:off x="6630328" y="1817042"/>
              <a:ext cx="67271" cy="266987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1700-00000A000000}"/>
                </a:ext>
              </a:extLst>
            </xdr:cNvPr>
            <xdr:cNvCxnSpPr/>
          </xdr:nvCxnSpPr>
          <xdr:spPr>
            <a:xfrm>
              <a:off x="6268918" y="2104834"/>
              <a:ext cx="451889" cy="0"/>
            </a:xfrm>
            <a:prstGeom prst="line">
              <a:avLst/>
            </a:prstGeom>
            <a:ln>
              <a:solidFill>
                <a:schemeClr val="bg2"/>
              </a:solidFill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oneCellAnchor>
    <xdr:from>
      <xdr:col>2</xdr:col>
      <xdr:colOff>28575</xdr:colOff>
      <xdr:row>43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8135" y="9176385"/>
          <a:ext cx="645928" cy="228600"/>
        </a:xfrm>
        <a:prstGeom prst="rect">
          <a:avLst/>
        </a:prstGeom>
      </xdr:spPr>
    </xdr:pic>
    <xdr:clientData/>
  </xdr:oneCellAnchor>
  <xdr:twoCellAnchor>
    <xdr:from>
      <xdr:col>12</xdr:col>
      <xdr:colOff>297180</xdr:colOff>
      <xdr:row>7</xdr:row>
      <xdr:rowOff>26670</xdr:rowOff>
    </xdr:from>
    <xdr:to>
      <xdr:col>19</xdr:col>
      <xdr:colOff>1592580</xdr:colOff>
      <xdr:row>15</xdr:row>
      <xdr:rowOff>137160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1943100</xdr:colOff>
      <xdr:row>18</xdr:row>
      <xdr:rowOff>53340</xdr:rowOff>
    </xdr:from>
    <xdr:to>
      <xdr:col>3</xdr:col>
      <xdr:colOff>7620</xdr:colOff>
      <xdr:row>18</xdr:row>
      <xdr:rowOff>152400</xdr:rowOff>
    </xdr:to>
    <xdr:sp macro="" textlink="">
      <xdr:nvSpPr>
        <xdr:cNvPr id="20" name="Minus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/>
      </xdr:nvSpPr>
      <xdr:spPr>
        <a:xfrm>
          <a:off x="2232660" y="454914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</xdr:colOff>
      <xdr:row>22</xdr:row>
      <xdr:rowOff>68580</xdr:rowOff>
    </xdr:from>
    <xdr:to>
      <xdr:col>6</xdr:col>
      <xdr:colOff>53340</xdr:colOff>
      <xdr:row>23</xdr:row>
      <xdr:rowOff>137160</xdr:rowOff>
    </xdr:to>
    <xdr:sp macro="" textlink="">
      <xdr:nvSpPr>
        <xdr:cNvPr id="21" name="Plus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3436620" y="473964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1935480</xdr:colOff>
      <xdr:row>23</xdr:row>
      <xdr:rowOff>38100</xdr:rowOff>
    </xdr:from>
    <xdr:to>
      <xdr:col>3</xdr:col>
      <xdr:colOff>0</xdr:colOff>
      <xdr:row>23</xdr:row>
      <xdr:rowOff>137160</xdr:rowOff>
    </xdr:to>
    <xdr:sp macro="" textlink="">
      <xdr:nvSpPr>
        <xdr:cNvPr id="22" name="Minus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SpPr/>
      </xdr:nvSpPr>
      <xdr:spPr>
        <a:xfrm>
          <a:off x="2225040" y="4792980"/>
          <a:ext cx="137160" cy="99060"/>
        </a:xfrm>
        <a:prstGeom prst="mathMin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320040</xdr:colOff>
      <xdr:row>16</xdr:row>
      <xdr:rowOff>38100</xdr:rowOff>
    </xdr:from>
    <xdr:to>
      <xdr:col>19</xdr:col>
      <xdr:colOff>1592580</xdr:colOff>
      <xdr:row>29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320040</xdr:colOff>
      <xdr:row>29</xdr:row>
      <xdr:rowOff>38100</xdr:rowOff>
    </xdr:from>
    <xdr:to>
      <xdr:col>16</xdr:col>
      <xdr:colOff>434340</xdr:colOff>
      <xdr:row>39</xdr:row>
      <xdr:rowOff>228600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441960</xdr:colOff>
      <xdr:row>29</xdr:row>
      <xdr:rowOff>44355</xdr:rowOff>
    </xdr:from>
    <xdr:to>
      <xdr:col>19</xdr:col>
      <xdr:colOff>1592580</xdr:colOff>
      <xdr:row>39</xdr:row>
      <xdr:rowOff>243840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15240</xdr:colOff>
      <xdr:row>1</xdr:row>
      <xdr:rowOff>15240</xdr:rowOff>
    </xdr:from>
    <xdr:to>
      <xdr:col>2</xdr:col>
      <xdr:colOff>419100</xdr:colOff>
      <xdr:row>1</xdr:row>
      <xdr:rowOff>251572</xdr:rowOff>
    </xdr:to>
    <xdr:pic>
      <xdr:nvPicPr>
        <xdr:cNvPr id="33" name="Picture 32" descr="http://logonoid.com/images/takeda-logo.png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91440"/>
          <a:ext cx="693420" cy="2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22860</xdr:colOff>
      <xdr:row>18</xdr:row>
      <xdr:rowOff>15240</xdr:rowOff>
    </xdr:from>
    <xdr:to>
      <xdr:col>6</xdr:col>
      <xdr:colOff>45720</xdr:colOff>
      <xdr:row>18</xdr:row>
      <xdr:rowOff>167640</xdr:rowOff>
    </xdr:to>
    <xdr:sp macro="" textlink="">
      <xdr:nvSpPr>
        <xdr:cNvPr id="25" name="Plus 18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3429000" y="3817620"/>
          <a:ext cx="167640" cy="152400"/>
        </a:xfrm>
        <a:prstGeom prst="mathPlu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449580</xdr:colOff>
      <xdr:row>4</xdr:row>
      <xdr:rowOff>99060</xdr:rowOff>
    </xdr:from>
    <xdr:to>
      <xdr:col>14</xdr:col>
      <xdr:colOff>137160</xdr:colOff>
      <xdr:row>5</xdr:row>
      <xdr:rowOff>182880</xdr:rowOff>
    </xdr:to>
    <xdr:sp macro="" textlink="nmReg1Seg1">
      <xdr:nvSpPr>
        <xdr:cNvPr id="26" name="Rounded Rectangle 11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SpPr/>
      </xdr:nvSpPr>
      <xdr:spPr>
        <a:xfrm>
          <a:off x="6088380" y="1021080"/>
          <a:ext cx="177546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2DAC1D-4B55-4893-B7D2-F2888F188058}" type="TxLink">
            <a:rPr lang="en-US" sz="1100" b="0" i="0" u="none" strike="noStrike" baseline="0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Riverrun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449580</xdr:colOff>
      <xdr:row>4</xdr:row>
      <xdr:rowOff>76200</xdr:rowOff>
    </xdr:from>
    <xdr:to>
      <xdr:col>17</xdr:col>
      <xdr:colOff>22860</xdr:colOff>
      <xdr:row>5</xdr:row>
      <xdr:rowOff>160020</xdr:rowOff>
    </xdr:to>
    <xdr:sp macro="" textlink="nmReg1Seg2">
      <xdr:nvSpPr>
        <xdr:cNvPr id="27" name="Rounded Rectangle 12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>
        <a:xfrm>
          <a:off x="8176260" y="998220"/>
          <a:ext cx="1516380" cy="33528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4F1BA-3A58-435D-97F3-1AF5654B9D4A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Winterfell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99060</xdr:colOff>
      <xdr:row>4</xdr:row>
      <xdr:rowOff>53340</xdr:rowOff>
    </xdr:from>
    <xdr:to>
      <xdr:col>19</xdr:col>
      <xdr:colOff>1569720</xdr:colOff>
      <xdr:row>5</xdr:row>
      <xdr:rowOff>144780</xdr:rowOff>
    </xdr:to>
    <xdr:sp macro="" textlink="nmReg1Seg3">
      <xdr:nvSpPr>
        <xdr:cNvPr id="28" name="Rounded Rectangle 13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/>
      </xdr:nvSpPr>
      <xdr:spPr>
        <a:xfrm>
          <a:off x="9913620" y="975360"/>
          <a:ext cx="1615440" cy="342900"/>
        </a:xfrm>
        <a:prstGeom prst="roundRect">
          <a:avLst/>
        </a:prstGeom>
        <a:solidFill>
          <a:schemeClr val="accent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03CC52-FC11-4609-84D8-3B25AD92EF4D}" type="TxLink">
            <a:rPr lang="en-US" sz="1100" b="0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Harrenhal</a:t>
          </a:fld>
          <a:endParaRPr lang="en-US" sz="1050">
            <a:solidFill>
              <a:schemeClr val="bg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819150</xdr:colOff>
      <xdr:row>3</xdr:row>
      <xdr:rowOff>0</xdr:rowOff>
    </xdr:from>
    <xdr:to>
      <xdr:col>3</xdr:col>
      <xdr:colOff>4029075</xdr:colOff>
      <xdr:row>5</xdr:row>
      <xdr:rowOff>28575</xdr:rowOff>
    </xdr:to>
    <xdr:sp macro="[0]!SimCreateToolsSetup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3333750" y="542925"/>
          <a:ext cx="19050" cy="3905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SETUP MODULE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19050</xdr:rowOff>
        </xdr:from>
        <xdr:to>
          <xdr:col>3</xdr:col>
          <xdr:colOff>1638300</xdr:colOff>
          <xdr:row>21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2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Create tlObal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16</xdr:row>
          <xdr:rowOff>0</xdr:rowOff>
        </xdr:from>
        <xdr:to>
          <xdr:col>3</xdr:col>
          <xdr:colOff>1247775</xdr:colOff>
          <xdr:row>17</xdr:row>
          <xdr:rowOff>95250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Size for Number of Teams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87</xdr:row>
          <xdr:rowOff>9525</xdr:rowOff>
        </xdr:from>
        <xdr:to>
          <xdr:col>7</xdr:col>
          <xdr:colOff>0</xdr:colOff>
          <xdr:row>90</xdr:row>
          <xdr:rowOff>85725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27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Set Size and Orientation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akeda Henkaku">
  <a:themeElements>
    <a:clrScheme name="Custom 1">
      <a:dk1>
        <a:sysClr val="windowText" lastClr="000000"/>
      </a:dk1>
      <a:lt1>
        <a:sysClr val="window" lastClr="FFFFFF"/>
      </a:lt1>
      <a:dk2>
        <a:srgbClr val="E5433C"/>
      </a:dk2>
      <a:lt2>
        <a:srgbClr val="EEECE1"/>
      </a:lt2>
      <a:accent1>
        <a:srgbClr val="47A4AD"/>
      </a:accent1>
      <a:accent2>
        <a:srgbClr val="96A145"/>
      </a:accent2>
      <a:accent3>
        <a:srgbClr val="E5433C"/>
      </a:accent3>
      <a:accent4>
        <a:srgbClr val="7F7F7F"/>
      </a:accent4>
      <a:accent5>
        <a:srgbClr val="BFBFBF"/>
      </a:accent5>
      <a:accent6>
        <a:srgbClr val="F2F2F2"/>
      </a:accent6>
      <a:hlink>
        <a:srgbClr val="FFFFFF"/>
      </a:hlink>
      <a:folHlink>
        <a:srgbClr val="000000"/>
      </a:folHlink>
    </a:clrScheme>
    <a:fontScheme name="Myriad Pro">
      <a:majorFont>
        <a:latin typeface="Myriad Pro"/>
        <a:ea typeface=""/>
        <a:cs typeface=""/>
      </a:majorFont>
      <a:minorFont>
        <a:latin typeface="Myriad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Takeda Henkaku" id="{C7C7B203-21B4-4E55-81F5-DB8D57CA1CD9}" vid="{FCB4D1D6-A711-4B9E-9043-744A5BFD2CA3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DeveloperSupport@bts.com" TargetMode="External"/><Relationship Id="rId2" Type="http://schemas.openxmlformats.org/officeDocument/2006/relationships/hyperlink" Target="mailto:ModuleFactory@bts.com" TargetMode="External"/><Relationship Id="rId1" Type="http://schemas.openxmlformats.org/officeDocument/2006/relationships/hyperlink" Target="https://bts.box.com/s/tld8dyjxygi4ctr492i8pgwwngqmbjnd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leFactory@bts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oduleFactory@bts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oduleFactory@bts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ModuleFactory@bts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oduleFactory@bts.com" TargetMode="Externa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mailto:R@" TargetMode="External"/><Relationship Id="rId13" Type="http://schemas.openxmlformats.org/officeDocument/2006/relationships/printerSettings" Target="../printerSettings/printerSettings24.bin"/><Relationship Id="rId3" Type="http://schemas.openxmlformats.org/officeDocument/2006/relationships/hyperlink" Target="mailto:R@" TargetMode="External"/><Relationship Id="rId7" Type="http://schemas.openxmlformats.org/officeDocument/2006/relationships/hyperlink" Target="mailto:R@" TargetMode="External"/><Relationship Id="rId12" Type="http://schemas.openxmlformats.org/officeDocument/2006/relationships/hyperlink" Target="mailto:R@" TargetMode="External"/><Relationship Id="rId2" Type="http://schemas.openxmlformats.org/officeDocument/2006/relationships/hyperlink" Target="mailto:R@" TargetMode="External"/><Relationship Id="rId1" Type="http://schemas.openxmlformats.org/officeDocument/2006/relationships/hyperlink" Target="mailto:R@" TargetMode="External"/><Relationship Id="rId6" Type="http://schemas.openxmlformats.org/officeDocument/2006/relationships/hyperlink" Target="mailto:R@" TargetMode="External"/><Relationship Id="rId11" Type="http://schemas.openxmlformats.org/officeDocument/2006/relationships/hyperlink" Target="mailto:R@" TargetMode="External"/><Relationship Id="rId5" Type="http://schemas.openxmlformats.org/officeDocument/2006/relationships/hyperlink" Target="mailto:R@" TargetMode="External"/><Relationship Id="rId10" Type="http://schemas.openxmlformats.org/officeDocument/2006/relationships/hyperlink" Target="mailto:R@" TargetMode="External"/><Relationship Id="rId4" Type="http://schemas.openxmlformats.org/officeDocument/2006/relationships/hyperlink" Target="mailto:R@" TargetMode="External"/><Relationship Id="rId9" Type="http://schemas.openxmlformats.org/officeDocument/2006/relationships/hyperlink" Target="mailto:R@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mailto:ModuleFactory@bts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oduleFactory@bts.com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oduleFactory@bts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hyperlink" Target="mailto:ModuleFactory@bts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oduleFactory@bts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oduleFactory@bts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P61"/>
  <sheetViews>
    <sheetView workbookViewId="0"/>
  </sheetViews>
  <sheetFormatPr defaultRowHeight="14.25"/>
  <cols>
    <col min="1" max="1" width="8" customWidth="1"/>
    <col min="2" max="2" width="21.8984375" bestFit="1" customWidth="1"/>
    <col min="3" max="3" width="30.09765625" customWidth="1"/>
    <col min="4" max="4" width="28.796875" customWidth="1"/>
    <col min="5" max="5" width="46.5" bestFit="1" customWidth="1"/>
  </cols>
  <sheetData>
    <row r="1" spans="1:16" s="1" customFormat="1">
      <c r="A1" s="1" t="s">
        <v>107</v>
      </c>
    </row>
    <row r="3" spans="1:16" s="2" customFormat="1">
      <c r="A3" s="7" t="s">
        <v>146</v>
      </c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s="6" customFormat="1"/>
    <row r="5" spans="1:16" s="6" customFormat="1">
      <c r="B5" s="79" t="s">
        <v>147</v>
      </c>
    </row>
    <row r="6" spans="1:16" s="6" customFormat="1" ht="9" customHeight="1"/>
    <row r="7" spans="1:16" s="6" customFormat="1">
      <c r="B7" s="80" t="s">
        <v>148</v>
      </c>
    </row>
    <row r="8" spans="1:16" s="6" customFormat="1"/>
    <row r="9" spans="1:16" s="6" customFormat="1"/>
    <row r="10" spans="1:16" s="2" customFormat="1">
      <c r="A10" s="7" t="s">
        <v>112</v>
      </c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s="6" customFormat="1"/>
    <row r="12" spans="1:16" s="6" customFormat="1">
      <c r="A12" s="16" t="s">
        <v>130</v>
      </c>
    </row>
    <row r="13" spans="1:16" s="6" customFormat="1"/>
    <row r="14" spans="1:16" s="6" customFormat="1">
      <c r="B14" s="8"/>
      <c r="C14" s="9" t="s">
        <v>109</v>
      </c>
    </row>
    <row r="15" spans="1:16" s="6" customFormat="1">
      <c r="B15" s="11"/>
      <c r="C15" s="9" t="s">
        <v>106</v>
      </c>
    </row>
    <row r="16" spans="1:16" s="6" customFormat="1">
      <c r="B16" s="12"/>
      <c r="C16" s="9" t="s">
        <v>111</v>
      </c>
    </row>
    <row r="17" spans="1:16">
      <c r="B17" s="10"/>
      <c r="C17" s="9" t="s">
        <v>110</v>
      </c>
    </row>
    <row r="19" spans="1:16">
      <c r="A19" t="s">
        <v>150</v>
      </c>
    </row>
    <row r="32" spans="1:16" s="2" customFormat="1">
      <c r="A32" s="7" t="s">
        <v>114</v>
      </c>
      <c r="G32" s="3"/>
      <c r="H32" s="3"/>
      <c r="I32" s="3"/>
      <c r="J32" s="3"/>
      <c r="K32" s="3"/>
      <c r="L32" s="3"/>
      <c r="M32" s="3"/>
      <c r="N32" s="3"/>
      <c r="O32" s="3"/>
      <c r="P32" s="3"/>
    </row>
    <row r="34" spans="1:16">
      <c r="A34" s="17"/>
      <c r="B34" s="18" t="s">
        <v>116</v>
      </c>
      <c r="C34" s="18" t="s">
        <v>105</v>
      </c>
      <c r="D34" s="18" t="s">
        <v>117</v>
      </c>
      <c r="E34" s="18" t="s">
        <v>118</v>
      </c>
    </row>
    <row r="35" spans="1:16" ht="104.25" customHeight="1">
      <c r="A35" s="17"/>
      <c r="B35" s="19" t="s">
        <v>119</v>
      </c>
      <c r="C35" s="20" t="s">
        <v>129</v>
      </c>
      <c r="D35" s="20" t="s">
        <v>120</v>
      </c>
      <c r="E35" s="21" t="s">
        <v>115</v>
      </c>
    </row>
    <row r="36" spans="1:16" ht="104.25" customHeight="1">
      <c r="A36" s="17"/>
      <c r="B36" s="22" t="s">
        <v>121</v>
      </c>
      <c r="C36" s="23" t="s">
        <v>123</v>
      </c>
      <c r="D36" s="23" t="s">
        <v>124</v>
      </c>
      <c r="E36" s="24" t="s">
        <v>122</v>
      </c>
    </row>
    <row r="37" spans="1:16" ht="104.25" customHeight="1">
      <c r="B37" s="19" t="s">
        <v>125</v>
      </c>
      <c r="C37" s="20" t="s">
        <v>127</v>
      </c>
      <c r="D37" s="20" t="s">
        <v>128</v>
      </c>
      <c r="E37" s="21" t="s">
        <v>126</v>
      </c>
    </row>
    <row r="38" spans="1:16">
      <c r="A38" s="17"/>
    </row>
    <row r="39" spans="1:16" s="2" customFormat="1">
      <c r="A39" s="7" t="s">
        <v>108</v>
      </c>
      <c r="G39" s="3"/>
      <c r="H39" s="3"/>
      <c r="I39" s="3"/>
      <c r="J39" s="3"/>
      <c r="K39" s="3"/>
      <c r="L39" s="3"/>
      <c r="M39" s="3"/>
      <c r="N39" s="3"/>
      <c r="O39" s="3"/>
      <c r="P39" s="3"/>
    </row>
    <row r="41" spans="1:16">
      <c r="A41" t="str">
        <f>"Modules Used: "&amp;simulation_Type</f>
        <v>Modules Used: BA1</v>
      </c>
    </row>
    <row r="42" spans="1:16">
      <c r="B42" t="s">
        <v>501</v>
      </c>
    </row>
    <row r="43" spans="1:16">
      <c r="B43" t="s">
        <v>502</v>
      </c>
    </row>
    <row r="44" spans="1:16">
      <c r="B44" t="s">
        <v>503</v>
      </c>
    </row>
    <row r="45" spans="1:16">
      <c r="B45" t="s">
        <v>504</v>
      </c>
    </row>
    <row r="46" spans="1:16">
      <c r="B46" t="s">
        <v>505</v>
      </c>
    </row>
    <row r="47" spans="1:16">
      <c r="B47" t="s">
        <v>216</v>
      </c>
      <c r="D47" s="16"/>
    </row>
    <row r="48" spans="1:16">
      <c r="B48" t="s">
        <v>506</v>
      </c>
    </row>
    <row r="49" spans="1:3">
      <c r="B49" s="284" t="s">
        <v>507</v>
      </c>
      <c r="C49" s="285" t="s">
        <v>511</v>
      </c>
    </row>
    <row r="50" spans="1:3">
      <c r="B50" t="s">
        <v>508</v>
      </c>
    </row>
    <row r="51" spans="1:3">
      <c r="B51" t="s">
        <v>509</v>
      </c>
    </row>
    <row r="52" spans="1:3">
      <c r="B52" t="s">
        <v>403</v>
      </c>
    </row>
    <row r="53" spans="1:3">
      <c r="B53" t="s">
        <v>510</v>
      </c>
    </row>
    <row r="54" spans="1:3">
      <c r="B54" t="s">
        <v>494</v>
      </c>
    </row>
    <row r="55" spans="1:3">
      <c r="B55" t="s">
        <v>353</v>
      </c>
    </row>
    <row r="57" spans="1:3">
      <c r="A57" t="str">
        <f>"Additional Modules Recommended: "&amp;simulation_Type</f>
        <v>Additional Modules Recommended: BA1</v>
      </c>
    </row>
    <row r="58" spans="1:3">
      <c r="B58" t="s">
        <v>512</v>
      </c>
    </row>
    <row r="59" spans="1:3">
      <c r="B59" t="s">
        <v>515</v>
      </c>
    </row>
    <row r="60" spans="1:3">
      <c r="B60" t="s">
        <v>513</v>
      </c>
    </row>
    <row r="61" spans="1:3">
      <c r="B61" t="s">
        <v>514</v>
      </c>
    </row>
  </sheetData>
  <hyperlinks>
    <hyperlink ref="E35" r:id="rId1"/>
    <hyperlink ref="E36" r:id="rId2"/>
    <hyperlink ref="E37" r:id="rId3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P10"/>
  <sheetViews>
    <sheetView workbookViewId="0"/>
  </sheetViews>
  <sheetFormatPr defaultRowHeight="14.25"/>
  <cols>
    <col min="1" max="1" width="8" customWidth="1"/>
    <col min="4" max="4" width="8.796875" customWidth="1"/>
  </cols>
  <sheetData>
    <row r="1" spans="1:16" s="1" customFormat="1">
      <c r="A1" s="1" t="s">
        <v>72</v>
      </c>
    </row>
    <row r="2" spans="1:16" s="6" customFormat="1"/>
    <row r="3" spans="1:16" s="2" customFormat="1">
      <c r="A3" s="7" t="s">
        <v>112</v>
      </c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s="6" customFormat="1"/>
    <row r="5" spans="1:16" s="6" customFormat="1">
      <c r="B5" s="8"/>
      <c r="C5" s="9" t="s">
        <v>109</v>
      </c>
    </row>
    <row r="6" spans="1:16" s="6" customFormat="1">
      <c r="B6" s="11"/>
      <c r="C6" s="9" t="s">
        <v>106</v>
      </c>
    </row>
    <row r="7" spans="1:16" s="6" customFormat="1">
      <c r="B7" s="12"/>
      <c r="C7" s="9" t="s">
        <v>111</v>
      </c>
    </row>
    <row r="8" spans="1:16" s="6" customFormat="1">
      <c r="B8" s="10"/>
      <c r="C8" s="9" t="s">
        <v>110</v>
      </c>
    </row>
    <row r="9" spans="1:16" s="6" customFormat="1"/>
    <row r="10" spans="1:16" s="2" customFormat="1">
      <c r="A10" s="7" t="s">
        <v>113</v>
      </c>
      <c r="G10" s="3"/>
      <c r="H10" s="3"/>
      <c r="I10" s="3"/>
      <c r="J10" s="3"/>
      <c r="K10" s="3"/>
      <c r="L10" s="3"/>
      <c r="M10" s="3"/>
      <c r="N10" s="3"/>
      <c r="O10" s="3"/>
      <c r="P1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H58"/>
  <sheetViews>
    <sheetView topLeftCell="A17" workbookViewId="0">
      <selection activeCell="D41" sqref="D41"/>
    </sheetView>
  </sheetViews>
  <sheetFormatPr defaultRowHeight="14.25"/>
  <cols>
    <col min="1" max="3" width="4.69921875" customWidth="1"/>
    <col min="4" max="4" width="21.09765625" customWidth="1"/>
  </cols>
  <sheetData>
    <row r="1" spans="1:8" s="1" customFormat="1">
      <c r="A1" s="1" t="s">
        <v>68</v>
      </c>
    </row>
    <row r="3" spans="1:8" s="5" customFormat="1">
      <c r="A3" s="5" t="s">
        <v>85</v>
      </c>
    </row>
    <row r="5" spans="1:8">
      <c r="D5" s="13" t="s">
        <v>145</v>
      </c>
      <c r="E5" t="s">
        <v>0</v>
      </c>
      <c r="H5" t="s">
        <v>1</v>
      </c>
    </row>
    <row r="6" spans="1:8">
      <c r="D6" s="81"/>
    </row>
    <row r="7" spans="1:8">
      <c r="D7" s="13" t="s">
        <v>79</v>
      </c>
      <c r="E7" t="s">
        <v>63</v>
      </c>
      <c r="H7" t="s">
        <v>71</v>
      </c>
    </row>
    <row r="8" spans="1:8">
      <c r="D8" s="81"/>
    </row>
    <row r="9" spans="1:8">
      <c r="D9" s="13" t="s">
        <v>151</v>
      </c>
      <c r="E9" t="s">
        <v>140</v>
      </c>
      <c r="H9" t="s">
        <v>141</v>
      </c>
    </row>
    <row r="11" spans="1:8" s="5" customFormat="1">
      <c r="A11" s="5" t="s">
        <v>86</v>
      </c>
    </row>
    <row r="13" spans="1:8">
      <c r="D13" s="13">
        <v>5</v>
      </c>
      <c r="E13" t="s">
        <v>81</v>
      </c>
      <c r="H13" t="s">
        <v>80</v>
      </c>
    </row>
    <row r="15" spans="1:8" s="5" customFormat="1">
      <c r="A15" s="5" t="s">
        <v>84</v>
      </c>
    </row>
    <row r="17" spans="1:8">
      <c r="D17" s="15">
        <v>1</v>
      </c>
      <c r="E17" t="s">
        <v>6</v>
      </c>
    </row>
    <row r="18" spans="1:8">
      <c r="D18" s="16"/>
    </row>
    <row r="19" spans="1:8">
      <c r="D19" s="15">
        <v>1</v>
      </c>
      <c r="E19" t="s">
        <v>57</v>
      </c>
    </row>
    <row r="20" spans="1:8">
      <c r="D20" s="16"/>
    </row>
    <row r="21" spans="1:8">
      <c r="D21" s="15">
        <v>1</v>
      </c>
      <c r="E21" t="s">
        <v>58</v>
      </c>
    </row>
    <row r="23" spans="1:8" s="5" customFormat="1">
      <c r="A23" s="5" t="s">
        <v>83</v>
      </c>
    </row>
    <row r="25" spans="1:8">
      <c r="D25" s="13" t="s">
        <v>144</v>
      </c>
      <c r="E25" t="s">
        <v>64</v>
      </c>
      <c r="H25" t="s">
        <v>65</v>
      </c>
    </row>
    <row r="26" spans="1:8">
      <c r="D26" s="81"/>
      <c r="H26" t="s">
        <v>66</v>
      </c>
    </row>
    <row r="27" spans="1:8">
      <c r="D27" s="13" t="s">
        <v>2</v>
      </c>
      <c r="E27" t="s">
        <v>82</v>
      </c>
      <c r="H27" s="4" t="s">
        <v>149</v>
      </c>
    </row>
    <row r="28" spans="1:8">
      <c r="D28" s="81"/>
      <c r="H28" s="4" t="s">
        <v>149</v>
      </c>
    </row>
    <row r="29" spans="1:8">
      <c r="D29" s="13" t="s">
        <v>589</v>
      </c>
      <c r="E29" t="s">
        <v>55</v>
      </c>
      <c r="H29" t="s">
        <v>70</v>
      </c>
    </row>
    <row r="30" spans="1:8">
      <c r="D30" s="81"/>
    </row>
    <row r="31" spans="1:8">
      <c r="D31" s="13" t="s">
        <v>59</v>
      </c>
      <c r="E31" t="s">
        <v>60</v>
      </c>
    </row>
    <row r="32" spans="1:8">
      <c r="D32" s="81"/>
    </row>
    <row r="33" spans="1:8">
      <c r="D33" s="13" t="s">
        <v>61</v>
      </c>
      <c r="E33" t="s">
        <v>62</v>
      </c>
    </row>
    <row r="35" spans="1:8" s="5" customFormat="1">
      <c r="A35" s="5" t="s">
        <v>87</v>
      </c>
    </row>
    <row r="37" spans="1:8">
      <c r="D37" s="14" t="s">
        <v>5</v>
      </c>
      <c r="E37" t="s">
        <v>7</v>
      </c>
      <c r="H37" t="s">
        <v>51</v>
      </c>
    </row>
    <row r="39" spans="1:8">
      <c r="D39" s="14">
        <v>1</v>
      </c>
      <c r="E39" t="s">
        <v>50</v>
      </c>
      <c r="H39" t="s">
        <v>52</v>
      </c>
    </row>
    <row r="41" spans="1:8">
      <c r="D41" s="14">
        <f>xxRound</f>
        <v>1</v>
      </c>
      <c r="E41" t="s">
        <v>53</v>
      </c>
      <c r="H41" t="s">
        <v>54</v>
      </c>
    </row>
    <row r="43" spans="1:8">
      <c r="D43" s="14" t="str">
        <f>xxToolPrefix</f>
        <v>tl</v>
      </c>
      <c r="E43" t="s">
        <v>76</v>
      </c>
      <c r="H43" t="s">
        <v>3</v>
      </c>
    </row>
    <row r="44" spans="1:8">
      <c r="H44" t="s">
        <v>4</v>
      </c>
    </row>
    <row r="45" spans="1:8">
      <c r="H45" t="s">
        <v>88</v>
      </c>
    </row>
    <row r="46" spans="1:8">
      <c r="H46" s="4" t="s">
        <v>149</v>
      </c>
    </row>
    <row r="47" spans="1:8">
      <c r="D47" s="14" t="str">
        <f>xxToolPrefix</f>
        <v>tl</v>
      </c>
      <c r="E47" t="s">
        <v>56</v>
      </c>
      <c r="H47" t="s">
        <v>69</v>
      </c>
    </row>
    <row r="48" spans="1:8">
      <c r="H48" t="s">
        <v>88</v>
      </c>
    </row>
    <row r="49" spans="4:8">
      <c r="H49" s="4" t="s">
        <v>149</v>
      </c>
    </row>
    <row r="50" spans="4:8">
      <c r="D50" s="81">
        <v>1</v>
      </c>
      <c r="E50" s="138" t="s">
        <v>2222</v>
      </c>
    </row>
    <row r="52" spans="4:8">
      <c r="D52" s="515"/>
      <c r="E52" t="s">
        <v>2223</v>
      </c>
    </row>
    <row r="55" spans="4:8">
      <c r="D55" s="502" t="b">
        <f>(tlInputProd1Seg1SamplesPerc_R1+tlInputProd1Seg2SamplesPerc_R1+tlInputProd1Seg3SamplesPerc_R1)&gt;1</f>
        <v>0</v>
      </c>
      <c r="E55" t="s">
        <v>3178</v>
      </c>
    </row>
    <row r="56" spans="4:8">
      <c r="D56" s="502" t="b">
        <f>(tlInputProd1Seg1PromotionAllocation_R1+tlInputProd1Seg2PromotionAllocation_R1+tlInputProd1Seg3PromotionAllocation_R1)&gt;1</f>
        <v>0</v>
      </c>
      <c r="E56" t="s">
        <v>3179</v>
      </c>
    </row>
    <row r="57" spans="4:8">
      <c r="D57" s="502" t="b">
        <f>(tlInputProd1Seg1SamplesPerc_R2+tlInputProd1Seg2SamplesPerc_R2+tlInputProd1Seg3SamplesPerc_R2)&gt;1</f>
        <v>0</v>
      </c>
      <c r="E57" t="s">
        <v>3180</v>
      </c>
    </row>
    <row r="58" spans="4:8">
      <c r="D58" s="502" t="b">
        <f>(tlInputProd1Seg1PromotionAllocation_R2+tlInputProd1Seg2PromotionAllocation_R2+tlInputProd1Seg3PromotionAllocation_R2)&gt;1</f>
        <v>0</v>
      </c>
      <c r="E58" t="s">
        <v>3181</v>
      </c>
    </row>
  </sheetData>
  <conditionalFormatting sqref="D29 D27">
    <cfRule type="expression" dxfId="159" priority="3">
      <formula>AND($D$9&lt;&gt;"BA1",$D$9&lt;&gt;"BA2")</formula>
    </cfRule>
  </conditionalFormatting>
  <conditionalFormatting sqref="D43">
    <cfRule type="expression" dxfId="158" priority="2">
      <formula>AND($D$9&lt;&gt;"BA1",$D$9&lt;&gt;"BA2")</formula>
    </cfRule>
  </conditionalFormatting>
  <conditionalFormatting sqref="D47">
    <cfRule type="expression" dxfId="157" priority="1">
      <formula>AND($D$9&lt;&gt;"BA1",$D$9&lt;&gt;"BA2")</formula>
    </cfRule>
  </conditionalFormatting>
  <dataValidations disablePrompts="1" count="1">
    <dataValidation type="list" allowBlank="1" showInputMessage="1" showErrorMessage="1" sqref="D9">
      <formula1>"BA1, BA2, Hybrid, Board, MTM"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72"/>
  <sheetViews>
    <sheetView workbookViewId="0"/>
  </sheetViews>
  <sheetFormatPr defaultColWidth="8.796875" defaultRowHeight="15"/>
  <cols>
    <col min="1" max="1" width="8" style="25" customWidth="1"/>
    <col min="2" max="2" width="2.5" style="25" customWidth="1"/>
    <col min="3" max="3" width="2.59765625" style="25" customWidth="1"/>
    <col min="4" max="5" width="11" style="25" customWidth="1"/>
    <col min="6" max="6" width="22.59765625" style="25" bestFit="1" customWidth="1"/>
    <col min="7" max="7" width="21.5" style="25" customWidth="1"/>
    <col min="8" max="10" width="11" style="25" customWidth="1"/>
    <col min="11" max="11" width="16.8984375" style="25" customWidth="1"/>
    <col min="12" max="12" width="18.59765625" style="25" bestFit="1" customWidth="1"/>
    <col min="13" max="13" width="8.796875" style="25"/>
    <col min="14" max="14" width="7.296875" style="25" bestFit="1" customWidth="1"/>
    <col min="15" max="15" width="13.09765625" style="25" customWidth="1"/>
    <col min="16" max="16384" width="8.796875" style="25"/>
  </cols>
  <sheetData>
    <row r="1" spans="1:17" s="77" customFormat="1" ht="14.25">
      <c r="A1" s="78" t="s">
        <v>139</v>
      </c>
    </row>
    <row r="2" spans="1:17" s="73" customFormat="1" ht="14.25">
      <c r="C2" s="76"/>
      <c r="D2" s="76"/>
      <c r="E2" s="76"/>
      <c r="F2" s="76"/>
      <c r="G2" s="76"/>
      <c r="I2" s="76"/>
      <c r="J2" s="76"/>
      <c r="K2" s="76"/>
      <c r="L2" s="76"/>
      <c r="M2" s="76"/>
      <c r="N2" s="76"/>
      <c r="O2" s="76"/>
    </row>
    <row r="3" spans="1:17" s="73" customFormat="1" ht="14.25">
      <c r="B3" s="73" t="s">
        <v>138</v>
      </c>
      <c r="E3" s="75" t="s">
        <v>122</v>
      </c>
      <c r="G3" s="74"/>
      <c r="I3" s="74"/>
      <c r="J3" s="74"/>
      <c r="K3" s="74"/>
      <c r="L3" s="74"/>
      <c r="M3" s="74"/>
      <c r="N3" s="74"/>
      <c r="O3" s="74"/>
    </row>
    <row r="4" spans="1:17" s="61" customFormat="1" ht="14.25"/>
    <row r="5" spans="1:17" s="36" customFormat="1" ht="14.25">
      <c r="A5" s="58"/>
      <c r="C5" s="36" t="s">
        <v>137</v>
      </c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17" s="61" customFormat="1" ht="14.25"/>
    <row r="7" spans="1:17" s="61" customFormat="1" ht="14.25">
      <c r="E7" s="72" t="s">
        <v>136</v>
      </c>
      <c r="F7" s="72"/>
      <c r="H7" s="71" t="s">
        <v>135</v>
      </c>
    </row>
    <row r="8" spans="1:17" s="61" customFormat="1" ht="14.25">
      <c r="E8" s="70"/>
      <c r="F8" s="66" t="s">
        <v>109</v>
      </c>
      <c r="H8" s="69"/>
      <c r="I8" s="66" t="s">
        <v>110</v>
      </c>
    </row>
    <row r="9" spans="1:17" s="61" customFormat="1" ht="14.25">
      <c r="E9" s="68"/>
      <c r="F9" s="66" t="s">
        <v>106</v>
      </c>
    </row>
    <row r="10" spans="1:17" s="61" customFormat="1" ht="14.25">
      <c r="E10" s="67"/>
      <c r="F10" s="66" t="s">
        <v>111</v>
      </c>
    </row>
    <row r="11" spans="1:17" s="62" customFormat="1" ht="14.25">
      <c r="B11" s="65"/>
      <c r="E11" s="64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</row>
    <row r="12" spans="1:17" s="36" customFormat="1" ht="20.100000000000001" customHeight="1">
      <c r="B12" s="38" t="s">
        <v>134</v>
      </c>
      <c r="D12" s="38"/>
      <c r="E12" s="37"/>
      <c r="F12" s="37"/>
      <c r="G12" s="38"/>
      <c r="H12" s="37"/>
      <c r="I12" s="37"/>
      <c r="J12" s="38"/>
      <c r="K12" s="37"/>
      <c r="L12" s="37"/>
      <c r="M12" s="38"/>
      <c r="N12" s="37"/>
      <c r="P12" s="38"/>
      <c r="Q12" s="37"/>
    </row>
    <row r="13" spans="1:17" s="61" customFormat="1" ht="14.25"/>
    <row r="14" spans="1:17" s="36" customFormat="1" ht="14.25">
      <c r="A14" s="58"/>
      <c r="B14" s="36" t="s">
        <v>133</v>
      </c>
      <c r="G14" s="57"/>
      <c r="H14" s="57"/>
      <c r="I14" s="57"/>
      <c r="J14" s="57"/>
      <c r="K14" s="57"/>
      <c r="L14" s="57"/>
      <c r="M14" s="57"/>
      <c r="N14" s="57"/>
      <c r="O14" s="57"/>
      <c r="P14" s="57"/>
    </row>
    <row r="15" spans="1:17" ht="15.75" thickBot="1"/>
    <row r="16" spans="1:17">
      <c r="B16" s="25" t="s">
        <v>89</v>
      </c>
      <c r="E16" s="60" t="s">
        <v>90</v>
      </c>
      <c r="F16" s="25" t="s">
        <v>91</v>
      </c>
    </row>
    <row r="17" spans="1:16" ht="15.75" thickBot="1">
      <c r="B17" s="25" t="s">
        <v>8</v>
      </c>
      <c r="E17" s="59" t="b">
        <v>1</v>
      </c>
      <c r="F17" s="25" t="s">
        <v>92</v>
      </c>
    </row>
    <row r="19" spans="1:16" s="36" customFormat="1" ht="14.25">
      <c r="A19" s="58"/>
      <c r="B19" s="36" t="s">
        <v>93</v>
      </c>
      <c r="G19" s="57"/>
      <c r="H19" s="57"/>
      <c r="I19" s="57"/>
      <c r="J19" s="57"/>
      <c r="K19" s="57"/>
      <c r="L19" s="57"/>
      <c r="M19" s="57"/>
      <c r="N19" s="57"/>
      <c r="O19" s="57"/>
      <c r="P19" s="57"/>
    </row>
    <row r="20" spans="1:16" ht="15.75" thickBot="1"/>
    <row r="21" spans="1:16">
      <c r="B21" s="25" t="s">
        <v>15</v>
      </c>
      <c r="E21" s="56" t="s">
        <v>16</v>
      </c>
      <c r="F21" s="55" t="s">
        <v>17</v>
      </c>
      <c r="G21" s="55" t="s">
        <v>47</v>
      </c>
      <c r="H21" s="55" t="s">
        <v>48</v>
      </c>
      <c r="I21" s="55" t="s">
        <v>49</v>
      </c>
      <c r="J21" s="55" t="s">
        <v>94</v>
      </c>
      <c r="K21" s="55" t="s">
        <v>18</v>
      </c>
      <c r="L21" s="54" t="s">
        <v>19</v>
      </c>
    </row>
    <row r="22" spans="1:16">
      <c r="E22" s="53">
        <v>1</v>
      </c>
      <c r="F22" s="51" t="s">
        <v>73</v>
      </c>
      <c r="G22" s="52"/>
      <c r="H22" s="51"/>
      <c r="I22" s="51"/>
      <c r="J22" s="51"/>
      <c r="K22" s="50" t="str">
        <f t="shared" ref="K22:K39" si="0">IF(E22=1,IF(G22="","",cnstSingleQuote&amp;G22&amp;cnstSingleQuote),cnstSingleQuote&amp;G22&amp;IF(ISBLANK(H22),"",cnstDoubleQuote&amp;H22&amp;cnstDoubleQuote)&amp;IF(ISBLANK(I22),"",cnstComma&amp;cnstDoubleQuote&amp;I22&amp;cnstDoubleQuote)&amp;IF(ISBLANK(J22),"",cnstComma&amp;cnstDoubleQuote&amp;J22&amp;cnstDoubleQuote)&amp;cnstSingleQuote)</f>
        <v/>
      </c>
      <c r="L22" s="49"/>
    </row>
    <row r="23" spans="1:16">
      <c r="E23" s="53">
        <v>2</v>
      </c>
      <c r="F23" s="51" t="s">
        <v>75</v>
      </c>
      <c r="G23" s="52" t="s">
        <v>20</v>
      </c>
      <c r="H23" s="51"/>
      <c r="I23" s="51"/>
      <c r="J23" s="51"/>
      <c r="K23" s="50" t="str">
        <f t="shared" si="0"/>
        <v>'SimReset'</v>
      </c>
      <c r="L23" s="49"/>
    </row>
    <row r="24" spans="1:16">
      <c r="E24" s="53">
        <v>2</v>
      </c>
      <c r="F24" s="51" t="s">
        <v>74</v>
      </c>
      <c r="G24" s="52" t="s">
        <v>67</v>
      </c>
      <c r="H24" s="51"/>
      <c r="I24" s="51"/>
      <c r="J24" s="51"/>
      <c r="K24" s="50" t="str">
        <f t="shared" si="0"/>
        <v>'SimNewRound'</v>
      </c>
      <c r="L24" s="49"/>
    </row>
    <row r="25" spans="1:16">
      <c r="E25" s="53">
        <v>2</v>
      </c>
      <c r="F25" s="51" t="s">
        <v>365</v>
      </c>
      <c r="G25" s="52" t="s">
        <v>367</v>
      </c>
      <c r="H25" s="51">
        <f>tlTeamNumber</f>
        <v>1</v>
      </c>
      <c r="I25" s="51">
        <f>xxRound</f>
        <v>1</v>
      </c>
      <c r="J25" s="51"/>
      <c r="K25" s="50" t="str">
        <f t="shared" si="0"/>
        <v>'DecExportDecisions"1","1"'</v>
      </c>
      <c r="L25" s="49"/>
    </row>
    <row r="26" spans="1:16">
      <c r="E26" s="53">
        <v>2</v>
      </c>
      <c r="F26" s="51" t="s">
        <v>366</v>
      </c>
      <c r="G26" s="52" t="s">
        <v>611</v>
      </c>
      <c r="H26" s="51"/>
      <c r="I26" s="51"/>
      <c r="J26" s="51"/>
      <c r="K26" s="50" t="str">
        <f t="shared" si="0"/>
        <v>'ImportCSVDecisions'</v>
      </c>
      <c r="L26" s="49"/>
    </row>
    <row r="27" spans="1:16">
      <c r="E27" s="53">
        <v>2</v>
      </c>
      <c r="F27" s="51" t="s">
        <v>368</v>
      </c>
      <c r="G27" s="52" t="s">
        <v>369</v>
      </c>
      <c r="H27" s="51"/>
      <c r="I27" s="51"/>
      <c r="J27" s="51"/>
      <c r="K27" s="50" t="str">
        <f t="shared" si="0"/>
        <v>'FBUpdateFeedbackFile'</v>
      </c>
      <c r="L27" s="49"/>
    </row>
    <row r="28" spans="1:16">
      <c r="E28" s="53">
        <v>2</v>
      </c>
      <c r="F28" s="51" t="s">
        <v>609</v>
      </c>
      <c r="G28" s="52" t="s">
        <v>610</v>
      </c>
      <c r="H28" s="51"/>
      <c r="I28" s="51"/>
      <c r="J28" s="51"/>
      <c r="K28" s="50" t="str">
        <f t="shared" si="0"/>
        <v>'ExportCSVBalances'</v>
      </c>
      <c r="L28" s="49"/>
    </row>
    <row r="29" spans="1:16">
      <c r="E29" s="53">
        <v>1</v>
      </c>
      <c r="F29" s="51" t="s">
        <v>495</v>
      </c>
      <c r="G29" s="52"/>
      <c r="H29" s="51"/>
      <c r="I29" s="51"/>
      <c r="J29" s="51"/>
      <c r="K29" s="50" t="str">
        <f t="shared" si="0"/>
        <v/>
      </c>
      <c r="L29" s="49"/>
    </row>
    <row r="30" spans="1:16">
      <c r="E30" s="53">
        <v>2</v>
      </c>
      <c r="F30" s="51" t="s">
        <v>496</v>
      </c>
      <c r="G30" s="52" t="s">
        <v>492</v>
      </c>
      <c r="H30" s="51"/>
      <c r="I30" s="51"/>
      <c r="J30" s="51"/>
      <c r="K30" s="50" t="str">
        <f t="shared" si="0"/>
        <v>'PrintAnnualReportsAll'</v>
      </c>
      <c r="L30" s="49"/>
    </row>
    <row r="31" spans="1:16">
      <c r="E31" s="53">
        <v>2</v>
      </c>
      <c r="F31" s="51" t="s">
        <v>497</v>
      </c>
      <c r="G31" s="52" t="s">
        <v>490</v>
      </c>
      <c r="H31" s="51"/>
      <c r="I31" s="51"/>
      <c r="J31" s="51"/>
      <c r="K31" s="50" t="str">
        <f t="shared" si="0"/>
        <v>'PrintAnnualReportsTeam'</v>
      </c>
      <c r="L31" s="49"/>
    </row>
    <row r="32" spans="1:16">
      <c r="E32" s="53">
        <v>2</v>
      </c>
      <c r="F32" s="51" t="s">
        <v>498</v>
      </c>
      <c r="G32" s="52" t="s">
        <v>488</v>
      </c>
      <c r="H32" s="51"/>
      <c r="I32" s="51"/>
      <c r="J32" s="51"/>
      <c r="K32" s="50" t="str">
        <f t="shared" si="0"/>
        <v>'PrintCompetitorReport'</v>
      </c>
      <c r="L32" s="49"/>
    </row>
    <row r="33" spans="2:17">
      <c r="E33" s="53">
        <v>2</v>
      </c>
      <c r="F33" s="51" t="s">
        <v>499</v>
      </c>
      <c r="G33" s="52" t="s">
        <v>484</v>
      </c>
      <c r="H33" s="51"/>
      <c r="I33" s="51"/>
      <c r="J33" s="51"/>
      <c r="K33" s="50" t="str">
        <f t="shared" si="0"/>
        <v>'PrintAnalysisReport'</v>
      </c>
      <c r="L33" s="49"/>
    </row>
    <row r="34" spans="2:17">
      <c r="E34" s="53">
        <v>2</v>
      </c>
      <c r="F34" s="51" t="s">
        <v>500</v>
      </c>
      <c r="G34" s="52" t="s">
        <v>486</v>
      </c>
      <c r="H34" s="51"/>
      <c r="I34" s="51"/>
      <c r="J34" s="51"/>
      <c r="K34" s="50" t="str">
        <f t="shared" si="0"/>
        <v>'PrintMktAnalysisReport'</v>
      </c>
      <c r="L34" s="49"/>
    </row>
    <row r="35" spans="2:17">
      <c r="E35" s="53">
        <v>1</v>
      </c>
      <c r="F35" s="51" t="s">
        <v>142</v>
      </c>
      <c r="G35" s="52"/>
      <c r="H35" s="51"/>
      <c r="I35" s="51"/>
      <c r="J35" s="51"/>
      <c r="K35" s="50" t="str">
        <f t="shared" si="0"/>
        <v/>
      </c>
      <c r="L35" s="49"/>
    </row>
    <row r="36" spans="2:17">
      <c r="E36" s="53">
        <v>2</v>
      </c>
      <c r="F36" s="51"/>
      <c r="G36" s="52" t="s">
        <v>143</v>
      </c>
      <c r="H36" s="51"/>
      <c r="I36" s="51"/>
      <c r="J36" s="51"/>
      <c r="K36" s="50" t="str">
        <f t="shared" si="0"/>
        <v>'HoodGoToScreen'</v>
      </c>
      <c r="L36" s="49"/>
    </row>
    <row r="37" spans="2:17">
      <c r="E37" s="53">
        <v>2</v>
      </c>
      <c r="F37" s="51"/>
      <c r="G37" s="52" t="s">
        <v>143</v>
      </c>
      <c r="H37" s="51"/>
      <c r="I37" s="51"/>
      <c r="J37" s="51"/>
      <c r="K37" s="50" t="str">
        <f t="shared" si="0"/>
        <v>'HoodGoToScreen'</v>
      </c>
      <c r="L37" s="49"/>
    </row>
    <row r="38" spans="2:17">
      <c r="E38" s="53">
        <v>2</v>
      </c>
      <c r="F38" s="51"/>
      <c r="G38" s="52" t="s">
        <v>143</v>
      </c>
      <c r="H38" s="51"/>
      <c r="I38" s="51"/>
      <c r="J38" s="51"/>
      <c r="K38" s="50" t="str">
        <f t="shared" si="0"/>
        <v>'HoodGoToScreen'</v>
      </c>
      <c r="L38" s="49"/>
    </row>
    <row r="39" spans="2:17" ht="15.75" thickBot="1">
      <c r="E39" s="48">
        <v>1</v>
      </c>
      <c r="F39" s="46" t="s">
        <v>77</v>
      </c>
      <c r="G39" s="47" t="s">
        <v>78</v>
      </c>
      <c r="H39" s="46"/>
      <c r="I39" s="82"/>
      <c r="J39" s="46"/>
      <c r="K39" s="45" t="str">
        <f t="shared" si="0"/>
        <v>'MasterReset'</v>
      </c>
      <c r="L39" s="44"/>
    </row>
    <row r="40" spans="2:17">
      <c r="E40" s="25" t="s">
        <v>21</v>
      </c>
      <c r="F40" s="25" t="s">
        <v>22</v>
      </c>
      <c r="J40" s="43"/>
      <c r="K40" s="25" t="s">
        <v>23</v>
      </c>
      <c r="L40" s="25" t="s">
        <v>24</v>
      </c>
    </row>
    <row r="41" spans="2:17">
      <c r="E41" s="39"/>
    </row>
    <row r="42" spans="2:17" s="36" customFormat="1" ht="20.100000000000001" customHeight="1">
      <c r="B42" s="38" t="s">
        <v>132</v>
      </c>
      <c r="D42" s="38"/>
      <c r="E42" s="37"/>
      <c r="F42" s="37"/>
      <c r="G42" s="38"/>
      <c r="H42" s="37"/>
      <c r="I42" s="37"/>
      <c r="J42" s="38"/>
      <c r="K42" s="37"/>
      <c r="L42" s="37"/>
      <c r="M42" s="38"/>
      <c r="N42" s="37"/>
      <c r="P42" s="38"/>
      <c r="Q42" s="37"/>
    </row>
    <row r="43" spans="2:17">
      <c r="J43" s="43"/>
      <c r="K43" s="43"/>
    </row>
    <row r="44" spans="2:17" ht="15.75" thickBot="1">
      <c r="B44" s="25" t="s">
        <v>95</v>
      </c>
    </row>
    <row r="45" spans="2:17">
      <c r="C45" s="25" t="s">
        <v>9</v>
      </c>
      <c r="E45" s="42">
        <f>COUNTIF(vbaPopupMenu1ListLevel,1)</f>
        <v>4</v>
      </c>
      <c r="F45" s="25" t="s">
        <v>10</v>
      </c>
    </row>
    <row r="46" spans="2:17">
      <c r="C46" s="25" t="s">
        <v>11</v>
      </c>
      <c r="E46" s="41">
        <f>COUNTIF(vbaPopupMenu1ListLevel,2)</f>
        <v>14</v>
      </c>
      <c r="F46" s="25" t="s">
        <v>12</v>
      </c>
    </row>
    <row r="47" spans="2:17" ht="15.75" thickBot="1">
      <c r="C47" s="25" t="s">
        <v>13</v>
      </c>
      <c r="E47" s="40">
        <f>SUM(E45:E46)</f>
        <v>18</v>
      </c>
      <c r="F47" s="25" t="s">
        <v>14</v>
      </c>
    </row>
    <row r="48" spans="2:17">
      <c r="E48" s="39"/>
    </row>
    <row r="49" spans="2:17" s="36" customFormat="1" ht="20.100000000000001" customHeight="1">
      <c r="B49" s="38" t="s">
        <v>131</v>
      </c>
      <c r="D49" s="38"/>
      <c r="E49" s="37"/>
      <c r="F49" s="37"/>
      <c r="G49" s="38"/>
      <c r="H49" s="37"/>
      <c r="I49" s="37"/>
      <c r="J49" s="38"/>
      <c r="K49" s="37"/>
      <c r="L49" s="37"/>
      <c r="M49" s="38"/>
      <c r="N49" s="37"/>
      <c r="P49" s="38"/>
      <c r="Q49" s="37"/>
    </row>
    <row r="50" spans="2:17" ht="15.75" thickBot="1"/>
    <row r="51" spans="2:17" ht="16.5" customHeight="1">
      <c r="B51" s="25" t="s">
        <v>96</v>
      </c>
      <c r="E51" s="35" t="s">
        <v>25</v>
      </c>
      <c r="F51" s="34" t="s">
        <v>26</v>
      </c>
    </row>
    <row r="52" spans="2:17">
      <c r="E52" s="33">
        <v>1</v>
      </c>
      <c r="F52" s="32" t="s">
        <v>27</v>
      </c>
    </row>
    <row r="53" spans="2:17">
      <c r="E53" s="33">
        <v>3</v>
      </c>
      <c r="F53" s="32" t="s">
        <v>28</v>
      </c>
    </row>
    <row r="54" spans="2:17">
      <c r="E54" s="33">
        <v>4</v>
      </c>
      <c r="F54" s="32" t="s">
        <v>29</v>
      </c>
    </row>
    <row r="55" spans="2:17">
      <c r="E55" s="33">
        <v>21</v>
      </c>
      <c r="F55" s="32" t="s">
        <v>30</v>
      </c>
    </row>
    <row r="56" spans="2:17">
      <c r="E56" s="33">
        <v>22</v>
      </c>
      <c r="F56" s="32" t="s">
        <v>31</v>
      </c>
    </row>
    <row r="57" spans="2:17">
      <c r="E57" s="33">
        <v>23</v>
      </c>
      <c r="F57" s="32" t="s">
        <v>32</v>
      </c>
    </row>
    <row r="58" spans="2:17">
      <c r="E58" s="33">
        <v>37</v>
      </c>
      <c r="F58" s="32" t="s">
        <v>33</v>
      </c>
    </row>
    <row r="59" spans="2:17">
      <c r="E59" s="33">
        <v>67</v>
      </c>
      <c r="F59" s="32" t="s">
        <v>34</v>
      </c>
    </row>
    <row r="60" spans="2:17">
      <c r="E60" s="33">
        <v>141</v>
      </c>
      <c r="F60" s="32" t="s">
        <v>35</v>
      </c>
    </row>
    <row r="61" spans="2:17">
      <c r="E61" s="33">
        <v>330</v>
      </c>
      <c r="F61" s="32" t="s">
        <v>36</v>
      </c>
    </row>
    <row r="62" spans="2:17">
      <c r="E62" s="33">
        <v>358</v>
      </c>
      <c r="F62" s="32" t="s">
        <v>37</v>
      </c>
    </row>
    <row r="63" spans="2:17">
      <c r="E63" s="33">
        <v>373</v>
      </c>
      <c r="F63" s="32" t="s">
        <v>38</v>
      </c>
    </row>
    <row r="64" spans="2:17">
      <c r="E64" s="33">
        <v>374</v>
      </c>
      <c r="F64" s="32" t="s">
        <v>39</v>
      </c>
    </row>
    <row r="65" spans="2:6">
      <c r="E65" s="33">
        <v>375</v>
      </c>
      <c r="F65" s="32" t="s">
        <v>40</v>
      </c>
    </row>
    <row r="66" spans="2:6">
      <c r="E66" s="33" t="s">
        <v>41</v>
      </c>
      <c r="F66" s="32" t="s">
        <v>42</v>
      </c>
    </row>
    <row r="67" spans="2:6" ht="15.75" thickBot="1">
      <c r="E67" s="31" t="s">
        <v>43</v>
      </c>
      <c r="F67" s="30" t="s">
        <v>44</v>
      </c>
    </row>
    <row r="69" spans="2:6" ht="15.75" thickBot="1">
      <c r="B69" s="25" t="s">
        <v>97</v>
      </c>
    </row>
    <row r="70" spans="2:6">
      <c r="C70" s="25" t="s">
        <v>98</v>
      </c>
      <c r="E70" s="29" t="s">
        <v>99</v>
      </c>
      <c r="F70" s="26" t="s">
        <v>45</v>
      </c>
    </row>
    <row r="71" spans="2:6">
      <c r="C71" s="25" t="s">
        <v>100</v>
      </c>
      <c r="E71" s="28" t="s">
        <v>101</v>
      </c>
      <c r="F71" s="26" t="s">
        <v>46</v>
      </c>
    </row>
    <row r="72" spans="2:6" ht="15.75" thickBot="1">
      <c r="C72" s="25" t="s">
        <v>102</v>
      </c>
      <c r="E72" s="27" t="s">
        <v>103</v>
      </c>
      <c r="F72" s="26" t="s">
        <v>104</v>
      </c>
    </row>
  </sheetData>
  <conditionalFormatting sqref="K22:K24 K35:K39">
    <cfRule type="expression" dxfId="156" priority="6">
      <formula>$E22=1</formula>
    </cfRule>
  </conditionalFormatting>
  <conditionalFormatting sqref="K25:K26">
    <cfRule type="expression" dxfId="155" priority="5">
      <formula>$E25=1</formula>
    </cfRule>
  </conditionalFormatting>
  <conditionalFormatting sqref="K27">
    <cfRule type="expression" dxfId="154" priority="4">
      <formula>$E27=1</formula>
    </cfRule>
  </conditionalFormatting>
  <conditionalFormatting sqref="K29:K30">
    <cfRule type="expression" dxfId="153" priority="3">
      <formula>$E29=1</formula>
    </cfRule>
  </conditionalFormatting>
  <conditionalFormatting sqref="K31:K34">
    <cfRule type="expression" dxfId="152" priority="2">
      <formula>$E31=1</formula>
    </cfRule>
  </conditionalFormatting>
  <conditionalFormatting sqref="K28">
    <cfRule type="expression" dxfId="151" priority="1">
      <formula>$E28=1</formula>
    </cfRule>
  </conditionalFormatting>
  <dataValidations disablePrompts="1" count="1">
    <dataValidation type="list" allowBlank="1" showInputMessage="1" showErrorMessage="1" sqref="E17">
      <formula1>"TRUE,FALSE"</formula1>
    </dataValidation>
  </dataValidations>
  <hyperlinks>
    <hyperlink ref="E3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74"/>
  <sheetViews>
    <sheetView topLeftCell="I52" workbookViewId="0">
      <selection activeCell="K61" sqref="K61"/>
    </sheetView>
  </sheetViews>
  <sheetFormatPr defaultColWidth="8.8984375" defaultRowHeight="15"/>
  <cols>
    <col min="1" max="2" width="2.796875" style="305" customWidth="1"/>
    <col min="3" max="3" width="24.796875" style="305" customWidth="1"/>
    <col min="4" max="4" width="2.796875" style="305" customWidth="1"/>
    <col min="5" max="12" width="24.796875" style="330" customWidth="1"/>
    <col min="13" max="16384" width="8.8984375" style="330"/>
  </cols>
  <sheetData>
    <row r="1" spans="1:16" s="289" customFormat="1" ht="14.25">
      <c r="A1" s="288" t="s">
        <v>518</v>
      </c>
    </row>
    <row r="2" spans="1:16" s="290" customFormat="1" ht="14.25">
      <c r="C2" s="291"/>
      <c r="D2" s="291"/>
      <c r="E2" s="291"/>
      <c r="F2" s="291"/>
      <c r="G2" s="291"/>
      <c r="I2" s="291"/>
      <c r="J2" s="291"/>
      <c r="K2" s="291"/>
      <c r="L2" s="291"/>
      <c r="M2" s="291"/>
      <c r="N2" s="291"/>
      <c r="O2" s="291"/>
    </row>
    <row r="3" spans="1:16" s="290" customFormat="1" ht="14.25">
      <c r="C3" s="290" t="s">
        <v>558</v>
      </c>
      <c r="D3" s="75" t="s">
        <v>122</v>
      </c>
      <c r="F3" s="75"/>
      <c r="G3" s="74"/>
      <c r="I3" s="74"/>
      <c r="J3" s="74"/>
      <c r="K3" s="74"/>
      <c r="L3" s="74"/>
      <c r="M3" s="74"/>
      <c r="N3" s="74"/>
      <c r="O3" s="74"/>
    </row>
    <row r="4" spans="1:16" s="292" customFormat="1" ht="14.25"/>
    <row r="5" spans="1:16" s="294" customFormat="1" ht="14.25">
      <c r="A5" s="293"/>
      <c r="C5" s="294" t="s">
        <v>137</v>
      </c>
      <c r="G5" s="295"/>
      <c r="H5" s="295"/>
      <c r="I5" s="295"/>
      <c r="J5" s="295"/>
      <c r="K5" s="295"/>
      <c r="L5" s="295"/>
      <c r="M5" s="295"/>
      <c r="N5" s="295"/>
      <c r="O5" s="295"/>
      <c r="P5" s="295"/>
    </row>
    <row r="6" spans="1:16" s="292" customFormat="1" ht="14.25"/>
    <row r="7" spans="1:16" s="292" customFormat="1" ht="14.25">
      <c r="C7" s="296" t="s">
        <v>559</v>
      </c>
      <c r="D7" s="296"/>
      <c r="E7" s="296"/>
      <c r="F7" s="296"/>
      <c r="G7" s="297" t="s">
        <v>560</v>
      </c>
    </row>
    <row r="8" spans="1:16" s="292" customFormat="1" ht="14.25">
      <c r="C8" s="298"/>
      <c r="D8" s="299" t="s">
        <v>561</v>
      </c>
      <c r="G8" s="300"/>
      <c r="H8" s="299" t="s">
        <v>562</v>
      </c>
    </row>
    <row r="9" spans="1:16" s="292" customFormat="1" ht="14.25">
      <c r="C9" s="301"/>
      <c r="D9" s="299" t="s">
        <v>563</v>
      </c>
    </row>
    <row r="10" spans="1:16" s="292" customFormat="1" ht="14.25">
      <c r="C10" s="302"/>
      <c r="D10" s="299" t="s">
        <v>564</v>
      </c>
    </row>
    <row r="11" spans="1:16" s="292" customFormat="1" ht="14.25"/>
    <row r="12" spans="1:16" s="304" customFormat="1">
      <c r="A12" s="303" t="s">
        <v>351</v>
      </c>
    </row>
    <row r="13" spans="1:16" s="305" customFormat="1"/>
    <row r="14" spans="1:16" s="305" customFormat="1">
      <c r="C14" s="305" t="s">
        <v>565</v>
      </c>
      <c r="E14" s="306" t="str">
        <f>F167&amp;F168&amp;F169&amp;F170&amp;F171&amp;F172&amp;F173&amp;F174&amp;F175&amp;F176</f>
        <v xml:space="preserve">TRx Share  0.32% NRx Share  0.33% TRx Volume  383 </v>
      </c>
      <c r="F14" s="307"/>
      <c r="G14" s="307"/>
      <c r="H14" s="307"/>
      <c r="J14" s="307"/>
      <c r="K14" s="307"/>
    </row>
    <row r="15" spans="1:16" s="305" customFormat="1">
      <c r="E15" s="308" t="s">
        <v>2428</v>
      </c>
    </row>
    <row r="16" spans="1:16" s="305" customFormat="1">
      <c r="E16" s="309"/>
    </row>
    <row r="17" spans="3:8" s="305" customFormat="1">
      <c r="C17" s="305" t="s">
        <v>566</v>
      </c>
      <c r="E17" s="306" t="str">
        <f>F181&amp;F182&amp;F183&amp;F184&amp;F185&amp;F186&amp;F187&amp;F188&amp;F189&amp;F190</f>
        <v xml:space="preserve">Market Execution  60.0 Employee Engagement  60.0 </v>
      </c>
      <c r="F17" s="307"/>
      <c r="G17" s="307"/>
      <c r="H17" s="307"/>
    </row>
    <row r="18" spans="3:8" s="305" customFormat="1">
      <c r="E18" s="308" t="s">
        <v>2429</v>
      </c>
    </row>
    <row r="19" spans="3:8" s="305" customFormat="1">
      <c r="E19" s="309"/>
    </row>
    <row r="20" spans="3:8" s="305" customFormat="1">
      <c r="C20" s="305" t="s">
        <v>567</v>
      </c>
      <c r="E20" s="306" t="str">
        <f>F195&amp;F196&amp;F197&amp;F198&amp;F199&amp;F200&amp;F201&amp;F202&amp;F203&amp;F204</f>
        <v>MTUs Remaining  150 Samples Remaining  1% Promotional $ Remaining  1%</v>
      </c>
      <c r="F20" s="307"/>
      <c r="G20" s="307"/>
      <c r="H20" s="307"/>
    </row>
    <row r="21" spans="3:8" s="305" customFormat="1">
      <c r="E21" s="308" t="s">
        <v>2430</v>
      </c>
    </row>
    <row r="22" spans="3:8" s="305" customFormat="1"/>
    <row r="23" spans="3:8" s="305" customFormat="1">
      <c r="C23" s="305" t="s">
        <v>568</v>
      </c>
      <c r="E23" s="306" t="str">
        <f>F209&amp;F210&amp;F211&amp;F212&amp;F213&amp;F214&amp;F215&amp;F216&amp;F217&amp;F218</f>
        <v>MTUs Remaining  150 Samples Remaining  1% Promotional $ Remaining  1%</v>
      </c>
    </row>
    <row r="24" spans="3:8" s="305" customFormat="1">
      <c r="E24" s="308" t="s">
        <v>2431</v>
      </c>
    </row>
    <row r="25" spans="3:8" s="305" customFormat="1"/>
    <row r="26" spans="3:8" s="305" customFormat="1">
      <c r="C26" s="305" t="s">
        <v>569</v>
      </c>
      <c r="E26" s="306" t="str">
        <f>F223&amp;F224&amp;F225&amp;F226&amp;F227&amp;F228&amp;F229&amp;F230&amp;F231&amp;F232</f>
        <v>TRx Share  0.34% NRx Share  0.36% TRx Volume  1,219</v>
      </c>
    </row>
    <row r="27" spans="3:8" s="305" customFormat="1">
      <c r="E27" s="308" t="s">
        <v>2437</v>
      </c>
    </row>
    <row r="28" spans="3:8" s="305" customFormat="1"/>
    <row r="29" spans="3:8" s="305" customFormat="1">
      <c r="C29" s="305" t="s">
        <v>2435</v>
      </c>
      <c r="E29" s="306" t="str">
        <f>F237&amp;F238&amp;F239&amp;F240&amp;F241&amp;F242&amp;F243&amp;F244&amp;F245&amp;F246</f>
        <v xml:space="preserve">Market Execution  60.0 Employee Engagement  60.0 </v>
      </c>
    </row>
    <row r="30" spans="3:8" s="305" customFormat="1">
      <c r="E30" s="308" t="s">
        <v>2440</v>
      </c>
    </row>
    <row r="31" spans="3:8" s="305" customFormat="1"/>
    <row r="32" spans="3:8" s="305" customFormat="1">
      <c r="C32" s="305" t="s">
        <v>2436</v>
      </c>
      <c r="E32" s="306" t="str">
        <f>F251&amp;F252&amp;F253&amp;F254&amp;F255&amp;F256&amp;F257&amp;F258&amp;F259&amp;F260</f>
        <v>MTUs Remaining  150 Samples Remaining  1% Promotional $ Remaining  1%</v>
      </c>
    </row>
    <row r="33" spans="1:11" s="305" customFormat="1">
      <c r="E33" s="308" t="s">
        <v>2439</v>
      </c>
    </row>
    <row r="34" spans="1:11" s="305" customFormat="1"/>
    <row r="35" spans="1:11" s="305" customFormat="1">
      <c r="C35" s="305" t="s">
        <v>2432</v>
      </c>
      <c r="E35" s="306" t="str">
        <f>F265&amp;F266&amp;F267&amp;F268&amp;F269&amp;F270&amp;F271&amp;F272&amp;F273&amp;F274</f>
        <v>MTUs Remaining  150 Samples Remaining  1% Promotional $ Remaining  1%</v>
      </c>
    </row>
    <row r="36" spans="1:11" s="305" customFormat="1">
      <c r="E36" s="308" t="s">
        <v>2438</v>
      </c>
    </row>
    <row r="37" spans="1:11" s="305" customFormat="1"/>
    <row r="38" spans="1:11" s="304" customFormat="1">
      <c r="A38" s="303" t="s">
        <v>134</v>
      </c>
    </row>
    <row r="39" spans="1:11" s="305" customFormat="1"/>
    <row r="40" spans="1:11" s="305" customFormat="1">
      <c r="C40" s="310" t="s">
        <v>570</v>
      </c>
      <c r="E40" s="311">
        <v>2</v>
      </c>
      <c r="F40" s="305" t="s">
        <v>519</v>
      </c>
    </row>
    <row r="41" spans="1:11" s="305" customFormat="1">
      <c r="C41" s="310" t="s">
        <v>571</v>
      </c>
      <c r="E41" s="311">
        <v>6</v>
      </c>
      <c r="F41" s="305" t="s">
        <v>520</v>
      </c>
    </row>
    <row r="42" spans="1:11" s="305" customFormat="1">
      <c r="C42" s="305" t="s">
        <v>572</v>
      </c>
      <c r="E42" s="311">
        <v>2</v>
      </c>
      <c r="F42" s="305" t="s">
        <v>521</v>
      </c>
    </row>
    <row r="43" spans="1:11" s="305" customFormat="1">
      <c r="F43" s="309"/>
    </row>
    <row r="44" spans="1:11" s="305" customFormat="1">
      <c r="B44" s="312" t="s">
        <v>565</v>
      </c>
      <c r="I44" s="315" t="str">
        <f>"("&amp;TEXT(H44,"+0.0%;-0.0%;-")&amp;"YoY)"</f>
        <v>(-YoY)</v>
      </c>
    </row>
    <row r="45" spans="1:11" s="305" customFormat="1">
      <c r="C45" s="305" t="s">
        <v>573</v>
      </c>
      <c r="E45" s="305" t="s">
        <v>522</v>
      </c>
      <c r="F45" s="310" t="s">
        <v>574</v>
      </c>
      <c r="G45" s="310" t="s">
        <v>575</v>
      </c>
      <c r="H45" s="305" t="s">
        <v>576</v>
      </c>
      <c r="I45" s="305" t="s">
        <v>577</v>
      </c>
      <c r="J45" s="305" t="s">
        <v>2416</v>
      </c>
      <c r="K45" s="305" t="s">
        <v>1551</v>
      </c>
    </row>
    <row r="46" spans="1:11" s="305" customFormat="1">
      <c r="B46" s="305">
        <v>1</v>
      </c>
      <c r="C46" s="313" t="s">
        <v>549</v>
      </c>
      <c r="E46" s="313" t="b">
        <v>1</v>
      </c>
      <c r="F46" s="334">
        <f>CHOOSE(xxRound,xxDashProd1TotalShare_R1,xxDashProd1TotalShare_R2)</f>
        <v>3.2219226512005335E-3</v>
      </c>
      <c r="G46" s="318" t="str">
        <f>TEXT(F46,"0.00%;-0.00%;-")</f>
        <v>0.32%</v>
      </c>
      <c r="H46" s="314"/>
      <c r="I46" s="315"/>
      <c r="J46" s="555">
        <f>INDEX(calcProd1ShareTotalCustR1,,xxIndexTeam)</f>
        <v>3.2219226512005335E-3</v>
      </c>
      <c r="K46" s="555">
        <f>INDEX(cbalProd1TotalShare,,xxIndexTeam)</f>
        <v>3.0208158887858241E-3</v>
      </c>
    </row>
    <row r="47" spans="1:11" s="305" customFormat="1">
      <c r="B47" s="305">
        <v>2</v>
      </c>
      <c r="C47" s="335" t="s">
        <v>550</v>
      </c>
      <c r="E47" s="316" t="b">
        <v>1</v>
      </c>
      <c r="F47" s="528">
        <f>CHOOSE(xxRound,xxDashProd1NewShare_R1,xxDashProd1NewShare_R2)</f>
        <v>3.2643888314374354E-3</v>
      </c>
      <c r="G47" s="318" t="str">
        <f>TEXT(F47,"0.00%;-0.00%;-")</f>
        <v>0.33%</v>
      </c>
      <c r="H47" s="317"/>
      <c r="I47" s="318"/>
      <c r="J47" s="555">
        <f>INDEX(calcProd1ShareNewCustR1,,xxIndexTeam)</f>
        <v>3.2643888314374354E-3</v>
      </c>
      <c r="K47" s="555">
        <f>INDEX(cbalProd1NewShare,,xxIndexTeam)</f>
        <v>3.1640689894479666E-3</v>
      </c>
    </row>
    <row r="48" spans="1:11" s="305" customFormat="1">
      <c r="B48" s="305">
        <v>3</v>
      </c>
      <c r="C48" s="316" t="s">
        <v>548</v>
      </c>
      <c r="E48" s="316" t="b">
        <v>1</v>
      </c>
      <c r="F48" s="314">
        <f>CHOOSE(xxRound,xxDashProd1TotalVolume_R1,xxDashProd1TotalVolume_R2)</f>
        <v>382.85754385877897</v>
      </c>
      <c r="G48" s="318" t="str">
        <f>TEXT(F48,"000;-0000;-")</f>
        <v>383</v>
      </c>
      <c r="H48" s="317"/>
      <c r="I48" s="318"/>
      <c r="J48" s="556">
        <f>INDEX(calcProd1VolumeTotalCustR1,,xxIndexTeam)</f>
        <v>382.85754385877897</v>
      </c>
      <c r="K48" s="556">
        <f>INDEX(calcProd1VolumeTotalCustR2,,xxIndexTeam)</f>
        <v>409.49812790710604</v>
      </c>
    </row>
    <row r="49" spans="2:11" s="305" customFormat="1">
      <c r="B49" s="305">
        <v>4</v>
      </c>
      <c r="C49" s="316"/>
      <c r="E49" s="316" t="b">
        <v>1</v>
      </c>
      <c r="F49" s="317"/>
      <c r="G49" s="318"/>
      <c r="H49" s="317"/>
      <c r="I49" s="318"/>
    </row>
    <row r="50" spans="2:11" s="305" customFormat="1">
      <c r="B50" s="305">
        <v>5</v>
      </c>
      <c r="C50" s="316"/>
      <c r="E50" s="316" t="b">
        <v>1</v>
      </c>
      <c r="F50" s="317"/>
      <c r="G50" s="318"/>
      <c r="H50" s="317"/>
      <c r="I50" s="318"/>
    </row>
    <row r="51" spans="2:11" s="305" customFormat="1">
      <c r="B51" s="305">
        <v>6</v>
      </c>
      <c r="C51" s="316"/>
      <c r="E51" s="316" t="b">
        <v>1</v>
      </c>
      <c r="F51" s="317"/>
      <c r="G51" s="318"/>
      <c r="H51" s="317"/>
      <c r="I51" s="318"/>
    </row>
    <row r="52" spans="2:11" s="305" customFormat="1">
      <c r="B52" s="305">
        <v>7</v>
      </c>
      <c r="C52" s="316"/>
      <c r="E52" s="316" t="b">
        <v>1</v>
      </c>
      <c r="F52" s="317"/>
      <c r="G52" s="318"/>
      <c r="H52" s="317"/>
      <c r="I52" s="318"/>
    </row>
    <row r="53" spans="2:11" s="305" customFormat="1">
      <c r="B53" s="305">
        <v>8</v>
      </c>
      <c r="C53" s="316"/>
      <c r="E53" s="316" t="b">
        <v>1</v>
      </c>
      <c r="F53" s="317"/>
      <c r="G53" s="318"/>
      <c r="H53" s="317"/>
      <c r="I53" s="318"/>
    </row>
    <row r="54" spans="2:11" s="305" customFormat="1">
      <c r="B54" s="305">
        <v>9</v>
      </c>
      <c r="C54" s="316"/>
      <c r="E54" s="316" t="b">
        <v>1</v>
      </c>
      <c r="F54" s="317"/>
      <c r="G54" s="318"/>
      <c r="H54" s="317"/>
      <c r="I54" s="318"/>
    </row>
    <row r="55" spans="2:11" s="305" customFormat="1">
      <c r="B55" s="305">
        <v>10</v>
      </c>
      <c r="C55" s="319"/>
      <c r="E55" s="319" t="b">
        <v>1</v>
      </c>
      <c r="F55" s="320"/>
      <c r="G55" s="321"/>
      <c r="H55" s="320"/>
      <c r="I55" s="321"/>
    </row>
    <row r="56" spans="2:11" s="305" customFormat="1">
      <c r="C56" s="308" t="s">
        <v>523</v>
      </c>
      <c r="E56" s="309"/>
      <c r="G56" s="308" t="s">
        <v>524</v>
      </c>
    </row>
    <row r="57" spans="2:11" s="305" customFormat="1"/>
    <row r="58" spans="2:11" s="305" customFormat="1">
      <c r="B58" s="312" t="s">
        <v>566</v>
      </c>
    </row>
    <row r="59" spans="2:11" s="305" customFormat="1">
      <c r="C59" s="305" t="s">
        <v>573</v>
      </c>
      <c r="E59" s="305" t="s">
        <v>522</v>
      </c>
      <c r="F59" s="310" t="s">
        <v>574</v>
      </c>
      <c r="G59" s="310" t="s">
        <v>575</v>
      </c>
      <c r="H59" s="305" t="s">
        <v>576</v>
      </c>
      <c r="I59" s="305" t="s">
        <v>577</v>
      </c>
      <c r="J59" s="305" t="s">
        <v>1488</v>
      </c>
      <c r="K59" s="305" t="s">
        <v>1551</v>
      </c>
    </row>
    <row r="60" spans="2:11" s="305" customFormat="1">
      <c r="B60" s="305">
        <v>1</v>
      </c>
      <c r="C60" s="313" t="s">
        <v>2644</v>
      </c>
      <c r="D60" s="322"/>
      <c r="E60" s="313" t="b">
        <v>1</v>
      </c>
      <c r="F60" s="317">
        <f>CHOOSE(xxRound,xxDashOpEffProd1_R1,xxDashOpEffProd1_R2)</f>
        <v>60</v>
      </c>
      <c r="G60" s="318" t="str">
        <f>TEXT(F60,"0.0;-0.0;-")</f>
        <v>60.0</v>
      </c>
      <c r="H60" s="314"/>
      <c r="I60" s="315"/>
      <c r="J60" s="305">
        <f>INDEX(calcESATProd1R1,,xxIndexTeam)</f>
        <v>60</v>
      </c>
      <c r="K60" s="305">
        <f>INDEX(calcESATProd1R2,,xxIndexTeam)</f>
        <v>60</v>
      </c>
    </row>
    <row r="61" spans="2:11" s="305" customFormat="1">
      <c r="B61" s="305">
        <v>2</v>
      </c>
      <c r="C61" s="316" t="s">
        <v>557</v>
      </c>
      <c r="D61" s="322"/>
      <c r="E61" s="316" t="b">
        <v>1</v>
      </c>
      <c r="F61" s="317">
        <f>CHOOSE(xxRound,xxDashESATProd1_R1,xxDashESATProd1_R2)</f>
        <v>60</v>
      </c>
      <c r="G61" s="318" t="str">
        <f>TEXT(F61,"0.0;-0.0;-")</f>
        <v>60.0</v>
      </c>
      <c r="H61" s="317"/>
      <c r="I61" s="318"/>
      <c r="J61" s="305">
        <f>INDEX(calcOpEffProd1R1,,xxIndexTeam)</f>
        <v>60</v>
      </c>
      <c r="K61" s="305">
        <f>INDEX(calcOpEffProd1R2,,xxIndexTeam)</f>
        <v>60</v>
      </c>
    </row>
    <row r="62" spans="2:11" s="305" customFormat="1">
      <c r="B62" s="305">
        <v>3</v>
      </c>
      <c r="C62" s="316"/>
      <c r="D62" s="322"/>
      <c r="E62" s="316" t="b">
        <v>1</v>
      </c>
      <c r="F62" s="317"/>
      <c r="G62" s="318"/>
      <c r="H62" s="317"/>
      <c r="I62" s="318"/>
    </row>
    <row r="63" spans="2:11" s="305" customFormat="1">
      <c r="B63" s="305">
        <v>4</v>
      </c>
      <c r="C63" s="316"/>
      <c r="D63" s="322"/>
      <c r="E63" s="316" t="b">
        <v>1</v>
      </c>
      <c r="F63" s="317"/>
      <c r="G63" s="318"/>
      <c r="H63" s="317"/>
      <c r="I63" s="318"/>
    </row>
    <row r="64" spans="2:11" s="305" customFormat="1">
      <c r="B64" s="305">
        <v>5</v>
      </c>
      <c r="C64" s="316"/>
      <c r="D64" s="322"/>
      <c r="E64" s="316" t="b">
        <v>1</v>
      </c>
      <c r="F64" s="317"/>
      <c r="G64" s="318"/>
      <c r="H64" s="317"/>
      <c r="I64" s="318"/>
    </row>
    <row r="65" spans="2:9" s="305" customFormat="1">
      <c r="B65" s="305">
        <v>6</v>
      </c>
      <c r="C65" s="316"/>
      <c r="D65" s="322"/>
      <c r="E65" s="316" t="b">
        <v>1</v>
      </c>
      <c r="F65" s="317"/>
      <c r="G65" s="318"/>
      <c r="H65" s="317"/>
      <c r="I65" s="318"/>
    </row>
    <row r="66" spans="2:9" s="305" customFormat="1">
      <c r="B66" s="305">
        <v>7</v>
      </c>
      <c r="C66" s="316"/>
      <c r="D66" s="322"/>
      <c r="E66" s="316" t="b">
        <v>1</v>
      </c>
      <c r="F66" s="317"/>
      <c r="G66" s="318"/>
      <c r="H66" s="317"/>
      <c r="I66" s="318"/>
    </row>
    <row r="67" spans="2:9" s="305" customFormat="1">
      <c r="B67" s="305">
        <v>8</v>
      </c>
      <c r="C67" s="316"/>
      <c r="D67" s="322"/>
      <c r="E67" s="316" t="b">
        <v>1</v>
      </c>
      <c r="F67" s="317"/>
      <c r="G67" s="318"/>
      <c r="H67" s="317"/>
      <c r="I67" s="318"/>
    </row>
    <row r="68" spans="2:9" s="305" customFormat="1">
      <c r="B68" s="305">
        <v>9</v>
      </c>
      <c r="C68" s="316"/>
      <c r="D68" s="322"/>
      <c r="E68" s="316" t="b">
        <v>1</v>
      </c>
      <c r="F68" s="317"/>
      <c r="G68" s="318"/>
      <c r="H68" s="317"/>
      <c r="I68" s="318"/>
    </row>
    <row r="69" spans="2:9" s="305" customFormat="1">
      <c r="B69" s="305">
        <v>10</v>
      </c>
      <c r="C69" s="319"/>
      <c r="D69" s="322"/>
      <c r="E69" s="319" t="b">
        <v>1</v>
      </c>
      <c r="F69" s="320"/>
      <c r="G69" s="321"/>
      <c r="H69" s="320"/>
      <c r="I69" s="321"/>
    </row>
    <row r="70" spans="2:9" s="305" customFormat="1">
      <c r="C70" s="308" t="s">
        <v>525</v>
      </c>
      <c r="E70" s="309"/>
      <c r="G70" s="308" t="s">
        <v>526</v>
      </c>
    </row>
    <row r="71" spans="2:9" s="305" customFormat="1"/>
    <row r="72" spans="2:9" s="305" customFormat="1">
      <c r="B72" s="312" t="s">
        <v>567</v>
      </c>
    </row>
    <row r="73" spans="2:9" s="305" customFormat="1">
      <c r="C73" s="305" t="s">
        <v>573</v>
      </c>
      <c r="E73" s="305" t="s">
        <v>522</v>
      </c>
      <c r="F73" s="310" t="s">
        <v>574</v>
      </c>
      <c r="G73" s="310" t="s">
        <v>575</v>
      </c>
      <c r="H73" s="305" t="s">
        <v>576</v>
      </c>
      <c r="I73" s="305" t="s">
        <v>577</v>
      </c>
    </row>
    <row r="74" spans="2:9" s="305" customFormat="1">
      <c r="B74" s="305">
        <v>1</v>
      </c>
      <c r="C74" s="313" t="s">
        <v>2422</v>
      </c>
      <c r="D74" s="322"/>
      <c r="E74" s="316" t="b">
        <v>1</v>
      </c>
      <c r="F74" s="317">
        <f>INDEX(calcProd1FTEsLeftR1,,xxIndexTeam)</f>
        <v>150</v>
      </c>
      <c r="G74" s="318">
        <f>F74</f>
        <v>150</v>
      </c>
      <c r="H74" s="314"/>
      <c r="I74" s="315"/>
    </row>
    <row r="75" spans="2:9" s="305" customFormat="1">
      <c r="B75" s="305">
        <v>2</v>
      </c>
      <c r="C75" s="316" t="s">
        <v>3175</v>
      </c>
      <c r="D75" s="322"/>
      <c r="E75" s="316" t="b">
        <v>1</v>
      </c>
      <c r="F75" s="562">
        <f>1-(tlInputProd1Seg1SamplesPerc_R1+tlInputProd1Seg2SamplesPerc_R1+tlInputProd1Seg3SamplesPerc_R1)</f>
        <v>1.0000000000000009E-2</v>
      </c>
      <c r="G75" s="318" t="str">
        <f>TEXT(F75,"0%;-0%")</f>
        <v>1%</v>
      </c>
      <c r="H75" s="317"/>
      <c r="I75" s="318"/>
    </row>
    <row r="76" spans="2:9" s="305" customFormat="1">
      <c r="B76" s="305">
        <v>3</v>
      </c>
      <c r="C76" s="316" t="s">
        <v>3185</v>
      </c>
      <c r="D76" s="322"/>
      <c r="E76" s="316" t="b">
        <v>1</v>
      </c>
      <c r="F76" s="562">
        <f>1-(tlInputProd1Seg1PromotionAllocation_R1+tlInputProd1Seg2PromotionAllocation_R1+tlInputProd1Seg3PromotionAllocation_R1)</f>
        <v>1.0000000000000009E-2</v>
      </c>
      <c r="G76" s="318" t="str">
        <f>TEXT(F76,"0%;-0%")</f>
        <v>1%</v>
      </c>
      <c r="H76" s="317"/>
      <c r="I76" s="318"/>
    </row>
    <row r="77" spans="2:9" s="305" customFormat="1">
      <c r="B77" s="305">
        <v>4</v>
      </c>
      <c r="C77" s="316"/>
      <c r="D77" s="322"/>
      <c r="E77" s="316" t="b">
        <v>1</v>
      </c>
      <c r="F77" s="317"/>
      <c r="G77" s="318"/>
      <c r="H77" s="317"/>
      <c r="I77" s="318"/>
    </row>
    <row r="78" spans="2:9" s="305" customFormat="1">
      <c r="B78" s="305">
        <v>5</v>
      </c>
      <c r="C78" s="316"/>
      <c r="D78" s="322"/>
      <c r="E78" s="316" t="b">
        <v>1</v>
      </c>
      <c r="F78" s="317"/>
      <c r="G78" s="318"/>
      <c r="H78" s="317"/>
      <c r="I78" s="318"/>
    </row>
    <row r="79" spans="2:9" s="305" customFormat="1">
      <c r="B79" s="305">
        <v>6</v>
      </c>
      <c r="C79" s="316"/>
      <c r="D79" s="322"/>
      <c r="E79" s="316" t="b">
        <v>1</v>
      </c>
      <c r="F79" s="317"/>
      <c r="G79" s="318"/>
      <c r="H79" s="317"/>
      <c r="I79" s="318"/>
    </row>
    <row r="80" spans="2:9" s="305" customFormat="1">
      <c r="B80" s="305">
        <v>7</v>
      </c>
      <c r="C80" s="316"/>
      <c r="D80" s="322"/>
      <c r="E80" s="316" t="b">
        <v>1</v>
      </c>
      <c r="F80" s="317"/>
      <c r="G80" s="318"/>
      <c r="H80" s="317"/>
      <c r="I80" s="318"/>
    </row>
    <row r="81" spans="2:9" s="305" customFormat="1">
      <c r="B81" s="305">
        <v>8</v>
      </c>
      <c r="C81" s="316"/>
      <c r="D81" s="322"/>
      <c r="E81" s="316" t="b">
        <v>1</v>
      </c>
      <c r="F81" s="317"/>
      <c r="G81" s="318"/>
      <c r="H81" s="317"/>
      <c r="I81" s="318"/>
    </row>
    <row r="82" spans="2:9" s="305" customFormat="1">
      <c r="B82" s="305">
        <v>9</v>
      </c>
      <c r="C82" s="316"/>
      <c r="D82" s="322"/>
      <c r="E82" s="316" t="b">
        <v>1</v>
      </c>
      <c r="F82" s="317"/>
      <c r="G82" s="318"/>
      <c r="H82" s="317"/>
      <c r="I82" s="318"/>
    </row>
    <row r="83" spans="2:9" s="305" customFormat="1">
      <c r="B83" s="305">
        <v>10</v>
      </c>
      <c r="C83" s="319"/>
      <c r="D83" s="322"/>
      <c r="E83" s="319" t="b">
        <v>1</v>
      </c>
      <c r="F83" s="320"/>
      <c r="G83" s="321"/>
      <c r="H83" s="320"/>
      <c r="I83" s="321"/>
    </row>
    <row r="84" spans="2:9" s="305" customFormat="1">
      <c r="C84" s="308" t="s">
        <v>527</v>
      </c>
      <c r="E84" s="309"/>
      <c r="G84" s="308" t="s">
        <v>528</v>
      </c>
    </row>
    <row r="85" spans="2:9" s="305" customFormat="1"/>
    <row r="86" spans="2:9" s="305" customFormat="1">
      <c r="B86" s="312" t="s">
        <v>568</v>
      </c>
    </row>
    <row r="87" spans="2:9" s="305" customFormat="1">
      <c r="C87" s="305" t="s">
        <v>573</v>
      </c>
      <c r="E87" s="305" t="s">
        <v>522</v>
      </c>
      <c r="F87" s="310" t="s">
        <v>574</v>
      </c>
      <c r="G87" s="310" t="s">
        <v>575</v>
      </c>
      <c r="H87" s="305" t="s">
        <v>576</v>
      </c>
      <c r="I87" s="305" t="s">
        <v>577</v>
      </c>
    </row>
    <row r="88" spans="2:9" s="305" customFormat="1">
      <c r="B88" s="305">
        <v>1</v>
      </c>
      <c r="C88" s="313" t="s">
        <v>2422</v>
      </c>
      <c r="D88" s="322"/>
      <c r="E88" s="313" t="b">
        <v>1</v>
      </c>
      <c r="F88" s="317">
        <f>INDEX(calcProd1FTEsLeftR2,,xxIndexTeam)</f>
        <v>150</v>
      </c>
      <c r="G88" s="318">
        <f>F88</f>
        <v>150</v>
      </c>
      <c r="H88" s="314"/>
      <c r="I88" s="315"/>
    </row>
    <row r="89" spans="2:9" s="305" customFormat="1">
      <c r="B89" s="305">
        <v>2</v>
      </c>
      <c r="C89" s="316" t="s">
        <v>3175</v>
      </c>
      <c r="D89" s="322"/>
      <c r="E89" s="316" t="b">
        <v>1</v>
      </c>
      <c r="F89" s="562">
        <f>1-(tlInputProd1Seg1SamplesPerc_R2+tlInputProd1Seg2SamplesPerc_R2+tlInputProd1Seg3SamplesPerc_R2)</f>
        <v>1.0000000000000009E-2</v>
      </c>
      <c r="G89" s="318" t="str">
        <f>TEXT(F89,"0%;-0%")</f>
        <v>1%</v>
      </c>
      <c r="H89" s="317"/>
      <c r="I89" s="318"/>
    </row>
    <row r="90" spans="2:9" s="305" customFormat="1">
      <c r="B90" s="305">
        <v>3</v>
      </c>
      <c r="C90" s="316" t="s">
        <v>3185</v>
      </c>
      <c r="D90" s="322"/>
      <c r="E90" s="316" t="b">
        <v>1</v>
      </c>
      <c r="F90" s="562">
        <f>1-(tlInputProd1Seg1PromotionAllocation_R2+tlInputProd1Seg2PromotionAllocation_R2+tlInputProd1Seg3PromotionAllocation_R2)</f>
        <v>1.0000000000000009E-2</v>
      </c>
      <c r="G90" s="318" t="str">
        <f>TEXT(F90,"0%;-0%")</f>
        <v>1%</v>
      </c>
      <c r="H90" s="317"/>
      <c r="I90" s="318"/>
    </row>
    <row r="91" spans="2:9" s="305" customFormat="1">
      <c r="B91" s="305">
        <v>4</v>
      </c>
      <c r="C91" s="316"/>
      <c r="D91" s="322"/>
      <c r="E91" s="316" t="b">
        <v>1</v>
      </c>
      <c r="F91" s="317"/>
      <c r="G91" s="318"/>
      <c r="H91" s="317"/>
      <c r="I91" s="318"/>
    </row>
    <row r="92" spans="2:9" s="305" customFormat="1">
      <c r="B92" s="305">
        <v>5</v>
      </c>
      <c r="C92" s="316"/>
      <c r="D92" s="322"/>
      <c r="E92" s="316" t="b">
        <v>1</v>
      </c>
      <c r="F92" s="317"/>
      <c r="G92" s="318"/>
      <c r="H92" s="317"/>
      <c r="I92" s="318"/>
    </row>
    <row r="93" spans="2:9" s="305" customFormat="1">
      <c r="B93" s="305">
        <v>6</v>
      </c>
      <c r="C93" s="316"/>
      <c r="D93" s="322"/>
      <c r="E93" s="316" t="b">
        <v>1</v>
      </c>
      <c r="F93" s="317"/>
      <c r="G93" s="318"/>
      <c r="H93" s="317"/>
      <c r="I93" s="318"/>
    </row>
    <row r="94" spans="2:9" s="305" customFormat="1">
      <c r="B94" s="305">
        <v>7</v>
      </c>
      <c r="C94" s="316"/>
      <c r="D94" s="322"/>
      <c r="E94" s="316" t="b">
        <v>1</v>
      </c>
      <c r="F94" s="317"/>
      <c r="G94" s="318"/>
      <c r="H94" s="317"/>
      <c r="I94" s="318"/>
    </row>
    <row r="95" spans="2:9" s="305" customFormat="1">
      <c r="B95" s="305">
        <v>8</v>
      </c>
      <c r="C95" s="316"/>
      <c r="D95" s="322"/>
      <c r="E95" s="316" t="b">
        <v>1</v>
      </c>
      <c r="F95" s="317"/>
      <c r="G95" s="318"/>
      <c r="H95" s="317"/>
      <c r="I95" s="318"/>
    </row>
    <row r="96" spans="2:9" s="305" customFormat="1">
      <c r="B96" s="305">
        <v>9</v>
      </c>
      <c r="C96" s="316"/>
      <c r="D96" s="322"/>
      <c r="E96" s="316" t="b">
        <v>1</v>
      </c>
      <c r="F96" s="317"/>
      <c r="G96" s="318"/>
      <c r="H96" s="317"/>
      <c r="I96" s="318"/>
    </row>
    <row r="97" spans="2:11" s="305" customFormat="1">
      <c r="B97" s="305">
        <v>10</v>
      </c>
      <c r="C97" s="319"/>
      <c r="D97" s="322"/>
      <c r="E97" s="319" t="b">
        <v>1</v>
      </c>
      <c r="F97" s="320"/>
      <c r="G97" s="321"/>
      <c r="H97" s="320"/>
      <c r="I97" s="321"/>
    </row>
    <row r="98" spans="2:11" s="305" customFormat="1">
      <c r="C98" s="308" t="s">
        <v>529</v>
      </c>
      <c r="E98" s="309"/>
      <c r="G98" s="308" t="s">
        <v>530</v>
      </c>
    </row>
    <row r="99" spans="2:11" s="305" customFormat="1"/>
    <row r="100" spans="2:11" s="305" customFormat="1">
      <c r="B100" s="312" t="s">
        <v>569</v>
      </c>
    </row>
    <row r="101" spans="2:11" s="305" customFormat="1">
      <c r="C101" s="305" t="s">
        <v>573</v>
      </c>
      <c r="E101" s="305" t="s">
        <v>522</v>
      </c>
      <c r="F101" s="310" t="s">
        <v>574</v>
      </c>
      <c r="G101" s="310" t="s">
        <v>575</v>
      </c>
      <c r="H101" s="305" t="s">
        <v>576</v>
      </c>
      <c r="I101" s="305" t="s">
        <v>577</v>
      </c>
      <c r="J101" s="305" t="s">
        <v>2416</v>
      </c>
      <c r="K101" s="305" t="s">
        <v>1551</v>
      </c>
    </row>
    <row r="102" spans="2:11" s="305" customFormat="1">
      <c r="B102" s="305">
        <v>1</v>
      </c>
      <c r="C102" s="313" t="s">
        <v>549</v>
      </c>
      <c r="E102" s="313" t="b">
        <v>1</v>
      </c>
      <c r="F102" s="334">
        <f>CHOOSE(xxRound,xxDashReg1TotalShare_R1,xxDashReg1TotalShare_R2)</f>
        <v>3.3952291500203534E-3</v>
      </c>
      <c r="G102" s="318" t="str">
        <f>TEXT(F102,"0.00%;-0.00%;-")</f>
        <v>0.34%</v>
      </c>
      <c r="H102" s="314"/>
      <c r="I102" s="315"/>
      <c r="J102" s="555">
        <f>INDEX(calcReg1ShareTotalCustR1,,xxIndexTeam)</f>
        <v>3.3952291500203534E-3</v>
      </c>
      <c r="K102" s="555">
        <f>INDEX(cbalReg1TotalShare,,xxIndexTeam)</f>
        <v>3.262391527425332E-3</v>
      </c>
    </row>
    <row r="103" spans="2:11" s="305" customFormat="1">
      <c r="B103" s="305">
        <v>2</v>
      </c>
      <c r="C103" s="335" t="s">
        <v>550</v>
      </c>
      <c r="E103" s="316" t="b">
        <v>1</v>
      </c>
      <c r="F103" s="528">
        <f>CHOOSE(xxRound,xxDashReg1NewShare_R1,xxDashReg1NewShare_R2)</f>
        <v>3.6242772609749265E-3</v>
      </c>
      <c r="G103" s="318" t="str">
        <f>TEXT(F103,"0.00%;-0.00%;-")</f>
        <v>0.36%</v>
      </c>
      <c r="H103" s="317"/>
      <c r="I103" s="318"/>
      <c r="J103" s="555">
        <f>INDEX(calcReg1ShareNewCustR1,,xxIndexTeam)</f>
        <v>3.6242772609749265E-3</v>
      </c>
      <c r="K103" s="555">
        <f>INDEX(cbalReg1NewShare,,xxIndexTeam)</f>
        <v>3.4700729127190291E-3</v>
      </c>
    </row>
    <row r="104" spans="2:11" s="305" customFormat="1">
      <c r="B104" s="305">
        <v>3</v>
      </c>
      <c r="C104" s="316" t="s">
        <v>548</v>
      </c>
      <c r="E104" s="316" t="b">
        <v>1</v>
      </c>
      <c r="F104" s="314">
        <f>CHOOSE(xxRound,xxDashReg1TotalVolume_R1,xxDashReg1TotalVolume_R2)</f>
        <v>1218.6536309909438</v>
      </c>
      <c r="G104" s="318" t="str">
        <f>TEXT(F104,"0,000;-0,000;-")</f>
        <v>1,219</v>
      </c>
      <c r="H104" s="317"/>
      <c r="I104" s="318"/>
      <c r="J104" s="556">
        <f>INDEX(calcReg1VolumeTotalCustR1,,xxIndexTeam)</f>
        <v>1218.6536309909438</v>
      </c>
      <c r="K104" s="556">
        <f>INDEX(calcReg1VolumeTotalCustR2,,xxIndexTeam)</f>
        <v>1325.5488830829531</v>
      </c>
    </row>
    <row r="105" spans="2:11" s="305" customFormat="1">
      <c r="B105" s="305">
        <v>4</v>
      </c>
      <c r="C105" s="316"/>
      <c r="E105" s="316" t="b">
        <v>1</v>
      </c>
      <c r="F105" s="317"/>
      <c r="G105" s="318"/>
      <c r="H105" s="317"/>
      <c r="I105" s="318"/>
    </row>
    <row r="106" spans="2:11" s="305" customFormat="1">
      <c r="B106" s="305">
        <v>5</v>
      </c>
      <c r="C106" s="316"/>
      <c r="E106" s="316" t="b">
        <v>1</v>
      </c>
      <c r="F106" s="317"/>
      <c r="G106" s="318"/>
      <c r="H106" s="317"/>
      <c r="I106" s="318"/>
    </row>
    <row r="107" spans="2:11" s="305" customFormat="1">
      <c r="B107" s="305">
        <v>6</v>
      </c>
      <c r="C107" s="316"/>
      <c r="E107" s="316" t="b">
        <v>1</v>
      </c>
      <c r="F107" s="317"/>
      <c r="G107" s="318"/>
      <c r="H107" s="317"/>
      <c r="I107" s="318"/>
    </row>
    <row r="108" spans="2:11" s="305" customFormat="1">
      <c r="B108" s="305">
        <v>7</v>
      </c>
      <c r="C108" s="316"/>
      <c r="E108" s="316" t="b">
        <v>1</v>
      </c>
      <c r="F108" s="317"/>
      <c r="G108" s="318"/>
      <c r="H108" s="317"/>
      <c r="I108" s="318"/>
    </row>
    <row r="109" spans="2:11" s="305" customFormat="1">
      <c r="B109" s="305">
        <v>8</v>
      </c>
      <c r="C109" s="316"/>
      <c r="E109" s="316" t="b">
        <v>1</v>
      </c>
      <c r="F109" s="317"/>
      <c r="G109" s="318"/>
      <c r="H109" s="317"/>
      <c r="I109" s="318"/>
    </row>
    <row r="110" spans="2:11" s="305" customFormat="1">
      <c r="B110" s="305">
        <v>9</v>
      </c>
      <c r="C110" s="316"/>
      <c r="E110" s="316" t="b">
        <v>1</v>
      </c>
      <c r="F110" s="317"/>
      <c r="G110" s="318"/>
      <c r="H110" s="317"/>
      <c r="I110" s="318"/>
    </row>
    <row r="111" spans="2:11" s="305" customFormat="1">
      <c r="B111" s="305">
        <v>10</v>
      </c>
      <c r="C111" s="319"/>
      <c r="E111" s="319" t="b">
        <v>1</v>
      </c>
      <c r="F111" s="320"/>
      <c r="G111" s="321"/>
      <c r="H111" s="320"/>
      <c r="I111" s="321"/>
    </row>
    <row r="112" spans="2:11" s="305" customFormat="1">
      <c r="C112" s="308" t="s">
        <v>523</v>
      </c>
      <c r="E112" s="309"/>
      <c r="G112" s="308" t="s">
        <v>524</v>
      </c>
    </row>
    <row r="113" spans="2:11" s="305" customFormat="1">
      <c r="F113" s="572"/>
    </row>
    <row r="114" spans="2:11" s="305" customFormat="1">
      <c r="B114" s="312" t="s">
        <v>2435</v>
      </c>
    </row>
    <row r="115" spans="2:11" s="305" customFormat="1">
      <c r="C115" s="305" t="s">
        <v>573</v>
      </c>
      <c r="E115" s="305" t="s">
        <v>522</v>
      </c>
      <c r="F115" s="310" t="s">
        <v>574</v>
      </c>
      <c r="G115" s="310" t="s">
        <v>575</v>
      </c>
      <c r="H115" s="305" t="s">
        <v>576</v>
      </c>
      <c r="I115" s="305" t="s">
        <v>577</v>
      </c>
      <c r="J115" s="305" t="s">
        <v>1488</v>
      </c>
      <c r="K115" s="305" t="s">
        <v>1551</v>
      </c>
    </row>
    <row r="116" spans="2:11" s="305" customFormat="1">
      <c r="B116" s="305">
        <v>1</v>
      </c>
      <c r="C116" s="313" t="s">
        <v>2644</v>
      </c>
      <c r="D116" s="322"/>
      <c r="E116" s="313" t="b">
        <v>1</v>
      </c>
      <c r="F116" s="317">
        <f>CHOOSE(xxRound,xxDashOpEffReg1_R1,xxDashOpEffReg1_R2)</f>
        <v>60</v>
      </c>
      <c r="G116" s="318" t="str">
        <f>TEXT(F116,"0.0;-0.0;-")</f>
        <v>60.0</v>
      </c>
      <c r="H116" s="314"/>
      <c r="I116" s="315"/>
      <c r="J116" s="305">
        <f>INDEX(calcESATReg1R1,,xxIndexTeam)</f>
        <v>60</v>
      </c>
      <c r="K116" s="305">
        <f>INDEX(calcESATReg1R2,,xxIndexTeam)</f>
        <v>60</v>
      </c>
    </row>
    <row r="117" spans="2:11" s="305" customFormat="1">
      <c r="B117" s="305">
        <v>2</v>
      </c>
      <c r="C117" s="316" t="s">
        <v>557</v>
      </c>
      <c r="D117" s="322"/>
      <c r="E117" s="316" t="b">
        <v>1</v>
      </c>
      <c r="F117" s="317">
        <f>CHOOSE(xxRound,xxDashESATReg1_R1,xxDashESATReg1_R2)</f>
        <v>60</v>
      </c>
      <c r="G117" s="318" t="str">
        <f>TEXT(F117,"0.0;-0.0;-")</f>
        <v>60.0</v>
      </c>
      <c r="H117" s="317"/>
      <c r="I117" s="318"/>
      <c r="J117" s="305">
        <f>INDEX(calcOpEffReg1R1,,xxIndexTeam)</f>
        <v>60</v>
      </c>
      <c r="K117" s="305">
        <f>INDEX(calcOpEffReg1R2,,xxIndexTeam)</f>
        <v>60</v>
      </c>
    </row>
    <row r="118" spans="2:11" s="305" customFormat="1">
      <c r="B118" s="305">
        <v>3</v>
      </c>
      <c r="C118" s="316"/>
      <c r="D118" s="322"/>
      <c r="E118" s="316" t="b">
        <v>1</v>
      </c>
      <c r="F118" s="317"/>
      <c r="G118" s="318"/>
      <c r="H118" s="317"/>
      <c r="I118" s="318"/>
    </row>
    <row r="119" spans="2:11" s="305" customFormat="1">
      <c r="B119" s="305">
        <v>4</v>
      </c>
      <c r="C119" s="316"/>
      <c r="D119" s="322"/>
      <c r="E119" s="316" t="b">
        <v>1</v>
      </c>
      <c r="F119" s="317"/>
      <c r="G119" s="318"/>
      <c r="H119" s="317"/>
      <c r="I119" s="318"/>
    </row>
    <row r="120" spans="2:11" s="305" customFormat="1">
      <c r="B120" s="305">
        <v>5</v>
      </c>
      <c r="C120" s="316"/>
      <c r="D120" s="322"/>
      <c r="E120" s="316" t="b">
        <v>1</v>
      </c>
      <c r="F120" s="317"/>
      <c r="G120" s="318"/>
      <c r="H120" s="317"/>
      <c r="I120" s="318"/>
    </row>
    <row r="121" spans="2:11" s="305" customFormat="1">
      <c r="B121" s="305">
        <v>6</v>
      </c>
      <c r="C121" s="316"/>
      <c r="D121" s="322"/>
      <c r="E121" s="316" t="b">
        <v>1</v>
      </c>
      <c r="F121" s="317"/>
      <c r="G121" s="318"/>
      <c r="H121" s="317"/>
      <c r="I121" s="318"/>
    </row>
    <row r="122" spans="2:11" s="305" customFormat="1">
      <c r="B122" s="305">
        <v>7</v>
      </c>
      <c r="C122" s="316"/>
      <c r="D122" s="322"/>
      <c r="E122" s="316" t="b">
        <v>1</v>
      </c>
      <c r="F122" s="317"/>
      <c r="G122" s="318"/>
      <c r="H122" s="317"/>
      <c r="I122" s="318"/>
    </row>
    <row r="123" spans="2:11" s="305" customFormat="1">
      <c r="B123" s="305">
        <v>8</v>
      </c>
      <c r="C123" s="316"/>
      <c r="D123" s="322"/>
      <c r="E123" s="316" t="b">
        <v>1</v>
      </c>
      <c r="F123" s="317"/>
      <c r="G123" s="318"/>
      <c r="H123" s="317"/>
      <c r="I123" s="318"/>
    </row>
    <row r="124" spans="2:11" s="305" customFormat="1">
      <c r="B124" s="305">
        <v>9</v>
      </c>
      <c r="C124" s="316"/>
      <c r="D124" s="322"/>
      <c r="E124" s="316" t="b">
        <v>1</v>
      </c>
      <c r="F124" s="317"/>
      <c r="G124" s="318"/>
      <c r="H124" s="317"/>
      <c r="I124" s="318"/>
    </row>
    <row r="125" spans="2:11" s="305" customFormat="1">
      <c r="B125" s="305">
        <v>10</v>
      </c>
      <c r="C125" s="319"/>
      <c r="D125" s="322"/>
      <c r="E125" s="319" t="b">
        <v>1</v>
      </c>
      <c r="F125" s="320"/>
      <c r="G125" s="321"/>
      <c r="H125" s="320"/>
      <c r="I125" s="321"/>
    </row>
    <row r="126" spans="2:11" s="305" customFormat="1">
      <c r="C126" s="308" t="s">
        <v>525</v>
      </c>
      <c r="E126" s="309"/>
      <c r="G126" s="308" t="s">
        <v>526</v>
      </c>
    </row>
    <row r="127" spans="2:11" s="305" customFormat="1"/>
    <row r="128" spans="2:11" s="305" customFormat="1">
      <c r="B128" s="312" t="s">
        <v>2436</v>
      </c>
    </row>
    <row r="129" spans="2:9" s="305" customFormat="1">
      <c r="C129" s="305" t="s">
        <v>573</v>
      </c>
      <c r="E129" s="305" t="s">
        <v>522</v>
      </c>
      <c r="F129" s="310" t="s">
        <v>574</v>
      </c>
      <c r="G129" s="310" t="s">
        <v>575</v>
      </c>
      <c r="H129" s="305" t="s">
        <v>576</v>
      </c>
      <c r="I129" s="305" t="s">
        <v>577</v>
      </c>
    </row>
    <row r="130" spans="2:9" s="305" customFormat="1">
      <c r="B130" s="305">
        <v>1</v>
      </c>
      <c r="C130" s="313" t="s">
        <v>2422</v>
      </c>
      <c r="D130" s="322"/>
      <c r="E130" s="316" t="b">
        <v>1</v>
      </c>
      <c r="F130" s="317">
        <f>INDEX(calcReg1FTEsLeftR1,,xxIndexTeam)</f>
        <v>150</v>
      </c>
      <c r="G130" s="318">
        <f>F130</f>
        <v>150</v>
      </c>
      <c r="H130" s="314"/>
      <c r="I130" s="315"/>
    </row>
    <row r="131" spans="2:9" s="305" customFormat="1">
      <c r="B131" s="305">
        <v>2</v>
      </c>
      <c r="C131" s="316" t="s">
        <v>3175</v>
      </c>
      <c r="D131" s="322"/>
      <c r="E131" s="316" t="b">
        <v>1</v>
      </c>
      <c r="F131" s="562">
        <f>1-(tlInputReg1Seg1SamplesPerc_R1+tlInputReg1Seg2SamplesPerc_R1+tlInputReg1Seg3SamplesPerc_R1)</f>
        <v>1.0000000000000009E-2</v>
      </c>
      <c r="G131" s="318" t="str">
        <f>TEXT(F131,"0%;-0%")</f>
        <v>1%</v>
      </c>
      <c r="H131" s="317"/>
      <c r="I131" s="318"/>
    </row>
    <row r="132" spans="2:9" s="305" customFormat="1">
      <c r="B132" s="305">
        <v>3</v>
      </c>
      <c r="C132" s="316" t="s">
        <v>3185</v>
      </c>
      <c r="D132" s="322"/>
      <c r="E132" s="316" t="b">
        <v>1</v>
      </c>
      <c r="F132" s="562">
        <f>1-(tlInputReg1Seg1PromotionAllocation_R1+tlInputReg1Seg2PromotionAllocation_R1+tlInputReg1Seg3PromotionAllocation_R1)</f>
        <v>1.0000000000000009E-2</v>
      </c>
      <c r="G132" s="318" t="str">
        <f>TEXT(F132,"0%;-0%")</f>
        <v>1%</v>
      </c>
      <c r="H132" s="317"/>
      <c r="I132" s="318"/>
    </row>
    <row r="133" spans="2:9" s="305" customFormat="1">
      <c r="B133" s="305">
        <v>4</v>
      </c>
      <c r="C133" s="316"/>
      <c r="D133" s="322"/>
      <c r="E133" s="316" t="b">
        <v>1</v>
      </c>
      <c r="F133" s="317"/>
      <c r="G133" s="318"/>
      <c r="H133" s="317"/>
      <c r="I133" s="318"/>
    </row>
    <row r="134" spans="2:9" s="305" customFormat="1">
      <c r="B134" s="305">
        <v>5</v>
      </c>
      <c r="C134" s="316"/>
      <c r="D134" s="322"/>
      <c r="E134" s="316" t="b">
        <v>1</v>
      </c>
      <c r="F134" s="317"/>
      <c r="G134" s="318"/>
      <c r="H134" s="317"/>
      <c r="I134" s="318"/>
    </row>
    <row r="135" spans="2:9" s="305" customFormat="1">
      <c r="B135" s="305">
        <v>6</v>
      </c>
      <c r="C135" s="316"/>
      <c r="D135" s="322"/>
      <c r="E135" s="316" t="b">
        <v>1</v>
      </c>
      <c r="F135" s="317"/>
      <c r="G135" s="318"/>
      <c r="H135" s="317"/>
      <c r="I135" s="318"/>
    </row>
    <row r="136" spans="2:9" s="305" customFormat="1">
      <c r="B136" s="305">
        <v>7</v>
      </c>
      <c r="C136" s="316"/>
      <c r="D136" s="322"/>
      <c r="E136" s="316" t="b">
        <v>1</v>
      </c>
      <c r="F136" s="317"/>
      <c r="G136" s="318"/>
      <c r="H136" s="317"/>
      <c r="I136" s="318"/>
    </row>
    <row r="137" spans="2:9" s="305" customFormat="1">
      <c r="B137" s="305">
        <v>8</v>
      </c>
      <c r="C137" s="316"/>
      <c r="D137" s="322"/>
      <c r="E137" s="316" t="b">
        <v>1</v>
      </c>
      <c r="F137" s="317"/>
      <c r="G137" s="318"/>
      <c r="H137" s="317"/>
      <c r="I137" s="318"/>
    </row>
    <row r="138" spans="2:9" s="305" customFormat="1">
      <c r="B138" s="305">
        <v>9</v>
      </c>
      <c r="C138" s="316"/>
      <c r="D138" s="322"/>
      <c r="E138" s="316" t="b">
        <v>1</v>
      </c>
      <c r="F138" s="317"/>
      <c r="G138" s="318"/>
      <c r="H138" s="317"/>
      <c r="I138" s="318"/>
    </row>
    <row r="139" spans="2:9" s="305" customFormat="1">
      <c r="B139" s="305">
        <v>10</v>
      </c>
      <c r="C139" s="319"/>
      <c r="D139" s="322"/>
      <c r="E139" s="319" t="b">
        <v>1</v>
      </c>
      <c r="F139" s="320"/>
      <c r="G139" s="321"/>
      <c r="H139" s="320"/>
      <c r="I139" s="321"/>
    </row>
    <row r="140" spans="2:9" s="305" customFormat="1">
      <c r="C140" s="308" t="s">
        <v>3176</v>
      </c>
      <c r="E140" s="309"/>
      <c r="G140" s="308" t="s">
        <v>3177</v>
      </c>
    </row>
    <row r="141" spans="2:9" s="305" customFormat="1"/>
    <row r="142" spans="2:9" s="305" customFormat="1">
      <c r="B142" s="312" t="s">
        <v>2432</v>
      </c>
    </row>
    <row r="143" spans="2:9" s="305" customFormat="1">
      <c r="C143" s="305" t="s">
        <v>573</v>
      </c>
      <c r="E143" s="305" t="s">
        <v>522</v>
      </c>
      <c r="F143" s="310" t="s">
        <v>574</v>
      </c>
      <c r="G143" s="310" t="s">
        <v>575</v>
      </c>
      <c r="H143" s="305" t="s">
        <v>576</v>
      </c>
      <c r="I143" s="305" t="s">
        <v>577</v>
      </c>
    </row>
    <row r="144" spans="2:9" s="305" customFormat="1">
      <c r="B144" s="305">
        <v>1</v>
      </c>
      <c r="C144" s="313" t="s">
        <v>2422</v>
      </c>
      <c r="D144" s="322"/>
      <c r="E144" s="313" t="b">
        <v>1</v>
      </c>
      <c r="F144" s="317">
        <f>INDEX(calcReg1FTEsLeftR2,,xxIndexTeam)</f>
        <v>150</v>
      </c>
      <c r="G144" s="318">
        <f>F144</f>
        <v>150</v>
      </c>
      <c r="H144" s="314"/>
      <c r="I144" s="315"/>
    </row>
    <row r="145" spans="1:9" s="305" customFormat="1">
      <c r="B145" s="305">
        <v>2</v>
      </c>
      <c r="C145" s="316" t="s">
        <v>3175</v>
      </c>
      <c r="D145" s="322"/>
      <c r="E145" s="316" t="b">
        <v>1</v>
      </c>
      <c r="F145" s="562">
        <f>1-(tlInputReg1Seg1SamplesPerc_R2+tlInputReg1Seg2SamplesPerc_R2+tlInputReg1Seg3SamplesPerc_R2)</f>
        <v>1.0000000000000009E-2</v>
      </c>
      <c r="G145" s="318" t="str">
        <f>TEXT(F145,"0%;-0%")</f>
        <v>1%</v>
      </c>
      <c r="H145" s="317"/>
      <c r="I145" s="318"/>
    </row>
    <row r="146" spans="1:9" s="305" customFormat="1">
      <c r="B146" s="305">
        <v>3</v>
      </c>
      <c r="C146" s="316" t="s">
        <v>3185</v>
      </c>
      <c r="D146" s="322"/>
      <c r="E146" s="316" t="b">
        <v>1</v>
      </c>
      <c r="F146" s="562">
        <f>1-(tlInputReg1Seg1PromotionAllocation_R2+tlInputReg1Seg2PromotionAllocation_R2+tlInputReg1Seg3PromotionAllocation_R2)</f>
        <v>1.0000000000000009E-2</v>
      </c>
      <c r="G146" s="318" t="str">
        <f>TEXT(F146,"0%;-0%")</f>
        <v>1%</v>
      </c>
      <c r="H146" s="317"/>
      <c r="I146" s="318"/>
    </row>
    <row r="147" spans="1:9" s="305" customFormat="1">
      <c r="B147" s="305">
        <v>4</v>
      </c>
      <c r="C147" s="316"/>
      <c r="D147" s="322"/>
      <c r="E147" s="316" t="b">
        <v>1</v>
      </c>
      <c r="F147" s="317"/>
      <c r="G147" s="318"/>
      <c r="H147" s="317"/>
      <c r="I147" s="318"/>
    </row>
    <row r="148" spans="1:9" s="305" customFormat="1">
      <c r="B148" s="305">
        <v>5</v>
      </c>
      <c r="C148" s="316"/>
      <c r="D148" s="322"/>
      <c r="E148" s="316" t="b">
        <v>1</v>
      </c>
      <c r="F148" s="317"/>
      <c r="G148" s="318"/>
      <c r="H148" s="317"/>
      <c r="I148" s="318"/>
    </row>
    <row r="149" spans="1:9" s="305" customFormat="1">
      <c r="B149" s="305">
        <v>6</v>
      </c>
      <c r="C149" s="316"/>
      <c r="D149" s="322"/>
      <c r="E149" s="316" t="b">
        <v>1</v>
      </c>
      <c r="F149" s="317"/>
      <c r="G149" s="318"/>
      <c r="H149" s="317"/>
      <c r="I149" s="318"/>
    </row>
    <row r="150" spans="1:9" s="305" customFormat="1">
      <c r="B150" s="305">
        <v>7</v>
      </c>
      <c r="C150" s="316"/>
      <c r="D150" s="322"/>
      <c r="E150" s="316" t="b">
        <v>1</v>
      </c>
      <c r="F150" s="317"/>
      <c r="G150" s="318"/>
      <c r="H150" s="317"/>
      <c r="I150" s="318"/>
    </row>
    <row r="151" spans="1:9" s="305" customFormat="1">
      <c r="B151" s="305">
        <v>8</v>
      </c>
      <c r="C151" s="316"/>
      <c r="D151" s="322"/>
      <c r="E151" s="316" t="b">
        <v>1</v>
      </c>
      <c r="F151" s="317"/>
      <c r="G151" s="318"/>
      <c r="H151" s="317"/>
      <c r="I151" s="318"/>
    </row>
    <row r="152" spans="1:9" s="305" customFormat="1">
      <c r="B152" s="305">
        <v>9</v>
      </c>
      <c r="C152" s="316"/>
      <c r="D152" s="322"/>
      <c r="E152" s="316" t="b">
        <v>1</v>
      </c>
      <c r="F152" s="317"/>
      <c r="G152" s="318"/>
      <c r="H152" s="317"/>
      <c r="I152" s="318"/>
    </row>
    <row r="153" spans="1:9" s="305" customFormat="1">
      <c r="B153" s="305">
        <v>10</v>
      </c>
      <c r="C153" s="319"/>
      <c r="D153" s="322"/>
      <c r="E153" s="319" t="b">
        <v>1</v>
      </c>
      <c r="F153" s="320"/>
      <c r="G153" s="321"/>
      <c r="H153" s="320"/>
      <c r="I153" s="321"/>
    </row>
    <row r="154" spans="1:9" s="305" customFormat="1">
      <c r="C154" s="308" t="s">
        <v>2433</v>
      </c>
      <c r="E154" s="309"/>
      <c r="G154" s="308" t="s">
        <v>2434</v>
      </c>
    </row>
    <row r="155" spans="1:9" s="305" customFormat="1">
      <c r="C155" s="308"/>
      <c r="E155" s="309"/>
      <c r="G155" s="308"/>
    </row>
    <row r="156" spans="1:9" s="305" customFormat="1">
      <c r="C156" s="308"/>
      <c r="E156" s="309"/>
      <c r="G156" s="308"/>
    </row>
    <row r="157" spans="1:9" s="305" customFormat="1">
      <c r="C157" s="308"/>
      <c r="E157" s="309"/>
      <c r="G157" s="308"/>
    </row>
    <row r="158" spans="1:9" s="305" customFormat="1">
      <c r="C158" s="308"/>
      <c r="E158" s="309"/>
      <c r="G158" s="308"/>
    </row>
    <row r="159" spans="1:9" s="304" customFormat="1">
      <c r="A159" s="303" t="s">
        <v>132</v>
      </c>
    </row>
    <row r="160" spans="1:9" s="305" customFormat="1"/>
    <row r="161" spans="3:6" s="305" customFormat="1">
      <c r="C161" s="305" t="s">
        <v>578</v>
      </c>
      <c r="E161" s="323" t="str">
        <f>REPT(CHAR(32),DB_WhiteSpaceLength)</f>
        <v xml:space="preserve">  </v>
      </c>
      <c r="F161" s="305" t="s">
        <v>531</v>
      </c>
    </row>
    <row r="162" spans="3:6" s="305" customFormat="1">
      <c r="C162" s="305" t="s">
        <v>579</v>
      </c>
      <c r="E162" s="323" t="str">
        <f>REPT(CHAR(32),DB_LargeWhiteSpaceLength)</f>
        <v xml:space="preserve">      </v>
      </c>
      <c r="F162" s="305" t="s">
        <v>532</v>
      </c>
    </row>
    <row r="163" spans="3:6" s="305" customFormat="1">
      <c r="C163" s="305" t="s">
        <v>580</v>
      </c>
      <c r="E163" s="323" t="str">
        <f>REPT(CHAR(32),DB_SubWhiteSpaceLength)</f>
        <v xml:space="preserve">  </v>
      </c>
      <c r="F163" s="305" t="s">
        <v>533</v>
      </c>
    </row>
    <row r="164" spans="3:6" s="305" customFormat="1"/>
    <row r="165" spans="3:6" s="305" customFormat="1"/>
    <row r="166" spans="3:6" s="305" customFormat="1">
      <c r="C166" s="305" t="s">
        <v>565</v>
      </c>
      <c r="E166" s="310" t="s">
        <v>534</v>
      </c>
      <c r="F166" s="310" t="s">
        <v>581</v>
      </c>
    </row>
    <row r="167" spans="3:6" s="305" customFormat="1">
      <c r="E167" s="324" t="str">
        <f>IF(COUNTBLANK(F46:I46)&gt;=4,"",INDEX(DB_ArrayDash1Names,$B46)&amp;DB_WhiteSpace&amp;INDEX(DB_ArrayDash1Values,$B46)&amp;IF(H46="","",SubWhiteSpace&amp;I46)&amp;" ")</f>
        <v xml:space="preserve">TRx Share  0.32% </v>
      </c>
      <c r="F167" s="325" t="str">
        <f t="shared" ref="F167:F176" si="0">IF(E46,E167,"")</f>
        <v xml:space="preserve">TRx Share  0.32% </v>
      </c>
    </row>
    <row r="168" spans="3:6" s="305" customFormat="1">
      <c r="E168" s="326" t="str">
        <f>IF(COUNTBLANK(F47:I47)&gt;=4,"",INDEX(DB_ArrayDash1Names,$B47)&amp;DB_WhiteSpace&amp;INDEX(DB_ArrayDash1Values,$B47)&amp;IF(H47="","",SubWhiteSpace&amp;I47)&amp;" ")</f>
        <v xml:space="preserve">NRx Share  0.33% </v>
      </c>
      <c r="F168" s="327" t="str">
        <f t="shared" si="0"/>
        <v xml:space="preserve">NRx Share  0.33% </v>
      </c>
    </row>
    <row r="169" spans="3:6" s="305" customFormat="1">
      <c r="E169" s="326" t="str">
        <f>IF(COUNTBLANK(F48:I48)&gt;=4,"",INDEX(DB_ArrayDash1Names,$B48)&amp;DB_WhiteSpace&amp;INDEX(DB_ArrayDash1Values,$B48)&amp;IF(H48="","",SubWhiteSpace&amp;I48)&amp;" ")</f>
        <v xml:space="preserve">TRx Volume  383 </v>
      </c>
      <c r="F169" s="327" t="str">
        <f t="shared" si="0"/>
        <v xml:space="preserve">TRx Volume  383 </v>
      </c>
    </row>
    <row r="170" spans="3:6" s="305" customFormat="1">
      <c r="E170" s="326" t="str">
        <f>IF(COUNTBLANK(F49:I49)&gt;=4,"",INDEX(DB_ArrayDash1Names,$B49)&amp;DB_WhiteSpace&amp;INDEX(DB_ArrayDash1Values,$B49)&amp;IF(H49="","",SubWhiteSpace&amp;I49)&amp;" ")</f>
        <v/>
      </c>
      <c r="F170" s="327" t="str">
        <f t="shared" si="0"/>
        <v/>
      </c>
    </row>
    <row r="171" spans="3:6" s="305" customFormat="1">
      <c r="E171" s="326" t="str">
        <f>IF(COUNTBLANK(F50:I50)&gt;=4,"",INDEX(DB_ArrayDash1Names,$B50)&amp;DB_WhiteSpace&amp;INDEX(DB_ArrayDash1Values,$B50)&amp;IF(H50="","",SubWhiteSpace&amp;I50)&amp;" ")</f>
        <v/>
      </c>
      <c r="F171" s="327" t="str">
        <f t="shared" si="0"/>
        <v/>
      </c>
    </row>
    <row r="172" spans="3:6" s="305" customFormat="1">
      <c r="E172" s="326" t="str">
        <f>IF(COUNTBLANK(F51:I51)&gt;=4,"",INDEX(DB_ArrayDash1Names,$B51)&amp;DB_WhiteSpace&amp;INDEX(DB_ArrayDash1Values,$B51)&amp;IF(H51="","",SubWhiteSpace&amp;I51)&amp;" ")</f>
        <v/>
      </c>
      <c r="F172" s="327" t="str">
        <f t="shared" si="0"/>
        <v/>
      </c>
    </row>
    <row r="173" spans="3:6" s="305" customFormat="1">
      <c r="E173" s="326" t="str">
        <f>IF(COUNTBLANK(F52:I52)&gt;=4,"",INDEX(DB_ArrayDash1Names,$B52)&amp;DB_WhiteSpace&amp;INDEX(DB_ArrayDash1Values,$B52)&amp;IF(H52="","",SubWhiteSpace&amp;I52)&amp;" ")</f>
        <v/>
      </c>
      <c r="F173" s="327" t="str">
        <f t="shared" si="0"/>
        <v/>
      </c>
    </row>
    <row r="174" spans="3:6" s="305" customFormat="1">
      <c r="E174" s="326" t="str">
        <f>IF(COUNTBLANK(F53:I53)&gt;=4,"",INDEX(DB_ArrayDash1Names,$B53)&amp;DB_WhiteSpace&amp;INDEX(DB_ArrayDash1Values,$B53)&amp;IF(H53="","",SubWhiteSpace&amp;I53)&amp;" ")</f>
        <v/>
      </c>
      <c r="F174" s="327" t="str">
        <f t="shared" si="0"/>
        <v/>
      </c>
    </row>
    <row r="175" spans="3:6" s="305" customFormat="1">
      <c r="E175" s="326" t="str">
        <f>IF(COUNTBLANK(F54:I54)&gt;=4,"",INDEX(DB_ArrayDash1Names,$B54)&amp;DB_WhiteSpace&amp;INDEX(DB_ArrayDash1Values,$B54)&amp;IF(H54="","",SubWhiteSpace&amp;I54)&amp;" ")</f>
        <v/>
      </c>
      <c r="F175" s="327" t="str">
        <f t="shared" si="0"/>
        <v/>
      </c>
    </row>
    <row r="176" spans="3:6" s="305" customFormat="1">
      <c r="E176" s="328" t="str">
        <f>IF(COUNTBLANK(F55:I55)&gt;=4,"",INDEX(DB_ArrayDash1Names,$B55)&amp;DB_WhiteSpace&amp;INDEX(DB_ArrayDash1Values,$B55)&amp;IF(H55="","",SubWhiteSpace&amp;I55)&amp;" ")</f>
        <v/>
      </c>
      <c r="F176" s="329" t="str">
        <f t="shared" si="0"/>
        <v/>
      </c>
    </row>
    <row r="177" spans="3:6" s="305" customFormat="1"/>
    <row r="178" spans="3:6" s="305" customFormat="1"/>
    <row r="179" spans="3:6" s="305" customFormat="1"/>
    <row r="180" spans="3:6" s="305" customFormat="1">
      <c r="C180" s="305" t="s">
        <v>566</v>
      </c>
      <c r="E180" s="310" t="s">
        <v>534</v>
      </c>
      <c r="F180" s="310" t="s">
        <v>581</v>
      </c>
    </row>
    <row r="181" spans="3:6" s="305" customFormat="1">
      <c r="E181" s="324" t="str">
        <f>IF(COUNTBLANK(F60:I60)&gt;=4,"",INDEX(DB_ArrayDash2Names,$B60)&amp;DB_WhiteSpace&amp;INDEX(DB_ArrayDash2Values,$B60)&amp;IF(H60="","",DB_SubWhiteSpace&amp;I60&amp;" ")&amp;" ")</f>
        <v xml:space="preserve">Market Execution  60.0 </v>
      </c>
      <c r="F181" s="325" t="str">
        <f t="shared" ref="F181:F190" si="1">IF(E60,E181,"")</f>
        <v xml:space="preserve">Market Execution  60.0 </v>
      </c>
    </row>
    <row r="182" spans="3:6" s="305" customFormat="1">
      <c r="E182" s="326" t="str">
        <f>IF(COUNTBLANK(F61:I61)&gt;=4,"",INDEX(DB_ArrayDash2Names,$B61)&amp;DB_WhiteSpace&amp;INDEX(DB_ArrayDash2Values,$B61)&amp;IF(H61="","",DB_SubWhiteSpace&amp;I61&amp;" ")&amp;" ")</f>
        <v xml:space="preserve">Employee Engagement  60.0 </v>
      </c>
      <c r="F182" s="327" t="str">
        <f t="shared" si="1"/>
        <v xml:space="preserve">Employee Engagement  60.0 </v>
      </c>
    </row>
    <row r="183" spans="3:6" s="305" customFormat="1">
      <c r="E183" s="326" t="str">
        <f t="shared" ref="E183:E190" si="2">IF(COUNTBLANK(F62:I62)&gt;=4,"",INDEX(DB_ArrayDash2Names,$B62)&amp;DB_WhiteSpace&amp;INDEX(DB_ArrayDash2Values,$B62)&amp;IF(H62="","",DB_SubWhiteSpace&amp;I62&amp;" "))</f>
        <v/>
      </c>
      <c r="F183" s="327" t="str">
        <f t="shared" si="1"/>
        <v/>
      </c>
    </row>
    <row r="184" spans="3:6" s="305" customFormat="1">
      <c r="E184" s="326" t="str">
        <f t="shared" si="2"/>
        <v/>
      </c>
      <c r="F184" s="327" t="str">
        <f t="shared" si="1"/>
        <v/>
      </c>
    </row>
    <row r="185" spans="3:6" s="305" customFormat="1">
      <c r="E185" s="326" t="str">
        <f t="shared" si="2"/>
        <v/>
      </c>
      <c r="F185" s="327" t="str">
        <f t="shared" si="1"/>
        <v/>
      </c>
    </row>
    <row r="186" spans="3:6" s="305" customFormat="1">
      <c r="E186" s="326" t="str">
        <f t="shared" si="2"/>
        <v/>
      </c>
      <c r="F186" s="327" t="str">
        <f t="shared" si="1"/>
        <v/>
      </c>
    </row>
    <row r="187" spans="3:6" s="305" customFormat="1">
      <c r="E187" s="326" t="str">
        <f t="shared" si="2"/>
        <v/>
      </c>
      <c r="F187" s="327" t="str">
        <f t="shared" si="1"/>
        <v/>
      </c>
    </row>
    <row r="188" spans="3:6" s="305" customFormat="1">
      <c r="E188" s="326" t="str">
        <f t="shared" si="2"/>
        <v/>
      </c>
      <c r="F188" s="327" t="str">
        <f t="shared" si="1"/>
        <v/>
      </c>
    </row>
    <row r="189" spans="3:6" s="305" customFormat="1">
      <c r="E189" s="326" t="str">
        <f t="shared" si="2"/>
        <v/>
      </c>
      <c r="F189" s="327" t="str">
        <f t="shared" si="1"/>
        <v/>
      </c>
    </row>
    <row r="190" spans="3:6" s="305" customFormat="1">
      <c r="E190" s="328" t="str">
        <f t="shared" si="2"/>
        <v/>
      </c>
      <c r="F190" s="329" t="str">
        <f t="shared" si="1"/>
        <v/>
      </c>
    </row>
    <row r="191" spans="3:6" s="305" customFormat="1"/>
    <row r="192" spans="3:6" s="305" customFormat="1"/>
    <row r="193" spans="3:6" s="305" customFormat="1"/>
    <row r="194" spans="3:6" s="305" customFormat="1">
      <c r="C194" s="305" t="s">
        <v>567</v>
      </c>
      <c r="E194" s="310" t="s">
        <v>534</v>
      </c>
      <c r="F194" s="310" t="s">
        <v>581</v>
      </c>
    </row>
    <row r="195" spans="3:6" s="305" customFormat="1">
      <c r="E195" s="324" t="str">
        <f>IF(COUNTBLANK(F74:I74)&gt;=4,"",INDEX(DB_ArrayDash3Names,$B74)&amp;DB_WhiteSpace&amp;INDEX(DB_ArrayDash3Values,$B74)&amp;IF(H74="","",DB_SubWhiteSpace&amp;I74&amp;" ")&amp;" ")</f>
        <v xml:space="preserve">MTUs Remaining  150 </v>
      </c>
      <c r="F195" s="325" t="str">
        <f t="shared" ref="F195:F204" si="3">IF(E74,E195,"")</f>
        <v xml:space="preserve">MTUs Remaining  150 </v>
      </c>
    </row>
    <row r="196" spans="3:6" s="305" customFormat="1">
      <c r="E196" s="326" t="str">
        <f>IF(COUNTBLANK(F75:I75)&gt;=4,"",INDEX(DB_ArrayDash3Names,$B75)&amp;DB_WhiteSpace&amp;INDEX(DB_ArrayDash3Values,$B75)&amp;IF(H75="","",DB_SubWhiteSpace&amp;I75&amp;" ")&amp;" ")</f>
        <v xml:space="preserve">Samples Remaining  1% </v>
      </c>
      <c r="F196" s="327" t="str">
        <f t="shared" si="3"/>
        <v xml:space="preserve">Samples Remaining  1% </v>
      </c>
    </row>
    <row r="197" spans="3:6" s="305" customFormat="1">
      <c r="E197" s="326" t="str">
        <f t="shared" ref="E197:E204" si="4">IF(COUNTBLANK(F76:I76)&gt;=4,"",INDEX(DB_ArrayDash3Names,$B76)&amp;DB_WhiteSpace&amp;INDEX(DB_ArrayDash3Values,$B76)&amp;IF(H76="","",DB_SubWhiteSpace&amp;I76&amp;" "))</f>
        <v>Promotional $ Remaining  1%</v>
      </c>
      <c r="F197" s="327" t="str">
        <f t="shared" si="3"/>
        <v>Promotional $ Remaining  1%</v>
      </c>
    </row>
    <row r="198" spans="3:6" s="305" customFormat="1">
      <c r="E198" s="326" t="str">
        <f t="shared" si="4"/>
        <v/>
      </c>
      <c r="F198" s="327" t="str">
        <f t="shared" si="3"/>
        <v/>
      </c>
    </row>
    <row r="199" spans="3:6" s="305" customFormat="1">
      <c r="E199" s="326" t="str">
        <f t="shared" si="4"/>
        <v/>
      </c>
      <c r="F199" s="327" t="str">
        <f t="shared" si="3"/>
        <v/>
      </c>
    </row>
    <row r="200" spans="3:6" s="305" customFormat="1">
      <c r="E200" s="326" t="str">
        <f t="shared" si="4"/>
        <v/>
      </c>
      <c r="F200" s="327" t="str">
        <f t="shared" si="3"/>
        <v/>
      </c>
    </row>
    <row r="201" spans="3:6" s="305" customFormat="1">
      <c r="E201" s="326" t="str">
        <f t="shared" si="4"/>
        <v/>
      </c>
      <c r="F201" s="327" t="str">
        <f t="shared" si="3"/>
        <v/>
      </c>
    </row>
    <row r="202" spans="3:6" s="305" customFormat="1">
      <c r="E202" s="326" t="str">
        <f t="shared" si="4"/>
        <v/>
      </c>
      <c r="F202" s="327" t="str">
        <f t="shared" si="3"/>
        <v/>
      </c>
    </row>
    <row r="203" spans="3:6" s="305" customFormat="1">
      <c r="E203" s="326" t="str">
        <f t="shared" si="4"/>
        <v/>
      </c>
      <c r="F203" s="327" t="str">
        <f t="shared" si="3"/>
        <v/>
      </c>
    </row>
    <row r="204" spans="3:6" s="305" customFormat="1">
      <c r="E204" s="328" t="str">
        <f t="shared" si="4"/>
        <v/>
      </c>
      <c r="F204" s="329" t="str">
        <f t="shared" si="3"/>
        <v/>
      </c>
    </row>
    <row r="205" spans="3:6" s="305" customFormat="1"/>
    <row r="206" spans="3:6" s="305" customFormat="1"/>
    <row r="207" spans="3:6" s="305" customFormat="1"/>
    <row r="208" spans="3:6" s="305" customFormat="1">
      <c r="C208" s="305" t="s">
        <v>568</v>
      </c>
      <c r="E208" s="310" t="s">
        <v>534</v>
      </c>
      <c r="F208" s="310" t="s">
        <v>581</v>
      </c>
    </row>
    <row r="209" spans="3:6" s="305" customFormat="1">
      <c r="E209" s="324" t="str">
        <f>IF(COUNTBLANK(F88:I88)&gt;=4,"",INDEX(DB_ArrayDash4Names,$B88)&amp;DB_WhiteSpace&amp;INDEX(DB_ArrayDash4Values,$B88)&amp;IF(H88="","",DB_SubWhiteSpace&amp;I88&amp;" ")&amp;" ")</f>
        <v xml:space="preserve">MTUs Remaining  150 </v>
      </c>
      <c r="F209" s="325" t="str">
        <f t="shared" ref="F209:F218" si="5">IF(E88,E209,"")</f>
        <v xml:space="preserve">MTUs Remaining  150 </v>
      </c>
    </row>
    <row r="210" spans="3:6" s="305" customFormat="1">
      <c r="E210" s="326" t="str">
        <f>IF(COUNTBLANK(F89:I89)&gt;=4,"",INDEX(DB_ArrayDash4Names,$B89)&amp;DB_WhiteSpace&amp;INDEX(DB_ArrayDash4Values,$B89)&amp;IF(H89="","",DB_SubWhiteSpace&amp;I89&amp;" ")&amp;" ")</f>
        <v xml:space="preserve">Samples Remaining  1% </v>
      </c>
      <c r="F210" s="327" t="str">
        <f t="shared" si="5"/>
        <v xml:space="preserve">Samples Remaining  1% </v>
      </c>
    </row>
    <row r="211" spans="3:6" s="305" customFormat="1">
      <c r="E211" s="326" t="str">
        <f t="shared" ref="E211:E218" si="6">IF(COUNTBLANK(F90:I90)&gt;=4,"",INDEX(DB_ArrayDash4Names,$B90)&amp;DB_WhiteSpace&amp;INDEX(DB_ArrayDash4Values,$B90)&amp;IF(H90="","",DB_SubWhiteSpace&amp;I90&amp;" "))</f>
        <v>Promotional $ Remaining  1%</v>
      </c>
      <c r="F211" s="327" t="str">
        <f t="shared" si="5"/>
        <v>Promotional $ Remaining  1%</v>
      </c>
    </row>
    <row r="212" spans="3:6" s="305" customFormat="1">
      <c r="E212" s="326" t="str">
        <f t="shared" si="6"/>
        <v/>
      </c>
      <c r="F212" s="327" t="str">
        <f t="shared" si="5"/>
        <v/>
      </c>
    </row>
    <row r="213" spans="3:6" s="305" customFormat="1">
      <c r="E213" s="326" t="str">
        <f t="shared" si="6"/>
        <v/>
      </c>
      <c r="F213" s="327" t="str">
        <f t="shared" si="5"/>
        <v/>
      </c>
    </row>
    <row r="214" spans="3:6" s="305" customFormat="1">
      <c r="E214" s="326" t="str">
        <f t="shared" si="6"/>
        <v/>
      </c>
      <c r="F214" s="327" t="str">
        <f t="shared" si="5"/>
        <v/>
      </c>
    </row>
    <row r="215" spans="3:6" s="305" customFormat="1">
      <c r="E215" s="326" t="str">
        <f t="shared" si="6"/>
        <v/>
      </c>
      <c r="F215" s="327" t="str">
        <f t="shared" si="5"/>
        <v/>
      </c>
    </row>
    <row r="216" spans="3:6" s="305" customFormat="1">
      <c r="E216" s="326" t="str">
        <f t="shared" si="6"/>
        <v/>
      </c>
      <c r="F216" s="327" t="str">
        <f t="shared" si="5"/>
        <v/>
      </c>
    </row>
    <row r="217" spans="3:6" s="305" customFormat="1">
      <c r="E217" s="326" t="str">
        <f t="shared" si="6"/>
        <v/>
      </c>
      <c r="F217" s="327" t="str">
        <f t="shared" si="5"/>
        <v/>
      </c>
    </row>
    <row r="218" spans="3:6" s="305" customFormat="1">
      <c r="E218" s="328" t="str">
        <f t="shared" si="6"/>
        <v/>
      </c>
      <c r="F218" s="329" t="str">
        <f t="shared" si="5"/>
        <v/>
      </c>
    </row>
    <row r="219" spans="3:6" s="305" customFormat="1"/>
    <row r="220" spans="3:6" s="305" customFormat="1"/>
    <row r="221" spans="3:6" s="305" customFormat="1"/>
    <row r="222" spans="3:6" s="305" customFormat="1">
      <c r="C222" s="305" t="s">
        <v>569</v>
      </c>
      <c r="E222" s="310" t="s">
        <v>534</v>
      </c>
      <c r="F222" s="310" t="s">
        <v>581</v>
      </c>
    </row>
    <row r="223" spans="3:6" s="305" customFormat="1">
      <c r="E223" s="324" t="str">
        <f>IF(COUNTBLANK(F102:I102)&gt;=4,"",INDEX(DB_ArrayDash5Names,$B102)&amp;DB_WhiteSpace&amp;INDEX(DB_ArrayDash5Values,$B102)&amp;IF(H102="","",DB_SubWhiteSpace&amp;I102&amp;" ")&amp;" ")</f>
        <v xml:space="preserve">TRx Share  0.34% </v>
      </c>
      <c r="F223" s="325" t="str">
        <f t="shared" ref="F223:F232" si="7">IF(E102,E223,"")</f>
        <v xml:space="preserve">TRx Share  0.34% </v>
      </c>
    </row>
    <row r="224" spans="3:6" s="305" customFormat="1">
      <c r="E224" s="326" t="str">
        <f>IF(COUNTBLANK(F103:I103)&gt;=4,"",INDEX(DB_ArrayDash5Names,$B103)&amp;DB_WhiteSpace&amp;INDEX(DB_ArrayDash5Values,$B103)&amp;IF(H103="","",DB_SubWhiteSpace&amp;I103&amp;" ")&amp;" ")</f>
        <v xml:space="preserve">NRx Share  0.36% </v>
      </c>
      <c r="F224" s="327" t="str">
        <f t="shared" si="7"/>
        <v xml:space="preserve">NRx Share  0.36% </v>
      </c>
    </row>
    <row r="225" spans="3:13" s="305" customFormat="1">
      <c r="E225" s="326" t="str">
        <f t="shared" ref="E225:E232" si="8">IF(COUNTBLANK(F104:I104)&gt;=4,"",INDEX(DB_ArrayDash5Names,$B104)&amp;DB_WhiteSpace&amp;INDEX(DB_ArrayDash5Values,$B104)&amp;IF(H104="","",DB_SubWhiteSpace&amp;I104&amp;" "))</f>
        <v>TRx Volume  1,219</v>
      </c>
      <c r="F225" s="327" t="str">
        <f t="shared" si="7"/>
        <v>TRx Volume  1,219</v>
      </c>
    </row>
    <row r="226" spans="3:13" s="305" customFormat="1">
      <c r="E226" s="326" t="str">
        <f t="shared" si="8"/>
        <v/>
      </c>
      <c r="F226" s="327" t="str">
        <f t="shared" si="7"/>
        <v/>
      </c>
    </row>
    <row r="227" spans="3:13" s="305" customFormat="1">
      <c r="E227" s="326" t="str">
        <f t="shared" si="8"/>
        <v/>
      </c>
      <c r="F227" s="327" t="str">
        <f t="shared" si="7"/>
        <v/>
      </c>
    </row>
    <row r="228" spans="3:13" s="305" customFormat="1">
      <c r="E228" s="326" t="str">
        <f t="shared" si="8"/>
        <v/>
      </c>
      <c r="F228" s="327" t="str">
        <f t="shared" si="7"/>
        <v/>
      </c>
    </row>
    <row r="229" spans="3:13" s="305" customFormat="1">
      <c r="E229" s="326" t="str">
        <f t="shared" si="8"/>
        <v/>
      </c>
      <c r="F229" s="327" t="str">
        <f t="shared" si="7"/>
        <v/>
      </c>
    </row>
    <row r="230" spans="3:13" s="305" customFormat="1">
      <c r="E230" s="326" t="str">
        <f t="shared" si="8"/>
        <v/>
      </c>
      <c r="F230" s="327" t="str">
        <f t="shared" si="7"/>
        <v/>
      </c>
    </row>
    <row r="231" spans="3:13" s="305" customFormat="1">
      <c r="E231" s="326" t="str">
        <f t="shared" si="8"/>
        <v/>
      </c>
      <c r="F231" s="327" t="str">
        <f t="shared" si="7"/>
        <v/>
      </c>
    </row>
    <row r="232" spans="3:13">
      <c r="E232" s="328" t="str">
        <f t="shared" si="8"/>
        <v/>
      </c>
      <c r="F232" s="329" t="str">
        <f t="shared" si="7"/>
        <v/>
      </c>
      <c r="G232" s="322"/>
      <c r="H232" s="322"/>
      <c r="I232" s="322"/>
      <c r="J232" s="322"/>
      <c r="K232" s="322"/>
      <c r="L232" s="322"/>
      <c r="M232" s="322"/>
    </row>
    <row r="236" spans="3:13" s="305" customFormat="1">
      <c r="C236" s="305" t="s">
        <v>2435</v>
      </c>
      <c r="E236" s="310" t="s">
        <v>534</v>
      </c>
      <c r="F236" s="310" t="s">
        <v>581</v>
      </c>
    </row>
    <row r="237" spans="3:13" s="305" customFormat="1">
      <c r="E237" s="324" t="str">
        <f>IF(COUNTBLANK(F116:I116)&gt;=4,"",INDEX(DB_ArrayDash6Names,$B116)&amp;DB_WhiteSpace&amp;INDEX(DB_ArrayDash6Values,$B116)&amp;IF(H116="","",DB_SubWhiteSpace&amp;I116&amp;" ")&amp;" ")</f>
        <v xml:space="preserve">Market Execution  60.0 </v>
      </c>
      <c r="F237" s="325" t="str">
        <f t="shared" ref="F237:F246" si="9">IF(E116,E237,"")</f>
        <v xml:space="preserve">Market Execution  60.0 </v>
      </c>
    </row>
    <row r="238" spans="3:13" s="305" customFormat="1">
      <c r="E238" s="326" t="str">
        <f>IF(COUNTBLANK(F117:I117)&gt;=4,"",INDEX(DB_ArrayDash6Names,$B117)&amp;DB_WhiteSpace&amp;INDEX(DB_ArrayDash6Values,$B117)&amp;IF(H117="","",DB_SubWhiteSpace&amp;I117&amp;" ")&amp;" ")</f>
        <v xml:space="preserve">Employee Engagement  60.0 </v>
      </c>
      <c r="F238" s="327" t="str">
        <f t="shared" si="9"/>
        <v xml:space="preserve">Employee Engagement  60.0 </v>
      </c>
    </row>
    <row r="239" spans="3:13" s="305" customFormat="1">
      <c r="E239" s="326" t="str">
        <f t="shared" ref="E239:E246" si="10">IF(COUNTBLANK(F118:I118)&gt;=4,"",INDEX(DB_ArrayDash6Names,$B118)&amp;DB_WhiteSpace&amp;INDEX(DB_ArrayDash6Values,$B118)&amp;IF(H118="","",DB_SubWhiteSpace&amp;I118&amp;" "))</f>
        <v/>
      </c>
      <c r="F239" s="327" t="str">
        <f t="shared" si="9"/>
        <v/>
      </c>
    </row>
    <row r="240" spans="3:13" s="305" customFormat="1">
      <c r="E240" s="326" t="str">
        <f t="shared" si="10"/>
        <v/>
      </c>
      <c r="F240" s="327" t="str">
        <f t="shared" si="9"/>
        <v/>
      </c>
    </row>
    <row r="241" spans="3:13" s="305" customFormat="1">
      <c r="E241" s="326" t="str">
        <f t="shared" si="10"/>
        <v/>
      </c>
      <c r="F241" s="327" t="str">
        <f t="shared" si="9"/>
        <v/>
      </c>
    </row>
    <row r="242" spans="3:13" s="305" customFormat="1">
      <c r="E242" s="326" t="str">
        <f t="shared" si="10"/>
        <v/>
      </c>
      <c r="F242" s="327" t="str">
        <f t="shared" si="9"/>
        <v/>
      </c>
    </row>
    <row r="243" spans="3:13" s="305" customFormat="1">
      <c r="E243" s="326" t="str">
        <f t="shared" si="10"/>
        <v/>
      </c>
      <c r="F243" s="327" t="str">
        <f t="shared" si="9"/>
        <v/>
      </c>
    </row>
    <row r="244" spans="3:13" s="305" customFormat="1">
      <c r="E244" s="326" t="str">
        <f t="shared" si="10"/>
        <v/>
      </c>
      <c r="F244" s="327" t="str">
        <f t="shared" si="9"/>
        <v/>
      </c>
    </row>
    <row r="245" spans="3:13" s="305" customFormat="1">
      <c r="E245" s="326" t="str">
        <f t="shared" si="10"/>
        <v/>
      </c>
      <c r="F245" s="327" t="str">
        <f t="shared" si="9"/>
        <v/>
      </c>
    </row>
    <row r="246" spans="3:13">
      <c r="E246" s="328" t="str">
        <f t="shared" si="10"/>
        <v/>
      </c>
      <c r="F246" s="329" t="str">
        <f t="shared" si="9"/>
        <v/>
      </c>
      <c r="G246" s="322"/>
      <c r="H246" s="322"/>
      <c r="I246" s="322"/>
      <c r="J246" s="322"/>
      <c r="K246" s="322"/>
      <c r="L246" s="322"/>
      <c r="M246" s="322"/>
    </row>
    <row r="250" spans="3:13" s="305" customFormat="1">
      <c r="C250" s="305" t="s">
        <v>2436</v>
      </c>
      <c r="E250" s="310" t="s">
        <v>534</v>
      </c>
      <c r="F250" s="310" t="s">
        <v>581</v>
      </c>
    </row>
    <row r="251" spans="3:13" s="305" customFormat="1">
      <c r="E251" s="324" t="str">
        <f>IF(COUNTBLANK(F130:I130)&gt;=4,"",INDEX(DB_ArrayDash7Names,$B130)&amp;DB_WhiteSpace&amp;INDEX(DB_ArrayDash7Values,$B130)&amp;IF(H130="","",DB_SubWhiteSpace&amp;I130&amp;" ")&amp;" ")</f>
        <v xml:space="preserve">MTUs Remaining  150 </v>
      </c>
      <c r="F251" s="325" t="str">
        <f t="shared" ref="F251:F260" si="11">IF(E130,E251,"")</f>
        <v xml:space="preserve">MTUs Remaining  150 </v>
      </c>
    </row>
    <row r="252" spans="3:13" s="305" customFormat="1">
      <c r="E252" s="326" t="str">
        <f>IF(COUNTBLANK(F131:I131)&gt;=4,"",INDEX(DB_ArrayDash7Names,$B131)&amp;DB_WhiteSpace&amp;INDEX(DB_ArrayDash7Values,$B131)&amp;IF(H131="","",DB_SubWhiteSpace&amp;I131&amp;" ")&amp;" ")</f>
        <v xml:space="preserve">Samples Remaining  1% </v>
      </c>
      <c r="F252" s="327" t="str">
        <f t="shared" si="11"/>
        <v xml:space="preserve">Samples Remaining  1% </v>
      </c>
    </row>
    <row r="253" spans="3:13" s="305" customFormat="1">
      <c r="E253" s="326" t="str">
        <f t="shared" ref="E253:E260" si="12">IF(COUNTBLANK(F132:I132)&gt;=4,"",INDEX(DB_ArrayDash7Names,$B132)&amp;DB_WhiteSpace&amp;INDEX(DB_ArrayDash7Values,$B132)&amp;IF(H132="","",DB_SubWhiteSpace&amp;I132&amp;" "))</f>
        <v>Promotional $ Remaining  1%</v>
      </c>
      <c r="F253" s="327" t="str">
        <f t="shared" si="11"/>
        <v>Promotional $ Remaining  1%</v>
      </c>
    </row>
    <row r="254" spans="3:13" s="305" customFormat="1">
      <c r="E254" s="326" t="str">
        <f t="shared" si="12"/>
        <v/>
      </c>
      <c r="F254" s="327" t="str">
        <f t="shared" si="11"/>
        <v/>
      </c>
    </row>
    <row r="255" spans="3:13" s="305" customFormat="1">
      <c r="E255" s="326" t="str">
        <f t="shared" si="12"/>
        <v/>
      </c>
      <c r="F255" s="327" t="str">
        <f t="shared" si="11"/>
        <v/>
      </c>
    </row>
    <row r="256" spans="3:13" s="305" customFormat="1">
      <c r="E256" s="326" t="str">
        <f t="shared" si="12"/>
        <v/>
      </c>
      <c r="F256" s="327" t="str">
        <f t="shared" si="11"/>
        <v/>
      </c>
    </row>
    <row r="257" spans="3:13" s="305" customFormat="1">
      <c r="E257" s="326" t="str">
        <f t="shared" si="12"/>
        <v/>
      </c>
      <c r="F257" s="327" t="str">
        <f t="shared" si="11"/>
        <v/>
      </c>
    </row>
    <row r="258" spans="3:13" s="305" customFormat="1">
      <c r="E258" s="326" t="str">
        <f t="shared" si="12"/>
        <v/>
      </c>
      <c r="F258" s="327" t="str">
        <f t="shared" si="11"/>
        <v/>
      </c>
    </row>
    <row r="259" spans="3:13" s="305" customFormat="1">
      <c r="E259" s="326" t="str">
        <f t="shared" si="12"/>
        <v/>
      </c>
      <c r="F259" s="327" t="str">
        <f t="shared" si="11"/>
        <v/>
      </c>
    </row>
    <row r="260" spans="3:13">
      <c r="E260" s="328" t="str">
        <f t="shared" si="12"/>
        <v/>
      </c>
      <c r="F260" s="329" t="str">
        <f t="shared" si="11"/>
        <v/>
      </c>
      <c r="G260" s="322"/>
      <c r="H260" s="322"/>
      <c r="I260" s="322"/>
      <c r="J260" s="322"/>
      <c r="K260" s="322"/>
      <c r="L260" s="322"/>
      <c r="M260" s="322"/>
    </row>
    <row r="264" spans="3:13" s="305" customFormat="1">
      <c r="C264" s="305" t="s">
        <v>2432</v>
      </c>
      <c r="E264" s="310" t="s">
        <v>534</v>
      </c>
      <c r="F264" s="310" t="s">
        <v>581</v>
      </c>
    </row>
    <row r="265" spans="3:13" s="305" customFormat="1">
      <c r="E265" s="324" t="str">
        <f>IF(COUNTBLANK(F144:I144)&gt;=4,"",INDEX(DB_ArrayDash8Names,$B144)&amp;DB_WhiteSpace&amp;INDEX(DB_ArrayDash8Values,$B144)&amp;IF(H144="","",DB_SubWhiteSpace&amp;I144&amp;" ")&amp;" ")</f>
        <v xml:space="preserve">MTUs Remaining  150 </v>
      </c>
      <c r="F265" s="325" t="str">
        <f t="shared" ref="F265:F274" si="13">IF(E144,E265,"")</f>
        <v xml:space="preserve">MTUs Remaining  150 </v>
      </c>
    </row>
    <row r="266" spans="3:13" s="305" customFormat="1">
      <c r="E266" s="326" t="str">
        <f>IF(COUNTBLANK(F145:I145)&gt;=4,"",INDEX(DB_ArrayDash8Names,$B145)&amp;DB_WhiteSpace&amp;INDEX(DB_ArrayDash8Values,$B145)&amp;IF(H145="","",DB_SubWhiteSpace&amp;I145&amp;" ")&amp;" ")</f>
        <v xml:space="preserve">Samples Remaining  1% </v>
      </c>
      <c r="F266" s="327" t="str">
        <f t="shared" si="13"/>
        <v xml:space="preserve">Samples Remaining  1% </v>
      </c>
    </row>
    <row r="267" spans="3:13" s="305" customFormat="1">
      <c r="E267" s="326" t="str">
        <f t="shared" ref="E267:E274" si="14">IF(COUNTBLANK(F146:I146)&gt;=4,"",INDEX(DB_ArrayDash8Names,$B146)&amp;DB_WhiteSpace&amp;INDEX(DB_ArrayDash8Values,$B146)&amp;IF(H146="","",DB_SubWhiteSpace&amp;I146&amp;" "))</f>
        <v>Promotional $ Remaining  1%</v>
      </c>
      <c r="F267" s="327" t="str">
        <f t="shared" si="13"/>
        <v>Promotional $ Remaining  1%</v>
      </c>
    </row>
    <row r="268" spans="3:13" s="305" customFormat="1">
      <c r="E268" s="326" t="str">
        <f t="shared" si="14"/>
        <v/>
      </c>
      <c r="F268" s="327" t="str">
        <f t="shared" si="13"/>
        <v/>
      </c>
    </row>
    <row r="269" spans="3:13" s="305" customFormat="1">
      <c r="E269" s="326" t="str">
        <f t="shared" si="14"/>
        <v/>
      </c>
      <c r="F269" s="327" t="str">
        <f t="shared" si="13"/>
        <v/>
      </c>
    </row>
    <row r="270" spans="3:13" s="305" customFormat="1">
      <c r="E270" s="326" t="str">
        <f t="shared" si="14"/>
        <v/>
      </c>
      <c r="F270" s="327" t="str">
        <f t="shared" si="13"/>
        <v/>
      </c>
    </row>
    <row r="271" spans="3:13" s="305" customFormat="1">
      <c r="E271" s="326" t="str">
        <f t="shared" si="14"/>
        <v/>
      </c>
      <c r="F271" s="327" t="str">
        <f t="shared" si="13"/>
        <v/>
      </c>
    </row>
    <row r="272" spans="3:13" s="305" customFormat="1">
      <c r="E272" s="326" t="str">
        <f t="shared" si="14"/>
        <v/>
      </c>
      <c r="F272" s="327" t="str">
        <f t="shared" si="13"/>
        <v/>
      </c>
    </row>
    <row r="273" spans="5:13" s="305" customFormat="1">
      <c r="E273" s="326" t="str">
        <f t="shared" si="14"/>
        <v/>
      </c>
      <c r="F273" s="327" t="str">
        <f t="shared" si="13"/>
        <v/>
      </c>
    </row>
    <row r="274" spans="5:13">
      <c r="E274" s="328" t="str">
        <f t="shared" si="14"/>
        <v/>
      </c>
      <c r="F274" s="329" t="str">
        <f t="shared" si="13"/>
        <v/>
      </c>
      <c r="G274" s="322"/>
      <c r="H274" s="322"/>
      <c r="I274" s="322"/>
      <c r="J274" s="322"/>
      <c r="K274" s="322"/>
      <c r="L274" s="322"/>
      <c r="M274" s="322"/>
    </row>
  </sheetData>
  <dataValidations disablePrompts="1" count="1">
    <dataValidation type="list" allowBlank="1" showInputMessage="1" showErrorMessage="1" sqref="E74:E83 E60:E69 E46:E55 E88:E97 E130:E139 E116:E125 E102:E111 E144:E153">
      <formula1>"True,False"</formula1>
    </dataValidation>
  </dataValidations>
  <hyperlinks>
    <hyperlink ref="D3" r:id="rId1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P22"/>
  <sheetViews>
    <sheetView workbookViewId="0"/>
  </sheetViews>
  <sheetFormatPr defaultColWidth="8.796875" defaultRowHeight="14.25"/>
  <cols>
    <col min="1" max="1" width="12.69921875" style="83" customWidth="1"/>
    <col min="2" max="2" width="20.69921875" style="84" customWidth="1"/>
    <col min="3" max="9" width="8.796875" style="83"/>
    <col min="10" max="10" width="14.69921875" style="83" customWidth="1"/>
    <col min="11" max="11" width="12" style="83" bestFit="1" customWidth="1"/>
    <col min="12" max="16384" width="8.796875" style="83"/>
  </cols>
  <sheetData>
    <row r="1" spans="1:16" s="1" customFormat="1">
      <c r="A1" s="111" t="s">
        <v>175</v>
      </c>
      <c r="G1" s="110"/>
      <c r="H1" s="109"/>
    </row>
    <row r="2" spans="1:16" s="61" customFormat="1" ht="12.75" customHeight="1">
      <c r="C2" s="108"/>
      <c r="F2" s="108"/>
      <c r="G2" s="99"/>
    </row>
    <row r="3" spans="1:16" s="61" customFormat="1">
      <c r="B3" s="61" t="s">
        <v>138</v>
      </c>
      <c r="D3" s="107" t="s">
        <v>122</v>
      </c>
      <c r="F3" s="106"/>
      <c r="G3" s="105"/>
    </row>
    <row r="4" spans="1:16" s="6" customFormat="1" ht="12" customHeight="1">
      <c r="B4" s="98"/>
      <c r="G4" s="99"/>
    </row>
    <row r="5" spans="1:16" s="2" customFormat="1">
      <c r="B5" s="2" t="s">
        <v>137</v>
      </c>
      <c r="C5" s="3"/>
      <c r="D5" s="3"/>
      <c r="E5" s="3"/>
      <c r="F5" s="3"/>
    </row>
    <row r="6" spans="1:16" s="6" customFormat="1">
      <c r="G6" s="99"/>
    </row>
    <row r="7" spans="1:16" s="6" customFormat="1">
      <c r="B7" s="4" t="s">
        <v>136</v>
      </c>
    </row>
    <row r="8" spans="1:16" s="6" customFormat="1">
      <c r="B8" s="104"/>
      <c r="C8" s="9" t="s">
        <v>109</v>
      </c>
      <c r="G8" s="103" t="s">
        <v>135</v>
      </c>
    </row>
    <row r="9" spans="1:16" s="6" customFormat="1">
      <c r="B9" s="102"/>
      <c r="C9" s="9" t="s">
        <v>106</v>
      </c>
      <c r="G9" s="10"/>
    </row>
    <row r="10" spans="1:16" s="6" customFormat="1">
      <c r="B10" s="101"/>
      <c r="C10" s="9" t="s">
        <v>174</v>
      </c>
      <c r="E10" s="100"/>
      <c r="G10" s="99"/>
    </row>
    <row r="11" spans="1:16" s="6" customFormat="1" ht="12" customHeight="1">
      <c r="B11" s="98"/>
      <c r="G11" s="97"/>
    </row>
    <row r="12" spans="1:16" s="87" customFormat="1">
      <c r="A12" s="87" t="s">
        <v>173</v>
      </c>
      <c r="B12" s="96"/>
      <c r="E12" s="87" t="s">
        <v>172</v>
      </c>
      <c r="F12" s="87" t="s">
        <v>171</v>
      </c>
      <c r="G12" s="87" t="s">
        <v>170</v>
      </c>
      <c r="H12" s="87" t="s">
        <v>169</v>
      </c>
      <c r="I12" s="87" t="s">
        <v>168</v>
      </c>
      <c r="L12" s="87" t="s">
        <v>172</v>
      </c>
      <c r="M12" s="87" t="s">
        <v>171</v>
      </c>
      <c r="N12" s="87" t="s">
        <v>170</v>
      </c>
      <c r="O12" s="87" t="s">
        <v>169</v>
      </c>
      <c r="P12" s="87" t="s">
        <v>168</v>
      </c>
    </row>
    <row r="13" spans="1:16" s="94" customFormat="1">
      <c r="A13" s="94" t="s">
        <v>167</v>
      </c>
      <c r="B13" s="95" t="s">
        <v>166</v>
      </c>
      <c r="C13" s="94" t="s">
        <v>165</v>
      </c>
      <c r="D13" s="94" t="s">
        <v>164</v>
      </c>
      <c r="J13" s="94" t="s">
        <v>163</v>
      </c>
      <c r="K13" s="94" t="s">
        <v>162</v>
      </c>
    </row>
    <row r="14" spans="1:16" s="94" customFormat="1">
      <c r="A14" s="95" t="s">
        <v>161</v>
      </c>
      <c r="B14" s="95"/>
    </row>
    <row r="15" spans="1:16">
      <c r="A15" s="84" t="s">
        <v>160</v>
      </c>
    </row>
    <row r="16" spans="1:16">
      <c r="A16" s="93">
        <v>1001</v>
      </c>
      <c r="B16" s="92" t="s">
        <v>159</v>
      </c>
      <c r="C16" s="91" t="s">
        <v>155</v>
      </c>
      <c r="D16" s="90">
        <v>0</v>
      </c>
      <c r="E16" s="88"/>
      <c r="F16" s="88"/>
      <c r="G16" s="88"/>
      <c r="H16" s="88"/>
      <c r="I16" s="88"/>
      <c r="K16" s="89">
        <f>COUNTIF(adj!$C:$C,$A16)</f>
        <v>1</v>
      </c>
      <c r="L16" s="88"/>
      <c r="M16" s="88"/>
      <c r="N16" s="88"/>
      <c r="O16" s="88"/>
      <c r="P16" s="88"/>
    </row>
    <row r="17" spans="1:16">
      <c r="A17" s="93">
        <v>1002</v>
      </c>
      <c r="B17" s="92" t="s">
        <v>158</v>
      </c>
      <c r="C17" s="91" t="s">
        <v>155</v>
      </c>
      <c r="D17" s="90">
        <v>0</v>
      </c>
      <c r="E17" s="88"/>
      <c r="F17" s="88"/>
      <c r="G17" s="88"/>
      <c r="H17" s="88"/>
      <c r="I17" s="88"/>
      <c r="K17" s="89">
        <f>COUNTIF(adj!$C:$C,$A17)</f>
        <v>1</v>
      </c>
      <c r="L17" s="88"/>
      <c r="M17" s="88"/>
      <c r="N17" s="88"/>
      <c r="O17" s="88"/>
      <c r="P17" s="88"/>
    </row>
    <row r="18" spans="1:16">
      <c r="A18" s="84" t="s">
        <v>157</v>
      </c>
    </row>
    <row r="19" spans="1:16">
      <c r="A19" s="93">
        <v>2001</v>
      </c>
      <c r="B19" s="92" t="s">
        <v>156</v>
      </c>
      <c r="C19" s="91" t="s">
        <v>155</v>
      </c>
      <c r="D19" s="90">
        <v>0</v>
      </c>
      <c r="E19" s="88">
        <f t="shared" ref="E19:I20" si="0">IF($C19="R",$D19*(1+L19),$D19+L19)</f>
        <v>0</v>
      </c>
      <c r="F19" s="88">
        <f t="shared" si="0"/>
        <v>0</v>
      </c>
      <c r="G19" s="88">
        <f t="shared" si="0"/>
        <v>0</v>
      </c>
      <c r="H19" s="88">
        <f t="shared" si="0"/>
        <v>0</v>
      </c>
      <c r="I19" s="88">
        <f t="shared" si="0"/>
        <v>0</v>
      </c>
      <c r="K19" s="89">
        <f>COUNTIF(adj!$C:$C,$A19)</f>
        <v>0</v>
      </c>
      <c r="L19" s="88">
        <f>SUMIF(adj!$C:$C,$A19,adj!E:E)</f>
        <v>0</v>
      </c>
      <c r="M19" s="88">
        <f>SUMIF(adj!$C:$C,$A19,adj!F:F)</f>
        <v>0</v>
      </c>
      <c r="N19" s="88">
        <f>SUMIF(adj!$C:$C,$A19,adj!G:G)</f>
        <v>0</v>
      </c>
      <c r="O19" s="88">
        <f>SUMIF(adj!$C:$C,$A19,adj!H:H)</f>
        <v>0</v>
      </c>
      <c r="P19" s="88">
        <f>SUMIF(adj!$C:$C,$A19,adj!I:I)</f>
        <v>0</v>
      </c>
    </row>
    <row r="20" spans="1:16">
      <c r="A20" s="93">
        <v>2002</v>
      </c>
      <c r="B20" s="92" t="s">
        <v>154</v>
      </c>
      <c r="C20" s="91" t="s">
        <v>153</v>
      </c>
      <c r="D20" s="90">
        <v>0</v>
      </c>
      <c r="E20" s="88">
        <f t="shared" si="0"/>
        <v>0</v>
      </c>
      <c r="F20" s="88">
        <f t="shared" si="0"/>
        <v>0</v>
      </c>
      <c r="G20" s="88">
        <f t="shared" si="0"/>
        <v>0</v>
      </c>
      <c r="H20" s="88">
        <f t="shared" si="0"/>
        <v>0</v>
      </c>
      <c r="I20" s="88">
        <f t="shared" si="0"/>
        <v>0</v>
      </c>
      <c r="K20" s="89">
        <f>COUNTIF(adj!$C:$C,$A20)</f>
        <v>0</v>
      </c>
      <c r="L20" s="88">
        <f>SUMIF(adj!$C:$C,$A20,adj!E:E)</f>
        <v>0</v>
      </c>
      <c r="M20" s="88">
        <f>SUMIF(adj!$C:$C,$A20,adj!F:F)</f>
        <v>0</v>
      </c>
      <c r="N20" s="88">
        <f>SUMIF(adj!$C:$C,$A20,adj!G:G)</f>
        <v>0</v>
      </c>
      <c r="O20" s="88">
        <f>SUMIF(adj!$C:$C,$A20,adj!H:H)</f>
        <v>0</v>
      </c>
      <c r="P20" s="88">
        <f>SUMIF(adj!$C:$C,$A20,adj!I:I)</f>
        <v>0</v>
      </c>
    </row>
    <row r="22" spans="1:16" s="85" customFormat="1">
      <c r="A22" s="87" t="s">
        <v>152</v>
      </c>
      <c r="B22" s="86"/>
      <c r="E22" s="85">
        <f>IF($C22="R",$D22*(1+L22),$D22+L22)</f>
        <v>0</v>
      </c>
      <c r="F22" s="85">
        <f>IF($C22="R",$D22*(1+M22),$D22+M22)</f>
        <v>0</v>
      </c>
      <c r="G22" s="85">
        <f>IF($C22="R",$D22*(1+N22),$D22+N22)</f>
        <v>0</v>
      </c>
      <c r="H22" s="85">
        <f>IF($C22="R",$D22*(1+O22),$D22+O22)</f>
        <v>0</v>
      </c>
      <c r="I22" s="85">
        <f>IF($C22="R",$D22*(1+P22),$D22+P22)</f>
        <v>0</v>
      </c>
      <c r="K22" s="85">
        <f>COUNTIF(adj!$C:$C,$A22)</f>
        <v>0</v>
      </c>
      <c r="L22" s="85">
        <f>SUMIF(adj!$C:$C,$A22,adj!E:E)</f>
        <v>0</v>
      </c>
      <c r="M22" s="85">
        <f>SUMIF(adj!$C:$C,$A22,adj!F:F)</f>
        <v>0</v>
      </c>
      <c r="N22" s="85">
        <f>SUMIF(adj!$C:$C,$A22,adj!G:G)</f>
        <v>0</v>
      </c>
      <c r="O22" s="85">
        <f>SUMIF(adj!$C:$C,$A22,adj!H:H)</f>
        <v>0</v>
      </c>
      <c r="P22" s="85">
        <f>SUMIF(adj!$C:$C,$A22,adj!I:I)</f>
        <v>0</v>
      </c>
    </row>
  </sheetData>
  <hyperlinks>
    <hyperlink ref="D3" r:id="rId1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P39"/>
  <sheetViews>
    <sheetView workbookViewId="0"/>
  </sheetViews>
  <sheetFormatPr defaultRowHeight="14.25"/>
  <cols>
    <col min="1" max="1" width="8" customWidth="1"/>
    <col min="2" max="2" width="12.19921875" bestFit="1" customWidth="1"/>
    <col min="3" max="3" width="10.3984375" bestFit="1" customWidth="1"/>
    <col min="4" max="4" width="13.69921875" bestFit="1" customWidth="1"/>
    <col min="5" max="9" width="8.796875" style="81"/>
    <col min="12" max="16" width="10.69921875" customWidth="1"/>
  </cols>
  <sheetData>
    <row r="1" spans="1:10" s="1" customFormat="1">
      <c r="A1" s="111" t="s">
        <v>175</v>
      </c>
      <c r="G1" s="110"/>
      <c r="H1" s="109"/>
    </row>
    <row r="2" spans="1:10" s="61" customFormat="1" ht="12.75" customHeight="1">
      <c r="C2" s="108"/>
      <c r="F2" s="108"/>
      <c r="G2" s="99"/>
    </row>
    <row r="3" spans="1:10" s="61" customFormat="1">
      <c r="B3" s="61" t="s">
        <v>138</v>
      </c>
      <c r="D3" s="107" t="s">
        <v>122</v>
      </c>
      <c r="F3" s="106"/>
      <c r="G3" s="105"/>
    </row>
    <row r="4" spans="1:10" s="6" customFormat="1" ht="12" customHeight="1">
      <c r="B4" s="98"/>
      <c r="G4" s="99"/>
    </row>
    <row r="5" spans="1:10" s="2" customFormat="1">
      <c r="B5" s="2" t="s">
        <v>137</v>
      </c>
      <c r="C5" s="3"/>
      <c r="D5" s="3"/>
      <c r="E5" s="3"/>
      <c r="F5" s="3"/>
    </row>
    <row r="6" spans="1:10" s="6" customFormat="1">
      <c r="G6" s="99"/>
    </row>
    <row r="7" spans="1:10" s="6" customFormat="1">
      <c r="B7" s="4" t="s">
        <v>136</v>
      </c>
    </row>
    <row r="8" spans="1:10" s="6" customFormat="1">
      <c r="B8" s="104"/>
      <c r="C8" s="9" t="s">
        <v>109</v>
      </c>
      <c r="G8" s="103" t="s">
        <v>135</v>
      </c>
    </row>
    <row r="9" spans="1:10" s="6" customFormat="1">
      <c r="B9" s="102"/>
      <c r="C9" s="9" t="s">
        <v>106</v>
      </c>
      <c r="G9" s="10"/>
    </row>
    <row r="10" spans="1:10" s="6" customFormat="1">
      <c r="B10" s="101"/>
      <c r="C10" s="9" t="s">
        <v>174</v>
      </c>
      <c r="E10" s="100"/>
      <c r="G10" s="99"/>
    </row>
    <row r="11" spans="1:10" s="6" customFormat="1" ht="12" customHeight="1">
      <c r="B11" s="98"/>
      <c r="G11" s="99"/>
    </row>
    <row r="12" spans="1:10" s="87" customFormat="1">
      <c r="A12" s="96" t="s">
        <v>195</v>
      </c>
      <c r="B12" s="96"/>
      <c r="E12" s="87" t="s">
        <v>172</v>
      </c>
      <c r="F12" s="87" t="s">
        <v>171</v>
      </c>
      <c r="G12" s="87" t="s">
        <v>170</v>
      </c>
      <c r="H12" s="87" t="s">
        <v>169</v>
      </c>
      <c r="I12" s="87" t="s">
        <v>168</v>
      </c>
    </row>
    <row r="13" spans="1:10" s="94" customFormat="1">
      <c r="B13" s="95"/>
      <c r="C13" s="94" t="s">
        <v>194</v>
      </c>
      <c r="D13" s="94" t="s">
        <v>193</v>
      </c>
      <c r="E13" s="119">
        <v>1</v>
      </c>
      <c r="F13" s="119">
        <v>2</v>
      </c>
      <c r="G13" s="119">
        <v>3</v>
      </c>
      <c r="H13" s="119">
        <v>4</v>
      </c>
      <c r="I13" s="119">
        <v>5</v>
      </c>
      <c r="J13" s="95" t="s">
        <v>192</v>
      </c>
    </row>
    <row r="15" spans="1:10">
      <c r="A15" t="s">
        <v>191</v>
      </c>
      <c r="B15" s="104">
        <v>1002</v>
      </c>
      <c r="C15" t="s">
        <v>190</v>
      </c>
    </row>
    <row r="16" spans="1:10">
      <c r="A16" t="s">
        <v>189</v>
      </c>
      <c r="B16" s="104">
        <v>1001</v>
      </c>
      <c r="C16" t="s">
        <v>188</v>
      </c>
    </row>
    <row r="18" spans="1:16" s="94" customFormat="1">
      <c r="A18" s="95" t="s">
        <v>187</v>
      </c>
      <c r="B18" s="95"/>
    </row>
    <row r="20" spans="1:16">
      <c r="C20" s="104"/>
      <c r="D20" s="115" t="str">
        <f>IFERROR(IF(OR(ISTEXT(C20),C20=""),"",VLOOKUP(C20,param!A$15:B$22,2,FALSE)),"Param Not Recognised")</f>
        <v/>
      </c>
      <c r="E20" s="10"/>
      <c r="F20" s="10"/>
      <c r="G20" s="10"/>
      <c r="H20" s="10"/>
      <c r="I20" s="10"/>
    </row>
    <row r="21" spans="1:16">
      <c r="C21" s="104"/>
      <c r="D21" s="115" t="str">
        <f>IFERROR(IF(OR(ISTEXT(C21),C21=""),"",VLOOKUP(C21,param!A$15:B$22,2,FALSE)),"Param Not Recognised")</f>
        <v/>
      </c>
      <c r="E21" s="10"/>
      <c r="F21" s="10"/>
      <c r="G21" s="10"/>
      <c r="H21" s="10"/>
      <c r="I21" s="10"/>
    </row>
    <row r="22" spans="1:16">
      <c r="C22" s="104"/>
      <c r="D22" s="115" t="str">
        <f>IFERROR(IF(OR(ISTEXT(C22),C22=""),"",VLOOKUP(C22,param!A$15:B$22,2,FALSE)),"Param Not Recognised")</f>
        <v/>
      </c>
      <c r="E22" s="10"/>
      <c r="F22" s="10"/>
      <c r="G22" s="10"/>
      <c r="H22" s="10"/>
      <c r="I22" s="10"/>
    </row>
    <row r="24" spans="1:16" s="94" customFormat="1">
      <c r="A24" s="95" t="s">
        <v>186</v>
      </c>
      <c r="B24" s="95"/>
      <c r="J24" s="94" t="s">
        <v>158</v>
      </c>
      <c r="K24" s="94" t="s">
        <v>183</v>
      </c>
      <c r="L24" s="94" t="s">
        <v>182</v>
      </c>
      <c r="M24" s="94" t="s">
        <v>181</v>
      </c>
      <c r="N24" s="94" t="s">
        <v>180</v>
      </c>
      <c r="O24" s="94" t="s">
        <v>179</v>
      </c>
      <c r="P24" s="94" t="s">
        <v>178</v>
      </c>
    </row>
    <row r="26" spans="1:16">
      <c r="A26" s="83" t="s">
        <v>185</v>
      </c>
      <c r="B26" s="113" t="s">
        <v>184</v>
      </c>
      <c r="C26" s="113"/>
      <c r="D26" s="113"/>
      <c r="E26" s="83"/>
      <c r="F26" s="83"/>
      <c r="G26" s="83"/>
      <c r="H26" s="83"/>
      <c r="I26" s="83"/>
      <c r="J26" s="113"/>
      <c r="K26" s="113"/>
      <c r="L26" s="113"/>
      <c r="M26" s="113"/>
      <c r="N26" s="113"/>
      <c r="O26" s="113"/>
      <c r="P26" s="113"/>
    </row>
    <row r="27" spans="1:16">
      <c r="A27" s="112">
        <v>1</v>
      </c>
      <c r="B27" s="120" t="e">
        <f>INDEX(InitDD_name,A27+1)</f>
        <v>#NAME?</v>
      </c>
      <c r="C27" s="118" t="s">
        <v>177</v>
      </c>
      <c r="D27" s="118"/>
      <c r="E27" s="117"/>
      <c r="F27" s="117"/>
      <c r="G27" s="117"/>
      <c r="H27" s="117"/>
      <c r="I27" s="117"/>
      <c r="J27" s="119">
        <f>SUMIF(C29:C38,adj_FTECode,M29:M38)</f>
        <v>3</v>
      </c>
      <c r="K27" s="119">
        <f>SUMIF(C29:C38,adj_CostCode,M29:M38)</f>
        <v>1000</v>
      </c>
      <c r="L27" s="118"/>
      <c r="M27" s="118"/>
      <c r="N27" s="118"/>
      <c r="O27" s="118"/>
      <c r="P27" s="118"/>
    </row>
    <row r="28" spans="1:16">
      <c r="A28" s="83"/>
      <c r="B28" s="113"/>
      <c r="C28" s="113" t="s">
        <v>176</v>
      </c>
      <c r="D28" s="113"/>
      <c r="E28" s="117"/>
      <c r="F28" s="117"/>
      <c r="G28" s="117"/>
      <c r="H28" s="117"/>
      <c r="I28" s="117"/>
      <c r="J28" s="113"/>
      <c r="K28" s="113"/>
      <c r="L28" s="113"/>
      <c r="M28" s="113"/>
      <c r="N28" s="113"/>
      <c r="O28" s="113"/>
      <c r="P28" s="113"/>
    </row>
    <row r="29" spans="1:16">
      <c r="A29" s="83"/>
      <c r="B29" s="113"/>
      <c r="C29" s="116">
        <v>1001</v>
      </c>
      <c r="D29" s="115" t="str">
        <f>IFERROR(IF(OR(ISTEXT(C29),C29=""),"",VLOOKUP(C29,param!A$15:B$22,2,FALSE)),"Param Not Recognised")</f>
        <v>Cost</v>
      </c>
      <c r="E29" s="114">
        <f>IF(E27,INDEX($L29:$P29,E28+1),0)</f>
        <v>0</v>
      </c>
      <c r="F29" s="114">
        <f>IF(F27,INDEX($L29:$P29,F28+1),0)</f>
        <v>0</v>
      </c>
      <c r="G29" s="114">
        <f>IF(G27,INDEX($L29:$P29,G28+1),0)</f>
        <v>0</v>
      </c>
      <c r="H29" s="114">
        <f>IF(H27,INDEX($L29:$P29,H28+1),0)</f>
        <v>0</v>
      </c>
      <c r="I29" s="114">
        <f>IF(I27,INDEX($L29:$P29,I28+1),0)</f>
        <v>0</v>
      </c>
      <c r="J29" s="113"/>
      <c r="K29" s="113"/>
      <c r="L29" s="112">
        <v>0</v>
      </c>
      <c r="M29" s="112">
        <v>1000</v>
      </c>
      <c r="N29" s="112">
        <v>200</v>
      </c>
      <c r="O29" s="112"/>
      <c r="P29" s="112"/>
    </row>
    <row r="30" spans="1:16">
      <c r="A30" s="83"/>
      <c r="B30" s="113"/>
      <c r="C30" s="116">
        <v>1002</v>
      </c>
      <c r="D30" s="115" t="str">
        <f>IFERROR(IF(OR(ISTEXT(C30),C30=""),"",VLOOKUP(C30,param!A$15:B$22,2,FALSE)),"Param Not Recognised")</f>
        <v>FTEs</v>
      </c>
      <c r="E30" s="114">
        <f>IF(E27,INDEX($L30:$P30,E28+1),0)</f>
        <v>0</v>
      </c>
      <c r="F30" s="114">
        <f>IF(F27,INDEX($L30:$P30,F28+1),0)</f>
        <v>0</v>
      </c>
      <c r="G30" s="114">
        <f>IF(G27,INDEX($L30:$P30,G28+1),0)</f>
        <v>0</v>
      </c>
      <c r="H30" s="114">
        <f>IF(H27,INDEX($L30:$P30,H28+1),0)</f>
        <v>0</v>
      </c>
      <c r="I30" s="114">
        <f>IF(I27,INDEX($L30:$P30,I28+1),0)</f>
        <v>0</v>
      </c>
      <c r="J30" s="113"/>
      <c r="K30" s="113"/>
      <c r="L30" s="112">
        <v>0</v>
      </c>
      <c r="M30" s="112">
        <v>3</v>
      </c>
      <c r="N30" s="112">
        <v>6</v>
      </c>
      <c r="O30" s="112">
        <v>0</v>
      </c>
      <c r="P30" s="112">
        <v>0</v>
      </c>
    </row>
    <row r="31" spans="1:16">
      <c r="A31" s="83"/>
      <c r="B31" s="113"/>
      <c r="C31" s="116"/>
      <c r="D31" s="115" t="str">
        <f>IFERROR(IF(OR(ISTEXT(C31),C31=""),"",VLOOKUP(C31,param!A$15:B$22,2,FALSE)),"Param Not Recognised")</f>
        <v/>
      </c>
      <c r="E31" s="114">
        <f>IF(E27,INDEX($L31:$P31,E28+1),0)</f>
        <v>0</v>
      </c>
      <c r="F31" s="114">
        <f>IF(F27,INDEX($L31:$P31,F28+1),0)</f>
        <v>0</v>
      </c>
      <c r="G31" s="114">
        <f>IF(G27,INDEX($L31:$P31,G28+1),0)</f>
        <v>0</v>
      </c>
      <c r="H31" s="114">
        <f>IF(H27,INDEX($L31:$P31,H28+1),0)</f>
        <v>0</v>
      </c>
      <c r="I31" s="114">
        <f>IF(I27,INDEX($L31:$P31,I28+1),0)</f>
        <v>0</v>
      </c>
      <c r="J31" s="113"/>
      <c r="K31" s="113"/>
      <c r="L31" s="112">
        <v>0</v>
      </c>
      <c r="M31" s="112"/>
      <c r="N31" s="112"/>
      <c r="O31" s="112"/>
      <c r="P31" s="112"/>
    </row>
    <row r="32" spans="1:16">
      <c r="A32" s="83"/>
      <c r="B32" s="113"/>
      <c r="C32" s="116"/>
      <c r="D32" s="115" t="str">
        <f>IFERROR(IF(OR(ISTEXT(C32),C32=""),"",VLOOKUP(C32,param!A$15:B$22,2,FALSE)),"Param Not Recognised")</f>
        <v/>
      </c>
      <c r="E32" s="114">
        <f>IF(E27,INDEX($L32:$P32,E28+1),0)</f>
        <v>0</v>
      </c>
      <c r="F32" s="114">
        <f>IF(F27,INDEX($L32:$P32,F28+1),0)</f>
        <v>0</v>
      </c>
      <c r="G32" s="114">
        <f>IF(G27,INDEX($L32:$P32,G28+1),0)</f>
        <v>0</v>
      </c>
      <c r="H32" s="114">
        <f>IF(H27,INDEX($L32:$P32,H28+1),0)</f>
        <v>0</v>
      </c>
      <c r="I32" s="114">
        <f>IF(I27,INDEX($L32:$P32,I28+1),0)</f>
        <v>0</v>
      </c>
      <c r="J32" s="113"/>
      <c r="K32" s="113"/>
      <c r="L32" s="112">
        <v>0</v>
      </c>
      <c r="M32" s="112"/>
      <c r="N32" s="112"/>
      <c r="O32" s="112"/>
      <c r="P32" s="112"/>
    </row>
    <row r="33" spans="1:16">
      <c r="A33" s="83"/>
      <c r="B33" s="113"/>
      <c r="C33" s="116"/>
      <c r="D33" s="115" t="str">
        <f>IFERROR(IF(OR(ISTEXT(C33),C33=""),"",VLOOKUP(C33,param!A$15:B$22,2,FALSE)),"Param Not Recognised")</f>
        <v/>
      </c>
      <c r="E33" s="114">
        <f>IF(E27,INDEX($L33:$P33,E28+1),0)</f>
        <v>0</v>
      </c>
      <c r="F33" s="114">
        <f>IF(F27,INDEX($L33:$P33,F28+1),0)</f>
        <v>0</v>
      </c>
      <c r="G33" s="114">
        <f>IF(G27,INDEX($L33:$P33,G28+1),0)</f>
        <v>0</v>
      </c>
      <c r="H33" s="114">
        <f>IF(H27,INDEX($L33:$P33,H28+1),0)</f>
        <v>0</v>
      </c>
      <c r="I33" s="114">
        <f>IF(I27,INDEX($L33:$P33,I28+1),0)</f>
        <v>0</v>
      </c>
      <c r="J33" s="113"/>
      <c r="K33" s="113"/>
      <c r="L33" s="112">
        <v>0</v>
      </c>
      <c r="M33" s="112"/>
      <c r="N33" s="112"/>
      <c r="O33" s="112"/>
      <c r="P33" s="112"/>
    </row>
    <row r="34" spans="1:16">
      <c r="A34" s="83"/>
      <c r="B34" s="113"/>
      <c r="C34" s="116"/>
      <c r="D34" s="115" t="str">
        <f>IFERROR(IF(OR(ISTEXT(C34),C34=""),"",VLOOKUP(C34,param!A$15:B$22,2,FALSE)),"Param Not Recognised")</f>
        <v/>
      </c>
      <c r="E34" s="114">
        <f>IF(E27,INDEX($L34:$P34,E28+1),0)</f>
        <v>0</v>
      </c>
      <c r="F34" s="114">
        <f>IF(F27,INDEX($L34:$P34,F28+1),0)</f>
        <v>0</v>
      </c>
      <c r="G34" s="114">
        <f>IF(G27,INDEX($L34:$P34,G28+1),0)</f>
        <v>0</v>
      </c>
      <c r="H34" s="114">
        <f>IF(H27,INDEX($L34:$P34,H28+1),0)</f>
        <v>0</v>
      </c>
      <c r="I34" s="114">
        <f>IF(I27,INDEX($L34:$P34,I28+1),0)</f>
        <v>0</v>
      </c>
      <c r="J34" s="113"/>
      <c r="K34" s="113"/>
      <c r="L34" s="112">
        <v>0</v>
      </c>
      <c r="M34" s="112"/>
      <c r="N34" s="112"/>
      <c r="O34" s="112"/>
      <c r="P34" s="112"/>
    </row>
    <row r="35" spans="1:16">
      <c r="A35" s="83"/>
      <c r="B35" s="113"/>
      <c r="C35" s="116"/>
      <c r="D35" s="115" t="str">
        <f>IFERROR(IF(OR(ISTEXT(C35),C35=""),"",VLOOKUP(C35,param!A$15:B$22,2,FALSE)),"Param Not Recognised")</f>
        <v/>
      </c>
      <c r="E35" s="114">
        <f>IF(E27,INDEX($L35:$P35,E28+1),0)</f>
        <v>0</v>
      </c>
      <c r="F35" s="114">
        <f>IF(F27,INDEX($L35:$P35,F28+1),0)</f>
        <v>0</v>
      </c>
      <c r="G35" s="114">
        <f>IF(G27,INDEX($L35:$P35,G28+1),0)</f>
        <v>0</v>
      </c>
      <c r="H35" s="114">
        <f>IF(H27,INDEX($L35:$P35,H28+1),0)</f>
        <v>0</v>
      </c>
      <c r="I35" s="114">
        <f>IF(I27,INDEX($L35:$P35,I28+1),0)</f>
        <v>0</v>
      </c>
      <c r="J35" s="113"/>
      <c r="K35" s="113"/>
      <c r="L35" s="112">
        <v>0</v>
      </c>
      <c r="M35" s="112"/>
      <c r="N35" s="112"/>
      <c r="O35" s="112"/>
      <c r="P35" s="112"/>
    </row>
    <row r="36" spans="1:16">
      <c r="A36" s="83"/>
      <c r="B36" s="113"/>
      <c r="C36" s="116"/>
      <c r="D36" s="115" t="str">
        <f>IFERROR(IF(OR(ISTEXT(C36),C36=""),"",VLOOKUP(C36,param!A$15:B$22,2,FALSE)),"Param Not Recognised")</f>
        <v/>
      </c>
      <c r="E36" s="114">
        <f>IF(E27,INDEX($L36:$P36,E28+1),0)</f>
        <v>0</v>
      </c>
      <c r="F36" s="114">
        <f>IF(F27,INDEX($L36:$P36,F28+1),0)</f>
        <v>0</v>
      </c>
      <c r="G36" s="114">
        <f>IF(G27,INDEX($L36:$P36,G28+1),0)</f>
        <v>0</v>
      </c>
      <c r="H36" s="114">
        <f>IF(H27,INDEX($L36:$P36,H28+1),0)</f>
        <v>0</v>
      </c>
      <c r="I36" s="114">
        <f>IF(I27,INDEX($L36:$P36,I28+1),0)</f>
        <v>0</v>
      </c>
      <c r="J36" s="113"/>
      <c r="K36" s="113"/>
      <c r="L36" s="112">
        <v>0</v>
      </c>
      <c r="M36" s="112"/>
      <c r="N36" s="112"/>
      <c r="O36" s="112"/>
      <c r="P36" s="112"/>
    </row>
    <row r="37" spans="1:16">
      <c r="A37" s="83"/>
      <c r="B37" s="113"/>
      <c r="C37" s="116"/>
      <c r="D37" s="115" t="str">
        <f>IFERROR(IF(OR(ISTEXT(C37),C37=""),"",VLOOKUP(C37,param!A$15:B$22,2,FALSE)),"Param Not Recognised")</f>
        <v/>
      </c>
      <c r="E37" s="114">
        <f>IF(E27,INDEX($L37:$P37,E28+1),0)</f>
        <v>0</v>
      </c>
      <c r="F37" s="114">
        <f>IF(F27,INDEX($L37:$P37,F28+1),0)</f>
        <v>0</v>
      </c>
      <c r="G37" s="114">
        <f>IF(G27,INDEX($L37:$P37,G28+1),0)</f>
        <v>0</v>
      </c>
      <c r="H37" s="114">
        <f>IF(H27,INDEX($L37:$P37,H28+1),0)</f>
        <v>0</v>
      </c>
      <c r="I37" s="114">
        <f>IF(I27,INDEX($L37:$P37,I28+1),0)</f>
        <v>0</v>
      </c>
      <c r="J37" s="113"/>
      <c r="K37" s="113"/>
      <c r="L37" s="112">
        <v>0</v>
      </c>
      <c r="M37" s="112"/>
      <c r="N37" s="112"/>
      <c r="O37" s="112"/>
      <c r="P37" s="112"/>
    </row>
    <row r="38" spans="1:16">
      <c r="A38" s="83"/>
      <c r="B38" s="113"/>
      <c r="C38" s="116"/>
      <c r="D38" s="115" t="str">
        <f>IFERROR(IF(OR(ISTEXT(C38),C38=""),"",VLOOKUP(C38,param!A$15:B$22,2,FALSE)),"Param Not Recognised")</f>
        <v/>
      </c>
      <c r="E38" s="114">
        <f>IF(E27,INDEX($L38:$P38,E28+1),0)</f>
        <v>0</v>
      </c>
      <c r="F38" s="114">
        <f>IF(F27,INDEX($L38:$P38,F28+1),0)</f>
        <v>0</v>
      </c>
      <c r="G38" s="114">
        <f>IF(G27,INDEX($L38:$P38,G28+1),0)</f>
        <v>0</v>
      </c>
      <c r="H38" s="114">
        <f>IF(H27,INDEX($L38:$P38,H28+1),0)</f>
        <v>0</v>
      </c>
      <c r="I38" s="114">
        <f>IF(I27,INDEX($L38:$P38,I28+1),0)</f>
        <v>0</v>
      </c>
      <c r="J38" s="113"/>
      <c r="K38" s="113"/>
      <c r="L38" s="112">
        <v>0</v>
      </c>
      <c r="M38" s="112"/>
      <c r="N38" s="112"/>
      <c r="O38" s="112"/>
      <c r="P38" s="112"/>
    </row>
    <row r="39" spans="1:16">
      <c r="A39" s="81"/>
    </row>
  </sheetData>
  <hyperlinks>
    <hyperlink ref="D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U30"/>
  <sheetViews>
    <sheetView zoomScaleNormal="100" workbookViewId="0">
      <selection activeCell="K2" sqref="K2"/>
    </sheetView>
  </sheetViews>
  <sheetFormatPr defaultColWidth="8.796875" defaultRowHeight="14.25"/>
  <cols>
    <col min="1" max="1" width="1.69921875" style="140" customWidth="1"/>
    <col min="2" max="2" width="1.69921875" style="83" customWidth="1"/>
    <col min="3" max="3" width="24.69921875" style="83" customWidth="1"/>
    <col min="4" max="4" width="1.69921875" style="83" customWidth="1"/>
    <col min="5" max="5" width="10.69921875" style="83" customWidth="1"/>
    <col min="6" max="6" width="1.69921875" style="83" customWidth="1"/>
    <col min="7" max="7" width="10.69921875" style="83" customWidth="1"/>
    <col min="8" max="8" width="1.69921875" style="83" customWidth="1"/>
    <col min="9" max="9" width="10.69921875" style="83" customWidth="1"/>
    <col min="10" max="10" width="1.69921875" style="83" customWidth="1"/>
    <col min="11" max="11" width="10.69921875" style="83" customWidth="1"/>
    <col min="12" max="12" width="1.69921875" style="83" customWidth="1"/>
    <col min="13" max="13" width="10.69921875" style="83" customWidth="1"/>
    <col min="14" max="14" width="1.69921875" style="83" customWidth="1"/>
    <col min="15" max="15" width="10.69921875" style="83" customWidth="1"/>
    <col min="16" max="17" width="1.69921875" style="83" customWidth="1"/>
    <col min="18" max="18" width="20.69921875" style="83" customWidth="1"/>
    <col min="19" max="16384" width="8.796875" style="83"/>
  </cols>
  <sheetData>
    <row r="1" spans="1:21" s="141" customFormat="1" ht="6" customHeight="1">
      <c r="A1" s="140"/>
    </row>
    <row r="2" spans="1:21" s="157" customFormat="1" ht="54.75" customHeight="1">
      <c r="A2" s="140"/>
      <c r="O2" s="165" t="s">
        <v>214</v>
      </c>
      <c r="T2" s="164" t="s">
        <v>213</v>
      </c>
      <c r="U2" s="157" t="s">
        <v>212</v>
      </c>
    </row>
    <row r="3" spans="1:21" s="141" customFormat="1" ht="9.9499999999999993" customHeight="1">
      <c r="A3" s="140"/>
    </row>
    <row r="4" spans="1:21" s="141" customFormat="1" ht="44.1" customHeight="1">
      <c r="A4" s="140"/>
      <c r="F4" s="157"/>
      <c r="G4" s="157"/>
      <c r="H4" s="157"/>
      <c r="I4" s="157"/>
      <c r="J4" s="157"/>
      <c r="K4" s="163"/>
      <c r="L4" s="162"/>
      <c r="M4" s="162"/>
      <c r="N4" s="162"/>
      <c r="O4" s="161"/>
      <c r="P4" s="157"/>
    </row>
    <row r="5" spans="1:21" s="141" customFormat="1" ht="6" customHeight="1">
      <c r="A5" s="140"/>
      <c r="C5" s="160"/>
      <c r="F5" s="157"/>
      <c r="G5" s="157"/>
      <c r="H5" s="157"/>
      <c r="I5" s="157"/>
      <c r="J5" s="157"/>
      <c r="K5" s="159"/>
      <c r="L5" s="579" t="s">
        <v>211</v>
      </c>
      <c r="M5" s="579"/>
      <c r="N5" s="579"/>
      <c r="O5" s="158"/>
      <c r="P5" s="157"/>
    </row>
    <row r="6" spans="1:21" s="141" customFormat="1">
      <c r="A6" s="140"/>
      <c r="F6" s="157"/>
      <c r="G6" s="157"/>
      <c r="H6" s="157"/>
      <c r="I6" s="157"/>
      <c r="J6" s="157"/>
      <c r="K6" s="159"/>
      <c r="L6" s="579"/>
      <c r="M6" s="579"/>
      <c r="N6" s="579"/>
      <c r="O6" s="158"/>
      <c r="P6" s="157"/>
    </row>
    <row r="7" spans="1:21" s="141" customFormat="1" ht="45.75" customHeight="1" thickBot="1">
      <c r="A7" s="145"/>
      <c r="B7" s="143"/>
      <c r="C7" s="156" t="s">
        <v>210</v>
      </c>
      <c r="D7" s="155"/>
      <c r="E7" s="155"/>
      <c r="F7" s="155"/>
      <c r="G7" s="155"/>
      <c r="H7" s="144"/>
      <c r="I7" s="144"/>
      <c r="J7" s="144"/>
      <c r="K7" s="152"/>
      <c r="L7" s="579"/>
      <c r="M7" s="579"/>
      <c r="N7" s="579"/>
      <c r="O7" s="151"/>
      <c r="P7" s="144"/>
      <c r="Q7" s="143"/>
      <c r="R7" s="143"/>
    </row>
    <row r="8" spans="1:21" s="141" customFormat="1" ht="28.5" customHeight="1">
      <c r="A8" s="145"/>
      <c r="B8" s="143"/>
      <c r="C8" s="154" t="s">
        <v>209</v>
      </c>
      <c r="D8" s="143"/>
      <c r="E8" s="143"/>
      <c r="F8" s="144"/>
      <c r="G8" s="144"/>
      <c r="H8" s="144"/>
      <c r="I8" s="144"/>
      <c r="J8" s="144"/>
      <c r="K8" s="152"/>
      <c r="L8" s="579"/>
      <c r="M8" s="579"/>
      <c r="N8" s="579"/>
      <c r="O8" s="151"/>
      <c r="P8" s="144"/>
      <c r="Q8" s="143"/>
      <c r="R8" s="143"/>
    </row>
    <row r="9" spans="1:21" s="141" customFormat="1" ht="21.95" customHeight="1">
      <c r="A9" s="145"/>
      <c r="B9" s="143"/>
      <c r="D9" s="143"/>
      <c r="E9" s="143"/>
      <c r="F9" s="144"/>
      <c r="G9" s="144"/>
      <c r="H9" s="144"/>
      <c r="I9" s="144"/>
      <c r="J9" s="144"/>
      <c r="K9" s="152"/>
      <c r="L9" s="579"/>
      <c r="M9" s="579"/>
      <c r="N9" s="579"/>
      <c r="O9" s="151"/>
      <c r="P9" s="144"/>
      <c r="Q9" s="143"/>
      <c r="R9" s="143"/>
    </row>
    <row r="10" spans="1:21" s="141" customFormat="1" ht="21.95" customHeight="1">
      <c r="A10" s="145"/>
      <c r="B10" s="143"/>
      <c r="C10" s="143"/>
      <c r="D10" s="143"/>
      <c r="E10" s="143"/>
      <c r="F10" s="144"/>
      <c r="G10" s="144"/>
      <c r="H10" s="144"/>
      <c r="I10" s="144"/>
      <c r="J10" s="144"/>
      <c r="K10" s="152"/>
      <c r="L10" s="144"/>
      <c r="M10" s="144"/>
      <c r="N10" s="144"/>
      <c r="O10" s="151"/>
      <c r="P10" s="144"/>
      <c r="Q10" s="143"/>
      <c r="R10" s="143"/>
    </row>
    <row r="11" spans="1:21" s="141" customFormat="1" ht="21.95" customHeight="1">
      <c r="A11" s="145"/>
      <c r="B11" s="143"/>
      <c r="D11" s="143"/>
      <c r="E11" s="143"/>
      <c r="F11" s="144"/>
      <c r="G11" s="144"/>
      <c r="H11" s="144"/>
      <c r="I11" s="144"/>
      <c r="J11" s="144"/>
      <c r="K11" s="152"/>
      <c r="L11" s="144"/>
      <c r="M11" s="144"/>
      <c r="N11" s="144"/>
      <c r="O11" s="151"/>
      <c r="P11" s="144"/>
      <c r="Q11" s="143"/>
      <c r="R11" s="143"/>
    </row>
    <row r="12" spans="1:21" s="141" customFormat="1" ht="21.95" customHeight="1">
      <c r="A12" s="145"/>
      <c r="B12" s="143"/>
      <c r="D12" s="143"/>
      <c r="E12" s="143"/>
      <c r="F12" s="144"/>
      <c r="G12" s="144"/>
      <c r="H12" s="144"/>
      <c r="I12" s="144"/>
      <c r="J12" s="144"/>
      <c r="K12" s="152"/>
      <c r="L12" s="144"/>
      <c r="M12" s="144"/>
      <c r="N12" s="144"/>
      <c r="O12" s="151"/>
      <c r="P12" s="144"/>
      <c r="Q12" s="143"/>
      <c r="R12" s="143"/>
    </row>
    <row r="13" spans="1:21" s="141" customFormat="1" ht="21.95" customHeight="1">
      <c r="A13" s="145"/>
      <c r="B13" s="143"/>
      <c r="C13" s="143"/>
      <c r="D13" s="143"/>
      <c r="E13" s="143"/>
      <c r="F13" s="144"/>
      <c r="G13" s="144"/>
      <c r="H13" s="144"/>
      <c r="I13" s="144"/>
      <c r="J13" s="144"/>
      <c r="K13" s="152"/>
      <c r="L13" s="144"/>
      <c r="M13" s="144"/>
      <c r="N13" s="144"/>
      <c r="O13" s="151"/>
      <c r="P13" s="144"/>
      <c r="Q13" s="143"/>
      <c r="R13" s="143"/>
      <c r="T13" s="112" t="b">
        <v>0</v>
      </c>
    </row>
    <row r="14" spans="1:21" s="141" customFormat="1" ht="21.95" customHeight="1">
      <c r="A14" s="145"/>
      <c r="B14" s="143"/>
      <c r="C14" s="580" t="s">
        <v>208</v>
      </c>
      <c r="D14" s="580"/>
      <c r="E14" s="580"/>
      <c r="F14" s="580"/>
      <c r="G14" s="580"/>
      <c r="H14" s="144"/>
      <c r="I14" s="144"/>
      <c r="J14" s="144"/>
      <c r="K14" s="152"/>
      <c r="L14" s="144"/>
      <c r="M14" s="144"/>
      <c r="N14" s="144"/>
      <c r="O14" s="151"/>
      <c r="P14" s="144"/>
      <c r="Q14" s="143"/>
      <c r="R14" s="143"/>
      <c r="T14" s="112" t="b">
        <v>0</v>
      </c>
    </row>
    <row r="15" spans="1:21" s="141" customFormat="1" ht="21.95" customHeight="1">
      <c r="A15" s="145"/>
      <c r="B15" s="143"/>
      <c r="C15" s="582" t="s">
        <v>5</v>
      </c>
      <c r="D15" s="582"/>
      <c r="E15" s="582"/>
      <c r="F15" s="582"/>
      <c r="G15" s="582"/>
      <c r="H15" s="144"/>
      <c r="I15" s="144"/>
      <c r="J15" s="144"/>
      <c r="K15" s="152"/>
      <c r="L15" s="144"/>
      <c r="M15" s="144"/>
      <c r="N15" s="144"/>
      <c r="O15" s="151"/>
      <c r="P15" s="144"/>
      <c r="Q15" s="143"/>
      <c r="R15" s="143"/>
      <c r="T15" s="112" t="b">
        <v>0</v>
      </c>
    </row>
    <row r="16" spans="1:21" s="141" customFormat="1" ht="21.95" customHeight="1">
      <c r="A16" s="145"/>
      <c r="B16" s="143"/>
      <c r="C16" s="143"/>
      <c r="D16" s="143"/>
      <c r="E16" s="143"/>
      <c r="F16" s="144"/>
      <c r="G16" s="144"/>
      <c r="H16" s="144"/>
      <c r="I16" s="144"/>
      <c r="J16" s="144"/>
      <c r="K16" s="152"/>
      <c r="L16" s="144"/>
      <c r="M16" s="144"/>
      <c r="N16" s="144"/>
      <c r="O16" s="151"/>
      <c r="P16" s="144"/>
      <c r="Q16" s="143"/>
      <c r="R16" s="143"/>
      <c r="T16" s="112" t="b">
        <v>0</v>
      </c>
    </row>
    <row r="17" spans="1:20" s="141" customFormat="1" ht="21.95" customHeight="1" thickBot="1">
      <c r="A17" s="145"/>
      <c r="B17" s="143"/>
      <c r="C17" s="143" t="s">
        <v>207</v>
      </c>
      <c r="D17" s="143"/>
      <c r="E17" s="580" t="s">
        <v>206</v>
      </c>
      <c r="F17" s="580"/>
      <c r="G17" s="580"/>
      <c r="H17" s="153"/>
      <c r="I17" s="153"/>
      <c r="J17" s="144"/>
      <c r="K17" s="152"/>
      <c r="L17" s="144"/>
      <c r="M17" s="144"/>
      <c r="N17" s="144"/>
      <c r="O17" s="151"/>
      <c r="P17" s="144"/>
      <c r="Q17" s="143"/>
      <c r="R17" s="143"/>
      <c r="T17" s="112" t="b">
        <v>0</v>
      </c>
    </row>
    <row r="18" spans="1:20" s="141" customFormat="1" ht="21.95" customHeight="1">
      <c r="A18" s="145"/>
      <c r="B18" s="143"/>
      <c r="C18" s="150">
        <v>1</v>
      </c>
      <c r="D18" s="143"/>
      <c r="E18" s="581">
        <f>xxRound</f>
        <v>1</v>
      </c>
      <c r="F18" s="581"/>
      <c r="G18" s="581"/>
      <c r="H18" s="149"/>
      <c r="I18" s="149"/>
      <c r="J18" s="144"/>
      <c r="K18" s="148"/>
      <c r="L18" s="147"/>
      <c r="M18" s="147"/>
      <c r="N18" s="147"/>
      <c r="O18" s="146"/>
      <c r="P18" s="144"/>
      <c r="Q18" s="143"/>
      <c r="R18" s="143"/>
      <c r="T18" s="141" t="s">
        <v>205</v>
      </c>
    </row>
    <row r="19" spans="1:20" s="141" customFormat="1" ht="9.9499999999999993" customHeight="1">
      <c r="A19" s="145"/>
      <c r="B19" s="143"/>
      <c r="C19" s="143"/>
      <c r="D19" s="143"/>
      <c r="E19" s="143"/>
      <c r="F19" s="143"/>
      <c r="G19" s="143"/>
      <c r="H19" s="144"/>
      <c r="I19" s="144"/>
      <c r="J19" s="143"/>
      <c r="K19" s="143"/>
      <c r="L19" s="143"/>
      <c r="M19" s="143"/>
      <c r="N19" s="143"/>
      <c r="O19" s="143"/>
      <c r="P19" s="143"/>
      <c r="Q19" s="143"/>
      <c r="R19" s="143"/>
    </row>
    <row r="20" spans="1:20" s="141" customFormat="1" ht="21.95" customHeight="1">
      <c r="A20" s="140"/>
    </row>
    <row r="21" spans="1:20" s="142" customFormat="1" ht="21.95" customHeight="1">
      <c r="A21" s="140"/>
    </row>
    <row r="22" spans="1:20" s="142" customFormat="1" ht="21.95" customHeight="1">
      <c r="A22" s="140"/>
    </row>
    <row r="23" spans="1:20" s="141" customFormat="1" ht="21.95" customHeight="1">
      <c r="A23" s="140"/>
    </row>
    <row r="24" spans="1:20" ht="21.95" customHeight="1"/>
    <row r="25" spans="1:20" ht="21.95" customHeight="1"/>
    <row r="26" spans="1:20" ht="21.95" customHeight="1"/>
    <row r="27" spans="1:20" ht="21.95" customHeight="1"/>
    <row r="28" spans="1:20" ht="21.95" customHeight="1"/>
    <row r="29" spans="1:20" ht="21.95" customHeight="1"/>
    <row r="30" spans="1:20" ht="21.95" customHeight="1"/>
  </sheetData>
  <sheetProtection selectLockedCells="1"/>
  <mergeCells count="5">
    <mergeCell ref="L5:N9"/>
    <mergeCell ref="E17:G17"/>
    <mergeCell ref="E18:G18"/>
    <mergeCell ref="C15:G15"/>
    <mergeCell ref="C14:G14"/>
  </mergeCells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</sheetPr>
  <dimension ref="C1:Z49"/>
  <sheetViews>
    <sheetView topLeftCell="A7" zoomScaleNormal="100" workbookViewId="0">
      <selection activeCell="C11" sqref="C11"/>
    </sheetView>
  </sheetViews>
  <sheetFormatPr defaultColWidth="8.796875" defaultRowHeight="15"/>
  <cols>
    <col min="1" max="2" width="1.69921875" style="166" customWidth="1"/>
    <col min="3" max="3" width="27.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"Share &amp; Volume: "&amp;DB_Dashboard1Prod1</f>
        <v xml:space="preserve">Share &amp; Volume: TRx Share  0.32% NRx Share  0.33% TRx Volume  383 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"Scorecard Metrics: "&amp;DB_Dashboard2Prod1</f>
        <v xml:space="preserve">Scorecard Metrics: Market Execution  60.0 Employee Engagement  60.0 </v>
      </c>
      <c r="Y3" s="516" t="s">
        <v>2404</v>
      </c>
    </row>
    <row r="4" spans="3:26" s="342" customFormat="1" ht="22.15" customHeight="1">
      <c r="C4" s="344"/>
      <c r="T4" s="343" t="str">
        <f>"Resources: "&amp;DB_Dashboard3Prod1</f>
        <v>Resources: 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nmProd1</f>
        <v>Riverrun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nmProd1Seg1</f>
        <v>Riverrun Central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K10" s="360"/>
      <c r="L10" s="346"/>
      <c r="M10" s="346"/>
      <c r="N10" s="346"/>
      <c r="X10" s="168" t="s">
        <v>549</v>
      </c>
      <c r="Y10" s="349">
        <f>INDEX(obalProd1Seg1TotalShare,,xxIndexTeam)</f>
        <v>3.2000000000000002E-3</v>
      </c>
      <c r="Z10" s="349">
        <f>INDEX(calcProd1Seg1ShareTotalCustR1,,xxIndexTeam)</f>
        <v>3.32768E-3</v>
      </c>
    </row>
    <row r="11" spans="3:26" s="168" customFormat="1" ht="9.9499999999999993" customHeight="1">
      <c r="X11" s="168" t="s">
        <v>550</v>
      </c>
      <c r="Y11" s="349">
        <f>INDEX(obalProd1Seg1NewShare,,xxIndexTeam)</f>
        <v>3.2000000000000002E-3</v>
      </c>
      <c r="Z11" s="349">
        <f>INDEX(calcProd1Seg1ShareNewCustR1,,xxIndexTeam)</f>
        <v>3.3276800000000004E-3</v>
      </c>
    </row>
    <row r="12" spans="3:26" s="168" customFormat="1" ht="15" customHeight="1">
      <c r="C12" s="168" t="str">
        <f>nmPayer1</f>
        <v>Blue Sword/Blue Shield</v>
      </c>
      <c r="E12" s="345">
        <f>INDEX(calcProd1Seg1Payer1VolumeR1,,xxIndexTeam)</f>
        <v>110.2551725184</v>
      </c>
      <c r="G12" s="548">
        <f>tlOutputProd1Seg1Payer1Volume_R1-V12</f>
        <v>19.562052518400009</v>
      </c>
      <c r="K12" s="345"/>
      <c r="V12" s="540">
        <f>INDEX(obalProd1Seg1Payer1Volume,,xxIndexTeam)</f>
        <v>90.693119999999993</v>
      </c>
    </row>
    <row r="13" spans="3:26" s="168" customFormat="1" ht="12.6" customHeight="1">
      <c r="C13" s="287"/>
      <c r="V13" s="540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INDEX(calcProd1Seg1Payer3VolumeR1,,xxIndexTeam)</f>
        <v>47.189152684800021</v>
      </c>
      <c r="G14" s="548">
        <f>tlOutputProd1Seg1Payer3Volume_R1-V14</f>
        <v>8.3206726848000159</v>
      </c>
      <c r="K14" s="345"/>
      <c r="V14" s="540">
        <f>INDEX(obalProd1Seg1Payer3Volume,,xxIndexTeam)</f>
        <v>38.868480000000005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2.6" customHeight="1">
      <c r="C16" s="168" t="str">
        <f>nmPayer2</f>
        <v>WesterAid</v>
      </c>
      <c r="E16" s="345">
        <f>INDEX(calcProd1Seg1Payer2VolumeR1,,xxIndexTeam)</f>
        <v>1.5383820480000034</v>
      </c>
      <c r="G16" s="548">
        <f>tlOutputProd1Seg1Payer2Volume_R1-V16</f>
        <v>1.5383820480000034</v>
      </c>
      <c r="V16" s="168">
        <f>INDEX(obalProd1Seg1Payer2Volume,,xxIndexTeam)</f>
        <v>0</v>
      </c>
      <c r="Y16" s="349"/>
      <c r="Z16" s="349"/>
    </row>
    <row r="17" spans="3:26" s="168" customFormat="1" ht="21.95" customHeight="1">
      <c r="C17" s="287"/>
      <c r="X17" s="168" t="s">
        <v>586</v>
      </c>
      <c r="Y17" s="331" t="s">
        <v>587</v>
      </c>
      <c r="Z17" s="331"/>
    </row>
    <row r="18" spans="3:26" s="168" customFormat="1" ht="21.95" customHeight="1">
      <c r="C18" s="531" t="s">
        <v>3184</v>
      </c>
      <c r="E18" s="368"/>
      <c r="G18" s="360" t="s">
        <v>516</v>
      </c>
      <c r="I18" s="370" t="s">
        <v>587</v>
      </c>
      <c r="J18" s="527"/>
      <c r="K18" s="371" t="s">
        <v>586</v>
      </c>
      <c r="W18" s="168" t="s">
        <v>590</v>
      </c>
      <c r="X18" s="351">
        <v>476948.12175360008</v>
      </c>
      <c r="Y18" s="351">
        <f>INDEX(calcProd1Seg1GrossRevenueR1,,xxIndexTeam)</f>
        <v>476948.12175360008</v>
      </c>
    </row>
    <row r="19" spans="3:26" s="168" customFormat="1" ht="13.9" customHeight="1">
      <c r="C19" s="358" t="s">
        <v>2890</v>
      </c>
      <c r="E19" s="348">
        <v>0.33</v>
      </c>
      <c r="G19" s="533">
        <f>tlOutputProd1Seg1SampleCost_R1/70</f>
        <v>235.71428571428572</v>
      </c>
      <c r="I19" s="359">
        <f>INDEX(calcProd1Seg1SampleAllocR1,,xxIndexTeam)</f>
        <v>16500</v>
      </c>
      <c r="K19" s="359">
        <f>INDEX(obalProd1Seg1SampleAlloc,,xxIndexTeam)</f>
        <v>16500</v>
      </c>
      <c r="W19" s="168" t="s">
        <v>3825</v>
      </c>
      <c r="X19" s="351">
        <v>258316.89605568006</v>
      </c>
      <c r="Y19" s="351">
        <f>INDEX(calcProd1Seg1Reimbursement,,xxIndexTeam)</f>
        <v>258316.89605568006</v>
      </c>
    </row>
    <row r="20" spans="3:26" s="168" customFormat="1" ht="21.95" customHeight="1">
      <c r="W20" s="168" t="s">
        <v>593</v>
      </c>
      <c r="X20" s="351">
        <v>218631.22569792002</v>
      </c>
      <c r="Y20" s="351">
        <f>INDEX(calcProd1Seg1NetRevenueR1,,xxIndexTeam)</f>
        <v>218631.22569792002</v>
      </c>
    </row>
    <row r="21" spans="3:26" s="168" customFormat="1" ht="19.149999999999999" customHeight="1">
      <c r="C21" s="168" t="s">
        <v>3189</v>
      </c>
      <c r="E21" s="532">
        <v>0.33</v>
      </c>
      <c r="I21" s="370" t="s">
        <v>587</v>
      </c>
      <c r="J21" s="368"/>
      <c r="K21" s="371" t="s">
        <v>586</v>
      </c>
      <c r="W21" s="168" t="s">
        <v>516</v>
      </c>
      <c r="X21" s="351">
        <v>16500</v>
      </c>
      <c r="Y21" s="351">
        <f>INDEX(calcProd1Seg1SampleAllocR1,,xxIndexTeam)</f>
        <v>16500</v>
      </c>
    </row>
    <row r="22" spans="3:26" s="168" customFormat="1" ht="13.9" customHeight="1">
      <c r="I22" s="359">
        <f>INDEX(calcProd1Seg1PromotionAllocationR1,,xxIndexTeam)</f>
        <v>66000</v>
      </c>
      <c r="K22" s="536">
        <f>INDEX(obalProd1Seg1TotalPromotionAllocation,,xxIndexTeam)</f>
        <v>66000</v>
      </c>
      <c r="W22" s="168" t="s">
        <v>3251</v>
      </c>
      <c r="X22" s="351">
        <v>33000</v>
      </c>
      <c r="Y22" s="351">
        <f>INDEX(calcProd1Seg1SpeakerAllocR1,,xxIndexTeam)</f>
        <v>33000</v>
      </c>
    </row>
    <row r="23" spans="3:26" s="168" customFormat="1" ht="6.6" customHeight="1">
      <c r="C23" s="527"/>
      <c r="E23" s="352"/>
      <c r="I23" s="358"/>
      <c r="J23" s="530"/>
      <c r="K23" s="535"/>
      <c r="W23" s="168" t="s">
        <v>2333</v>
      </c>
      <c r="X23" s="351">
        <v>33000</v>
      </c>
      <c r="Y23" s="351">
        <f>INDEX(calcProd1Seg1PromotionAllocR1,,xxIndexTeam)</f>
        <v>33000</v>
      </c>
    </row>
    <row r="24" spans="3:26" s="168" customFormat="1" ht="13.9" customHeight="1">
      <c r="C24" s="527" t="s">
        <v>2900</v>
      </c>
      <c r="E24" s="348">
        <v>0.5</v>
      </c>
      <c r="I24" s="359">
        <f>INDEX(calcProd1Seg1SpeakerAllocR1,,xxIndexTeam)</f>
        <v>33000</v>
      </c>
      <c r="J24" s="530"/>
      <c r="K24" s="536">
        <f>INDEX(obalProd1Seg1SpeakerAlloc,,xxIndexTeam)</f>
        <v>33000</v>
      </c>
      <c r="W24" s="168" t="s">
        <v>594</v>
      </c>
      <c r="X24" s="351">
        <v>10000</v>
      </c>
      <c r="Y24" s="351">
        <f>INDEX(calcProd1Seg1InternalCostR1,,xxIndexTeam)</f>
        <v>0</v>
      </c>
    </row>
    <row r="25" spans="3:26" s="168" customFormat="1" ht="6.6" customHeight="1">
      <c r="C25" s="527"/>
      <c r="E25" s="352"/>
      <c r="I25" s="358"/>
      <c r="J25" s="530"/>
      <c r="K25" s="535"/>
      <c r="W25" s="168" t="s">
        <v>595</v>
      </c>
      <c r="X25" s="351">
        <v>126131.22569792002</v>
      </c>
      <c r="Y25" s="351">
        <f>Y20-SUM(Y21:Y24)</f>
        <v>136131.22569792002</v>
      </c>
    </row>
    <row r="26" spans="3:26" s="168" customFormat="1" ht="13.9" customHeight="1">
      <c r="C26" s="527" t="s">
        <v>2901</v>
      </c>
      <c r="E26" s="539">
        <f>1-tlInputProd1Seg1SpeakersPerc_R1</f>
        <v>0.5</v>
      </c>
      <c r="I26" s="359">
        <f>INDEX(calcProd1Seg1PromotionAllocR1,,xxIndexTeam)</f>
        <v>33000</v>
      </c>
      <c r="J26" s="530"/>
      <c r="K26" s="536">
        <f>INDEX(obalProd1Seg1PromotionAlloc,,xxIndexTeam)</f>
        <v>33000</v>
      </c>
    </row>
    <row r="27" spans="3:26" s="168" customFormat="1" ht="21.95" customHeight="1">
      <c r="E27" s="331"/>
    </row>
    <row r="28" spans="3:26" s="168" customFormat="1" ht="21.95" customHeight="1">
      <c r="C28" s="287" t="s">
        <v>2902</v>
      </c>
      <c r="G28" s="368" t="s">
        <v>2666</v>
      </c>
      <c r="I28" s="356"/>
      <c r="K28" s="356"/>
    </row>
    <row r="29" spans="3:26" s="168" customFormat="1" ht="14.45" customHeight="1">
      <c r="C29" s="340" t="s">
        <v>556</v>
      </c>
      <c r="E29" s="353">
        <v>0</v>
      </c>
      <c r="G29" s="358">
        <f>INDEX(calcProd1Seg1FTEsCFCollabR1,,xxIndexTeam)</f>
        <v>0</v>
      </c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3191</v>
      </c>
      <c r="E33" s="354" t="str">
        <f>nmProd1Seg1Rep1</f>
        <v>Rep Allen</v>
      </c>
      <c r="F33" s="363"/>
      <c r="G33" s="354" t="str">
        <f>nmProd1Seg1Rep2</f>
        <v>Rep Betty</v>
      </c>
      <c r="H33" s="363"/>
      <c r="I33" s="354" t="str">
        <f>nmProd1Seg1Rep3</f>
        <v>Rep Chris</v>
      </c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3">
        <v>0</v>
      </c>
      <c r="H34" s="336"/>
      <c r="I34" s="353">
        <v>0</v>
      </c>
      <c r="K34" s="355"/>
      <c r="W34" s="168" t="s">
        <v>592</v>
      </c>
      <c r="X34" s="496">
        <f>INDEX(obalESATProd1,,xxIndexTeam)</f>
        <v>60</v>
      </c>
      <c r="Y34" s="496">
        <f>INDEX(calcESATProd1R1,,xxIndexTeam)</f>
        <v>60</v>
      </c>
    </row>
    <row r="35" spans="3:26" s="168" customFormat="1" ht="9" customHeight="1">
      <c r="E35" s="355"/>
      <c r="F35" s="336"/>
      <c r="G35" s="355"/>
      <c r="H35" s="336"/>
      <c r="I35" s="355"/>
      <c r="K35" s="355"/>
      <c r="W35" s="168" t="s">
        <v>2644</v>
      </c>
      <c r="X35" s="496">
        <f>INDEX(obalOpEffProd1,,xxIndexTeam)</f>
        <v>60</v>
      </c>
      <c r="Y35" s="496">
        <f>INDEX(calcOpEffProd1R1,,xxIndexTeam)</f>
        <v>60</v>
      </c>
    </row>
    <row r="36" spans="3:26" s="168" customFormat="1" ht="21.95" customHeight="1">
      <c r="C36" s="333" t="s">
        <v>2666</v>
      </c>
      <c r="E36" s="354">
        <f>INDEX(calcProd1Seg1FTEsRep1R1,,xxIndexTeam)</f>
        <v>0</v>
      </c>
      <c r="F36" s="364"/>
      <c r="G36" s="354">
        <f>INDEX(calcProd1Seg1FTEsRep2R1,,xxIndexTeam)</f>
        <v>0</v>
      </c>
      <c r="H36" s="364"/>
      <c r="I36" s="354">
        <f>INDEX(calcProd1Seg1FTEsRep3R1,,xxIndexTeam)</f>
        <v>0</v>
      </c>
      <c r="J36" s="354"/>
      <c r="K36" s="354"/>
    </row>
    <row r="37" spans="3:26" s="168" customFormat="1" ht="21.95" customHeight="1">
      <c r="C37" s="333"/>
      <c r="E37" s="354"/>
      <c r="F37" s="364"/>
      <c r="G37" s="354" t="s">
        <v>2666</v>
      </c>
      <c r="H37" s="364"/>
      <c r="I37" s="354"/>
      <c r="J37" s="354"/>
      <c r="K37" s="354"/>
    </row>
    <row r="38" spans="3:26" s="168" customFormat="1" ht="21.95" customHeight="1">
      <c r="C38" s="340" t="s">
        <v>3211</v>
      </c>
      <c r="E38" s="353">
        <v>0</v>
      </c>
      <c r="G38" s="358">
        <f>INDEX(calcProd1Seg1FTEsRegTrainR1,,xxIndexTeam)</f>
        <v>0</v>
      </c>
      <c r="X38" s="168" t="str">
        <f>nmProd1Seg1Rep1</f>
        <v>Rep Allen</v>
      </c>
      <c r="Y38" s="168" t="str">
        <f>nmProd1Seg1Rep2</f>
        <v>Rep Betty</v>
      </c>
      <c r="Z38" s="168" t="str">
        <f>nmProd1Seg1Rep3</f>
        <v>Rep Chris</v>
      </c>
    </row>
    <row r="39" spans="3:26" s="168" customFormat="1" ht="21.95" customHeight="1">
      <c r="C39" s="287" t="s">
        <v>598</v>
      </c>
      <c r="F39" s="336"/>
      <c r="H39" s="336"/>
      <c r="K39" s="356"/>
      <c r="W39" s="168" t="s">
        <v>596</v>
      </c>
      <c r="X39" s="331">
        <f>1-tlOutputProd1Seg1Rep1IntTime_R1</f>
        <v>0.9</v>
      </c>
      <c r="Y39" s="331">
        <f>1-tlOutputProd1Seg1Rep2IntTime_R1</f>
        <v>0.9</v>
      </c>
      <c r="Z39" s="331">
        <f>1-tlOutputProd1Seg1Rep3IntTime_R1</f>
        <v>0.9</v>
      </c>
    </row>
    <row r="40" spans="3:26" s="168" customFormat="1" ht="8.4499999999999993" customHeight="1">
      <c r="J40" s="368"/>
      <c r="K40" s="356"/>
      <c r="X40" s="331"/>
      <c r="Y40" s="331"/>
      <c r="Z40" s="331"/>
    </row>
    <row r="41" spans="3:26" s="168" customFormat="1" ht="21.95" customHeight="1">
      <c r="C41" s="368" t="str">
        <f>nmTherapy1</f>
        <v>Wintellix</v>
      </c>
      <c r="E41" s="373">
        <v>0.4</v>
      </c>
      <c r="F41" s="363"/>
      <c r="G41" s="373">
        <v>0.4</v>
      </c>
      <c r="H41" s="363"/>
      <c r="I41" s="373">
        <v>0.6</v>
      </c>
      <c r="J41" s="368"/>
      <c r="W41" s="168" t="s">
        <v>597</v>
      </c>
      <c r="X41" s="331">
        <f>INDEX(calcProd1Seg1Rep1InternalTimeR1,,xxIndexTeam)</f>
        <v>0.1</v>
      </c>
      <c r="Y41" s="331">
        <f>INDEX(calcProd1Seg1Rep2InternalTimeR1,,xxIndexTeam)</f>
        <v>0.1</v>
      </c>
      <c r="Z41" s="331">
        <f>INDEX(calcProd1Seg1Rep3InternalTimeR1,,xxIndexTeam)</f>
        <v>0.1</v>
      </c>
    </row>
    <row r="42" spans="3:26" s="168" customFormat="1" ht="21.95" customHeight="1">
      <c r="C42" s="333" t="s">
        <v>612</v>
      </c>
      <c r="E42" s="374">
        <f>INDEX(obalInputProd1Seg1Therapy1Rep1Weight_R1,,xxIndexTeam)</f>
        <v>0.4</v>
      </c>
      <c r="F42" s="336"/>
      <c r="G42" s="374">
        <f>INDEX(obalInputProd1Seg1Therapy1Rep2Weight_R1,,xxIndexTeam)</f>
        <v>0.4</v>
      </c>
      <c r="H42" s="336"/>
      <c r="I42" s="374">
        <f>INDEX(obalInputProd1Seg1Therapy1Rep3Weight_R1,,xxIndexTeam)</f>
        <v>0.6</v>
      </c>
    </row>
    <row r="43" spans="3:26" s="168" customFormat="1" ht="21.95" customHeight="1"/>
    <row r="44" spans="3:26" s="168" customFormat="1" ht="21.95" customHeight="1"/>
    <row r="45" spans="3:26" s="167" customFormat="1" ht="15" customHeight="1"/>
    <row r="46" spans="3:26" s="167" customFormat="1" ht="15" customHeight="1"/>
    <row r="47" spans="3:26" ht="21.95" customHeight="1"/>
    <row r="48" spans="3:26" ht="21.95" customHeight="1"/>
    <row r="49" ht="21.95" customHeight="1"/>
  </sheetData>
  <sheetProtection selectLockedCells="1"/>
  <conditionalFormatting sqref="I19">
    <cfRule type="expression" dxfId="150" priority="5">
      <formula>I19&gt;#REF!</formula>
    </cfRule>
  </conditionalFormatting>
  <conditionalFormatting sqref="K19">
    <cfRule type="expression" dxfId="149" priority="4">
      <formula>K19&gt;#REF!</formula>
    </cfRule>
  </conditionalFormatting>
  <conditionalFormatting sqref="I24 I26">
    <cfRule type="expression" dxfId="148" priority="3">
      <formula>I24&gt;#REF!</formula>
    </cfRule>
  </conditionalFormatting>
  <conditionalFormatting sqref="K24 K26">
    <cfRule type="expression" dxfId="147" priority="2">
      <formula>K24&gt;#REF!</formula>
    </cfRule>
  </conditionalFormatting>
  <conditionalFormatting sqref="I22">
    <cfRule type="expression" dxfId="146" priority="1">
      <formula>I22&gt;#REF!</formula>
    </cfRule>
  </conditionalFormatting>
  <dataValidations disablePrompts="1" count="1">
    <dataValidation type="list" allowBlank="1" showInputMessage="1" showErrorMessage="1" sqref="E29 E38 E34 G34 I34">
      <formula1>"0,1,2,3,4,5"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4"/>
  </sheetPr>
  <dimension ref="C1:Z49"/>
  <sheetViews>
    <sheetView topLeftCell="A9" zoomScaleNormal="100" workbookViewId="0">
      <selection activeCell="A14" sqref="A14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DB_Dashboard1Prod1</f>
        <v xml:space="preserve">TRx Share  0.32% NRx Share  0.33% TRx Volume  383 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DB_Dashboard2Prod1</f>
        <v xml:space="preserve">Market Execution  60.0 Employee Engagement  60.0 </v>
      </c>
    </row>
    <row r="4" spans="3:26" s="342" customFormat="1" ht="22.15" customHeight="1">
      <c r="C4" s="344"/>
      <c r="T4" s="343" t="str">
        <f>DB_Dashboard3Prod1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nmProd1</f>
        <v>Riverrun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429" t="str">
        <f>nmProd1Seg2</f>
        <v>Tullyville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K10" s="360"/>
      <c r="L10" s="346"/>
      <c r="M10" s="346"/>
      <c r="N10" s="346"/>
      <c r="X10" s="168" t="s">
        <v>549</v>
      </c>
      <c r="Y10" s="349">
        <f>INDEX(obalProd1Seg2TotalShare,,xxIndexTeam)</f>
        <v>3.3333333333333335E-3</v>
      </c>
      <c r="Z10" s="349">
        <f>INDEX(calcProd1Seg2ShareTotalCustR1,,xxIndexTeam)</f>
        <v>3.6886666666666669E-3</v>
      </c>
    </row>
    <row r="11" spans="3:26" s="168" customFormat="1" ht="9.9499999999999993" customHeight="1">
      <c r="X11" s="168" t="s">
        <v>550</v>
      </c>
      <c r="Y11" s="349">
        <f>INDEX(obalProd1Seg2NewShare,,xxIndexTeam)</f>
        <v>3.3333333333333335E-3</v>
      </c>
      <c r="Z11" s="349">
        <f>INDEX(calcProd1Seg2ShareNewCustR1,,xxIndexTeam)</f>
        <v>3.6886666666666669E-3</v>
      </c>
    </row>
    <row r="12" spans="3:26" s="168" customFormat="1" ht="15" customHeight="1">
      <c r="C12" s="168" t="str">
        <f>nmPayer1</f>
        <v>Blue Sword/Blue Shield</v>
      </c>
      <c r="E12" s="345">
        <f>INDEX(calcProd1Seg2Payer1VolumeR1,,xxIndexTeam)</f>
        <v>97.785038567999976</v>
      </c>
      <c r="G12" s="548">
        <f>tlOutputProd1Seg2Payer1Volume_R1-V12</f>
        <v>18.428558567999985</v>
      </c>
      <c r="K12" s="345"/>
      <c r="V12" s="168">
        <f>INDEX(obalProd1Seg2Payer1Volume,,xxIndexTeam)</f>
        <v>79.356479999999991</v>
      </c>
    </row>
    <row r="13" spans="3:26" s="168" customFormat="1" ht="12.6" customHeight="1">
      <c r="C13" s="287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INDEX(calcProd1Seg2Payer3VolumeR1,,xxIndexTeam)</f>
        <v>43.560330660000005</v>
      </c>
      <c r="G14" s="548">
        <f>tlOutputProd1Seg2Payer3Volume_R1-V14</f>
        <v>9.5504106599999972</v>
      </c>
      <c r="K14" s="345"/>
      <c r="V14" s="168">
        <f>INDEX(obalProd1Seg2Payer3Volume,,xxIndexTeam)</f>
        <v>34.009920000000008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2.6" customHeight="1">
      <c r="C16" s="168" t="str">
        <f>nmPayer2</f>
        <v>WesterAid</v>
      </c>
      <c r="E16" s="345">
        <f>INDEX(calcProd1Seg2Payer2VolumeR1,,xxIndexTeam)</f>
        <v>2.9235777480000023</v>
      </c>
      <c r="G16" s="548">
        <f>tlOutputProd1Seg2Payer2Volume_R1-V16</f>
        <v>2.9235777480000023</v>
      </c>
      <c r="V16" s="168">
        <f>INDEX(obalProd1Seg2Payer2Volume,,xxIndexTeam)</f>
        <v>0</v>
      </c>
      <c r="Y16" s="349"/>
      <c r="Z16" s="349"/>
    </row>
    <row r="17" spans="3:26" s="168" customFormat="1" ht="21.95" customHeight="1">
      <c r="C17" s="171"/>
      <c r="Y17" s="331"/>
      <c r="Z17" s="331"/>
    </row>
    <row r="18" spans="3:26" s="168" customFormat="1" ht="21.95" customHeight="1">
      <c r="C18" s="531" t="s">
        <v>3184</v>
      </c>
      <c r="G18" s="360" t="s">
        <v>516</v>
      </c>
      <c r="I18" s="370" t="s">
        <v>587</v>
      </c>
      <c r="J18" s="527"/>
      <c r="K18" s="371" t="s">
        <v>586</v>
      </c>
      <c r="W18" s="168" t="s">
        <v>590</v>
      </c>
      <c r="X18" s="351">
        <v>432806.84092800005</v>
      </c>
      <c r="Y18" s="351">
        <f>INDEX(calcProd1Seg2GrossRevenueR1,,xxIndexTeam)</f>
        <v>432806.84092799993</v>
      </c>
    </row>
    <row r="19" spans="3:26" s="168" customFormat="1" ht="13.9" customHeight="1">
      <c r="C19" s="358" t="s">
        <v>2890</v>
      </c>
      <c r="E19" s="348">
        <v>0.33</v>
      </c>
      <c r="G19" s="533">
        <f>I19/70</f>
        <v>235.71428571428572</v>
      </c>
      <c r="I19" s="359">
        <f>INDEX(calcProd1Seg2SampleAllocR1,,xxIndexTeam)</f>
        <v>16500</v>
      </c>
      <c r="K19" s="359">
        <f>INDEX(obalProd1Seg2SampleAlloc,,xxIndexTeam)</f>
        <v>16500</v>
      </c>
      <c r="W19" s="168" t="s">
        <v>3825</v>
      </c>
      <c r="X19" s="351">
        <v>248113.97228520003</v>
      </c>
      <c r="Y19" s="351">
        <f>INDEX(calcProd1Seg2Reimbursement,,xxIndexTeam)</f>
        <v>234424.97948519996</v>
      </c>
    </row>
    <row r="20" spans="3:26" s="168" customFormat="1" ht="21.95" customHeight="1">
      <c r="W20" s="168" t="s">
        <v>593</v>
      </c>
      <c r="X20" s="351">
        <v>184692.86864280002</v>
      </c>
      <c r="Y20" s="351">
        <f>INDEX(calcProd1Seg2NetRevenueR1,,xxIndexTeam)</f>
        <v>198381.86144279997</v>
      </c>
    </row>
    <row r="21" spans="3:26" s="168" customFormat="1" ht="19.149999999999999" customHeight="1">
      <c r="C21" s="168" t="s">
        <v>3189</v>
      </c>
      <c r="E21" s="532">
        <v>0.33</v>
      </c>
      <c r="I21" s="370" t="s">
        <v>587</v>
      </c>
      <c r="J21" s="368"/>
      <c r="K21" s="371" t="s">
        <v>586</v>
      </c>
      <c r="W21" s="168" t="s">
        <v>516</v>
      </c>
      <c r="X21" s="351">
        <v>16500</v>
      </c>
      <c r="Y21" s="351">
        <f>INDEX(calcProd1Seg2SampleAllocR1,,xxIndexTeam)</f>
        <v>16500</v>
      </c>
    </row>
    <row r="22" spans="3:26" s="168" customFormat="1" ht="13.9" customHeight="1">
      <c r="I22" s="359">
        <f>INDEX(calcProd1Seg2PromotionAllocationR1,,xxIndexTeam)</f>
        <v>66000</v>
      </c>
      <c r="K22" s="536">
        <f>INDEX(obalProd1Seg2TotalPromotionAllocation,,xxIndexTeam)</f>
        <v>66000</v>
      </c>
      <c r="W22" s="168" t="s">
        <v>3251</v>
      </c>
      <c r="X22" s="351">
        <v>33000</v>
      </c>
      <c r="Y22" s="351">
        <f>INDEX(calcProd1Seg2SpeakerAllocR1,,xxIndexTeam)</f>
        <v>33000</v>
      </c>
    </row>
    <row r="23" spans="3:26" s="168" customFormat="1" ht="6.6" customHeight="1">
      <c r="C23" s="527"/>
      <c r="E23" s="352"/>
      <c r="I23" s="358"/>
      <c r="J23" s="530"/>
      <c r="K23" s="535"/>
      <c r="W23" s="168" t="s">
        <v>2333</v>
      </c>
      <c r="X23" s="351">
        <v>33000</v>
      </c>
      <c r="Y23" s="351">
        <f>INDEX(calcProd1Seg2PromotionAllocR1,,xxIndexTeam)</f>
        <v>33000</v>
      </c>
    </row>
    <row r="24" spans="3:26" s="168" customFormat="1" ht="13.9" customHeight="1">
      <c r="C24" s="527" t="s">
        <v>2900</v>
      </c>
      <c r="E24" s="348">
        <v>0.5</v>
      </c>
      <c r="I24" s="359">
        <f>INDEX(calcProd1Seg2SpeakerAllocR1,,xxIndexTeam)</f>
        <v>33000</v>
      </c>
      <c r="J24" s="530"/>
      <c r="K24" s="536">
        <f>INDEX(obalProd1Seg2SpeakerAlloc,,xxIndexTeam)</f>
        <v>33000</v>
      </c>
      <c r="W24" s="168" t="s">
        <v>594</v>
      </c>
      <c r="X24" s="351">
        <v>10000</v>
      </c>
      <c r="Y24" s="351">
        <f>INDEX(calcProd1Seg2InternalCostR1,,xxIndexTeam)</f>
        <v>0</v>
      </c>
    </row>
    <row r="25" spans="3:26" s="168" customFormat="1" ht="6.6" customHeight="1">
      <c r="C25" s="527"/>
      <c r="E25" s="352"/>
      <c r="I25" s="358"/>
      <c r="J25" s="530"/>
      <c r="K25" s="535"/>
      <c r="W25" s="168" t="s">
        <v>595</v>
      </c>
      <c r="X25" s="351">
        <v>92192.868642800022</v>
      </c>
      <c r="Y25" s="351">
        <f>Y20-SUM(Y21:Y24)</f>
        <v>115881.86144279997</v>
      </c>
    </row>
    <row r="26" spans="3:26" s="168" customFormat="1" ht="13.9" customHeight="1">
      <c r="C26" s="527" t="s">
        <v>2901</v>
      </c>
      <c r="E26" s="539">
        <f>1-tlInputProd1Seg2SpeakersPerc_R1</f>
        <v>0.5</v>
      </c>
      <c r="I26" s="359">
        <f>INDEX(calcProd1Seg2PromotionAllocR1,,xxIndexTeam)</f>
        <v>33000</v>
      </c>
      <c r="J26" s="530"/>
      <c r="K26" s="536">
        <f>INDEX(obalProd1Seg2PromotionAlloc,,xxIndexTeam)</f>
        <v>33000</v>
      </c>
    </row>
    <row r="27" spans="3:26" s="168" customFormat="1" ht="21.95" customHeight="1">
      <c r="E27" s="331"/>
    </row>
    <row r="28" spans="3:26" s="168" customFormat="1" ht="21.95" customHeight="1">
      <c r="C28" s="287"/>
      <c r="G28" s="527"/>
      <c r="I28" s="356"/>
      <c r="K28" s="356"/>
    </row>
    <row r="29" spans="3:26" s="168" customFormat="1" ht="14.45" customHeight="1">
      <c r="C29" s="340"/>
      <c r="E29" s="355"/>
      <c r="G29" s="358"/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3191</v>
      </c>
      <c r="E33" s="354" t="str">
        <f>nmProd1Seg2Rep1</f>
        <v>Rep Danielle</v>
      </c>
      <c r="F33" s="363"/>
      <c r="G33" s="354" t="str">
        <f>nmProd1Seg2Rep2</f>
        <v>Rep Elliot</v>
      </c>
      <c r="H33" s="363"/>
      <c r="I33" s="354" t="str">
        <f>nmProd1Seg2Rep3</f>
        <v>Rep Fiona</v>
      </c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3">
        <v>0</v>
      </c>
      <c r="H34" s="336"/>
      <c r="I34" s="353">
        <v>0</v>
      </c>
      <c r="K34" s="355"/>
      <c r="W34" s="168" t="s">
        <v>592</v>
      </c>
      <c r="X34" s="496">
        <f>INDEX(obalESATProd1,,xxIndexTeam)</f>
        <v>60</v>
      </c>
      <c r="Y34" s="496">
        <f>INDEX(calcESATProd1R1,,xxIndexTeam)</f>
        <v>60</v>
      </c>
    </row>
    <row r="35" spans="3:26" s="168" customFormat="1" ht="9" customHeight="1">
      <c r="E35" s="355"/>
      <c r="F35" s="336"/>
      <c r="G35" s="355"/>
      <c r="H35" s="336"/>
      <c r="I35" s="355"/>
      <c r="K35" s="355"/>
      <c r="W35" s="168" t="s">
        <v>2644</v>
      </c>
      <c r="X35" s="496">
        <f>INDEX(obalOpEffProd1,,xxIndexTeam)</f>
        <v>60</v>
      </c>
      <c r="Y35" s="496">
        <f>INDEX(calcOpEffProd1R1,,xxIndexTeam)</f>
        <v>60</v>
      </c>
    </row>
    <row r="36" spans="3:26" s="168" customFormat="1" ht="21.95" customHeight="1">
      <c r="C36" s="333" t="s">
        <v>2666</v>
      </c>
      <c r="E36" s="354">
        <f>INDEX(calcProd1Seg2FTEsRep1R1,,xxIndexTeam)</f>
        <v>0</v>
      </c>
      <c r="F36" s="364"/>
      <c r="G36" s="354">
        <f>INDEX(calcProd1Seg2FTEsRep2R1,,xxIndexTeam)</f>
        <v>0</v>
      </c>
      <c r="H36" s="364"/>
      <c r="I36" s="354">
        <f>INDEX(calcProd1Seg2FTEsRep3R1,,xxIndexTeam)</f>
        <v>0</v>
      </c>
      <c r="J36" s="354"/>
      <c r="K36" s="354"/>
    </row>
    <row r="37" spans="3:26" s="168" customFormat="1" ht="21.95" customHeight="1">
      <c r="C37" s="333"/>
      <c r="E37" s="354"/>
      <c r="F37" s="364"/>
      <c r="G37" s="354" t="s">
        <v>2666</v>
      </c>
      <c r="H37" s="364"/>
      <c r="I37" s="354"/>
      <c r="J37" s="354"/>
      <c r="K37" s="354"/>
    </row>
    <row r="38" spans="3:26" s="168" customFormat="1" ht="21.95" customHeight="1">
      <c r="C38" s="340" t="s">
        <v>3211</v>
      </c>
      <c r="E38" s="353">
        <v>0</v>
      </c>
      <c r="G38" s="358">
        <f>INDEX(calcProd1Seg2FTEsRegTrainR1,,xxIndexTeam)</f>
        <v>0</v>
      </c>
      <c r="X38" s="168" t="str">
        <f>nmProd1Seg2Rep1</f>
        <v>Rep Danielle</v>
      </c>
      <c r="Y38" s="168" t="str">
        <f>nmProd1Seg2Rep2</f>
        <v>Rep Elliot</v>
      </c>
      <c r="Z38" s="168" t="str">
        <f>nmProd1Seg2Rep3</f>
        <v>Rep Fiona</v>
      </c>
    </row>
    <row r="39" spans="3:26" s="168" customFormat="1" ht="21.95" customHeight="1">
      <c r="C39" s="287" t="s">
        <v>598</v>
      </c>
      <c r="F39" s="336"/>
      <c r="H39" s="336"/>
      <c r="J39" s="368"/>
      <c r="K39" s="356"/>
      <c r="W39" s="168" t="s">
        <v>596</v>
      </c>
      <c r="X39" s="331">
        <f>1-tlOutputProd1Seg2Rep1IntTime_R1</f>
        <v>0.9</v>
      </c>
      <c r="Y39" s="331">
        <f>1-tlOutputProd1Seg2Rep2IntTime_R1</f>
        <v>0.9</v>
      </c>
      <c r="Z39" s="331">
        <f>1-tlOutputProd1Seg2Rep3IntTime_R1</f>
        <v>0.9</v>
      </c>
    </row>
    <row r="40" spans="3:26" s="168" customFormat="1" ht="8.4499999999999993" customHeight="1">
      <c r="J40" s="368"/>
      <c r="K40" s="356"/>
      <c r="X40" s="331"/>
      <c r="Y40" s="331"/>
      <c r="Z40" s="331"/>
    </row>
    <row r="41" spans="3:26" s="168" customFormat="1" ht="21.95" customHeight="1">
      <c r="C41" s="368" t="str">
        <f>nmTherapy1</f>
        <v>Wintellix</v>
      </c>
      <c r="E41" s="373">
        <v>0.6</v>
      </c>
      <c r="F41" s="363"/>
      <c r="G41" s="373">
        <v>0.5</v>
      </c>
      <c r="H41" s="363"/>
      <c r="I41" s="373">
        <v>0.4</v>
      </c>
      <c r="W41" s="168" t="s">
        <v>597</v>
      </c>
      <c r="X41" s="331">
        <f>INDEX(calcProd1Seg2Rep1InternalTimeR1,,xxIndexTeam)</f>
        <v>0.1</v>
      </c>
      <c r="Y41" s="331">
        <f>INDEX(calcProd1Seg2Rep2InternalTimeR1,,xxIndexTeam)</f>
        <v>0.1</v>
      </c>
      <c r="Z41" s="331">
        <f>INDEX(calcProd1Seg2Rep3InternalTimeR1,,xxIndexTeam)</f>
        <v>0.1</v>
      </c>
    </row>
    <row r="42" spans="3:26" s="168" customFormat="1" ht="21.95" customHeight="1">
      <c r="C42" s="333" t="s">
        <v>612</v>
      </c>
      <c r="E42" s="374">
        <f>INDEX(obalInputProd1Seg2Therapy1Rep1Weight_R1,,xxIndexTeam)</f>
        <v>0.6</v>
      </c>
      <c r="F42" s="336"/>
      <c r="G42" s="374">
        <f>INDEX(obalInputProd1Seg2Therapy1Rep2Weight_R1,,xxIndexTeam)</f>
        <v>0.5</v>
      </c>
      <c r="H42" s="336"/>
      <c r="I42" s="374">
        <f>INDEX(obalInputProd1Seg2Therapy1Rep3Weight_R1,,xxIndexTeam)</f>
        <v>0.4</v>
      </c>
    </row>
    <row r="43" spans="3:26" s="168" customFormat="1" ht="21.95" customHeight="1"/>
    <row r="44" spans="3:26" s="168" customFormat="1" ht="21.95" customHeight="1"/>
    <row r="45" spans="3:26" s="167" customFormat="1" ht="15" customHeight="1"/>
    <row r="46" spans="3:26" s="167" customFormat="1" ht="15" customHeight="1"/>
    <row r="47" spans="3:26" ht="21.95" customHeight="1"/>
    <row r="48" spans="3:26" ht="21.95" customHeight="1"/>
    <row r="49" ht="21.95" customHeight="1"/>
  </sheetData>
  <sheetProtection selectLockedCells="1"/>
  <conditionalFormatting sqref="I19">
    <cfRule type="expression" dxfId="145" priority="4">
      <formula>I19&gt;#REF!</formula>
    </cfRule>
  </conditionalFormatting>
  <conditionalFormatting sqref="K19">
    <cfRule type="expression" dxfId="144" priority="5">
      <formula>K19&gt;#REF!</formula>
    </cfRule>
  </conditionalFormatting>
  <conditionalFormatting sqref="I24 I26">
    <cfRule type="expression" dxfId="143" priority="3">
      <formula>I24&gt;#REF!</formula>
    </cfRule>
  </conditionalFormatting>
  <conditionalFormatting sqref="K24 K26">
    <cfRule type="expression" dxfId="142" priority="2">
      <formula>K24&gt;#REF!</formula>
    </cfRule>
  </conditionalFormatting>
  <conditionalFormatting sqref="I22">
    <cfRule type="expression" dxfId="141" priority="1">
      <formula>I22&gt;#REF!</formula>
    </cfRule>
  </conditionalFormatting>
  <dataValidations disablePrompts="1" count="1">
    <dataValidation type="list" allowBlank="1" showInputMessage="1" showErrorMessage="1" sqref="E29 E38 E34 G34 I34">
      <formula1>"0,1,2,3,4,5"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4"/>
  </sheetPr>
  <dimension ref="C1:Z49"/>
  <sheetViews>
    <sheetView zoomScaleNormal="100" workbookViewId="0">
      <selection activeCell="E2" sqref="E2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DB_Dashboard1Prod1</f>
        <v xml:space="preserve">TRx Share  0.32% NRx Share  0.33% TRx Volume  383 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DB_Dashboard2Prod1</f>
        <v xml:space="preserve">Market Execution  60.0 Employee Engagement  60.0 </v>
      </c>
    </row>
    <row r="4" spans="3:26" s="342" customFormat="1" ht="22.15" customHeight="1">
      <c r="C4" s="344"/>
      <c r="T4" s="343" t="str">
        <f>DB_Dashboard3Prod1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nmProd1</f>
        <v>Riverrun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430" t="str">
        <f>nmProd1Seg3</f>
        <v>Lordfrey City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K10" s="360"/>
      <c r="L10" s="346"/>
      <c r="M10" s="346"/>
      <c r="N10" s="346"/>
      <c r="X10" s="168" t="s">
        <v>549</v>
      </c>
      <c r="Y10" s="349">
        <f>INDEX(obalProd1Seg3TotalShare,,xxIndexTeam)</f>
        <v>3.116883116883116E-3</v>
      </c>
      <c r="Z10" s="349">
        <f>INDEX(calcProd1Seg3ShareTotalCustR1,,xxIndexTeam)</f>
        <v>2.4922278496494741E-3</v>
      </c>
    </row>
    <row r="11" spans="3:26" s="168" customFormat="1" ht="9.9499999999999993" customHeight="1">
      <c r="X11" s="168" t="s">
        <v>550</v>
      </c>
      <c r="Y11" s="349">
        <f>INDEX(obalProd1Seg3NewShare,,xxIndexTeam)</f>
        <v>3.116883116883116E-3</v>
      </c>
      <c r="Z11" s="349">
        <f>INDEX(calcProd1Seg3ShareNewCustR1,,xxIndexTeam)</f>
        <v>2.5376623376623373E-3</v>
      </c>
    </row>
    <row r="12" spans="3:26" s="168" customFormat="1" ht="15" customHeight="1">
      <c r="C12" s="168" t="str">
        <f>nmPayer1</f>
        <v>Blue Sword/Blue Shield</v>
      </c>
      <c r="E12" s="345">
        <f>INDEX(calcProd1Seg3Payer1VolumeR1,,xxIndexTeam)</f>
        <v>54.989451999999972</v>
      </c>
      <c r="G12" s="548">
        <f>tlOutputProd1Seg3Payer1Volume_R1-V12</f>
        <v>-1.6937480000000136</v>
      </c>
      <c r="K12" s="345"/>
      <c r="V12" s="168">
        <f>INDEX(obalProd1Seg3Payer1Volume,,xxIndexTeam)</f>
        <v>56.683199999999985</v>
      </c>
    </row>
    <row r="13" spans="3:26" s="168" customFormat="1" ht="12.6" customHeight="1">
      <c r="C13" s="287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INDEX(calcProd1Seg3Payer3VolumeR1,,xxIndexTeam)</f>
        <v>24.616437631578943</v>
      </c>
      <c r="G14" s="548">
        <f>tlOutputProd1Seg3Payer3Volume_R1-V14</f>
        <v>0.32363763157894354</v>
      </c>
      <c r="K14" s="345"/>
      <c r="V14" s="168">
        <f>INDEX(obalProd1Seg3Payer3Volume,,xxIndexTeam)</f>
        <v>24.2928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2.6" customHeight="1">
      <c r="C16" s="168" t="str">
        <f>nmPayer2</f>
        <v>WesterAid</v>
      </c>
      <c r="E16" s="345">
        <f>INDEX(calcProd1Seg3Payer2VolumeR1,,xxIndexTeam)</f>
        <v>0</v>
      </c>
      <c r="G16" s="548">
        <f>tlOutputProd1Seg3Payer2Volume_R1-V16</f>
        <v>0</v>
      </c>
      <c r="V16" s="168">
        <f>INDEX(obalProd1Seg3Payer2Volume,,xxIndexTeam)</f>
        <v>0</v>
      </c>
      <c r="Y16" s="349"/>
      <c r="Z16" s="349"/>
    </row>
    <row r="17" spans="3:26" s="168" customFormat="1" ht="21.95" customHeight="1">
      <c r="C17" s="287"/>
      <c r="Y17" s="331"/>
      <c r="Z17" s="331"/>
    </row>
    <row r="18" spans="3:26" s="168" customFormat="1" ht="21.95" customHeight="1">
      <c r="C18" s="531" t="s">
        <v>3184</v>
      </c>
      <c r="G18" s="360" t="s">
        <v>516</v>
      </c>
      <c r="I18" s="370" t="s">
        <v>587</v>
      </c>
      <c r="J18" s="527"/>
      <c r="K18" s="371" t="s">
        <v>586</v>
      </c>
      <c r="W18" s="168" t="s">
        <v>590</v>
      </c>
      <c r="X18" s="351">
        <v>238817.66889473674</v>
      </c>
      <c r="Y18" s="351">
        <f>INDEX(calcProd1Seg3GrossRevenueR1,,xxIndexTeam)</f>
        <v>238817.66889473674</v>
      </c>
    </row>
    <row r="19" spans="3:26" s="168" customFormat="1" ht="13.9" customHeight="1">
      <c r="C19" s="358" t="s">
        <v>2890</v>
      </c>
      <c r="E19" s="547">
        <v>0.33</v>
      </c>
      <c r="G19" s="533">
        <f>I19/70</f>
        <v>235.71428571428572</v>
      </c>
      <c r="I19" s="359">
        <f>INDEX(calcProd1Seg3SampleAllocR1,,xxIndexTeam)</f>
        <v>16500</v>
      </c>
      <c r="K19" s="359">
        <f>INDEX(obalProd1Seg3SampleAlloc,,xxIndexTeam)</f>
        <v>16500</v>
      </c>
      <c r="W19" s="168" t="s">
        <v>3825</v>
      </c>
      <c r="X19" s="351">
        <v>128520.73875789467</v>
      </c>
      <c r="Y19" s="351">
        <f>INDEX(calcProd1Seg3Reimbursement,,xxIndexTeam)</f>
        <v>128520.73875789467</v>
      </c>
    </row>
    <row r="20" spans="3:26" s="168" customFormat="1" ht="21.95" customHeight="1">
      <c r="W20" s="168" t="s">
        <v>593</v>
      </c>
      <c r="X20" s="351">
        <v>110296.93013684207</v>
      </c>
      <c r="Y20" s="351">
        <f>INDEX(calcProd1Seg3NetRevenueR1,,xxIndexTeam)</f>
        <v>110296.93013684207</v>
      </c>
    </row>
    <row r="21" spans="3:26" s="168" customFormat="1" ht="19.149999999999999" customHeight="1">
      <c r="C21" s="168" t="s">
        <v>3189</v>
      </c>
      <c r="E21" s="538">
        <v>0.33</v>
      </c>
      <c r="I21" s="370" t="s">
        <v>587</v>
      </c>
      <c r="J21" s="368"/>
      <c r="K21" s="371" t="s">
        <v>586</v>
      </c>
      <c r="W21" s="168" t="s">
        <v>516</v>
      </c>
      <c r="X21" s="351">
        <v>16500</v>
      </c>
      <c r="Y21" s="351">
        <f>INDEX(calcProd1Seg3SampleAllocR1,,xxIndexTeam)</f>
        <v>16500</v>
      </c>
    </row>
    <row r="22" spans="3:26" s="168" customFormat="1" ht="13.9" customHeight="1">
      <c r="I22" s="359">
        <f>INDEX(calcProd1Seg3PromotionAllocationR1,,xxIndexTeam)</f>
        <v>66000</v>
      </c>
      <c r="K22" s="536">
        <f>INDEX(obalProd1Seg3TotalPromotionAllocation,,xxIndexTeam)</f>
        <v>66000</v>
      </c>
      <c r="W22" s="168" t="s">
        <v>3251</v>
      </c>
      <c r="X22" s="351">
        <v>33000</v>
      </c>
      <c r="Y22" s="351">
        <f>INDEX(calcProd1Seg3SpeakerAllocR1,,xxIndexTeam)</f>
        <v>33000</v>
      </c>
    </row>
    <row r="23" spans="3:26" s="168" customFormat="1" ht="6.6" customHeight="1">
      <c r="C23" s="527"/>
      <c r="E23" s="352"/>
      <c r="I23" s="358"/>
      <c r="J23" s="530"/>
      <c r="K23" s="535"/>
      <c r="W23" s="168" t="s">
        <v>2333</v>
      </c>
      <c r="X23" s="351">
        <v>33000</v>
      </c>
      <c r="Y23" s="351">
        <f>INDEX(calcProd1Seg3PromotionAllocR1,,xxIndexTeam)</f>
        <v>33000</v>
      </c>
    </row>
    <row r="24" spans="3:26" s="168" customFormat="1" ht="13.9" customHeight="1">
      <c r="C24" s="527" t="s">
        <v>2900</v>
      </c>
      <c r="E24" s="348">
        <v>0.5</v>
      </c>
      <c r="I24" s="359">
        <f>INDEX(calcProd1Seg3SpeakerAllocR1,,xxIndexTeam)</f>
        <v>33000</v>
      </c>
      <c r="J24" s="530"/>
      <c r="K24" s="536">
        <f>INDEX(obalProd1Seg3SpeakerAlloc,,xxIndexTeam)</f>
        <v>33000</v>
      </c>
      <c r="W24" s="168" t="s">
        <v>594</v>
      </c>
      <c r="X24" s="351">
        <v>10000</v>
      </c>
      <c r="Y24" s="351">
        <f>INDEX(calcProd1Seg3InternalCostR1,,xxIndexTeam)</f>
        <v>0</v>
      </c>
    </row>
    <row r="25" spans="3:26" s="168" customFormat="1" ht="6.6" customHeight="1">
      <c r="C25" s="527"/>
      <c r="E25" s="352"/>
      <c r="I25" s="358"/>
      <c r="J25" s="530"/>
      <c r="K25" s="535"/>
      <c r="W25" s="168" t="s">
        <v>595</v>
      </c>
      <c r="X25" s="351">
        <v>17796.930136842071</v>
      </c>
      <c r="Y25" s="351">
        <f>Y20-SUM(Y21:Y24)</f>
        <v>27796.930136842071</v>
      </c>
    </row>
    <row r="26" spans="3:26" s="168" customFormat="1" ht="13.9" customHeight="1">
      <c r="C26" s="527" t="s">
        <v>2901</v>
      </c>
      <c r="E26" s="539">
        <f>1-tlInputProd1Seg3SpeakersPerc_R1</f>
        <v>0.5</v>
      </c>
      <c r="I26" s="359">
        <f>INDEX(calcProd1Seg3PromotionAllocR1,,xxIndexTeam)</f>
        <v>33000</v>
      </c>
      <c r="J26" s="530"/>
      <c r="K26" s="536">
        <f>INDEX(obalProd1Seg3PromotionAlloc,,xxIndexTeam)</f>
        <v>33000</v>
      </c>
    </row>
    <row r="27" spans="3:26" s="168" customFormat="1" ht="21.95" customHeight="1">
      <c r="E27" s="331"/>
    </row>
    <row r="28" spans="3:26" s="168" customFormat="1" ht="21.95" customHeight="1">
      <c r="C28" s="287"/>
      <c r="G28" s="368"/>
      <c r="I28" s="356"/>
      <c r="K28" s="356"/>
    </row>
    <row r="29" spans="3:26" s="168" customFormat="1" ht="14.45" customHeight="1">
      <c r="C29" s="340"/>
      <c r="E29" s="355"/>
      <c r="G29" s="358"/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3191</v>
      </c>
      <c r="E33" s="354" t="str">
        <f>nmProd1Seg3Rep1</f>
        <v>Rep Gregg</v>
      </c>
      <c r="F33" s="363"/>
      <c r="G33" s="354" t="str">
        <f>nmProd1Seg3Rep2</f>
        <v>Rep Howard</v>
      </c>
      <c r="H33" s="363"/>
      <c r="I33" s="354" t="str">
        <f>nmProd1Seg3Rep3</f>
        <v>Rep Isabelle</v>
      </c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3">
        <v>0</v>
      </c>
      <c r="H34" s="336"/>
      <c r="I34" s="353">
        <v>0</v>
      </c>
      <c r="K34" s="355"/>
      <c r="W34" s="168" t="s">
        <v>592</v>
      </c>
      <c r="X34" s="496">
        <f>INDEX(obalESATProd1,,xxIndexTeam)</f>
        <v>60</v>
      </c>
      <c r="Y34" s="496">
        <f>INDEX(calcESATProd1R1,,xxIndexTeam)</f>
        <v>60</v>
      </c>
    </row>
    <row r="35" spans="3:26" s="168" customFormat="1" ht="9" customHeight="1">
      <c r="E35" s="355"/>
      <c r="F35" s="336"/>
      <c r="G35" s="355"/>
      <c r="H35" s="336"/>
      <c r="I35" s="355"/>
      <c r="K35" s="355"/>
      <c r="W35" s="168" t="s">
        <v>2644</v>
      </c>
      <c r="X35" s="496">
        <f>INDEX(obalOpEffProd1,,xxIndexTeam)</f>
        <v>60</v>
      </c>
      <c r="Y35" s="496">
        <f>INDEX(calcOpEffProd1R1,,xxIndexTeam)</f>
        <v>60</v>
      </c>
    </row>
    <row r="36" spans="3:26" s="168" customFormat="1" ht="21.95" customHeight="1">
      <c r="C36" s="333" t="s">
        <v>2666</v>
      </c>
      <c r="E36" s="354">
        <f>INDEX(calcProd1Seg3FTEsRep1R1,,xxIndexTeam)</f>
        <v>0</v>
      </c>
      <c r="F36" s="364"/>
      <c r="G36" s="354">
        <f>INDEX(calcProd1Seg3FTEsRep2R1,,xxIndexTeam)</f>
        <v>0</v>
      </c>
      <c r="H36" s="364"/>
      <c r="I36" s="354">
        <f>INDEX(calcProd1Seg3FTEsRep3R1,,xxIndexTeam)</f>
        <v>0</v>
      </c>
      <c r="J36" s="354"/>
      <c r="K36" s="354"/>
    </row>
    <row r="37" spans="3:26" s="168" customFormat="1" ht="21.95" customHeight="1">
      <c r="C37" s="333"/>
      <c r="E37" s="354"/>
      <c r="F37" s="364"/>
      <c r="G37" s="354" t="s">
        <v>2666</v>
      </c>
      <c r="H37" s="364"/>
      <c r="I37" s="354"/>
      <c r="J37" s="354"/>
      <c r="K37" s="354"/>
    </row>
    <row r="38" spans="3:26" s="168" customFormat="1" ht="21.95" customHeight="1">
      <c r="C38" s="340" t="s">
        <v>3211</v>
      </c>
      <c r="E38" s="353">
        <v>0</v>
      </c>
      <c r="G38" s="358">
        <f>INDEX(calcProd1Seg3FTEsRegTrainR1,,xxIndexTeam)</f>
        <v>0</v>
      </c>
      <c r="X38" s="168" t="str">
        <f>nmProd1Seg3Rep1</f>
        <v>Rep Gregg</v>
      </c>
      <c r="Y38" s="168" t="str">
        <f>nmProd1Seg3Rep2</f>
        <v>Rep Howard</v>
      </c>
      <c r="Z38" s="168" t="str">
        <f>nmProd1Seg3Rep3</f>
        <v>Rep Isabelle</v>
      </c>
    </row>
    <row r="39" spans="3:26" s="168" customFormat="1" ht="21.95" customHeight="1">
      <c r="C39" s="287" t="s">
        <v>598</v>
      </c>
      <c r="F39" s="336"/>
      <c r="H39" s="336"/>
      <c r="K39" s="356"/>
      <c r="W39" s="168" t="s">
        <v>596</v>
      </c>
      <c r="X39" s="331">
        <f>1-tlOutputProd1Seg3Rep1IntTime_R1</f>
        <v>0.9</v>
      </c>
      <c r="Y39" s="331">
        <f>1-tlOutputProd1Seg3Rep2IntTime_R1</f>
        <v>0.9</v>
      </c>
      <c r="Z39" s="331">
        <f>1-tlOutputProd1Seg3Rep3IntTime_R1</f>
        <v>0.9</v>
      </c>
    </row>
    <row r="40" spans="3:26" s="168" customFormat="1" ht="8.4499999999999993" customHeight="1">
      <c r="J40" s="368"/>
      <c r="K40" s="356"/>
      <c r="X40" s="331"/>
      <c r="Y40" s="331"/>
      <c r="Z40" s="331"/>
    </row>
    <row r="41" spans="3:26" s="168" customFormat="1" ht="21.95" customHeight="1">
      <c r="C41" s="368" t="str">
        <f>nmTherapy1</f>
        <v>Wintellix</v>
      </c>
      <c r="E41" s="373">
        <v>0.5</v>
      </c>
      <c r="F41" s="363"/>
      <c r="G41" s="373">
        <v>0.5</v>
      </c>
      <c r="H41" s="363"/>
      <c r="I41" s="373">
        <v>0.5</v>
      </c>
      <c r="J41" s="368"/>
      <c r="W41" s="168" t="s">
        <v>597</v>
      </c>
      <c r="X41" s="331">
        <f>INDEX(calcProd1Seg3Rep1InternalTimeR1,,xxIndexTeam)</f>
        <v>0.1</v>
      </c>
      <c r="Y41" s="331">
        <f>INDEX(calcProd1Seg3Rep2InternalTimeR1,,xxIndexTeam)</f>
        <v>0.1</v>
      </c>
      <c r="Z41" s="331">
        <f>INDEX(calcProd1Seg3Rep3InternalTimeR1,,xxIndexTeam)</f>
        <v>0.1</v>
      </c>
    </row>
    <row r="42" spans="3:26" s="168" customFormat="1" ht="21.95" customHeight="1">
      <c r="C42" s="333" t="s">
        <v>612</v>
      </c>
      <c r="E42" s="374">
        <f>INDEX(obalInputProd1Seg3Therapy1Rep1Weight_R1,,xxIndexTeam)</f>
        <v>0.5</v>
      </c>
      <c r="F42" s="336"/>
      <c r="G42" s="374">
        <f>INDEX(obalInputProd1Seg3Therapy1Rep2Weight_R1,,xxIndexTeam)</f>
        <v>0.5</v>
      </c>
      <c r="H42" s="336"/>
      <c r="I42" s="374">
        <f>INDEX(obalInputProd1Seg3Therapy1Rep3Weight_R1,,xxIndexTeam)</f>
        <v>0.5</v>
      </c>
    </row>
    <row r="43" spans="3:26" s="168" customFormat="1" ht="21.95" customHeight="1"/>
    <row r="44" spans="3:26" s="168" customFormat="1" ht="21.95" customHeight="1"/>
    <row r="45" spans="3:26" s="167" customFormat="1" ht="15" customHeight="1"/>
    <row r="46" spans="3:26" s="167" customFormat="1" ht="15" customHeight="1"/>
    <row r="47" spans="3:26" ht="21.95" customHeight="1"/>
    <row r="48" spans="3:26" ht="21.95" customHeight="1"/>
    <row r="49" ht="21.95" customHeight="1"/>
  </sheetData>
  <sheetProtection selectLockedCells="1"/>
  <conditionalFormatting sqref="K19">
    <cfRule type="expression" dxfId="140" priority="5">
      <formula>K19&gt;#REF!</formula>
    </cfRule>
  </conditionalFormatting>
  <conditionalFormatting sqref="I19">
    <cfRule type="expression" dxfId="139" priority="4">
      <formula>I19&gt;#REF!</formula>
    </cfRule>
  </conditionalFormatting>
  <conditionalFormatting sqref="I24 I26">
    <cfRule type="expression" dxfId="138" priority="3">
      <formula>I24&gt;#REF!</formula>
    </cfRule>
  </conditionalFormatting>
  <conditionalFormatting sqref="K24 K26">
    <cfRule type="expression" dxfId="137" priority="2">
      <formula>K24&gt;#REF!</formula>
    </cfRule>
  </conditionalFormatting>
  <conditionalFormatting sqref="I22">
    <cfRule type="expression" dxfId="136" priority="1">
      <formula>I22&gt;#REF!</formula>
    </cfRule>
  </conditionalFormatting>
  <dataValidations disablePrompts="1" count="1">
    <dataValidation type="list" allowBlank="1" showInputMessage="1" showErrorMessage="1" sqref="E29 E38 E34 G34 I34">
      <formula1>"0,1,2,3,4,5"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/>
  </sheetPr>
  <dimension ref="C1:Z49"/>
  <sheetViews>
    <sheetView topLeftCell="A32" zoomScaleNormal="100" workbookViewId="0">
      <selection activeCell="I41" sqref="I41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DB_Dashboard1Prod1</f>
        <v xml:space="preserve">TRx Share  0.32% NRx Share  0.33% TRx Volume  383 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DB_Dashboard2Prod1</f>
        <v xml:space="preserve">Market Execution  60.0 Employee Engagement  60.0 </v>
      </c>
    </row>
    <row r="4" spans="3:26" s="342" customFormat="1" ht="22.15" customHeight="1">
      <c r="C4" s="344"/>
      <c r="T4" s="343" t="str">
        <f>DB_Dashboard4Prod1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nmProd1</f>
        <v>Riverrun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nmProd1Seg1</f>
        <v>Riverrun Central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K10" s="360"/>
      <c r="L10" s="346"/>
      <c r="M10" s="346"/>
      <c r="N10" s="346"/>
      <c r="X10" s="168" t="s">
        <v>549</v>
      </c>
      <c r="Y10" s="349">
        <f>INDEX(calcProd1Seg1ShareTotalCustR1,,xxIndexTeam)</f>
        <v>3.32768E-3</v>
      </c>
      <c r="Z10" s="349">
        <f>INDEX(calcProd1Seg1ShareTotalCustR2,,xxIndexTeam)</f>
        <v>3.369968000000001E-3</v>
      </c>
    </row>
    <row r="11" spans="3:26" s="168" customFormat="1" ht="9.9499999999999993" customHeight="1">
      <c r="X11" s="168" t="s">
        <v>550</v>
      </c>
      <c r="Y11" s="349">
        <f>INDEX(calcProd1Seg1ShareNewCustR1,,xxIndexTeam)</f>
        <v>3.3276800000000004E-3</v>
      </c>
      <c r="Z11" s="349">
        <f>INDEX(calcProd1Seg1ShareNewCustR2,,xxIndexTeam)</f>
        <v>3.3699680000000001E-3</v>
      </c>
    </row>
    <row r="12" spans="3:26" s="168" customFormat="1" ht="15" customHeight="1">
      <c r="C12" s="168" t="str">
        <f>nmPayer1</f>
        <v>Blue Sword/Blue Shield</v>
      </c>
      <c r="E12" s="345">
        <f>INDEX(cbalProd1Seg1Payer1Volume,,xxIndexTeam)</f>
        <v>130.57540604559361</v>
      </c>
      <c r="G12" s="548">
        <f>tlOutputProd1Seg1Payer1Volume_R2-V12</f>
        <v>20.320233527193608</v>
      </c>
      <c r="K12" s="345"/>
      <c r="V12" s="540">
        <f>INDEX(calcProd1Seg1Payer1VolumeR1,,xxIndexTeam)</f>
        <v>110.2551725184</v>
      </c>
    </row>
    <row r="13" spans="3:26" s="168" customFormat="1" ht="12.6" customHeight="1">
      <c r="C13" s="287"/>
      <c r="V13" s="540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INDEX(cbalProd1Seg1Payer3Volume,,xxIndexTeam)</f>
        <v>55.726579335168033</v>
      </c>
      <c r="G14" s="548">
        <f>tlOutputProd1Seg1Payer3Volume_R2-V14</f>
        <v>8.5374266503680118</v>
      </c>
      <c r="K14" s="345"/>
      <c r="V14" s="540">
        <f>INDEX(calcProd1Seg1Payer3VolumeR1,,xxIndexTeam)</f>
        <v>47.189152684800021</v>
      </c>
      <c r="Y14" s="331"/>
      <c r="Z14" s="331"/>
    </row>
    <row r="15" spans="3:26" s="168" customFormat="1" ht="12.6" customHeight="1">
      <c r="E15" s="339"/>
      <c r="G15" s="339"/>
      <c r="V15" s="540"/>
    </row>
    <row r="16" spans="3:26" s="168" customFormat="1" ht="12.6" customHeight="1">
      <c r="C16" s="168" t="str">
        <f>nmPayer2</f>
        <v>WesterAid</v>
      </c>
      <c r="E16" s="345">
        <f>INDEX(cbalProd1Seg1Payer2Volume,,xxIndexTeam)</f>
        <v>2.3171833036800069</v>
      </c>
      <c r="G16" s="548">
        <f>tlOutputProd1Seg1Payer2Volume_R2-V16</f>
        <v>0.77880125568000347</v>
      </c>
      <c r="V16" s="540">
        <f>INDEX(calcProd1Seg1Payer2VolumeR1,,xxIndexTeam)</f>
        <v>1.5383820480000034</v>
      </c>
      <c r="Y16" s="349"/>
      <c r="Z16" s="349"/>
    </row>
    <row r="17" spans="3:26" s="168" customFormat="1" ht="21.95" customHeight="1">
      <c r="C17" s="287"/>
      <c r="Y17" s="331"/>
      <c r="Z17" s="331"/>
    </row>
    <row r="18" spans="3:26" s="168" customFormat="1" ht="21.95" customHeight="1">
      <c r="C18" s="531" t="s">
        <v>3184</v>
      </c>
      <c r="G18" s="360" t="s">
        <v>516</v>
      </c>
      <c r="I18" s="370" t="s">
        <v>587</v>
      </c>
      <c r="J18" s="527"/>
      <c r="K18" s="371" t="s">
        <v>586</v>
      </c>
      <c r="W18" s="168" t="s">
        <v>590</v>
      </c>
      <c r="X18" s="351">
        <f>INDEX(calcProd1Seg1GrossRevenueR1,,xxIndexTeam)</f>
        <v>476948.12175360008</v>
      </c>
      <c r="Y18" s="351">
        <f>INDEX(calcProd1Seg1GrossRevenueR2,,xxIndexTeam)</f>
        <v>565857.50605332491</v>
      </c>
    </row>
    <row r="19" spans="3:26" s="168" customFormat="1" ht="13.9" customHeight="1">
      <c r="C19" s="358" t="s">
        <v>2890</v>
      </c>
      <c r="E19" s="348">
        <v>0.33</v>
      </c>
      <c r="G19" s="533">
        <f>I19/70</f>
        <v>235.71428571428572</v>
      </c>
      <c r="I19" s="359">
        <f>INDEX(calcProd1Seg1SampleAllocR2,,xxIndexTeam)</f>
        <v>16500</v>
      </c>
      <c r="K19" s="359">
        <f>INDEX(calcProd1Seg1SampleAllocR1,,xxIndexTeam)</f>
        <v>16500</v>
      </c>
      <c r="W19" s="168" t="s">
        <v>3825</v>
      </c>
      <c r="X19" s="351">
        <f>INDEX(calcProd1Seg1Reimbursement,,xxIndexTeam)</f>
        <v>258316.89605568006</v>
      </c>
      <c r="Y19" s="351">
        <f>INDEX(calcProd1Seg1ReimbursementR2,,xxIndexTeam)</f>
        <v>306773.71102199808</v>
      </c>
    </row>
    <row r="20" spans="3:26" s="168" customFormat="1" ht="21.95" customHeight="1">
      <c r="G20" s="361"/>
      <c r="W20" s="168" t="s">
        <v>593</v>
      </c>
      <c r="X20" s="351">
        <f>INDEX(calcProd1Seg1NetRevenueR1,,xxIndexTeam)</f>
        <v>218631.22569792002</v>
      </c>
      <c r="Y20" s="351">
        <f>INDEX(calcProd1Seg1NetRevenueR2,,xxIndexTeam)</f>
        <v>259083.79503132679</v>
      </c>
    </row>
    <row r="21" spans="3:26" s="168" customFormat="1" ht="19.149999999999999" customHeight="1">
      <c r="C21" s="168" t="s">
        <v>3189</v>
      </c>
      <c r="E21" s="532">
        <v>0.33</v>
      </c>
      <c r="I21" s="370" t="s">
        <v>587</v>
      </c>
      <c r="J21" s="368"/>
      <c r="K21" s="371" t="s">
        <v>586</v>
      </c>
      <c r="W21" s="168" t="s">
        <v>516</v>
      </c>
      <c r="X21" s="351">
        <f>INDEX(calcProd1Seg1SampleAllocR1,,xxIndexTeam)</f>
        <v>16500</v>
      </c>
      <c r="Y21" s="351">
        <f>INDEX(calcProd1Seg1SampleAllocR2,,xxIndexTeam)</f>
        <v>16500</v>
      </c>
    </row>
    <row r="22" spans="3:26" s="168" customFormat="1" ht="13.9" customHeight="1">
      <c r="I22" s="359">
        <f>INDEX(calcProd1Seg1PromotionAllocationR2,,xxIndexTeam)</f>
        <v>62700</v>
      </c>
      <c r="K22" s="359">
        <f>INDEX(calcProd1Seg1PromotionAllocationR1,,xxIndexTeam)</f>
        <v>66000</v>
      </c>
      <c r="W22" s="168" t="s">
        <v>3251</v>
      </c>
      <c r="X22" s="351">
        <f>INDEX(calcProd1Seg1SpeakerAllocR1,,xxIndexTeam)</f>
        <v>33000</v>
      </c>
      <c r="Y22" s="351">
        <f>INDEX(calcProd1Seg1SpeakerAllocR2,,xxIndexTeam)</f>
        <v>31350</v>
      </c>
    </row>
    <row r="23" spans="3:26" s="168" customFormat="1" ht="6.6" customHeight="1">
      <c r="C23" s="527"/>
      <c r="E23" s="352"/>
      <c r="I23" s="358"/>
      <c r="J23" s="530"/>
      <c r="K23" s="358"/>
      <c r="W23" s="168" t="s">
        <v>2333</v>
      </c>
      <c r="X23" s="351">
        <f>INDEX(calcProd1Seg1PromotionAllocR1,,xxIndexTeam)</f>
        <v>33000</v>
      </c>
      <c r="Y23" s="351">
        <f>INDEX(calcProd1Seg1PromotionAllocR2,,xxIndexTeam)</f>
        <v>31350</v>
      </c>
    </row>
    <row r="24" spans="3:26" s="168" customFormat="1" ht="13.9" customHeight="1">
      <c r="C24" s="527" t="s">
        <v>2900</v>
      </c>
      <c r="E24" s="348">
        <v>0.5</v>
      </c>
      <c r="I24" s="359">
        <f>INDEX(calcProd1Seg1SpeakerAllocR2,,xxIndexTeam)</f>
        <v>31350</v>
      </c>
      <c r="J24" s="530"/>
      <c r="K24" s="359">
        <f>INDEX(calcProd1Seg1SpeakerAllocR1,,xxIndexTeam)</f>
        <v>33000</v>
      </c>
      <c r="W24" s="168" t="s">
        <v>594</v>
      </c>
      <c r="X24" s="351">
        <f>INDEX(calcProd1Seg1InternalCostR1,,xxIndexTeam)</f>
        <v>0</v>
      </c>
      <c r="Y24" s="351">
        <f>INDEX(calcProd1Seg1InternalCostR2,,xxIndexTeam)</f>
        <v>0</v>
      </c>
    </row>
    <row r="25" spans="3:26" s="168" customFormat="1" ht="6.6" customHeight="1">
      <c r="C25" s="527"/>
      <c r="E25" s="352"/>
      <c r="I25" s="358"/>
      <c r="J25" s="530"/>
      <c r="K25" s="358"/>
      <c r="W25" s="168" t="s">
        <v>595</v>
      </c>
      <c r="X25" s="351">
        <f>X20-SUM(X21:X24)</f>
        <v>136131.22569792002</v>
      </c>
      <c r="Y25" s="351">
        <f>Y20-SUM(Y21:Y24)</f>
        <v>179883.79503132679</v>
      </c>
    </row>
    <row r="26" spans="3:26" s="168" customFormat="1" ht="13.9" customHeight="1">
      <c r="C26" s="527" t="s">
        <v>2901</v>
      </c>
      <c r="E26" s="539">
        <f>1-tlInputProd1Seg1SpeakersPerc_R2</f>
        <v>0.5</v>
      </c>
      <c r="I26" s="359">
        <f>INDEX(calcProd1Seg1PromotionAllocR2,,xxIndexTeam)</f>
        <v>31350</v>
      </c>
      <c r="J26" s="530"/>
      <c r="K26" s="359">
        <f>INDEX(calcProd1Seg1PromotionAllocR1,,xxIndexTeam)</f>
        <v>33000</v>
      </c>
    </row>
    <row r="27" spans="3:26" s="168" customFormat="1" ht="21.95" customHeight="1">
      <c r="E27" s="331"/>
    </row>
    <row r="28" spans="3:26" s="168" customFormat="1" ht="21.95" customHeight="1">
      <c r="C28" s="287" t="s">
        <v>591</v>
      </c>
      <c r="G28" s="286" t="s">
        <v>2666</v>
      </c>
      <c r="I28" s="356"/>
      <c r="K28" s="356"/>
    </row>
    <row r="29" spans="3:26" s="168" customFormat="1" ht="14.45" customHeight="1">
      <c r="C29" s="340" t="s">
        <v>556</v>
      </c>
      <c r="E29" s="353">
        <v>0</v>
      </c>
      <c r="G29" s="358">
        <f>INDEX(calcProd1Seg1FTEsCFCollabR2,,xxIndexTeam)</f>
        <v>0</v>
      </c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3191</v>
      </c>
      <c r="E33" s="354" t="str">
        <f>nmProd1Seg1Rep1</f>
        <v>Rep Allen</v>
      </c>
      <c r="F33" s="363"/>
      <c r="G33" s="354" t="str">
        <f>nmProd1Seg1Rep2</f>
        <v>Rep Betty</v>
      </c>
      <c r="H33" s="363"/>
      <c r="I33" s="354" t="str">
        <f>nmProd1Seg1Rep3</f>
        <v>Rep Chris</v>
      </c>
      <c r="J33" s="286"/>
      <c r="K33" s="286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3">
        <v>0</v>
      </c>
      <c r="H34" s="336"/>
      <c r="I34" s="353">
        <v>0</v>
      </c>
      <c r="K34" s="355"/>
      <c r="W34" s="168" t="s">
        <v>592</v>
      </c>
      <c r="X34" s="496">
        <f>INDEX(calcESATProd1R1,,xxIndexTeam)</f>
        <v>60</v>
      </c>
      <c r="Y34" s="496">
        <f>INDEX(cbalESATProd1,,xxIndexTeam)</f>
        <v>60</v>
      </c>
    </row>
    <row r="35" spans="3:26" s="168" customFormat="1" ht="9" customHeight="1">
      <c r="E35" s="355"/>
      <c r="F35" s="336"/>
      <c r="G35" s="355"/>
      <c r="H35" s="336"/>
      <c r="I35" s="355"/>
      <c r="K35" s="355"/>
      <c r="W35" s="168" t="s">
        <v>2644</v>
      </c>
      <c r="X35" s="496">
        <f>INDEX(calcOpEffProd1R1,,xxIndexTeam)</f>
        <v>60</v>
      </c>
      <c r="Y35" s="496">
        <f>INDEX(cbalOpEffProd1,,xxIndexTeam)</f>
        <v>60</v>
      </c>
    </row>
    <row r="36" spans="3:26" s="168" customFormat="1" ht="21.95" customHeight="1">
      <c r="C36" s="333" t="s">
        <v>2666</v>
      </c>
      <c r="E36" s="354">
        <f>INDEX(calcProd1Seg1FTEsRep1R2,,xxIndexTeam)</f>
        <v>0</v>
      </c>
      <c r="F36" s="364"/>
      <c r="G36" s="354">
        <f>INDEX(calcProd1Seg1FTEsRep2R2,,xxIndexTeam)</f>
        <v>0</v>
      </c>
      <c r="H36" s="364"/>
      <c r="I36" s="354">
        <f>INDEX(calcProd1Seg1FTEsRep3R2,,xxIndexTeam)</f>
        <v>0</v>
      </c>
      <c r="J36" s="354"/>
      <c r="K36" s="354"/>
    </row>
    <row r="37" spans="3:26" s="168" customFormat="1" ht="21.95" customHeight="1">
      <c r="C37" s="333"/>
      <c r="E37" s="354"/>
      <c r="F37" s="364"/>
      <c r="G37" s="354"/>
      <c r="H37" s="364"/>
      <c r="I37" s="354"/>
      <c r="J37" s="354"/>
      <c r="K37" s="354"/>
    </row>
    <row r="38" spans="3:26" s="168" customFormat="1" ht="21.95" customHeight="1">
      <c r="C38" s="340" t="s">
        <v>3211</v>
      </c>
      <c r="E38" s="353">
        <v>0</v>
      </c>
      <c r="G38" s="358">
        <f>INDEX(calcProd1Seg1FTEsRegTrainR2,,xxIndexTeam)</f>
        <v>0</v>
      </c>
      <c r="X38" s="168" t="str">
        <f>nmProd1Seg1Rep1</f>
        <v>Rep Allen</v>
      </c>
      <c r="Y38" s="168" t="str">
        <f>nmProd1Seg1Rep2</f>
        <v>Rep Betty</v>
      </c>
      <c r="Z38" s="168" t="str">
        <f>nmProd1Seg1Rep3</f>
        <v>Rep Chris</v>
      </c>
    </row>
    <row r="39" spans="3:26" s="168" customFormat="1" ht="21.95" customHeight="1">
      <c r="C39" s="287" t="s">
        <v>598</v>
      </c>
      <c r="F39" s="336"/>
      <c r="H39" s="336"/>
      <c r="J39" s="286"/>
      <c r="K39" s="356"/>
      <c r="W39" s="168" t="s">
        <v>596</v>
      </c>
      <c r="X39" s="331">
        <f>1-tlOutputProd1Seg1Rep1IntTime_R2</f>
        <v>0.9</v>
      </c>
      <c r="Y39" s="331">
        <f>1-tlOutputProd1Seg1Rep2IntTime_R2</f>
        <v>0.9</v>
      </c>
      <c r="Z39" s="331">
        <f>1-tlOutputProd1Seg1Rep3IntTime_R2</f>
        <v>0.9</v>
      </c>
    </row>
    <row r="40" spans="3:26" s="168" customFormat="1" ht="8.4499999999999993" customHeight="1">
      <c r="J40" s="368"/>
      <c r="K40" s="356"/>
      <c r="X40" s="331"/>
      <c r="Y40" s="331"/>
      <c r="Z40" s="331"/>
    </row>
    <row r="41" spans="3:26" s="168" customFormat="1" ht="21.95" customHeight="1">
      <c r="C41" s="286" t="str">
        <f>nmTherapy1</f>
        <v>Wintellix</v>
      </c>
      <c r="E41" s="373">
        <v>0.4</v>
      </c>
      <c r="F41" s="363"/>
      <c r="G41" s="373">
        <v>0.4</v>
      </c>
      <c r="H41" s="363"/>
      <c r="I41" s="373">
        <v>0.6</v>
      </c>
      <c r="W41" s="168" t="s">
        <v>597</v>
      </c>
      <c r="X41" s="331">
        <f>INDEX(calcProd1Seg1Rep1InternalTimeR2,,xxIndexTeam)</f>
        <v>0.1</v>
      </c>
      <c r="Y41" s="331">
        <f>INDEX(calcProd1Seg1Rep2InternalTimeR2,,xxIndexTeam)</f>
        <v>0.1</v>
      </c>
      <c r="Z41" s="331">
        <f>INDEX(calcProd1Seg1Rep3InternalTimeR2,,xxIndexTeam)</f>
        <v>0.1</v>
      </c>
    </row>
    <row r="42" spans="3:26" s="168" customFormat="1" ht="21.95" customHeight="1">
      <c r="C42" s="333" t="s">
        <v>612</v>
      </c>
      <c r="E42" s="374">
        <f>INDEX(cbalInputProd1Seg1Therapy1Rep1Weight_R1,,xxIndexTeam)</f>
        <v>0.4</v>
      </c>
      <c r="F42" s="336"/>
      <c r="G42" s="374">
        <f>INDEX(cbalInputProd1Seg1Therapy1Rep2Weight_R1,,xxIndexTeam)</f>
        <v>0.4</v>
      </c>
      <c r="H42" s="336"/>
      <c r="I42" s="374">
        <f>INDEX(cbalInputProd1Seg1Therapy1Rep3Weight_R1,,xxIndexTeam)</f>
        <v>0.6</v>
      </c>
    </row>
    <row r="43" spans="3:26" s="168" customFormat="1" ht="21.95" customHeight="1"/>
    <row r="44" spans="3:26" s="168" customFormat="1" ht="21.95" customHeight="1"/>
    <row r="45" spans="3:26" s="167" customFormat="1" ht="15" customHeight="1"/>
    <row r="46" spans="3:26" s="167" customFormat="1" ht="15" customHeight="1"/>
    <row r="47" spans="3:26" ht="21.95" customHeight="1"/>
    <row r="48" spans="3:26" ht="21.95" customHeight="1"/>
    <row r="49" ht="21.95" customHeight="1"/>
  </sheetData>
  <sheetProtection selectLockedCells="1"/>
  <conditionalFormatting sqref="I19">
    <cfRule type="expression" dxfId="135" priority="7">
      <formula>I19&gt;#REF!</formula>
    </cfRule>
  </conditionalFormatting>
  <conditionalFormatting sqref="K19">
    <cfRule type="expression" dxfId="134" priority="6">
      <formula>K19&gt;#REF!</formula>
    </cfRule>
  </conditionalFormatting>
  <conditionalFormatting sqref="I24 I26">
    <cfRule type="expression" dxfId="133" priority="5">
      <formula>I24&gt;#REF!</formula>
    </cfRule>
  </conditionalFormatting>
  <conditionalFormatting sqref="I22">
    <cfRule type="expression" dxfId="132" priority="3">
      <formula>I22&gt;#REF!</formula>
    </cfRule>
  </conditionalFormatting>
  <conditionalFormatting sqref="K24 K26">
    <cfRule type="expression" dxfId="131" priority="2">
      <formula>K24&gt;#REF!</formula>
    </cfRule>
  </conditionalFormatting>
  <conditionalFormatting sqref="K22">
    <cfRule type="expression" dxfId="130" priority="1">
      <formula>K22&gt;#REF!</formula>
    </cfRule>
  </conditionalFormatting>
  <dataValidations count="1">
    <dataValidation type="list" allowBlank="1" showInputMessage="1" showErrorMessage="1" sqref="E29 E38 E34 G34 I34">
      <formula1>"0,1,2,3,4,5"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/>
  </sheetPr>
  <dimension ref="C1:Z49"/>
  <sheetViews>
    <sheetView topLeftCell="H3" zoomScaleNormal="100" workbookViewId="0">
      <selection activeCell="V16" sqref="V16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DB_Dashboard1Prod1</f>
        <v xml:space="preserve">TRx Share  0.32% NRx Share  0.33% TRx Volume  383 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DB_Dashboard2Prod1</f>
        <v xml:space="preserve">Market Execution  60.0 Employee Engagement  60.0 </v>
      </c>
    </row>
    <row r="4" spans="3:26" s="342" customFormat="1" ht="22.15" customHeight="1">
      <c r="C4" s="344"/>
      <c r="T4" s="343" t="str">
        <f>DB_Dashboard4Prod1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nmProd1</f>
        <v>Riverrun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nmProd1Seg2</f>
        <v>Tullyville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K10" s="360"/>
      <c r="L10" s="346"/>
      <c r="M10" s="346"/>
      <c r="N10" s="346"/>
      <c r="X10" s="168" t="s">
        <v>549</v>
      </c>
      <c r="Y10" s="349">
        <f>INDEX(calcProd1Seg2ShareTotalCustR1,,xxIndexTeam)</f>
        <v>3.6886666666666669E-3</v>
      </c>
      <c r="Z10" s="349">
        <f>INDEX(calcProd1Seg2ShareTotalCustR2,,xxIndexTeam)</f>
        <v>3.4594784722222216E-3</v>
      </c>
    </row>
    <row r="11" spans="3:26" s="168" customFormat="1" ht="9.9499999999999993" customHeight="1">
      <c r="X11" s="168" t="s">
        <v>550</v>
      </c>
      <c r="Y11" s="349">
        <f>INDEX(calcProd1Seg2ShareNewCustR1,,xxIndexTeam)</f>
        <v>3.6886666666666669E-3</v>
      </c>
      <c r="Z11" s="349">
        <f>INDEX(calcProd1Seg2ShareNewCustR2,,xxIndexTeam)</f>
        <v>3.459478472222222E-3</v>
      </c>
    </row>
    <row r="12" spans="3:26" s="168" customFormat="1" ht="15" customHeight="1">
      <c r="C12" s="168" t="str">
        <f>nmPayer1</f>
        <v>Blue Sword/Blue Shield</v>
      </c>
      <c r="E12" s="345">
        <f>INDEX(cbalProd1Seg2Payer1Volume,,xxIndexTeam)</f>
        <v>107.85983968199997</v>
      </c>
      <c r="G12" s="548">
        <f>tlOutputProd1Seg2Payer1Volume_R2-V12</f>
        <v>10.074801113999996</v>
      </c>
      <c r="K12" s="345"/>
      <c r="V12" s="168">
        <f>INDEX(calcProd1Seg2Payer1VolumeR1,,xxIndexTeam)</f>
        <v>97.785038567999976</v>
      </c>
    </row>
    <row r="13" spans="3:26" s="168" customFormat="1" ht="12.6" customHeight="1">
      <c r="C13" s="287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INDEX(cbalProd1Seg2Payer3Volume,,xxIndexTeam)</f>
        <v>44.735665668750002</v>
      </c>
      <c r="G14" s="548">
        <f>tlOutputProd1Seg2Payer3Volume_R2-V14</f>
        <v>1.1753350087499967</v>
      </c>
      <c r="K14" s="345"/>
      <c r="V14" s="168">
        <f>INDEX(calcProd1Seg2Payer3VolumeR1,,xxIndexTeam)</f>
        <v>43.560330660000005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2.6" customHeight="1">
      <c r="C16" s="168" t="str">
        <f>nmPayer2</f>
        <v>WesterAid</v>
      </c>
      <c r="E16" s="345">
        <f>INDEX(cbalProd1Seg2Payer2Volume,,xxIndexTeam)</f>
        <v>1.8287638818750047</v>
      </c>
      <c r="G16" s="548">
        <f>tlOutputProd1Seg2Payer2Volume_R2-V16</f>
        <v>-1.0948138661249975</v>
      </c>
      <c r="V16" s="168">
        <f>INDEX(calcProd1Seg2Payer2VolumeR1,,xxIndexTeam)</f>
        <v>2.9235777480000023</v>
      </c>
      <c r="Y16" s="349"/>
      <c r="Z16" s="349"/>
    </row>
    <row r="17" spans="3:26" s="168" customFormat="1" ht="21.95" customHeight="1">
      <c r="C17" s="287"/>
      <c r="Y17" s="331"/>
      <c r="Z17" s="331"/>
    </row>
    <row r="18" spans="3:26" s="168" customFormat="1" ht="21.95" customHeight="1">
      <c r="C18" s="531" t="s">
        <v>3184</v>
      </c>
      <c r="G18" s="360" t="s">
        <v>516</v>
      </c>
      <c r="I18" s="370" t="s">
        <v>587</v>
      </c>
      <c r="J18" s="527"/>
      <c r="K18" s="371" t="s">
        <v>586</v>
      </c>
      <c r="W18" s="168" t="s">
        <v>590</v>
      </c>
      <c r="X18" s="351">
        <f>INDEX(calcProd1Seg2GrossRevenueR1,,xxIndexTeam)</f>
        <v>432806.84092799993</v>
      </c>
      <c r="Y18" s="351">
        <f>INDEX(calcProd1Seg2GrossRevenueR2,,xxIndexTeam)</f>
        <v>463272.80769787496</v>
      </c>
    </row>
    <row r="19" spans="3:26" s="168" customFormat="1" ht="13.9" customHeight="1">
      <c r="C19" s="527" t="s">
        <v>2890</v>
      </c>
      <c r="E19" s="348">
        <v>0.33</v>
      </c>
      <c r="G19" s="533">
        <f>I19/70</f>
        <v>235.71428571428572</v>
      </c>
      <c r="I19" s="359">
        <f>INDEX(calcProd1Seg2SampleAllocR2,,xxIndexTeam)</f>
        <v>16500</v>
      </c>
      <c r="K19" s="359">
        <f>INDEX(calcProd1Seg2SampleAllocR1,,xxIndexTeam)</f>
        <v>16500</v>
      </c>
      <c r="W19" s="168" t="s">
        <v>3825</v>
      </c>
      <c r="X19" s="351">
        <f>INDEX(calcProd1Seg2Reimbursement,,xxIndexTeam)</f>
        <v>234424.97948519996</v>
      </c>
      <c r="Y19" s="351">
        <f>INDEX(calcProd1Seg2ReimbursementR2,,xxIndexTeam)</f>
        <v>251670.91438203747</v>
      </c>
    </row>
    <row r="20" spans="3:26" s="168" customFormat="1" ht="21.95" customHeight="1">
      <c r="G20" s="361"/>
      <c r="W20" s="168" t="s">
        <v>593</v>
      </c>
      <c r="X20" s="351">
        <f>INDEX(calcProd1Seg2NetRevenueR1,,xxIndexTeam)</f>
        <v>198381.86144279997</v>
      </c>
      <c r="Y20" s="351">
        <f>INDEX(calcProd1Seg2NetRevenueR2,,xxIndexTeam)</f>
        <v>211601.89331583749</v>
      </c>
    </row>
    <row r="21" spans="3:26" s="168" customFormat="1" ht="19.149999999999999" customHeight="1">
      <c r="C21" s="168" t="s">
        <v>3189</v>
      </c>
      <c r="E21" s="532">
        <v>0.33</v>
      </c>
      <c r="I21" s="370" t="s">
        <v>587</v>
      </c>
      <c r="J21" s="368"/>
      <c r="K21" s="371" t="s">
        <v>586</v>
      </c>
      <c r="W21" s="168" t="s">
        <v>516</v>
      </c>
      <c r="X21" s="351">
        <f>INDEX(calcProd1Seg2SampleAllocR1,,xxIndexTeam)</f>
        <v>16500</v>
      </c>
      <c r="Y21" s="351">
        <f>INDEX(calcProd1Seg2SampleAllocR2,,xxIndexTeam)</f>
        <v>16500</v>
      </c>
    </row>
    <row r="22" spans="3:26" s="168" customFormat="1" ht="13.9" customHeight="1">
      <c r="I22" s="359">
        <f>INDEX(calcProd1Seg2PromotionAllocationR2,,xxIndexTeam)</f>
        <v>62700</v>
      </c>
      <c r="K22" s="359">
        <f>INDEX(calcProd1Seg2PromotionAllocationR1,,xxIndexTeam)</f>
        <v>66000</v>
      </c>
      <c r="W22" s="168" t="s">
        <v>3251</v>
      </c>
      <c r="X22" s="351">
        <f>INDEX(calcProd1Seg2SpeakerAllocR1,,xxIndexTeam)</f>
        <v>33000</v>
      </c>
      <c r="Y22" s="351">
        <f>INDEX(calcProd1Seg2SpeakerAllocR2,,xxIndexTeam)</f>
        <v>31350</v>
      </c>
    </row>
    <row r="23" spans="3:26" s="168" customFormat="1" ht="6.6" customHeight="1">
      <c r="C23" s="527"/>
      <c r="E23" s="352"/>
      <c r="I23" s="358"/>
      <c r="J23" s="530"/>
      <c r="K23" s="358"/>
      <c r="W23" s="168" t="s">
        <v>2333</v>
      </c>
      <c r="X23" s="351">
        <f>INDEX(calcProd1Seg2PromotionAllocR1,,xxIndexTeam)</f>
        <v>33000</v>
      </c>
      <c r="Y23" s="351">
        <f>INDEX(calcProd1Seg2PromotionAllocR2,,xxIndexTeam)</f>
        <v>31350</v>
      </c>
    </row>
    <row r="24" spans="3:26" s="168" customFormat="1" ht="13.9" customHeight="1">
      <c r="C24" s="527" t="s">
        <v>2900</v>
      </c>
      <c r="E24" s="348">
        <v>0.5</v>
      </c>
      <c r="I24" s="359">
        <f>INDEX(calcProd1Seg2SpeakerAllocR2,,xxIndexTeam)</f>
        <v>31350</v>
      </c>
      <c r="J24" s="530"/>
      <c r="K24" s="359">
        <f>INDEX(calcProd1Seg2SpeakerAllocR1,,xxIndexTeam)</f>
        <v>33000</v>
      </c>
      <c r="W24" s="168" t="s">
        <v>594</v>
      </c>
      <c r="X24" s="351">
        <f>INDEX(calcProd1Seg2InternalCostR1,,xxIndexTeam)</f>
        <v>0</v>
      </c>
      <c r="Y24" s="351">
        <f>INDEX(calcProd1Seg2InternalCostR2,,xxIndexTeam)</f>
        <v>0</v>
      </c>
    </row>
    <row r="25" spans="3:26" s="168" customFormat="1" ht="6.6" customHeight="1">
      <c r="C25" s="527"/>
      <c r="E25" s="352"/>
      <c r="I25" s="358"/>
      <c r="J25" s="530"/>
      <c r="K25" s="358"/>
      <c r="W25" s="168" t="s">
        <v>595</v>
      </c>
      <c r="X25" s="351">
        <f>X20-SUM(X21:X24)</f>
        <v>115881.86144279997</v>
      </c>
      <c r="Y25" s="351">
        <f>Y20-SUM(Y21:Y24)</f>
        <v>132401.89331583749</v>
      </c>
    </row>
    <row r="26" spans="3:26" s="168" customFormat="1" ht="13.9" customHeight="1">
      <c r="C26" s="527" t="s">
        <v>2901</v>
      </c>
      <c r="E26" s="539">
        <f>1-tlInputProd1Seg2SpeakersPerc_R2</f>
        <v>0.5</v>
      </c>
      <c r="I26" s="359">
        <f>INDEX(calcProd1Seg2PromotionAllocR2,,xxIndexTeam)</f>
        <v>31350</v>
      </c>
      <c r="J26" s="530"/>
      <c r="K26" s="359">
        <f>INDEX(calcProd1Seg2PromotionAllocR1,,xxIndexTeam)</f>
        <v>33000</v>
      </c>
    </row>
    <row r="27" spans="3:26" s="168" customFormat="1" ht="21.95" customHeight="1">
      <c r="E27" s="331"/>
    </row>
    <row r="28" spans="3:26" s="168" customFormat="1" ht="21.95" customHeight="1">
      <c r="C28" s="287"/>
      <c r="G28" s="534"/>
      <c r="I28" s="356"/>
      <c r="K28" s="356"/>
    </row>
    <row r="29" spans="3:26" s="168" customFormat="1" ht="14.45" customHeight="1">
      <c r="C29" s="340"/>
      <c r="E29" s="355"/>
      <c r="G29" s="358"/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3191</v>
      </c>
      <c r="E33" s="354" t="str">
        <f>nmProd1Seg2Rep1</f>
        <v>Rep Danielle</v>
      </c>
      <c r="F33" s="363"/>
      <c r="G33" s="354" t="str">
        <f>nmProd1Seg2Rep2</f>
        <v>Rep Elliot</v>
      </c>
      <c r="H33" s="363"/>
      <c r="I33" s="354" t="str">
        <f>nmProd1Seg2Rep3</f>
        <v>Rep Fiona</v>
      </c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3">
        <v>0</v>
      </c>
      <c r="H34" s="336"/>
      <c r="I34" s="353">
        <v>0</v>
      </c>
      <c r="K34" s="355"/>
      <c r="W34" s="168" t="s">
        <v>592</v>
      </c>
      <c r="X34" s="496">
        <f>INDEX(calcESATProd1R1,,xxIndexTeam)</f>
        <v>60</v>
      </c>
      <c r="Y34" s="496">
        <f>INDEX(cbalESATProd1,,xxIndexTeam)</f>
        <v>60</v>
      </c>
    </row>
    <row r="35" spans="3:26" s="168" customFormat="1" ht="9" customHeight="1">
      <c r="E35" s="355"/>
      <c r="F35" s="336"/>
      <c r="G35" s="355"/>
      <c r="H35" s="336"/>
      <c r="I35" s="355"/>
      <c r="K35" s="355"/>
      <c r="W35" s="168" t="s">
        <v>2644</v>
      </c>
      <c r="X35" s="496">
        <f>INDEX(calcOpEffProd1R1,,xxIndexTeam)</f>
        <v>60</v>
      </c>
      <c r="Y35" s="496">
        <f>INDEX(cbalOpEffProd1,,xxIndexTeam)</f>
        <v>60</v>
      </c>
    </row>
    <row r="36" spans="3:26" s="168" customFormat="1" ht="21.95" customHeight="1">
      <c r="C36" s="333" t="s">
        <v>2666</v>
      </c>
      <c r="E36" s="354">
        <f>INDEX(calcProd1Seg2FTEsRep1R2,,xxIndexTeam)</f>
        <v>0</v>
      </c>
      <c r="F36" s="364"/>
      <c r="G36" s="354">
        <f>INDEX(calcProd1Seg2FTEsRep2R2,,xxIndexTeam)</f>
        <v>0</v>
      </c>
      <c r="H36" s="364"/>
      <c r="I36" s="354">
        <f>INDEX(calcProd1Seg2FTEsRep3R2,,xxIndexTeam)</f>
        <v>0</v>
      </c>
      <c r="J36" s="354"/>
      <c r="K36" s="354"/>
    </row>
    <row r="37" spans="3:26" s="168" customFormat="1" ht="21.95" customHeight="1">
      <c r="C37" s="333"/>
      <c r="E37" s="354"/>
      <c r="F37" s="364"/>
      <c r="G37" s="354" t="s">
        <v>2666</v>
      </c>
      <c r="H37" s="364"/>
      <c r="I37" s="354"/>
      <c r="J37" s="354"/>
      <c r="K37" s="354"/>
    </row>
    <row r="38" spans="3:26" s="168" customFormat="1" ht="21.95" customHeight="1">
      <c r="C38" s="340" t="s">
        <v>3211</v>
      </c>
      <c r="E38" s="353">
        <v>0</v>
      </c>
      <c r="G38" s="358">
        <f>INDEX(calcProd1Seg2FTEsRegTrainR2,,xxIndexTeam)</f>
        <v>0</v>
      </c>
      <c r="X38" s="168" t="str">
        <f>nmProd1Seg2Rep1</f>
        <v>Rep Danielle</v>
      </c>
      <c r="Y38" s="168" t="str">
        <f>nmProd1Seg2Rep2</f>
        <v>Rep Elliot</v>
      </c>
      <c r="Z38" s="168" t="str">
        <f>nmProd1Seg2Rep3</f>
        <v>Rep Fiona</v>
      </c>
    </row>
    <row r="39" spans="3:26" s="168" customFormat="1" ht="21.95" customHeight="1">
      <c r="C39" s="287" t="s">
        <v>598</v>
      </c>
      <c r="F39" s="336"/>
      <c r="H39" s="336"/>
      <c r="K39" s="356"/>
      <c r="W39" s="168" t="s">
        <v>596</v>
      </c>
      <c r="X39" s="331">
        <f>1-tlOutputProd1Seg2Rep1IntTime_R2</f>
        <v>0.9</v>
      </c>
      <c r="Y39" s="331">
        <f>1-tlOutputProd1Seg2Rep2IntTime_R2</f>
        <v>0.9</v>
      </c>
      <c r="Z39" s="331">
        <f>1-tlOutputProd1Seg2Rep3IntTime_R2</f>
        <v>0.9</v>
      </c>
    </row>
    <row r="40" spans="3:26" s="168" customFormat="1" ht="8.4499999999999993" customHeight="1">
      <c r="J40" s="368"/>
      <c r="K40" s="356"/>
      <c r="X40" s="331"/>
      <c r="Y40" s="331"/>
      <c r="Z40" s="331"/>
    </row>
    <row r="41" spans="3:26" s="168" customFormat="1" ht="21.95" customHeight="1">
      <c r="C41" s="368" t="str">
        <f>nmTherapy1</f>
        <v>Wintellix</v>
      </c>
      <c r="E41" s="373">
        <v>0.6</v>
      </c>
      <c r="F41" s="363"/>
      <c r="G41" s="373">
        <v>0.6</v>
      </c>
      <c r="H41" s="363"/>
      <c r="I41" s="373">
        <v>0.4</v>
      </c>
      <c r="J41" s="368"/>
      <c r="W41" s="168" t="s">
        <v>597</v>
      </c>
      <c r="X41" s="331">
        <f>INDEX(calcProd1Seg2Rep1InternalTimeR2,,xxIndexTeam)</f>
        <v>0.1</v>
      </c>
      <c r="Y41" s="331">
        <f>INDEX(calcProd1Seg2Rep2InternalTimeR2,,xxIndexTeam)</f>
        <v>0.1</v>
      </c>
      <c r="Z41" s="331">
        <f>INDEX(calcProd1Seg2Rep3InternalTimeR2,,xxIndexTeam)</f>
        <v>0.1</v>
      </c>
    </row>
    <row r="42" spans="3:26" s="168" customFormat="1" ht="21.95" customHeight="1">
      <c r="C42" s="333" t="s">
        <v>612</v>
      </c>
      <c r="E42" s="374">
        <f>INDEX(cbalInputProd1Seg2Therapy1Rep1Weight_R1,,xxIndexTeam)</f>
        <v>0.6</v>
      </c>
      <c r="F42" s="336"/>
      <c r="G42" s="374">
        <f>INDEX(cbalInputProd1Seg2Therapy1Rep2Weight_R1,,xxIndexTeam)</f>
        <v>0.5</v>
      </c>
      <c r="H42" s="336"/>
      <c r="I42" s="374">
        <f>INDEX(cbalInputProd1Seg2Therapy1Rep3Weight_R1,,xxIndexTeam)</f>
        <v>0.4</v>
      </c>
    </row>
    <row r="43" spans="3:26" s="168" customFormat="1" ht="21.95" customHeight="1"/>
    <row r="44" spans="3:26" s="168" customFormat="1" ht="21.95" customHeight="1"/>
    <row r="45" spans="3:26" s="167" customFormat="1" ht="15" customHeight="1"/>
    <row r="46" spans="3:26" s="167" customFormat="1" ht="15" customHeight="1"/>
    <row r="47" spans="3:26" ht="21.95" customHeight="1"/>
    <row r="48" spans="3:26" ht="21.95" customHeight="1"/>
    <row r="49" ht="21.95" customHeight="1"/>
  </sheetData>
  <sheetProtection selectLockedCells="1"/>
  <conditionalFormatting sqref="I19">
    <cfRule type="expression" dxfId="129" priority="5">
      <formula>I19&gt;#REF!</formula>
    </cfRule>
  </conditionalFormatting>
  <conditionalFormatting sqref="K19">
    <cfRule type="expression" dxfId="128" priority="6">
      <formula>K19&gt;#REF!</formula>
    </cfRule>
  </conditionalFormatting>
  <conditionalFormatting sqref="I24 I26">
    <cfRule type="expression" dxfId="127" priority="4">
      <formula>I24&gt;#REF!</formula>
    </cfRule>
  </conditionalFormatting>
  <conditionalFormatting sqref="I22">
    <cfRule type="expression" dxfId="126" priority="3">
      <formula>I22&gt;#REF!</formula>
    </cfRule>
  </conditionalFormatting>
  <conditionalFormatting sqref="K24 K26">
    <cfRule type="expression" dxfId="125" priority="2">
      <formula>K24&gt;#REF!</formula>
    </cfRule>
  </conditionalFormatting>
  <conditionalFormatting sqref="K22">
    <cfRule type="expression" dxfId="124" priority="1">
      <formula>K22&gt;#REF!</formula>
    </cfRule>
  </conditionalFormatting>
  <dataValidations disablePrompts="1" count="1">
    <dataValidation type="list" allowBlank="1" showInputMessage="1" showErrorMessage="1" sqref="E29 E38 E34 G34 I34">
      <formula1>"0,1,2,3,4,5"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4"/>
  </sheetPr>
  <dimension ref="C1:Z49"/>
  <sheetViews>
    <sheetView topLeftCell="A8" zoomScaleNormal="100" workbookViewId="0">
      <selection activeCell="C16" sqref="C16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DB_Dashboard1Prod1</f>
        <v xml:space="preserve">TRx Share  0.32% NRx Share  0.33% TRx Volume  383 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DB_Dashboard2Prod1</f>
        <v xml:space="preserve">Market Execution  60.0 Employee Engagement  60.0 </v>
      </c>
    </row>
    <row r="4" spans="3:26" s="342" customFormat="1" ht="22.15" customHeight="1">
      <c r="C4" s="344"/>
      <c r="T4" s="343" t="str">
        <f>DB_Dashboard4Prod1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nmProd1</f>
        <v>Riverrun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nmProd1Seg3</f>
        <v>Lordfrey City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K10" s="360"/>
      <c r="L10" s="346"/>
      <c r="M10" s="346"/>
      <c r="N10" s="346"/>
      <c r="X10" s="168" t="s">
        <v>549</v>
      </c>
      <c r="Y10" s="349">
        <f>INDEX(calcProd1Seg3ShareTotalCustR1,,xxIndexTeam)</f>
        <v>2.4922278496494741E-3</v>
      </c>
      <c r="Z10" s="349">
        <f>INDEX(calcProd1Seg3ShareTotalCustR2,,xxIndexTeam)</f>
        <v>1.9014134441309345E-3</v>
      </c>
    </row>
    <row r="11" spans="3:26" s="168" customFormat="1" ht="9.9499999999999993" customHeight="1">
      <c r="X11" s="168" t="s">
        <v>550</v>
      </c>
      <c r="Y11" s="349">
        <f>INDEX(calcProd1Seg3ShareNewCustR1,,xxIndexTeam)</f>
        <v>2.5376623376623373E-3</v>
      </c>
      <c r="Z11" s="349">
        <f>INDEX(calcProd1Seg3ShareNewCustR2,,xxIndexTeam)</f>
        <v>1.9917857142857137E-3</v>
      </c>
    </row>
    <row r="12" spans="3:26" s="168" customFormat="1" ht="15" customHeight="1">
      <c r="C12" s="168" t="str">
        <f>nmPayer1</f>
        <v>Blue Sword/Blue Shield</v>
      </c>
      <c r="E12" s="345">
        <f>INDEX(cbalProd1Seg3Payer1Volume,,xxIndexTeam)</f>
        <v>48.934545827999976</v>
      </c>
      <c r="G12" s="548">
        <f>tlOutputProd1Seg3Payer1Volume_R2-V12</f>
        <v>-6.0549061719999955</v>
      </c>
      <c r="K12" s="345"/>
      <c r="V12" s="168">
        <f>INDEX(calcProd1Seg3Payer1VolumeR1,,xxIndexTeam)</f>
        <v>54.989451999999972</v>
      </c>
    </row>
    <row r="13" spans="3:26" s="168" customFormat="1" ht="12.6" customHeight="1">
      <c r="C13" s="287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INDEX(cbalProd1Seg3Payer3Volume,,xxIndexTeam)</f>
        <v>17.520144162039472</v>
      </c>
      <c r="G14" s="548">
        <f>tlOutputProd1Seg3Payer3Volume_R2-V14</f>
        <v>-7.0962934695394715</v>
      </c>
      <c r="K14" s="345"/>
      <c r="V14" s="168">
        <f>INDEX(calcProd1Seg3Payer3VolumeR1,,xxIndexTeam)</f>
        <v>24.616437631578943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2.6" customHeight="1">
      <c r="C16" s="168" t="str">
        <f>nmPayer2</f>
        <v>WesterAid</v>
      </c>
      <c r="E16" s="345">
        <f>INDEX(cbalProd1Seg3Payer2Volume,,xxIndexTeam)</f>
        <v>0</v>
      </c>
      <c r="G16" s="548">
        <f>tlOutputProd1Seg3Payer2Volume_R2-V16</f>
        <v>0</v>
      </c>
      <c r="V16" s="168">
        <f>INDEX(calcProd1Seg3Payer2VolumeR1,,xxIndexTeam)</f>
        <v>0</v>
      </c>
      <c r="Y16" s="349"/>
      <c r="Z16" s="349"/>
    </row>
    <row r="17" spans="3:26" s="168" customFormat="1" ht="21.95" customHeight="1">
      <c r="C17" s="287"/>
      <c r="Y17" s="331"/>
      <c r="Z17" s="331"/>
    </row>
    <row r="18" spans="3:26" s="168" customFormat="1" ht="21.95" customHeight="1">
      <c r="C18" s="531" t="s">
        <v>3184</v>
      </c>
      <c r="G18" s="360" t="s">
        <v>516</v>
      </c>
      <c r="I18" s="370" t="s">
        <v>587</v>
      </c>
      <c r="J18" s="527"/>
      <c r="K18" s="371" t="s">
        <v>586</v>
      </c>
      <c r="W18" s="168" t="s">
        <v>590</v>
      </c>
      <c r="X18" s="351">
        <f>INDEX(calcProd1Seg3GrossRevenueR1,,xxIndexTeam)</f>
        <v>238817.66889473674</v>
      </c>
      <c r="Y18" s="351">
        <f>INDEX(calcProd1Seg3GrossRevenueR2,,xxIndexTeam)</f>
        <v>199364.06997011835</v>
      </c>
    </row>
    <row r="19" spans="3:26" s="168" customFormat="1" ht="13.9" customHeight="1">
      <c r="C19" s="527" t="s">
        <v>2890</v>
      </c>
      <c r="E19" s="348">
        <v>0.33</v>
      </c>
      <c r="G19" s="533">
        <f>I19/70</f>
        <v>235.71428571428572</v>
      </c>
      <c r="I19" s="359">
        <f>INDEX(calcProd1Seg3SampleAllocR2,,xxIndexTeam)</f>
        <v>16500</v>
      </c>
      <c r="K19" s="359">
        <f>INDEX(calcProd1Seg3SampleAllocR1,,xxIndexTeam)</f>
        <v>16500</v>
      </c>
      <c r="W19" s="168" t="s">
        <v>3825</v>
      </c>
      <c r="X19" s="351">
        <f>INDEX(calcProd1Seg3Reimbursement,,xxIndexTeam)</f>
        <v>128520.73875789467</v>
      </c>
      <c r="Y19" s="351">
        <f>INDEX(calcProd1Seg3ReimbursementR2,,xxIndexTeam)</f>
        <v>109106.35548484733</v>
      </c>
    </row>
    <row r="20" spans="3:26" s="168" customFormat="1" ht="21.95" customHeight="1">
      <c r="G20" s="361"/>
      <c r="W20" s="168" t="s">
        <v>593</v>
      </c>
      <c r="X20" s="351">
        <f>INDEX(calcProd1Seg3NetRevenueR1,,xxIndexTeam)</f>
        <v>110296.93013684207</v>
      </c>
      <c r="Y20" s="351">
        <f>INDEX(calcProd1Seg3NetRevenueR2,,xxIndexTeam)</f>
        <v>90257.714485271019</v>
      </c>
    </row>
    <row r="21" spans="3:26" s="168" customFormat="1" ht="19.149999999999999" customHeight="1">
      <c r="C21" s="168" t="s">
        <v>3189</v>
      </c>
      <c r="E21" s="532">
        <v>0.33</v>
      </c>
      <c r="I21" s="370" t="s">
        <v>587</v>
      </c>
      <c r="J21" s="368"/>
      <c r="K21" s="371" t="s">
        <v>586</v>
      </c>
      <c r="W21" s="168" t="s">
        <v>516</v>
      </c>
      <c r="X21" s="351">
        <f>INDEX(calcProd1Seg3SampleAllocR1,,xxIndexTeam)</f>
        <v>16500</v>
      </c>
      <c r="Y21" s="351">
        <f>INDEX(calcProd1Seg3SampleAllocR2,,xxIndexTeam)</f>
        <v>16500</v>
      </c>
    </row>
    <row r="22" spans="3:26" s="168" customFormat="1" ht="13.9" customHeight="1">
      <c r="I22" s="359">
        <f>INDEX(calcProd1Seg3PromotionAllocationR2,,xxIndexTeam)</f>
        <v>62700</v>
      </c>
      <c r="K22" s="359">
        <f>INDEX(calcProd1Seg3PromotionAllocationR1,,xxIndexTeam)</f>
        <v>66000</v>
      </c>
      <c r="W22" s="168" t="s">
        <v>3251</v>
      </c>
      <c r="X22" s="351">
        <f>INDEX(calcProd1Seg3SpeakerAllocR1,,xxIndexTeam)</f>
        <v>33000</v>
      </c>
      <c r="Y22" s="351">
        <f>INDEX(calcProd1Seg3SpeakerAllocR2,,xxIndexTeam)</f>
        <v>31350</v>
      </c>
    </row>
    <row r="23" spans="3:26" s="168" customFormat="1" ht="6.6" customHeight="1">
      <c r="C23" s="527"/>
      <c r="E23" s="352"/>
      <c r="I23" s="358"/>
      <c r="J23" s="530"/>
      <c r="K23" s="358"/>
      <c r="W23" s="168" t="s">
        <v>2333</v>
      </c>
      <c r="X23" s="351">
        <f>INDEX(calcProd1Seg3PromotionAllocR1,,xxIndexTeam)</f>
        <v>33000</v>
      </c>
      <c r="Y23" s="351">
        <f>INDEX(calcProd1Seg3PromotionAllocR2,,xxIndexTeam)</f>
        <v>31350</v>
      </c>
    </row>
    <row r="24" spans="3:26" s="168" customFormat="1" ht="13.9" customHeight="1">
      <c r="C24" s="527" t="s">
        <v>2900</v>
      </c>
      <c r="E24" s="348">
        <v>0.5</v>
      </c>
      <c r="I24" s="359">
        <f>INDEX(calcProd1Seg3SpeakerAllocR2,,xxIndexTeam)</f>
        <v>31350</v>
      </c>
      <c r="J24" s="530"/>
      <c r="K24" s="359">
        <f>INDEX(calcProd1Seg3SpeakerAllocR1,,xxIndexTeam)</f>
        <v>33000</v>
      </c>
      <c r="W24" s="168" t="s">
        <v>594</v>
      </c>
      <c r="X24" s="351">
        <f>INDEX(calcProd1Seg3InternalCostR1,,xxIndexTeam)</f>
        <v>0</v>
      </c>
      <c r="Y24" s="351">
        <f>INDEX(calcProd1Seg3InternalCostR2,,xxIndexTeam)</f>
        <v>0</v>
      </c>
    </row>
    <row r="25" spans="3:26" s="168" customFormat="1" ht="6.6" customHeight="1">
      <c r="C25" s="527"/>
      <c r="E25" s="352"/>
      <c r="I25" s="358"/>
      <c r="J25" s="530"/>
      <c r="K25" s="358"/>
      <c r="W25" s="168" t="s">
        <v>595</v>
      </c>
      <c r="X25" s="351">
        <f>X20-SUM(X21:X24)</f>
        <v>27796.930136842071</v>
      </c>
      <c r="Y25" s="351">
        <f>Y20-SUM(Y21:Y24)</f>
        <v>11057.714485271019</v>
      </c>
    </row>
    <row r="26" spans="3:26" s="168" customFormat="1" ht="13.9" customHeight="1">
      <c r="C26" s="527" t="s">
        <v>2901</v>
      </c>
      <c r="E26" s="539">
        <f>1-tlInputProd1Seg3SpeakersPerc_R2</f>
        <v>0.5</v>
      </c>
      <c r="I26" s="359">
        <f>INDEX(calcProd1Seg3PromotionAllocR2,,xxIndexTeam)</f>
        <v>31350</v>
      </c>
      <c r="J26" s="530"/>
      <c r="K26" s="359">
        <f>INDEX(calcProd1Seg3PromotionAllocR1,,xxIndexTeam)</f>
        <v>33000</v>
      </c>
    </row>
    <row r="27" spans="3:26" s="168" customFormat="1" ht="21.95" customHeight="1">
      <c r="E27" s="331"/>
    </row>
    <row r="28" spans="3:26" s="168" customFormat="1" ht="21.95" customHeight="1">
      <c r="C28" s="287"/>
      <c r="G28" s="534"/>
      <c r="I28" s="356"/>
      <c r="K28" s="356"/>
    </row>
    <row r="29" spans="3:26" s="168" customFormat="1" ht="14.45" customHeight="1">
      <c r="C29" s="340"/>
      <c r="E29" s="355"/>
      <c r="G29" s="358"/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3191</v>
      </c>
      <c r="E33" s="354" t="str">
        <f>nmProd1Seg3Rep1</f>
        <v>Rep Gregg</v>
      </c>
      <c r="F33" s="363"/>
      <c r="G33" s="354" t="str">
        <f>nmProd1Seg3Rep2</f>
        <v>Rep Howard</v>
      </c>
      <c r="H33" s="363"/>
      <c r="I33" s="354" t="str">
        <f>nmProd1Seg3Rep3</f>
        <v>Rep Isabelle</v>
      </c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3">
        <v>0</v>
      </c>
      <c r="H34" s="336"/>
      <c r="I34" s="353">
        <v>0</v>
      </c>
      <c r="K34" s="355"/>
      <c r="W34" s="168" t="s">
        <v>592</v>
      </c>
      <c r="X34" s="496">
        <f>INDEX(calcESATProd1R1,,xxIndexTeam)</f>
        <v>60</v>
      </c>
      <c r="Y34" s="496">
        <f>INDEX(cbalESATProd1,,xxIndexTeam)</f>
        <v>60</v>
      </c>
    </row>
    <row r="35" spans="3:26" s="168" customFormat="1" ht="9" customHeight="1">
      <c r="E35" s="355"/>
      <c r="F35" s="336"/>
      <c r="G35" s="355"/>
      <c r="H35" s="336"/>
      <c r="I35" s="355"/>
      <c r="K35" s="355"/>
      <c r="W35" s="168" t="s">
        <v>2644</v>
      </c>
      <c r="X35" s="496">
        <f>INDEX(calcOpEffProd1R1,,xxIndexTeam)</f>
        <v>60</v>
      </c>
      <c r="Y35" s="496">
        <f>INDEX(cbalOpEffProd1,,xxIndexTeam)</f>
        <v>60</v>
      </c>
    </row>
    <row r="36" spans="3:26" s="168" customFormat="1" ht="21.95" customHeight="1">
      <c r="C36" s="333" t="s">
        <v>2666</v>
      </c>
      <c r="E36" s="354">
        <f>INDEX(calcProd1Seg3FTEsRep1R2,,xxIndexTeam)</f>
        <v>0</v>
      </c>
      <c r="F36" s="364"/>
      <c r="G36" s="354">
        <f>INDEX(calcProd1Seg3FTEsRep2R2,,xxIndexTeam)</f>
        <v>0</v>
      </c>
      <c r="H36" s="364"/>
      <c r="I36" s="354">
        <f>INDEX(calcProd1Seg3FTEsRep3R2,,xxIndexTeam)</f>
        <v>0</v>
      </c>
      <c r="J36" s="354"/>
      <c r="K36" s="354"/>
    </row>
    <row r="37" spans="3:26" s="168" customFormat="1" ht="21.95" customHeight="1">
      <c r="C37" s="333"/>
      <c r="E37" s="354"/>
      <c r="F37" s="364"/>
      <c r="G37" s="534" t="s">
        <v>2666</v>
      </c>
      <c r="H37" s="364"/>
      <c r="I37" s="354"/>
      <c r="J37" s="354"/>
      <c r="K37" s="354"/>
    </row>
    <row r="38" spans="3:26" s="168" customFormat="1" ht="21.95" customHeight="1">
      <c r="C38" s="340" t="s">
        <v>3211</v>
      </c>
      <c r="E38" s="353">
        <v>0</v>
      </c>
      <c r="G38" s="358">
        <f>INDEX(calcProd1Seg3FTEsRegTrainR2,,xxIndexTeam)</f>
        <v>0</v>
      </c>
      <c r="X38" s="168" t="str">
        <f>nmProd1Seg3Rep1</f>
        <v>Rep Gregg</v>
      </c>
      <c r="Y38" s="168" t="str">
        <f>nmProd1Seg3Rep2</f>
        <v>Rep Howard</v>
      </c>
      <c r="Z38" s="168" t="str">
        <f>nmProd1Seg3Rep3</f>
        <v>Rep Isabelle</v>
      </c>
    </row>
    <row r="39" spans="3:26" s="168" customFormat="1" ht="21.95" customHeight="1">
      <c r="C39" s="287" t="s">
        <v>598</v>
      </c>
      <c r="F39" s="336"/>
      <c r="H39" s="336"/>
      <c r="J39" s="368"/>
      <c r="K39" s="356"/>
      <c r="W39" s="168" t="s">
        <v>596</v>
      </c>
      <c r="X39" s="331">
        <f>1-tlOutputProd1Seg3Rep1IntTime_R2</f>
        <v>0.9</v>
      </c>
      <c r="Y39" s="331">
        <f>1-tlOutputProd1Seg3Rep2IntTime_R2</f>
        <v>0.9</v>
      </c>
      <c r="Z39" s="331">
        <f>1-tlOutputProd1Seg3Rep3IntTime_R2</f>
        <v>0.9</v>
      </c>
    </row>
    <row r="40" spans="3:26" s="168" customFormat="1" ht="8.4499999999999993" customHeight="1">
      <c r="J40" s="368"/>
      <c r="K40" s="356"/>
      <c r="X40" s="331"/>
      <c r="Y40" s="331"/>
      <c r="Z40" s="331"/>
    </row>
    <row r="41" spans="3:26" s="168" customFormat="1" ht="21.95" customHeight="1">
      <c r="C41" s="368" t="str">
        <f>nmTherapy1</f>
        <v>Wintellix</v>
      </c>
      <c r="E41" s="373">
        <v>0.5</v>
      </c>
      <c r="F41" s="363"/>
      <c r="G41" s="373">
        <v>0.5</v>
      </c>
      <c r="H41" s="363"/>
      <c r="I41" s="373">
        <v>0.5</v>
      </c>
      <c r="W41" s="168" t="s">
        <v>597</v>
      </c>
      <c r="X41" s="331">
        <f>INDEX(calcProd1Seg3Rep1InternalTimeR2,,xxIndexTeam)</f>
        <v>0.1</v>
      </c>
      <c r="Y41" s="331">
        <f>INDEX(calcProd1Seg3Rep2InternalTimeR2,,xxIndexTeam)</f>
        <v>0.1</v>
      </c>
      <c r="Z41" s="331">
        <f>INDEX(calcProd1Seg3Rep3InternalTimeR2,,xxIndexTeam)</f>
        <v>0.1</v>
      </c>
    </row>
    <row r="42" spans="3:26" s="168" customFormat="1" ht="21.95" customHeight="1">
      <c r="C42" s="333" t="s">
        <v>612</v>
      </c>
      <c r="E42" s="374">
        <f>INDEX(cbalInputProd1Seg3Therapy1Rep1Weight_R1,,xxIndexTeam)</f>
        <v>0.5</v>
      </c>
      <c r="F42" s="336"/>
      <c r="G42" s="374">
        <f>INDEX(cbalInputProd1Seg3Therapy1Rep2Weight_R1,,xxIndexTeam)</f>
        <v>0.5</v>
      </c>
      <c r="H42" s="336"/>
      <c r="I42" s="374">
        <f>INDEX(cbalInputProd1Seg3Therapy1Rep3Weight_R1,,xxIndexTeam)</f>
        <v>0.5</v>
      </c>
    </row>
    <row r="43" spans="3:26" s="168" customFormat="1" ht="21.95" customHeight="1"/>
    <row r="44" spans="3:26" s="168" customFormat="1" ht="21.95" customHeight="1"/>
    <row r="45" spans="3:26" s="167" customFormat="1" ht="15" customHeight="1"/>
    <row r="46" spans="3:26" s="167" customFormat="1" ht="15" customHeight="1"/>
    <row r="47" spans="3:26" ht="21.95" customHeight="1"/>
    <row r="48" spans="3:26" ht="21.95" customHeight="1"/>
    <row r="49" ht="21.95" customHeight="1"/>
  </sheetData>
  <sheetProtection selectLockedCells="1"/>
  <conditionalFormatting sqref="K19">
    <cfRule type="expression" dxfId="123" priority="6">
      <formula>K19&gt;#REF!</formula>
    </cfRule>
  </conditionalFormatting>
  <conditionalFormatting sqref="I19">
    <cfRule type="expression" dxfId="122" priority="5">
      <formula>I19&gt;#REF!</formula>
    </cfRule>
  </conditionalFormatting>
  <conditionalFormatting sqref="I24 I26">
    <cfRule type="expression" dxfId="121" priority="4">
      <formula>I24&gt;#REF!</formula>
    </cfRule>
  </conditionalFormatting>
  <conditionalFormatting sqref="I22">
    <cfRule type="expression" dxfId="120" priority="3">
      <formula>I22&gt;#REF!</formula>
    </cfRule>
  </conditionalFormatting>
  <conditionalFormatting sqref="K24 K26">
    <cfRule type="expression" dxfId="119" priority="2">
      <formula>K24&gt;#REF!</formula>
    </cfRule>
  </conditionalFormatting>
  <conditionalFormatting sqref="K22">
    <cfRule type="expression" dxfId="118" priority="1">
      <formula>K22&gt;#REF!</formula>
    </cfRule>
  </conditionalFormatting>
  <dataValidations disablePrompts="1" count="1">
    <dataValidation type="list" allowBlank="1" showInputMessage="1" showErrorMessage="1" sqref="E29 E38 E34 G34 I34">
      <formula1>"0,1,2,3,4,5"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4"/>
  </sheetPr>
  <dimension ref="C1:AH49"/>
  <sheetViews>
    <sheetView topLeftCell="A19" zoomScaleNormal="100" workbookViewId="0">
      <selection activeCell="O32" sqref="O32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8.8984375" style="166" customWidth="1"/>
    <col min="7" max="7" width="6.3984375" style="166" customWidth="1"/>
    <col min="8" max="8" width="1.19921875" style="166" customWidth="1"/>
    <col min="9" max="9" width="10.296875" style="166" customWidth="1"/>
    <col min="10" max="10" width="9" style="166" bestFit="1" customWidth="1"/>
    <col min="11" max="11" width="6.69921875" style="166" customWidth="1"/>
    <col min="12" max="12" width="11.59765625" style="166" customWidth="1"/>
    <col min="13" max="13" width="7.796875" style="166" customWidth="1"/>
    <col min="14" max="14" width="4.19921875" style="166" customWidth="1"/>
    <col min="15" max="15" width="10.69921875" style="166" customWidth="1"/>
    <col min="16" max="16" width="7.19921875" style="166" customWidth="1"/>
    <col min="17" max="17" width="6.8984375" style="166" customWidth="1"/>
    <col min="18" max="18" width="11.59765625" style="166" customWidth="1"/>
    <col min="19" max="19" width="7" style="166" customWidth="1"/>
    <col min="20" max="20" width="5.59765625" style="166" customWidth="1"/>
    <col min="21" max="21" width="10.69921875" style="166" customWidth="1"/>
    <col min="22" max="22" width="7" style="166" customWidth="1"/>
    <col min="23" max="23" width="7.19921875" style="166" customWidth="1"/>
    <col min="24" max="24" width="11.59765625" style="166" customWidth="1"/>
    <col min="25" max="25" width="7" style="166" customWidth="1"/>
    <col min="26" max="26" width="13.69921875" style="166" bestFit="1" customWidth="1"/>
    <col min="27" max="27" width="13.5" style="166" bestFit="1" customWidth="1"/>
    <col min="28" max="29" width="8.796875" style="166"/>
    <col min="30" max="30" width="12.09765625" style="166" bestFit="1" customWidth="1"/>
    <col min="31" max="31" width="11.296875" style="166" bestFit="1" customWidth="1"/>
    <col min="32" max="16384" width="8.796875" style="166"/>
  </cols>
  <sheetData>
    <row r="1" spans="3:34" s="168" customFormat="1" ht="6" customHeight="1"/>
    <row r="2" spans="3:34" s="342" customFormat="1" ht="22.15" customHeight="1">
      <c r="C2" s="337"/>
      <c r="Y2" s="343" t="str">
        <f>DB_Dashboard1</f>
        <v xml:space="preserve">TRx Share  0.32% NRx Share  0.33% TRx Volume  383 </v>
      </c>
      <c r="AB2" s="170" t="s">
        <v>760</v>
      </c>
      <c r="AC2" s="168" t="s">
        <v>212</v>
      </c>
    </row>
    <row r="3" spans="3:34" s="347" customFormat="1" ht="22.15" customHeight="1">
      <c r="C3" s="332" t="str">
        <f>nmProgramSubtitle</f>
        <v>Resourcing for Results</v>
      </c>
      <c r="Y3" s="362" t="str">
        <f>DB_Dashboard2</f>
        <v xml:space="preserve">Market Execution  60.0 Employee Engagement  60.0 </v>
      </c>
    </row>
    <row r="4" spans="3:34" s="342" customFormat="1" ht="22.15" customHeight="1">
      <c r="C4" s="344"/>
      <c r="Y4" s="343" t="str">
        <f>DB_Dashboard3</f>
        <v>MTUs Remaining  150 Samples Remaining  1% Promotional $ Remaining  1%</v>
      </c>
    </row>
    <row r="5" spans="3:34" s="168" customFormat="1" ht="20.100000000000001" customHeight="1">
      <c r="C5" s="599" t="s">
        <v>617</v>
      </c>
    </row>
    <row r="6" spans="3:34" s="168" customFormat="1" ht="21.95" customHeight="1">
      <c r="C6" s="600"/>
      <c r="D6" s="169"/>
      <c r="E6" s="169" t="s">
        <v>3199</v>
      </c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</row>
    <row r="7" spans="3:34" s="168" customFormat="1" ht="9.6" customHeight="1"/>
    <row r="8" spans="3:34" s="168" customFormat="1" ht="21" customHeight="1">
      <c r="C8" s="583" t="s">
        <v>754</v>
      </c>
      <c r="D8" s="583"/>
      <c r="E8" s="583"/>
      <c r="F8" s="583"/>
      <c r="G8" s="583"/>
      <c r="H8" s="583"/>
      <c r="I8" s="583"/>
      <c r="J8" s="583"/>
      <c r="K8" s="583"/>
      <c r="L8" s="583"/>
      <c r="M8" s="583"/>
      <c r="N8" s="583"/>
      <c r="O8" s="583"/>
      <c r="P8" s="583"/>
      <c r="Q8" s="583"/>
      <c r="R8" s="583"/>
      <c r="S8" s="583"/>
      <c r="T8" s="583"/>
      <c r="U8" s="583"/>
      <c r="V8" s="583"/>
      <c r="W8" s="583"/>
      <c r="X8" s="583"/>
      <c r="Y8" s="583"/>
    </row>
    <row r="9" spans="3:34" s="168" customFormat="1" ht="23.45" customHeight="1">
      <c r="E9" s="601" t="s">
        <v>752</v>
      </c>
      <c r="F9" s="602"/>
      <c r="G9" s="602"/>
      <c r="H9" s="602"/>
      <c r="I9" s="602"/>
      <c r="J9" s="603"/>
      <c r="K9" s="144"/>
      <c r="L9" s="601" t="s">
        <v>753</v>
      </c>
      <c r="M9" s="602"/>
      <c r="N9" s="602"/>
      <c r="O9" s="602"/>
      <c r="P9" s="603"/>
      <c r="Q9" s="153"/>
      <c r="R9" s="153"/>
      <c r="S9" s="153"/>
      <c r="T9" s="153"/>
      <c r="U9" s="415"/>
      <c r="V9" s="415"/>
    </row>
    <row r="10" spans="3:34" s="168" customFormat="1" ht="21.95" customHeight="1">
      <c r="C10" s="391" t="s">
        <v>750</v>
      </c>
      <c r="E10" s="404" t="s">
        <v>549</v>
      </c>
      <c r="F10" s="405" t="s">
        <v>759</v>
      </c>
      <c r="G10" s="153"/>
      <c r="H10" s="153"/>
      <c r="I10" s="405" t="s">
        <v>548</v>
      </c>
      <c r="J10" s="406" t="s">
        <v>759</v>
      </c>
      <c r="K10" s="405"/>
      <c r="L10" s="404" t="s">
        <v>550</v>
      </c>
      <c r="M10" s="405" t="s">
        <v>759</v>
      </c>
      <c r="N10" s="405"/>
      <c r="O10" s="405" t="s">
        <v>751</v>
      </c>
      <c r="P10" s="406" t="s">
        <v>759</v>
      </c>
      <c r="R10" s="405"/>
      <c r="S10" s="153"/>
      <c r="T10" s="405"/>
      <c r="U10" s="405"/>
      <c r="V10" s="405"/>
      <c r="AC10" s="168" t="s">
        <v>586</v>
      </c>
      <c r="AD10" s="168" t="s">
        <v>586</v>
      </c>
      <c r="AG10" s="168" t="s">
        <v>586</v>
      </c>
      <c r="AH10" s="168" t="s">
        <v>586</v>
      </c>
    </row>
    <row r="11" spans="3:34" s="168" customFormat="1" ht="19.899999999999999" customHeight="1">
      <c r="C11" s="392" t="str">
        <f>nmProd1</f>
        <v>Riverrun</v>
      </c>
      <c r="E11" s="446">
        <f>INDEX(calcProd1ShareTotalCustR1,,xxIndexTeam)</f>
        <v>3.2219226512005335E-3</v>
      </c>
      <c r="F11" s="463">
        <f>tlOutputProd1TRxShare_R1-tlOutputProd1TotalSharePrev_R1</f>
        <v>-1.7173756631334511E-6</v>
      </c>
      <c r="G11" s="423"/>
      <c r="H11" s="423"/>
      <c r="I11" s="424">
        <f>INDEX(calcProd1VolumeTotalCustR1,,xxIndexTeam)</f>
        <v>382.85754385877897</v>
      </c>
      <c r="J11" s="557">
        <f>tlOutputProd1TRxVolume_R1-tlOutputProd1TotalVolumePrev_R1</f>
        <v>58.953543858778971</v>
      </c>
      <c r="K11" s="394"/>
      <c r="L11" s="446">
        <f>INDEX(calcProd1ShareNewCustR1,,xxIndexTeam)</f>
        <v>3.2643888314374354E-3</v>
      </c>
      <c r="M11" s="447">
        <f>tlOutputProd1NRxShare_R1-tlOutputProd1NewSharePrev_R1</f>
        <v>4.0748804573768459E-5</v>
      </c>
      <c r="N11" s="425"/>
      <c r="O11" s="424">
        <f>INDEX(calcProd1NewCustR1,,xxIndexTeam)</f>
        <v>31.951753008000001</v>
      </c>
      <c r="P11" s="557">
        <f>tlOutputProd1NRxVolume_R1-tlOutputProd1NEwVolumePrev_R1</f>
        <v>25.473673007999999</v>
      </c>
      <c r="R11" s="153"/>
      <c r="S11" s="153"/>
      <c r="T11" s="153"/>
      <c r="U11" s="153"/>
      <c r="V11" s="153"/>
      <c r="AA11" s="349"/>
      <c r="AB11" s="446"/>
      <c r="AC11" s="463">
        <f>INDEX(obalProd1TotalShare,,xxIndexTeam)</f>
        <v>3.2236400268636669E-3</v>
      </c>
      <c r="AD11" s="503">
        <f>INDEX(obalProd1TotalVolume,,xxIndexTeam)</f>
        <v>323.904</v>
      </c>
      <c r="AG11" s="463">
        <f>INDEX(obalProd1NewShare,,xxIndexTeam)</f>
        <v>3.2236400268636669E-3</v>
      </c>
      <c r="AH11" s="503">
        <f>INDEX(obalProd1NewVolume,,xxIndexTeam)</f>
        <v>6.4780800000000003</v>
      </c>
    </row>
    <row r="12" spans="3:34" s="168" customFormat="1" ht="19.899999999999999" customHeight="1">
      <c r="C12" s="393" t="str">
        <f>nmProd1Seg1</f>
        <v>Riverrun Central</v>
      </c>
      <c r="E12" s="449">
        <f>INDEX(calcProd1Seg1ShareTotalCustR1,,xxIndexTeam)</f>
        <v>3.32768E-3</v>
      </c>
      <c r="F12" s="448">
        <f>tlOutputProd1Seg1TRxShare_R1-tlOutputProd1Seg1TotalSharePrev_R1</f>
        <v>1.2767999999999981E-4</v>
      </c>
      <c r="G12" s="153"/>
      <c r="H12" s="153"/>
      <c r="I12" s="461">
        <f>INDEX(calcProd1Seg1VolumeTotalCustR1,,xxIndexTeam)</f>
        <v>158.98270725120003</v>
      </c>
      <c r="J12" s="558">
        <f>tlOutputProd1Seg1TRxVolume_R1-tlOutputProd1Seg1TotalVolumePrev_R1</f>
        <v>29.421107251200027</v>
      </c>
      <c r="K12" s="394"/>
      <c r="L12" s="449">
        <f>INDEX(calcProd1Seg1ShareNewCustR1,,xxIndexTeam)</f>
        <v>3.3276800000000004E-3</v>
      </c>
      <c r="M12" s="448">
        <f>tlOutputProd1Seg1NRxShare_R1-tlOutputProd1Seg1NewSharePrev_R1</f>
        <v>1.2768000000000024E-4</v>
      </c>
      <c r="N12" s="153"/>
      <c r="O12" s="461">
        <f>INDEX(calcProd1Seg1NewCustR1,,xxIndexTeam)</f>
        <v>13.473110784000003</v>
      </c>
      <c r="P12" s="558">
        <f>tlOutputProd1Seg1NRxVolume_R1-tlOutputProd1Seg1NewVolumePrev_R1</f>
        <v>10.881878784000003</v>
      </c>
      <c r="R12" s="153"/>
      <c r="S12" s="153"/>
      <c r="T12" s="153"/>
      <c r="U12" s="153"/>
      <c r="V12" s="153"/>
      <c r="AA12" s="331"/>
      <c r="AB12" s="449"/>
      <c r="AC12" s="448">
        <f>INDEX(obalProd1Seg1TotalShare,,xxIndexTeam)</f>
        <v>3.2000000000000002E-3</v>
      </c>
      <c r="AD12" s="504">
        <f>INDEX(obalProd1Seg1TotalVolume,,xxIndexTeam)</f>
        <v>129.5616</v>
      </c>
      <c r="AG12" s="448">
        <f>INDEX(obalProd1Seg1NewShare,,xxIndexTeam)</f>
        <v>3.2000000000000002E-3</v>
      </c>
      <c r="AH12" s="504">
        <f>INDEX(obalProd1Seg1NewVolume,,xxIndexTeam)</f>
        <v>2.5912319999999998</v>
      </c>
    </row>
    <row r="13" spans="3:34" s="168" customFormat="1" ht="19.899999999999999" customHeight="1">
      <c r="C13" s="393" t="str">
        <f>nmProd1Seg2</f>
        <v>Tullyville</v>
      </c>
      <c r="E13" s="450">
        <f>INDEX(calcProd1Seg2ShareTotalCustR1,,xxIndexTeam)</f>
        <v>3.6886666666666669E-3</v>
      </c>
      <c r="F13" s="447">
        <f>tlOutputProd1Seg2TRxShare_R1-tlOutputProd1Seg2TotalSharePrev_R1</f>
        <v>3.5533333333333337E-4</v>
      </c>
      <c r="G13" s="423"/>
      <c r="H13" s="423"/>
      <c r="I13" s="462">
        <f>INDEX(calcProd1Seg2VolumeTotalCustR1,,xxIndexTeam)</f>
        <v>144.268946976</v>
      </c>
      <c r="J13" s="559">
        <f>tlOutputProd1Seg2TRxVolume_R1-tlOutputProd1Seg2TotalVolumePrev_R1</f>
        <v>30.902546975999996</v>
      </c>
      <c r="K13" s="394"/>
      <c r="L13" s="450">
        <f>INDEX(calcProd1Seg2ShareNewCustR1,,xxIndexTeam)</f>
        <v>3.6886666666666669E-3</v>
      </c>
      <c r="M13" s="447">
        <f>tlOutputProd1Seg2NRxShare_R1-tlOutputProd1Seg2NewSharePrev_R1</f>
        <v>3.5533333333333337E-4</v>
      </c>
      <c r="N13" s="423"/>
      <c r="O13" s="462">
        <f>INDEX(calcProd1Seg2NewCustR1,,xxIndexTeam)</f>
        <v>12.545125824000001</v>
      </c>
      <c r="P13" s="559">
        <f>tlOutputProd1Seg2NRxVolume_R1-tlOutputProd1Seg2NewVolumePrev_R1</f>
        <v>10.277797824</v>
      </c>
      <c r="R13" s="153"/>
      <c r="S13" s="153"/>
      <c r="T13" s="153"/>
      <c r="U13" s="153"/>
      <c r="V13" s="153"/>
      <c r="AB13" s="450"/>
      <c r="AC13" s="447">
        <f>INDEX(obalProd1Seg2TotalShare,,xxIndexTeam)</f>
        <v>3.3333333333333335E-3</v>
      </c>
      <c r="AD13" s="505">
        <f>INDEX(obalProd1Seg2TotalVolume,,xxIndexTeam)</f>
        <v>113.3664</v>
      </c>
      <c r="AG13" s="447">
        <f>INDEX(obalProd1Seg2NewShare,,xxIndexTeam)</f>
        <v>3.3333333333333335E-3</v>
      </c>
      <c r="AH13" s="505">
        <f>INDEX(obalProd1Seg2NewVolume,,xxIndexTeam)</f>
        <v>2.267328</v>
      </c>
    </row>
    <row r="14" spans="3:34" s="168" customFormat="1" ht="19.899999999999999" customHeight="1">
      <c r="C14" s="393" t="str">
        <f>nmProd1Seg3</f>
        <v>Lordfrey City</v>
      </c>
      <c r="E14" s="449">
        <f>INDEX(calcProd1Seg3ShareTotalCustR1,,xxIndexTeam)</f>
        <v>2.4922278496494741E-3</v>
      </c>
      <c r="F14" s="448">
        <f>tlOutputProd1Seg3TRxShare_R1-tlOutputProd1Seg3TotalSharePrev_R1</f>
        <v>-6.246552672336419E-4</v>
      </c>
      <c r="G14" s="153"/>
      <c r="H14" s="153"/>
      <c r="I14" s="461">
        <f>INDEX(calcProd1Seg3VolumeTotalCustR1,,xxIndexTeam)</f>
        <v>79.605889631578918</v>
      </c>
      <c r="J14" s="558">
        <f>tlOutputProd1Seg3TRxVolume_R1-tlOutputProd1Seg3TotalVolumePrev_R1</f>
        <v>-1.3701103684210665</v>
      </c>
      <c r="K14" s="394"/>
      <c r="L14" s="449">
        <f>INDEX(calcProd1Seg3ShareNewCustR1,,xxIndexTeam)</f>
        <v>2.5376623376623373E-3</v>
      </c>
      <c r="M14" s="448">
        <f>tlOutputProd1Seg3NRxShare_R1-tlOutputProd1Seg3NEwSharePrev_R1</f>
        <v>-5.792207792207787E-4</v>
      </c>
      <c r="N14" s="153"/>
      <c r="O14" s="461">
        <f>INDEX(calcProd1Seg3NewCustR1,,xxIndexTeam)</f>
        <v>5.9335163999999985</v>
      </c>
      <c r="P14" s="558">
        <f>tlOutputProd1Seg3NRxVolume_R1-tlOutputProd1Seg3NewVolumePrev_R1</f>
        <v>4.3139963999999988</v>
      </c>
      <c r="R14" s="153"/>
      <c r="S14" s="153"/>
      <c r="T14" s="153"/>
      <c r="U14" s="153"/>
      <c r="V14" s="153"/>
      <c r="AA14" s="349"/>
      <c r="AB14" s="449"/>
      <c r="AC14" s="448">
        <f>INDEX(obalProd1Seg3TotalShare,,xxIndexTeam)</f>
        <v>3.116883116883116E-3</v>
      </c>
      <c r="AD14" s="504">
        <f>INDEX(obalProd1Seg3TotalVolume,,xxIndexTeam)</f>
        <v>80.975999999999985</v>
      </c>
      <c r="AG14" s="448">
        <f>INDEX(obalProd1Seg3NewShare,,xxIndexTeam)</f>
        <v>3.116883116883116E-3</v>
      </c>
      <c r="AH14" s="504">
        <f>INDEX(obalProd1Seg3NewVolume,,xxIndexTeam)</f>
        <v>1.6195200000000001</v>
      </c>
    </row>
    <row r="15" spans="3:34" s="168" customFormat="1" ht="15" customHeight="1">
      <c r="E15" s="398"/>
      <c r="F15" s="399"/>
      <c r="G15" s="399"/>
      <c r="H15" s="399"/>
      <c r="I15" s="400"/>
      <c r="J15" s="401"/>
      <c r="K15" s="397"/>
      <c r="L15" s="402"/>
      <c r="M15" s="399"/>
      <c r="N15" s="399"/>
      <c r="O15" s="399"/>
      <c r="P15" s="403"/>
      <c r="R15" s="153"/>
      <c r="S15" s="153"/>
      <c r="T15" s="153"/>
      <c r="U15" s="153"/>
      <c r="V15" s="153"/>
      <c r="AA15" s="331"/>
      <c r="AB15" s="331"/>
    </row>
    <row r="16" spans="3:34" s="168" customFormat="1" ht="12.6" customHeight="1">
      <c r="E16" s="339"/>
      <c r="L16" s="153"/>
      <c r="M16" s="153"/>
    </row>
    <row r="17" spans="3:33" s="168" customFormat="1" ht="12.6" customHeight="1">
      <c r="E17" s="369"/>
      <c r="AA17" s="349"/>
      <c r="AB17" s="349"/>
    </row>
    <row r="18" spans="3:33" s="168" customFormat="1" ht="21.95" customHeight="1">
      <c r="C18" s="583" t="s">
        <v>757</v>
      </c>
      <c r="D18" s="583"/>
      <c r="E18" s="583"/>
      <c r="F18" s="583"/>
      <c r="G18" s="583"/>
      <c r="H18" s="583"/>
      <c r="I18" s="583"/>
      <c r="J18" s="583"/>
      <c r="K18" s="583"/>
      <c r="L18" s="583"/>
      <c r="M18" s="583"/>
      <c r="N18" s="583"/>
      <c r="O18" s="583"/>
      <c r="P18" s="583"/>
      <c r="Q18" s="583"/>
      <c r="R18" s="583"/>
      <c r="S18" s="583"/>
      <c r="T18" s="583"/>
      <c r="U18" s="583"/>
      <c r="V18" s="583"/>
      <c r="W18" s="583"/>
      <c r="X18" s="583"/>
      <c r="Y18" s="583"/>
      <c r="Z18" s="351"/>
      <c r="AA18" s="351"/>
    </row>
    <row r="19" spans="3:33" s="168" customFormat="1" ht="18.600000000000001" customHeight="1">
      <c r="E19" s="593" t="s">
        <v>765</v>
      </c>
      <c r="F19" s="594"/>
      <c r="G19" s="595"/>
      <c r="H19" s="361"/>
      <c r="I19" s="587" t="str">
        <f>nmTherapy1</f>
        <v>Wintellix</v>
      </c>
      <c r="J19" s="588"/>
      <c r="K19" s="588"/>
      <c r="L19" s="588"/>
      <c r="M19" s="589"/>
      <c r="O19" s="590" t="str">
        <f>nmComp1</f>
        <v>Vibrant</v>
      </c>
      <c r="P19" s="591"/>
      <c r="Q19" s="591"/>
      <c r="R19" s="591"/>
      <c r="S19" s="592"/>
      <c r="U19" s="596" t="str">
        <f>nmComp2</f>
        <v>Pristine</v>
      </c>
      <c r="V19" s="597"/>
      <c r="W19" s="597"/>
      <c r="X19" s="597"/>
      <c r="Y19" s="598"/>
      <c r="Z19" s="351"/>
      <c r="AA19" s="351"/>
    </row>
    <row r="20" spans="3:33" s="168" customFormat="1" ht="21.95" customHeight="1">
      <c r="C20" s="391" t="s">
        <v>750</v>
      </c>
      <c r="E20" s="422" t="s">
        <v>758</v>
      </c>
      <c r="F20" s="412" t="s">
        <v>2205</v>
      </c>
      <c r="G20" s="396"/>
      <c r="I20" s="407" t="str">
        <f>nmTherapy1&amp;" TRx Share"</f>
        <v>Wintellix TRx Share</v>
      </c>
      <c r="J20" s="410" t="s">
        <v>759</v>
      </c>
      <c r="K20" s="410"/>
      <c r="L20" s="410" t="str">
        <f>nmTherapy1&amp;" TRx Volume"</f>
        <v>Wintellix TRx Volume</v>
      </c>
      <c r="M20" s="408" t="s">
        <v>759</v>
      </c>
      <c r="O20" s="407" t="str">
        <f>nmComp1&amp;" TRx Share"</f>
        <v>Vibrant TRx Share</v>
      </c>
      <c r="P20" s="410" t="s">
        <v>759</v>
      </c>
      <c r="Q20" s="410"/>
      <c r="R20" s="410" t="str">
        <f>nmComp1&amp;" TRx Volume"</f>
        <v>Vibrant TRx Volume</v>
      </c>
      <c r="S20" s="408" t="s">
        <v>759</v>
      </c>
      <c r="U20" s="407" t="str">
        <f>nmComp2&amp;" TRx Share"</f>
        <v>Pristine TRx Share</v>
      </c>
      <c r="V20" s="410" t="s">
        <v>759</v>
      </c>
      <c r="W20" s="410"/>
      <c r="X20" s="410" t="str">
        <f>nmComp2&amp;" TRx Volume"</f>
        <v>Pristine TRx Volume</v>
      </c>
      <c r="Y20" s="408" t="s">
        <v>759</v>
      </c>
      <c r="Z20" s="351"/>
      <c r="AA20" s="351" t="s">
        <v>1486</v>
      </c>
      <c r="AB20" s="168" t="s">
        <v>1486</v>
      </c>
      <c r="AC20" s="168" t="s">
        <v>1486</v>
      </c>
      <c r="AD20" s="168" t="s">
        <v>2304</v>
      </c>
      <c r="AE20" s="168" t="s">
        <v>1487</v>
      </c>
    </row>
    <row r="21" spans="3:33" s="168" customFormat="1" ht="22.9" customHeight="1">
      <c r="C21" s="392" t="str">
        <f>nmProd1</f>
        <v>Riverrun</v>
      </c>
      <c r="E21" s="477">
        <f>INDEX(calcProd1TotalVolumeR1,,xxIndexTeam)</f>
        <v>118828.906</v>
      </c>
      <c r="F21" s="518">
        <f>tlOutputProd1TotalMarketVolume_R1/tlOutputProd1PrevVolume_R1-1</f>
        <v>0.18263935527199471</v>
      </c>
      <c r="G21" s="482"/>
      <c r="H21" s="341"/>
      <c r="I21" s="446">
        <f>tlOutputProd1TRxShare_R1</f>
        <v>3.2219226512005335E-3</v>
      </c>
      <c r="J21" s="483">
        <f>tlOutputProd1TRxShareChange_R1</f>
        <v>-1.7173756631334511E-6</v>
      </c>
      <c r="K21" s="484"/>
      <c r="L21" s="485">
        <f>tlOutputProd1TRxVolume_R1</f>
        <v>382.85754385877897</v>
      </c>
      <c r="M21" s="559">
        <f>tlOutputProd1TRxVolumeChange_R1</f>
        <v>58.953543858778971</v>
      </c>
      <c r="N21" s="341"/>
      <c r="O21" s="446">
        <f>tlOutputProd1Comp1TRxVolume_R1/tlOutputProd1TotalMarketVolume_R1</f>
        <v>9.1367131442942583E-3</v>
      </c>
      <c r="P21" s="447">
        <f>tlOutputProd1Comp1TRxShare_R1-tlOutputProd1Comp1TotalPrevShare_R1</f>
        <v>-1.3125193293878241E-4</v>
      </c>
      <c r="Q21" s="484"/>
      <c r="R21" s="485">
        <f>SUM(R22:R24)</f>
        <v>1085.7056273723069</v>
      </c>
      <c r="S21" s="559">
        <f>tlOutputProd1Comp1TRxVolume_R1-tlOutputProd1Comp1TotalPrevVol_R1</f>
        <v>154.48162737230712</v>
      </c>
      <c r="T21" s="341"/>
      <c r="U21" s="446">
        <f>tlOutputProd1Comp2TRxVolume_R1/tlOutputProd1TotalMarketVolume_R1</f>
        <v>2.4731287506470901E-2</v>
      </c>
      <c r="V21" s="447">
        <f>tlOutputProd1Comp2TRxShare_R1-tlOutputProd1Comp2TotalPrevShare_R1</f>
        <v>1.6713967182786782E-5</v>
      </c>
      <c r="W21" s="484"/>
      <c r="X21" s="485">
        <f>SUM(X22:X24)</f>
        <v>2938.7918383654051</v>
      </c>
      <c r="Y21" s="559">
        <f>tlOutputProd1Comp2TRxVolume_R1-tlOutputProd1Comp2TotalPrevVol_R1</f>
        <v>455.52783836540493</v>
      </c>
      <c r="Z21" s="351"/>
      <c r="AA21" s="540">
        <f>INDEX(obalProd1TotalMarketVolume,,xxIndexTeam)</f>
        <v>100477.72</v>
      </c>
      <c r="AB21" s="537">
        <f>INDEX(obalProd1Comp1TotalShare,,xxIndexTeam)</f>
        <v>9.2679650772330407E-3</v>
      </c>
      <c r="AC21" s="537">
        <f>INDEX(obalProd1Comp2TotalShare,,xxIndexTeam)</f>
        <v>2.4714573539288114E-2</v>
      </c>
      <c r="AD21" s="540">
        <f>tlOutputProd1Comp1TotalPrevShare_R1*tlOutputProd1PrevVolume_R1</f>
        <v>931.22399999999982</v>
      </c>
      <c r="AE21" s="540">
        <f>tlOutputProd1Comp2TotalPrevShare_R1*tlOutputProd1PrevVolume_R1</f>
        <v>2483.2640000000001</v>
      </c>
    </row>
    <row r="22" spans="3:33" s="168" customFormat="1" ht="22.9" customHeight="1">
      <c r="C22" s="393" t="str">
        <f>nmProd1Seg1</f>
        <v>Riverrun Central</v>
      </c>
      <c r="E22" s="481">
        <f>INDEX(calcProd1Seg1TotalVolumeR1,,xxIndexTeam)</f>
        <v>47775.840000000011</v>
      </c>
      <c r="F22" s="480">
        <f>tlOutputProd1Seg1TotalMarketVolume_R1/tlOutputProd1Seg1PrevVolume_R1-1</f>
        <v>0.18000000000000038</v>
      </c>
      <c r="G22" s="486"/>
      <c r="H22" s="341"/>
      <c r="I22" s="487">
        <f>tlOutputProd1Seg1TRxShare_R1</f>
        <v>3.32768E-3</v>
      </c>
      <c r="J22" s="488">
        <f>tlOutputProd1Seg1TRxShareChange_R1</f>
        <v>1.2767999999999981E-4</v>
      </c>
      <c r="K22" s="341"/>
      <c r="L22" s="489">
        <f>tlOutputProd1Seg1TRxVolume_R1</f>
        <v>158.98270725120003</v>
      </c>
      <c r="M22" s="558">
        <f>tlOutputProd1Seg1TRxVolumeChange_R1</f>
        <v>29.421107251200027</v>
      </c>
      <c r="N22" s="341"/>
      <c r="O22" s="512">
        <f>INDEX(calcProd1Seg1Comp1TotalShareR1,,xxIndexTeam)</f>
        <v>9.0978559999999979E-3</v>
      </c>
      <c r="P22" s="448">
        <f>tlOutputProd1Seg1Comp1TRxShare_R1-tlOutputProd1Seg1Comp1TotalPrevShare_R1</f>
        <v>-1.0214400000000193E-4</v>
      </c>
      <c r="Q22" s="341"/>
      <c r="R22" s="489">
        <f>INDEX(calcProd1Seg1Comp1TotalCustR1,,xxIndexTeam)</f>
        <v>434.65771259904</v>
      </c>
      <c r="S22" s="558">
        <f>tlOutputProd1Seg1Comp1TRxVolume_R1-tlOutputProd1Seg1Comp1TotalPrevVol_R1</f>
        <v>62.168112599040001</v>
      </c>
      <c r="T22" s="341"/>
      <c r="U22" s="449">
        <f>INDEX(calcProd1Seg1Comp2TotalShareR1,,xxIndexTeam)</f>
        <v>2.4507797333333328E-2</v>
      </c>
      <c r="V22" s="448">
        <f>tlOutputProd1Seg1Comp2TRxShare_R1-tlOutputProd1Seg1Comp2TotalPrevShare_R1</f>
        <v>-2.5536000000006553E-5</v>
      </c>
      <c r="W22" s="341"/>
      <c r="X22" s="489">
        <f>INDEX(calcProd1Seg1Comp2TotalCustR1,,xxIndexTeam)</f>
        <v>1170.8806041497601</v>
      </c>
      <c r="Y22" s="558">
        <f>tlOutputProd1Seg1Comp2TRxVolume_R1-tlOutputProd1Seg1Comp2TotalPrevVol_R1</f>
        <v>177.57500414976005</v>
      </c>
      <c r="AA22" s="540">
        <f>INDEX(obalProd1Seg1TotalMarketVolume,,xxIndexTeam)</f>
        <v>40488</v>
      </c>
      <c r="AB22" s="537">
        <f>INDEX(obalProd1Seg1Comp1TotalShare,,xxIndexTeam)</f>
        <v>9.1999999999999998E-3</v>
      </c>
      <c r="AC22" s="537">
        <f>INDEX(obalProd1Seg1Comp2TotalShare,,xxIndexTeam)</f>
        <v>2.4533333333333334E-2</v>
      </c>
      <c r="AD22" s="540">
        <f>tlOutputProd1Seg1Comp1TotalPrevShare_R1*tlOutputProd1Seg1PrevVolume_R1</f>
        <v>372.4896</v>
      </c>
      <c r="AE22" s="540">
        <f>tlOutputProd1Seg1Comp2TotalPrevShare_R1*tlOutputProd1Seg1PrevVolume_R1</f>
        <v>993.30560000000003</v>
      </c>
    </row>
    <row r="23" spans="3:33" s="168" customFormat="1" ht="22.9" customHeight="1">
      <c r="C23" s="393" t="str">
        <f>nmProd1Seg2</f>
        <v>Tullyville</v>
      </c>
      <c r="E23" s="478">
        <f>INDEX(calcProd1Seg2TotalVolumeR1,,xxIndexTeam)</f>
        <v>39111.407999999996</v>
      </c>
      <c r="F23" s="479">
        <f>tlOutputProd1Seg2TotalMarketVolume_R1/tlOutputProd1Seg2PrevVolume_R1-1</f>
        <v>0.14999999999999991</v>
      </c>
      <c r="G23" s="482"/>
      <c r="H23" s="341"/>
      <c r="I23" s="490">
        <f>tlOutputProd1Seg2TRxShare_R1</f>
        <v>3.6886666666666669E-3</v>
      </c>
      <c r="J23" s="491">
        <f>tlOutputProd1Seg2TRxShareChange_R1</f>
        <v>3.5533333333333337E-4</v>
      </c>
      <c r="K23" s="484"/>
      <c r="L23" s="492">
        <f>tlOutputProd1Seg2TRxVolume_R1</f>
        <v>144.268946976</v>
      </c>
      <c r="M23" s="559">
        <f>tlOutputProd1Seg2TRxVolumeChange_R1</f>
        <v>30.902546975999996</v>
      </c>
      <c r="N23" s="341"/>
      <c r="O23" s="513">
        <f>INDEX(calcProd1Seg2Comp1TotalShareR1,,xxIndexTeam)</f>
        <v>9.2990666666666662E-3</v>
      </c>
      <c r="P23" s="447">
        <f>tlOutputProd1Seg2Comp1TRxShare_R1-tlOutputProd1Seg2Comp1TotalPrevShare_R1</f>
        <v>-2.8426666666666808E-4</v>
      </c>
      <c r="Q23" s="484"/>
      <c r="R23" s="492">
        <f>INDEX(calcProd1Seg2Comp1TotalCustR1,,xxIndexTeam)</f>
        <v>363.69959041919992</v>
      </c>
      <c r="S23" s="559">
        <f>tlOutputProd1Seg2Comp1TRxVolume_R1-tlOutputProd1Seg2Comp1TotalPrevVol_R1</f>
        <v>37.771190419199911</v>
      </c>
      <c r="T23" s="341"/>
      <c r="U23" s="450">
        <f>INDEX(calcProd1Seg2Comp2TotalShareR1,,xxIndexTeam)</f>
        <v>2.5484488888888889E-2</v>
      </c>
      <c r="V23" s="447">
        <f>tlOutputProd1Seg2Comp2TRxShare_R1-tlOutputProd1Seg2Comp2TotalPrevShare_R1</f>
        <v>-7.1066666666667888E-5</v>
      </c>
      <c r="W23" s="484"/>
      <c r="X23" s="492">
        <f>INDEX(calcProd1Seg2Comp2TotalCustR1,,xxIndexTeam)</f>
        <v>996.73424260479987</v>
      </c>
      <c r="Y23" s="559">
        <f>tlOutputProd1Seg2Comp2TRxVolume_R1-tlOutputProd1Seg2Comp2TotalPrevVol_R1</f>
        <v>127.59184260479992</v>
      </c>
      <c r="AA23" s="540">
        <f>INDEX(obalProd1Seg2TotalMarketVolume,,xxIndexTeam)</f>
        <v>34009.919999999998</v>
      </c>
      <c r="AB23" s="537">
        <f>INDEX(obalProd1Seg2Comp1TotalShare,,xxIndexTeam)</f>
        <v>9.5833333333333343E-3</v>
      </c>
      <c r="AC23" s="537">
        <f>INDEX(obalProd1Seg2Comp2TotalShare,,xxIndexTeam)</f>
        <v>2.5555555555555557E-2</v>
      </c>
      <c r="AD23" s="540">
        <f>tlOutputProd1Seg2Comp1TotalPrevShare_R1*tlOutputProd1Seg2PrevVolume_R1</f>
        <v>325.92840000000001</v>
      </c>
      <c r="AE23" s="540">
        <f>tlOutputProd1Seg2Comp2TotalPrevShare_R1*tlOutputProd1Seg2PrevVolume_R1</f>
        <v>869.14239999999995</v>
      </c>
    </row>
    <row r="24" spans="3:33" s="168" customFormat="1" ht="22.9" customHeight="1">
      <c r="C24" s="393" t="str">
        <f>nmProd1Seg3</f>
        <v>Lordfrey City</v>
      </c>
      <c r="E24" s="481">
        <f>INDEX(calcProd1Seg3TotalVolumeR1,,xxIndexTeam)</f>
        <v>31941.657999999996</v>
      </c>
      <c r="F24" s="480">
        <f>tlOutputProd1Seg3TotalMarketVolume_R1/tlOutputProd1Seg3PrevVolume_R1-1</f>
        <v>0.22948051948051917</v>
      </c>
      <c r="G24" s="486"/>
      <c r="H24" s="341"/>
      <c r="I24" s="487">
        <f>tlOutputProd1Seg3TRxShare_R1</f>
        <v>2.4922278496494741E-3</v>
      </c>
      <c r="J24" s="488">
        <f>tlOutputProd1Seg3TRxShareChange_R1</f>
        <v>-6.246552672336419E-4</v>
      </c>
      <c r="K24" s="341"/>
      <c r="L24" s="489">
        <f>tlOutputProd1Seg3TRxVolume_R1</f>
        <v>79.605889631578918</v>
      </c>
      <c r="M24" s="558">
        <f>tlOutputProd1Seg3TRxVolumeChange_R1</f>
        <v>-1.3701103684210665</v>
      </c>
      <c r="N24" s="341"/>
      <c r="O24" s="512">
        <f>INDEX(calcProd1Seg3Comp1TotalShareR1,,xxIndexTeam)</f>
        <v>8.9960365975387674E-3</v>
      </c>
      <c r="P24" s="448">
        <f>tlOutputProd1Seg3Comp1TRxShare_R1-tlOutputProd1Seg3Comp1TotalPrevShare_R1</f>
        <v>3.4997636499809609E-5</v>
      </c>
      <c r="Q24" s="341"/>
      <c r="R24" s="489">
        <f>INDEX(calcProd1Seg3Comp1TotalCustR1,,xxIndexTeam)</f>
        <v>287.3483243540669</v>
      </c>
      <c r="S24" s="558">
        <f>tlOutputProd1Seg3Comp1TRxVolume_R1-tlOutputProd1Seg3Comp1TotalPrevVol_R1</f>
        <v>54.542324354066949</v>
      </c>
      <c r="T24" s="341"/>
      <c r="U24" s="449">
        <f>INDEX(calcProd1Seg3Comp2TotalShareR1,,xxIndexTeam)</f>
        <v>2.4143298748325624E-2</v>
      </c>
      <c r="V24" s="448">
        <f>tlOutputProd1Seg3Comp2TRxShare_R1-tlOutputProd1Seg3Comp2TotalPrevShare_R1</f>
        <v>2.4719485222172988E-4</v>
      </c>
      <c r="W24" s="341"/>
      <c r="X24" s="489">
        <f>INDEX(calcProd1Seg3Comp2TotalCustR1,,xxIndexTeam)</f>
        <v>771.17699161084511</v>
      </c>
      <c r="Y24" s="558">
        <f>tlOutputProd1Seg3Comp2TRxVolume_R1-tlOutputProd1Seg3Comp2TotalPrevVol_R1</f>
        <v>150.36099161084508</v>
      </c>
      <c r="AA24" s="540">
        <f>INDEX(obalProd1Seg3TotalMarketVolume,,xxIndexTeam)</f>
        <v>25979.800000000003</v>
      </c>
      <c r="AB24" s="537">
        <f>INDEX(obalProd1Seg3Comp1TotalShare,,xxIndexTeam)</f>
        <v>8.9610389610389578E-3</v>
      </c>
      <c r="AC24" s="537">
        <f>INDEX(obalProd1Seg3Comp2TotalShare,,xxIndexTeam)</f>
        <v>2.3896103896103894E-2</v>
      </c>
      <c r="AD24" s="540">
        <f>tlOutputProd1Seg3Comp1TotalPrevShare_R1*tlOutputProd1Seg3PrevVolume_R1</f>
        <v>232.80599999999995</v>
      </c>
      <c r="AE24" s="540">
        <f>tlOutputProd1Seg3Comp2TotalPrevShare_R1*tlOutputProd1Seg3PrevVolume_R1</f>
        <v>620.81600000000003</v>
      </c>
    </row>
    <row r="25" spans="3:33" s="168" customFormat="1" ht="13.9" customHeight="1">
      <c r="E25" s="409"/>
      <c r="F25" s="399"/>
      <c r="G25" s="403"/>
      <c r="I25" s="411"/>
      <c r="J25" s="399"/>
      <c r="K25" s="399"/>
      <c r="L25" s="399"/>
      <c r="M25" s="403"/>
      <c r="O25" s="411"/>
      <c r="P25" s="399"/>
      <c r="Q25" s="399"/>
      <c r="R25" s="399"/>
      <c r="S25" s="403"/>
      <c r="U25" s="411"/>
      <c r="V25" s="399"/>
      <c r="W25" s="399"/>
      <c r="X25" s="399"/>
      <c r="Y25" s="403"/>
    </row>
    <row r="26" spans="3:33" s="168" customFormat="1" ht="21.95" customHeight="1">
      <c r="E26" s="375"/>
    </row>
    <row r="27" spans="3:33" s="168" customFormat="1" ht="21.95" customHeight="1">
      <c r="C27" s="287"/>
      <c r="E27" s="153"/>
      <c r="G27" s="527"/>
      <c r="H27" s="527"/>
      <c r="J27" s="356"/>
      <c r="K27" s="356"/>
      <c r="M27" s="356"/>
    </row>
    <row r="28" spans="3:33" s="168" customFormat="1" ht="22.15" customHeight="1">
      <c r="C28" s="583" t="s">
        <v>761</v>
      </c>
      <c r="D28" s="583"/>
      <c r="E28" s="583"/>
      <c r="F28" s="583"/>
      <c r="G28" s="583"/>
      <c r="H28" s="583"/>
      <c r="I28" s="583"/>
      <c r="J28" s="583"/>
      <c r="K28" s="583"/>
      <c r="L28" s="583"/>
      <c r="M28" s="583"/>
      <c r="N28" s="583"/>
      <c r="O28" s="583"/>
      <c r="P28" s="583"/>
      <c r="Q28" s="583"/>
      <c r="R28" s="583"/>
      <c r="S28" s="583"/>
      <c r="T28" s="583"/>
      <c r="U28" s="583"/>
      <c r="V28" s="583"/>
      <c r="W28" s="583"/>
      <c r="X28" s="583"/>
      <c r="Y28" s="583"/>
      <c r="Z28" s="351"/>
      <c r="AA28" s="351"/>
    </row>
    <row r="29" spans="3:33" s="419" customFormat="1" ht="22.15" customHeight="1">
      <c r="C29" s="418"/>
      <c r="E29" s="584" t="s">
        <v>765</v>
      </c>
      <c r="F29" s="585"/>
      <c r="G29" s="586"/>
      <c r="H29" s="420"/>
      <c r="I29" s="587" t="str">
        <f>nmTherapy1</f>
        <v>Wintellix</v>
      </c>
      <c r="J29" s="588"/>
      <c r="K29" s="588"/>
      <c r="L29" s="588"/>
      <c r="M29" s="589"/>
      <c r="O29" s="590" t="str">
        <f>nmComp1</f>
        <v>Vibrant</v>
      </c>
      <c r="P29" s="591"/>
      <c r="Q29" s="591"/>
      <c r="R29" s="591"/>
      <c r="S29" s="592"/>
      <c r="U29" s="590" t="str">
        <f>nmComp2</f>
        <v>Pristine</v>
      </c>
      <c r="V29" s="591"/>
      <c r="W29" s="591"/>
      <c r="X29" s="591"/>
      <c r="Y29" s="592"/>
      <c r="Z29" s="421"/>
      <c r="AA29" s="421"/>
    </row>
    <row r="30" spans="3:33" s="168" customFormat="1" ht="21.95" customHeight="1">
      <c r="C30" s="391" t="s">
        <v>3198</v>
      </c>
      <c r="E30" s="407" t="s">
        <v>548</v>
      </c>
      <c r="F30" s="410" t="s">
        <v>763</v>
      </c>
      <c r="G30" s="408"/>
      <c r="H30" s="412"/>
      <c r="I30" s="407" t="s">
        <v>764</v>
      </c>
      <c r="J30" s="410" t="s">
        <v>549</v>
      </c>
      <c r="K30" s="410" t="s">
        <v>759</v>
      </c>
      <c r="L30" s="410" t="s">
        <v>548</v>
      </c>
      <c r="M30" s="408" t="s">
        <v>759</v>
      </c>
      <c r="O30" s="407" t="s">
        <v>764</v>
      </c>
      <c r="P30" s="410" t="s">
        <v>549</v>
      </c>
      <c r="Q30" s="410" t="s">
        <v>759</v>
      </c>
      <c r="R30" s="410" t="s">
        <v>548</v>
      </c>
      <c r="S30" s="408" t="s">
        <v>759</v>
      </c>
      <c r="T30" s="153"/>
      <c r="U30" s="407" t="s">
        <v>764</v>
      </c>
      <c r="V30" s="410" t="s">
        <v>549</v>
      </c>
      <c r="W30" s="410" t="s">
        <v>759</v>
      </c>
      <c r="X30" s="410" t="s">
        <v>548</v>
      </c>
      <c r="Y30" s="408" t="s">
        <v>759</v>
      </c>
      <c r="Z30" s="351"/>
      <c r="AA30" s="351" t="s">
        <v>586</v>
      </c>
    </row>
    <row r="31" spans="3:33" s="168" customFormat="1" ht="8.4499999999999993" customHeight="1">
      <c r="E31" s="395"/>
      <c r="F31" s="153"/>
      <c r="G31" s="396"/>
      <c r="H31" s="153"/>
      <c r="I31" s="395"/>
      <c r="J31" s="153"/>
      <c r="K31" s="153"/>
      <c r="L31" s="153"/>
      <c r="M31" s="416"/>
      <c r="O31" s="395"/>
      <c r="P31" s="153"/>
      <c r="Q31" s="153"/>
      <c r="R31" s="153"/>
      <c r="S31" s="396"/>
      <c r="U31" s="395"/>
      <c r="V31" s="153"/>
      <c r="W31" s="153"/>
      <c r="X31" s="153"/>
      <c r="Y31" s="396"/>
    </row>
    <row r="32" spans="3:33" s="168" customFormat="1" ht="19.899999999999999" customHeight="1">
      <c r="C32" s="340" t="str">
        <f>nmPayer1</f>
        <v>Blue Sword/Blue Shield</v>
      </c>
      <c r="E32" s="466">
        <f>INDEX(calcProd1Payer1TotalVolumeR1,,xxIndexTeam)</f>
        <v>46015.961600000002</v>
      </c>
      <c r="F32" s="468">
        <f>tlOutputProd1Payer1TRxTotalVolume_R1/SUM($E$32:$E$34)</f>
        <v>0.38724552088361403</v>
      </c>
      <c r="G32" s="482"/>
      <c r="H32" s="394"/>
      <c r="I32" s="497" t="str">
        <f>INDEX(obalProd1Payer1Status,,xxIndexTeam)</f>
        <v>T2 DGSE</v>
      </c>
      <c r="J32" s="476">
        <f>INDEX(calcProd1Payer1ShareTotalCustR1,,xxIndexTeam)</f>
        <v>5.7160527334584686E-3</v>
      </c>
      <c r="K32" s="474">
        <f>tlOutputProd1Payer1TRxShare_R1-AB32</f>
        <v>-2.7537010131274513E-5</v>
      </c>
      <c r="L32" s="471">
        <f>INDEX(calcProd1Payer1TotalCustR1,,xxIndexTeam)</f>
        <v>263.02966308639992</v>
      </c>
      <c r="M32" s="560">
        <f>tlOutputProd1Payer1TRxVolume_R1-AE32</f>
        <v>36.296863086399924</v>
      </c>
      <c r="N32" s="341"/>
      <c r="O32" s="497" t="str">
        <f>INDEX(obalProd1Comp1Payer1Status,,xxIndexTeam)</f>
        <v>T2 DGSE</v>
      </c>
      <c r="P32" s="476">
        <f>INDEX(calcProd1Comp1Payer1TotalShareR1,,xxIndexTeam)</f>
        <v>1.1660038503050208E-2</v>
      </c>
      <c r="Q32" s="474">
        <f>tlOutputProd1Comp1Payer1TRxShare_R1-AC32</f>
        <v>-1.3483329182158513E-4</v>
      </c>
      <c r="R32" s="471">
        <f>tlOutputProd1Payer1TRxTotalVolume_R1*tlOutputProd1Comp1Payer1TRxShare_R1</f>
        <v>536.5478840108799</v>
      </c>
      <c r="S32" s="560">
        <f>tlOutputProd1Comp1Payer1TRxVolume_R1-AF32</f>
        <v>70.935884010879931</v>
      </c>
      <c r="T32" s="341"/>
      <c r="U32" s="497" t="str">
        <f>INDEX(obalProd1Comp2Payer1Status,,xxIndexTeam)</f>
        <v>T2 DGSE</v>
      </c>
      <c r="V32" s="476">
        <f>INDEX(calcProd1Comp2Payer1TotalShareR1,,xxIndexTeam)</f>
        <v>3.1565969415767239E-2</v>
      </c>
      <c r="W32" s="474">
        <f>tlOutputProd1Comp2Payer1TRxShare_R1-AD32</f>
        <v>1.1297796277578986E-4</v>
      </c>
      <c r="X32" s="471">
        <f>tlOutputProd1Payer1TRxTotalVolume_R1*tlOutputProd1Comp2Payer1TRxShare_R1</f>
        <v>1452.5384365027198</v>
      </c>
      <c r="Y32" s="560">
        <f>tlOutputProd1Comp2Payer1TRxVolume_R1-AG32</f>
        <v>210.90643650271977</v>
      </c>
      <c r="AA32" s="540">
        <f>INDEX(obalProd1Payer1TotalVolume,,xxIndexTeam)</f>
        <v>39475.800000000003</v>
      </c>
      <c r="AB32" s="537">
        <f>INDEX(obalProd1Payer1Share,,xxIndexTeam)</f>
        <v>5.7435897435897431E-3</v>
      </c>
      <c r="AC32" s="537">
        <f>INDEX(obalProd1Comp1Payer1Share,,xxIndexTeam)</f>
        <v>1.1794871794871794E-2</v>
      </c>
      <c r="AD32" s="537">
        <f>INDEX(obalProd1Comp2Payer1Share,,xxIndexTeam)</f>
        <v>3.1452991452991449E-2</v>
      </c>
      <c r="AE32" s="540">
        <f>AB32*$AA32</f>
        <v>226.7328</v>
      </c>
      <c r="AF32" s="540">
        <f t="shared" ref="AF32:AG34" si="0">AC32*$AA32</f>
        <v>465.61199999999997</v>
      </c>
      <c r="AG32" s="540">
        <f t="shared" si="0"/>
        <v>1241.6320000000001</v>
      </c>
    </row>
    <row r="33" spans="3:33" s="168" customFormat="1" ht="19.899999999999999" customHeight="1">
      <c r="C33" s="340" t="str">
        <f>nmPayer3</f>
        <v>Dragon Health</v>
      </c>
      <c r="E33" s="467">
        <f>INDEX(calcProd1Payer3TotalVolumeR1,,xxIndexTeam)</f>
        <v>41546.086399999993</v>
      </c>
      <c r="F33" s="469">
        <f>tlOutputProd1Payer3TRxTotalVolume_R1/SUM($E$32:$E$34)</f>
        <v>0.34962946137028306</v>
      </c>
      <c r="G33" s="486"/>
      <c r="H33" s="394"/>
      <c r="I33" s="498" t="str">
        <f>INDEX(obalProd1Payer3Status,,xxIndexTeam)</f>
        <v>T3 SGSE</v>
      </c>
      <c r="J33" s="473">
        <f>INDEX(calcProd1Payer3ShareTotalCustR1,,xxIndexTeam)</f>
        <v>2.7768180103813337E-3</v>
      </c>
      <c r="K33" s="475">
        <f>tlOutputProd1Payer3TRxShare_R1-AB33</f>
        <v>-1.3879664037271412E-5</v>
      </c>
      <c r="L33" s="472">
        <f>INDEX(calcProd1Payer3TotalCustR1,,xxIndexTeam)</f>
        <v>115.36592097637897</v>
      </c>
      <c r="M33" s="561">
        <f>tlOutputProd1Payer3TRxVolume_R1-AE33</f>
        <v>18.19472097637896</v>
      </c>
      <c r="N33" s="341"/>
      <c r="O33" s="498" t="str">
        <f>INDEX(obalProd1Comp1Payer3Status,,xxIndexTeam)</f>
        <v>T3 SGSE</v>
      </c>
      <c r="P33" s="473">
        <f>INDEX(calcProd1Comp1Payer3TotalShareR1,,xxIndexTeam)</f>
        <v>6.6877645810537257E-3</v>
      </c>
      <c r="Q33" s="475">
        <f>tlOutputProd1Comp1Payer3TRxShare_R1-AC33</f>
        <v>1.7180694258196391E-6</v>
      </c>
      <c r="R33" s="472">
        <f>tlOutputProd1Comp1Payer3TRxShare_R1*tlOutputProd1Payer3TRxTotalVolume_R1</f>
        <v>277.85044510731785</v>
      </c>
      <c r="S33" s="561">
        <f>tlOutputProd1Comp1Payer3TRxVolume_R1-AF33</f>
        <v>45.044445107317898</v>
      </c>
      <c r="T33" s="341"/>
      <c r="U33" s="498" t="str">
        <f>INDEX(obalProd1Comp2Payer3Status,,xxIndexTeam)</f>
        <v>T3 SGSE</v>
      </c>
      <c r="V33" s="473">
        <f>INDEX(calcProd1Comp2Payer3TotalShareR1,,xxIndexTeam)</f>
        <v>1.8151909913215341E-2</v>
      </c>
      <c r="W33" s="475">
        <f>tlOutputProd1Comp2Payer3TRxShare_R1-AD33</f>
        <v>3.2245254887425592E-4</v>
      </c>
      <c r="X33" s="472">
        <f>tlOutputProd1Comp2Payer3TRxShare_R1*tlOutputProd1Payer3TRxTotalVolume_R1</f>
        <v>754.14081757946087</v>
      </c>
      <c r="Y33" s="561">
        <f>tlOutputProd1Comp2Payer3TRxVolume_R1-AG33</f>
        <v>133.32481757946084</v>
      </c>
      <c r="AA33" s="540">
        <f>INDEX(obalProd1Payer3TotalVolume,,xxIndexTeam)</f>
        <v>34819.68</v>
      </c>
      <c r="AB33" s="537">
        <f>INDEX(obalProd1Payer3Share,,xxIndexTeam)</f>
        <v>2.7906976744186051E-3</v>
      </c>
      <c r="AC33" s="537">
        <f>INDEX(obalProd1Comp1Payer3Share,,xxIndexTeam)</f>
        <v>6.686046511627906E-3</v>
      </c>
      <c r="AD33" s="537">
        <f>INDEX(obalProd1Comp2Payer3Share,,xxIndexTeam)</f>
        <v>1.7829457364341085E-2</v>
      </c>
      <c r="AE33" s="540">
        <f t="shared" ref="AE33:AE34" si="1">AB33*$AA33</f>
        <v>97.171200000000013</v>
      </c>
      <c r="AF33" s="540">
        <f>AC33*$AA33</f>
        <v>232.80599999999995</v>
      </c>
      <c r="AG33" s="540">
        <f>AD33*$AA33</f>
        <v>620.81600000000003</v>
      </c>
    </row>
    <row r="34" spans="3:33" s="168" customFormat="1" ht="19.899999999999999" customHeight="1">
      <c r="C34" s="340" t="str">
        <f>nmPayer2</f>
        <v>WesterAid</v>
      </c>
      <c r="E34" s="466">
        <f>INDEX(calcProd1Payer2TotalVolumeR1,,xxIndexTeam)</f>
        <v>31266.858</v>
      </c>
      <c r="F34" s="470">
        <f>tlOutputProd1Payer2TRxTotalVolume_R1/SUM($E$32:$E$34)</f>
        <v>0.26312501774610297</v>
      </c>
      <c r="G34" s="493"/>
      <c r="H34" s="494"/>
      <c r="I34" s="497" t="str">
        <f>INDEX(obalProd1Payer2Status,,xxIndexTeam)</f>
        <v>T1 NR</v>
      </c>
      <c r="J34" s="476">
        <f>INDEX(calcProd1Payer2ShareTotalCustR1,,xxIndexTeam)</f>
        <v>1.4270573000971207E-4</v>
      </c>
      <c r="K34" s="474">
        <f>tlOutputProd1Payer2TRxShare_R1-AB34</f>
        <v>1.4270573000971207E-4</v>
      </c>
      <c r="L34" s="471">
        <f>INDEX(calcProd1Payer2TotalCustR1,,xxIndexTeam)</f>
        <v>4.4619597960000057</v>
      </c>
      <c r="M34" s="560">
        <f>tlOutputProd1Payer2TRxVolume_R1-AE34</f>
        <v>4.4619597960000057</v>
      </c>
      <c r="N34" s="341"/>
      <c r="O34" s="497" t="str">
        <f>INDEX(obalProd1Comp1Payer2Status,,xxIndexTeam)</f>
        <v>T1 NR</v>
      </c>
      <c r="P34" s="476">
        <f>INDEX(calcProd1Comp1Payer2TotalShareR1,,xxIndexTeam)</f>
        <v>8.6771526020973724E-3</v>
      </c>
      <c r="Q34" s="474">
        <f>tlOutputProd1Comp1Payer2TRxShare_R1-AC34</f>
        <v>-2.1459997522221483E-4</v>
      </c>
      <c r="R34" s="471">
        <f>tlOutputProd1Payer2TRxTotalVolume_R1*tlOutputProd1Comp1Payer2TRxShare_R1</f>
        <v>271.30729825410907</v>
      </c>
      <c r="S34" s="560">
        <f>tlOutputProd1Comp1Payer2TRxVolume_R1-AF34</f>
        <v>38.501298254109059</v>
      </c>
      <c r="T34" s="341"/>
      <c r="U34" s="497" t="str">
        <f>INDEX(obalProd1Comp2Payer2Status,,xxIndexTeam)</f>
        <v>T1 NR</v>
      </c>
      <c r="V34" s="476">
        <f>INDEX(calcProd1Comp2Payer2TotalShareR1,,xxIndexTeam)</f>
        <v>2.3414971350278441E-2</v>
      </c>
      <c r="W34" s="474">
        <f>tlOutputProd1Comp2Payer2TRxShare_R1-AD34</f>
        <v>-2.9636885590712467E-4</v>
      </c>
      <c r="X34" s="471">
        <f>tlOutputProd1Payer2TRxTotalVolume_R1*tlOutputProd1Comp2Payer2TRxShare_R1</f>
        <v>732.11258428322424</v>
      </c>
      <c r="Y34" s="560">
        <f>tlOutputProd1Comp2Payer2TRxVolume_R1-AG34</f>
        <v>111.29658428322421</v>
      </c>
      <c r="AA34" s="540">
        <f>INDEX(obalProd1Payer2TotalVolume,,xxIndexTeam)</f>
        <v>26182.240000000002</v>
      </c>
      <c r="AB34" s="537">
        <f>INDEX(obalProd1Payer2Share,,xxIndexTeam)</f>
        <v>0</v>
      </c>
      <c r="AC34" s="537">
        <f>INDEX(obalProd1Comp1Payer2Share,,xxIndexTeam)</f>
        <v>8.8917525773195873E-3</v>
      </c>
      <c r="AD34" s="537">
        <f>INDEX(obalProd1Comp2Payer2Share,,xxIndexTeam)</f>
        <v>2.3711340206185566E-2</v>
      </c>
      <c r="AE34" s="540">
        <f t="shared" si="1"/>
        <v>0</v>
      </c>
      <c r="AF34" s="540">
        <f t="shared" si="0"/>
        <v>232.80600000000001</v>
      </c>
      <c r="AG34" s="540">
        <f>AD34*$AA34</f>
        <v>620.81600000000003</v>
      </c>
    </row>
    <row r="35" spans="3:33" s="168" customFormat="1" ht="15" customHeight="1">
      <c r="E35" s="413"/>
      <c r="F35" s="399"/>
      <c r="G35" s="403"/>
      <c r="H35" s="153"/>
      <c r="I35" s="402"/>
      <c r="J35" s="414"/>
      <c r="K35" s="414"/>
      <c r="L35" s="399"/>
      <c r="M35" s="417"/>
      <c r="O35" s="402"/>
      <c r="P35" s="399"/>
      <c r="Q35" s="399"/>
      <c r="R35" s="399"/>
      <c r="S35" s="403"/>
      <c r="U35" s="402"/>
      <c r="V35" s="399"/>
      <c r="W35" s="399"/>
      <c r="X35" s="399"/>
      <c r="Y35" s="403"/>
    </row>
    <row r="36" spans="3:33" s="168" customFormat="1" ht="9" customHeight="1">
      <c r="E36" s="355"/>
      <c r="G36" s="355"/>
      <c r="H36" s="355"/>
      <c r="J36" s="355"/>
      <c r="K36" s="355"/>
      <c r="M36" s="355"/>
    </row>
    <row r="37" spans="3:33" s="168" customFormat="1" ht="21.95" customHeight="1">
      <c r="C37" s="333"/>
      <c r="E37" s="354"/>
      <c r="F37" s="354"/>
      <c r="G37" s="354"/>
      <c r="H37" s="354"/>
      <c r="I37" s="354"/>
      <c r="J37" s="354"/>
      <c r="K37" s="354"/>
      <c r="L37" s="354"/>
      <c r="M37" s="354"/>
    </row>
    <row r="38" spans="3:33" s="168" customFormat="1" ht="21.95" customHeight="1">
      <c r="C38" s="287"/>
    </row>
    <row r="39" spans="3:33" s="168" customFormat="1" ht="21.95" customHeight="1">
      <c r="C39" s="527"/>
      <c r="E39" s="356"/>
      <c r="F39" s="527"/>
      <c r="G39" s="356"/>
      <c r="H39" s="356"/>
      <c r="I39" s="527"/>
      <c r="J39" s="356"/>
      <c r="K39" s="356"/>
      <c r="L39" s="527"/>
      <c r="M39" s="356"/>
      <c r="Z39" s="331"/>
      <c r="AA39" s="331"/>
      <c r="AB39" s="331"/>
    </row>
    <row r="40" spans="3:33" s="168" customFormat="1" ht="8.4499999999999993" customHeight="1">
      <c r="C40" s="527"/>
      <c r="E40" s="356"/>
      <c r="F40" s="527"/>
      <c r="G40" s="356"/>
      <c r="H40" s="356"/>
      <c r="I40" s="527"/>
      <c r="J40" s="356"/>
      <c r="K40" s="356"/>
      <c r="L40" s="527"/>
      <c r="M40" s="356"/>
      <c r="Z40" s="331"/>
      <c r="AA40" s="331"/>
      <c r="AB40" s="331"/>
    </row>
    <row r="41" spans="3:33" s="168" customFormat="1" ht="21.95" customHeight="1">
      <c r="C41" s="333"/>
      <c r="E41" s="374"/>
      <c r="G41" s="374"/>
      <c r="H41" s="374"/>
      <c r="J41" s="374"/>
      <c r="K41" s="374"/>
      <c r="Z41" s="331"/>
      <c r="AA41" s="331"/>
      <c r="AB41" s="331"/>
    </row>
    <row r="42" spans="3:33" s="168" customFormat="1" ht="21.95" customHeight="1"/>
    <row r="43" spans="3:33" s="168" customFormat="1" ht="21.95" customHeight="1"/>
    <row r="44" spans="3:33" s="168" customFormat="1" ht="21.95" customHeight="1"/>
    <row r="45" spans="3:33" s="167" customFormat="1" ht="15" customHeight="1">
      <c r="C45" s="168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</row>
    <row r="46" spans="3:33" s="167" customFormat="1" ht="15" customHeight="1"/>
    <row r="47" spans="3:33" ht="21.95" customHeight="1"/>
    <row r="48" spans="3:33" ht="21.95" customHeight="1"/>
    <row r="49" ht="21.95" customHeight="1"/>
  </sheetData>
  <sheetProtection selectLockedCells="1"/>
  <mergeCells count="14">
    <mergeCell ref="E19:G19"/>
    <mergeCell ref="I19:M19"/>
    <mergeCell ref="O19:S19"/>
    <mergeCell ref="U19:Y19"/>
    <mergeCell ref="C5:C6"/>
    <mergeCell ref="C8:Y8"/>
    <mergeCell ref="E9:J9"/>
    <mergeCell ref="L9:P9"/>
    <mergeCell ref="C18:Y18"/>
    <mergeCell ref="C28:Y28"/>
    <mergeCell ref="E29:G29"/>
    <mergeCell ref="I29:M29"/>
    <mergeCell ref="O29:S29"/>
    <mergeCell ref="U29:Y29"/>
  </mergeCells>
  <conditionalFormatting sqref="U25">
    <cfRule type="expression" dxfId="117" priority="1">
      <formula>U25&gt;#REF!</formula>
    </cfRule>
  </conditionalFormatting>
  <conditionalFormatting sqref="I21 I25">
    <cfRule type="expression" dxfId="116" priority="3">
      <formula>I21&gt;#REF!</formula>
    </cfRule>
  </conditionalFormatting>
  <conditionalFormatting sqref="O25">
    <cfRule type="expression" dxfId="115" priority="2">
      <formula>O25&gt;#REF!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4"/>
  </sheetPr>
  <dimension ref="C1:AH49"/>
  <sheetViews>
    <sheetView topLeftCell="A14" zoomScaleNormal="100" workbookViewId="0">
      <selection activeCell="O32" sqref="O32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8.8984375" style="166" customWidth="1"/>
    <col min="7" max="7" width="6.3984375" style="166" customWidth="1"/>
    <col min="8" max="8" width="1.19921875" style="166" customWidth="1"/>
    <col min="9" max="9" width="10.296875" style="166" customWidth="1"/>
    <col min="10" max="10" width="9" style="166" bestFit="1" customWidth="1"/>
    <col min="11" max="11" width="6.69921875" style="166" customWidth="1"/>
    <col min="12" max="12" width="11.59765625" style="166" customWidth="1"/>
    <col min="13" max="13" width="7.796875" style="166" customWidth="1"/>
    <col min="14" max="14" width="4.19921875" style="166" customWidth="1"/>
    <col min="15" max="15" width="10.69921875" style="166" customWidth="1"/>
    <col min="16" max="16" width="7.19921875" style="166" customWidth="1"/>
    <col min="17" max="17" width="6.8984375" style="166" customWidth="1"/>
    <col min="18" max="18" width="11.59765625" style="166" customWidth="1"/>
    <col min="19" max="19" width="6.3984375" style="166" customWidth="1"/>
    <col min="20" max="20" width="5.59765625" style="166" customWidth="1"/>
    <col min="21" max="21" width="10.69921875" style="166" customWidth="1"/>
    <col min="22" max="22" width="7" style="166" customWidth="1"/>
    <col min="23" max="23" width="7.19921875" style="166" customWidth="1"/>
    <col min="24" max="24" width="11.59765625" style="166" customWidth="1"/>
    <col min="25" max="25" width="7" style="166" customWidth="1"/>
    <col min="26" max="26" width="13.69921875" style="166" bestFit="1" customWidth="1"/>
    <col min="27" max="27" width="13.5" style="166" bestFit="1" customWidth="1"/>
    <col min="28" max="29" width="8.796875" style="166"/>
    <col min="30" max="30" width="12" style="166" bestFit="1" customWidth="1"/>
    <col min="31" max="31" width="9.296875" style="166" bestFit="1" customWidth="1"/>
    <col min="32" max="16384" width="8.796875" style="166"/>
  </cols>
  <sheetData>
    <row r="1" spans="3:34" s="168" customFormat="1" ht="6" customHeight="1"/>
    <row r="2" spans="3:34" s="342" customFormat="1" ht="22.15" customHeight="1">
      <c r="C2" s="337"/>
      <c r="Y2" s="343" t="str">
        <f>DB_Dashboard1</f>
        <v xml:space="preserve">TRx Share  0.32% NRx Share  0.33% TRx Volume  383 </v>
      </c>
      <c r="AB2" s="170" t="s">
        <v>760</v>
      </c>
      <c r="AC2" s="168" t="s">
        <v>212</v>
      </c>
    </row>
    <row r="3" spans="3:34" s="347" customFormat="1" ht="22.15" customHeight="1">
      <c r="C3" s="332" t="str">
        <f>nmProgramSubtitle</f>
        <v>Resourcing for Results</v>
      </c>
      <c r="Y3" s="362" t="str">
        <f>DB_Dashboard2</f>
        <v xml:space="preserve">Market Execution  60.0 Employee Engagement  60.0 </v>
      </c>
    </row>
    <row r="4" spans="3:34" s="342" customFormat="1" ht="22.15" customHeight="1">
      <c r="C4" s="344"/>
      <c r="Y4" s="343" t="str">
        <f>DB_Dashboard3</f>
        <v>MTUs Remaining  150 Samples Remaining  1% Promotional $ Remaining  1%</v>
      </c>
    </row>
    <row r="5" spans="3:34" s="168" customFormat="1" ht="20.100000000000001" customHeight="1">
      <c r="C5" s="599" t="s">
        <v>617</v>
      </c>
    </row>
    <row r="6" spans="3:34" s="168" customFormat="1" ht="21.95" customHeight="1">
      <c r="C6" s="600"/>
      <c r="D6" s="169"/>
      <c r="E6" s="169" t="s">
        <v>3199</v>
      </c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</row>
    <row r="7" spans="3:34" s="168" customFormat="1" ht="9.6" customHeight="1"/>
    <row r="8" spans="3:34" s="168" customFormat="1" ht="21" customHeight="1">
      <c r="C8" s="583" t="s">
        <v>754</v>
      </c>
      <c r="D8" s="583"/>
      <c r="E8" s="583"/>
      <c r="F8" s="583"/>
      <c r="G8" s="583"/>
      <c r="H8" s="583"/>
      <c r="I8" s="583"/>
      <c r="J8" s="583"/>
      <c r="K8" s="583"/>
      <c r="L8" s="583"/>
      <c r="M8" s="583"/>
      <c r="N8" s="583"/>
      <c r="O8" s="583"/>
      <c r="P8" s="583"/>
      <c r="Q8" s="583"/>
      <c r="R8" s="583"/>
      <c r="S8" s="583"/>
      <c r="T8" s="583"/>
      <c r="U8" s="583"/>
      <c r="V8" s="583"/>
      <c r="W8" s="583"/>
      <c r="X8" s="583"/>
      <c r="Y8" s="583"/>
    </row>
    <row r="9" spans="3:34" s="168" customFormat="1" ht="23.45" customHeight="1">
      <c r="E9" s="601" t="s">
        <v>752</v>
      </c>
      <c r="F9" s="602"/>
      <c r="G9" s="602"/>
      <c r="H9" s="602"/>
      <c r="I9" s="602"/>
      <c r="J9" s="603"/>
      <c r="K9" s="144"/>
      <c r="L9" s="601" t="s">
        <v>753</v>
      </c>
      <c r="M9" s="602"/>
      <c r="N9" s="602"/>
      <c r="O9" s="602"/>
      <c r="P9" s="603"/>
      <c r="Q9" s="153"/>
      <c r="R9" s="153"/>
      <c r="S9" s="153"/>
      <c r="T9" s="153"/>
      <c r="U9" s="415"/>
      <c r="V9" s="415"/>
    </row>
    <row r="10" spans="3:34" s="168" customFormat="1" ht="21.95" customHeight="1">
      <c r="C10" s="391" t="s">
        <v>750</v>
      </c>
      <c r="E10" s="404" t="s">
        <v>549</v>
      </c>
      <c r="F10" s="405" t="s">
        <v>759</v>
      </c>
      <c r="G10" s="153"/>
      <c r="H10" s="153"/>
      <c r="I10" s="405" t="s">
        <v>548</v>
      </c>
      <c r="J10" s="406" t="s">
        <v>759</v>
      </c>
      <c r="K10" s="405"/>
      <c r="L10" s="404" t="s">
        <v>550</v>
      </c>
      <c r="M10" s="405" t="s">
        <v>759</v>
      </c>
      <c r="N10" s="405"/>
      <c r="O10" s="405" t="s">
        <v>751</v>
      </c>
      <c r="P10" s="406" t="s">
        <v>759</v>
      </c>
      <c r="R10" s="405"/>
      <c r="S10" s="153"/>
      <c r="T10" s="405"/>
      <c r="U10" s="405"/>
      <c r="V10" s="405"/>
      <c r="AC10" s="168" t="s">
        <v>586</v>
      </c>
      <c r="AD10" s="168" t="s">
        <v>586</v>
      </c>
      <c r="AG10" s="168" t="s">
        <v>586</v>
      </c>
      <c r="AH10" s="168" t="s">
        <v>586</v>
      </c>
    </row>
    <row r="11" spans="3:34" s="168" customFormat="1" ht="19.899999999999999" customHeight="1">
      <c r="C11" s="392" t="str">
        <f>nmProd1</f>
        <v>Riverrun</v>
      </c>
      <c r="E11" s="446">
        <f>INDEX(calcProd1ShareTotalCustR2,,xxIndexTeam)</f>
        <v>3.0208158887858241E-3</v>
      </c>
      <c r="F11" s="463">
        <f>tlOutputProd1TRxShare_R2-tlOutputProd1TotalSharePrev_R2</f>
        <v>-2.0110676241470943E-4</v>
      </c>
      <c r="G11" s="423"/>
      <c r="H11" s="423"/>
      <c r="I11" s="424">
        <f>INDEX(calcProd1VolumeTotalCustR2,,xxIndexTeam)</f>
        <v>409.49812790710604</v>
      </c>
      <c r="J11" s="557">
        <f>tlOutputProd1TRxVolume_R2-tlOutputProd1TotalVolumePrev_R2</f>
        <v>26.640584048327071</v>
      </c>
      <c r="K11" s="394"/>
      <c r="L11" s="446">
        <f>INDEX(calcProd1ShareNewCustR2,,xxIndexTeam)</f>
        <v>3.1640689894479666E-3</v>
      </c>
      <c r="M11" s="447">
        <f>tlOutputProd1NRxShare_R2-tlOutputProd1NewSharePrev_R2</f>
        <v>-1.0031984198946879E-4</v>
      </c>
      <c r="N11" s="425"/>
      <c r="O11" s="424">
        <f>INDEX(calcProd1NewCustR2,,xxIndexTeam)</f>
        <v>45.617879668472995</v>
      </c>
      <c r="P11" s="557">
        <f>tlOutputProd1NRxVolume_R2-tlOutputProd1NEwVolumePrev_R2</f>
        <v>13.666126660472994</v>
      </c>
      <c r="R11" s="153"/>
      <c r="S11" s="153"/>
      <c r="T11" s="153"/>
      <c r="U11" s="153"/>
      <c r="V11" s="153"/>
      <c r="AA11" s="349"/>
      <c r="AB11" s="446"/>
      <c r="AC11" s="463">
        <f>INDEX(calcProd1ShareTotalCustR1,,xxIndexTeam)</f>
        <v>3.2219226512005335E-3</v>
      </c>
      <c r="AD11" s="503">
        <f>INDEX(calcProd1VolumeTotalCustR1,,xxIndexTeam)</f>
        <v>382.85754385877897</v>
      </c>
      <c r="AG11" s="463">
        <f>INDEX(calcProd1ShareNewCustR1,,xxIndexTeam)</f>
        <v>3.2643888314374354E-3</v>
      </c>
      <c r="AH11" s="503">
        <f>INDEX(calcProd1NewCustR1,,xxIndexTeam)</f>
        <v>31.951753008000001</v>
      </c>
    </row>
    <row r="12" spans="3:34" s="168" customFormat="1" ht="19.899999999999999" customHeight="1">
      <c r="C12" s="393" t="str">
        <f>nmProd1Seg1</f>
        <v>Riverrun Central</v>
      </c>
      <c r="E12" s="449">
        <f>INDEX(calcProd1Seg1ShareTotalCustR2,,xxIndexTeam)</f>
        <v>3.369968000000001E-3</v>
      </c>
      <c r="F12" s="448">
        <f>tlOutputProd1Seg1TRxShare_R2-tlOutputProd1Seg1TotalSharePrev_R2</f>
        <v>4.2288000000001002E-5</v>
      </c>
      <c r="G12" s="153"/>
      <c r="H12" s="153"/>
      <c r="I12" s="461">
        <f>INDEX(calcProd1Seg1VolumeTotalCustR2,,xxIndexTeam)</f>
        <v>188.61916868444166</v>
      </c>
      <c r="J12" s="558">
        <f>tlOutputProd1Seg1TRxVolume_R2-tlOutputProd1Seg1TotalVolumePrev_R2</f>
        <v>29.636461433241635</v>
      </c>
      <c r="K12" s="394"/>
      <c r="L12" s="449">
        <f>INDEX(calcProd1Seg1ShareNewCustR2,,xxIndexTeam)</f>
        <v>3.3699680000000001E-3</v>
      </c>
      <c r="M12" s="448">
        <f>tlOutputProd1Seg1NRxShare_R2-tlOutputProd1Seg1NewSharePrev_R2</f>
        <v>4.2287999999999701E-5</v>
      </c>
      <c r="N12" s="153"/>
      <c r="O12" s="461">
        <f>INDEX(calcProd1Seg1NewCustR2,,xxIndexTeam)</f>
        <v>22.103808830208003</v>
      </c>
      <c r="P12" s="558">
        <f>tlOutputProd1Seg1NRxVolume_R2-tlOutputProd1Seg1NewVolumePrev_R2</f>
        <v>8.6306980462079999</v>
      </c>
      <c r="R12" s="153"/>
      <c r="S12" s="153"/>
      <c r="T12" s="153"/>
      <c r="U12" s="153"/>
      <c r="V12" s="153"/>
      <c r="AA12" s="331"/>
      <c r="AB12" s="449"/>
      <c r="AC12" s="448">
        <f>INDEX(calcProd1Seg1ShareTotalCustR1,,xxIndexTeam)</f>
        <v>3.32768E-3</v>
      </c>
      <c r="AD12" s="504">
        <f>INDEX(calcProd1Seg1VolumeTotalCustR1,,xxIndexTeam)</f>
        <v>158.98270725120003</v>
      </c>
      <c r="AG12" s="448">
        <f>INDEX(calcProd1Seg1ShareNewCustR1,,xxIndexTeam)</f>
        <v>3.3276800000000004E-3</v>
      </c>
      <c r="AH12" s="504">
        <f>INDEX(calcProd1Seg1NewCustR1,,xxIndexTeam)</f>
        <v>13.473110784000003</v>
      </c>
    </row>
    <row r="13" spans="3:34" s="168" customFormat="1" ht="19.899999999999999" customHeight="1">
      <c r="C13" s="393" t="str">
        <f>nmProd1Seg2</f>
        <v>Tullyville</v>
      </c>
      <c r="E13" s="450">
        <f>INDEX(calcProd1Seg2ShareTotalCustR2,,xxIndexTeam)</f>
        <v>3.4594784722222216E-3</v>
      </c>
      <c r="F13" s="447">
        <f>tlOutputProd1Seg2TRxShare_R2-tlOutputProd1Seg2TotalSharePrev_R2</f>
        <v>-2.2918819444444532E-4</v>
      </c>
      <c r="G13" s="423"/>
      <c r="H13" s="423"/>
      <c r="I13" s="462">
        <f>INDEX(calcProd1Seg2VolumeTotalCustR2,,xxIndexTeam)</f>
        <v>154.42426923262497</v>
      </c>
      <c r="J13" s="559">
        <f>tlOutputProd1Seg2TRxVolume_R2-tlOutputProd1Seg2TotalVolumePrev_R2</f>
        <v>10.15532225662497</v>
      </c>
      <c r="K13" s="394"/>
      <c r="L13" s="450">
        <f>INDEX(calcProd1Seg2ShareNewCustR2,,xxIndexTeam)</f>
        <v>3.459478472222222E-3</v>
      </c>
      <c r="M13" s="447">
        <f>tlOutputProd1Seg2NRxShare_R2-tlOutputProd1Seg2NewSharePrev_R2</f>
        <v>-2.2918819444444488E-4</v>
      </c>
      <c r="N13" s="423"/>
      <c r="O13" s="462">
        <f>INDEX(calcProd1Seg2NewCustR2,,xxIndexTeam)</f>
        <v>18.530912307914996</v>
      </c>
      <c r="P13" s="559">
        <f>tlOutputProd1Seg2NRxVolume_R2-tlOutputProd1Seg2NewVolumePrev_R2</f>
        <v>5.9857864839149943</v>
      </c>
      <c r="R13" s="153"/>
      <c r="S13" s="153"/>
      <c r="T13" s="153"/>
      <c r="U13" s="153"/>
      <c r="V13" s="153"/>
      <c r="AB13" s="450"/>
      <c r="AC13" s="447">
        <f>INDEX(calcProd1Seg2ShareTotalCustR1,,xxIndexTeam)</f>
        <v>3.6886666666666669E-3</v>
      </c>
      <c r="AD13" s="505">
        <f>INDEX(calcProd1Seg2VolumeTotalCustR1,,xxIndexTeam)</f>
        <v>144.268946976</v>
      </c>
      <c r="AG13" s="447">
        <f>INDEX(calcProd1Seg2ShareNewCustR1,,xxIndexTeam)</f>
        <v>3.6886666666666669E-3</v>
      </c>
      <c r="AH13" s="505">
        <f>INDEX(calcProd1Seg2NewCustR1,,xxIndexTeam)</f>
        <v>12.545125824000001</v>
      </c>
    </row>
    <row r="14" spans="3:34" s="168" customFormat="1" ht="19.899999999999999" customHeight="1">
      <c r="C14" s="393" t="str">
        <f>nmProd1Seg3</f>
        <v>Lordfrey City</v>
      </c>
      <c r="E14" s="449">
        <f>INDEX(calcProd1Seg3ShareTotalCustR2,,xxIndexTeam)</f>
        <v>1.9014134441309345E-3</v>
      </c>
      <c r="F14" s="448">
        <f>tlOutputProd1Seg3TRxShare_R2-tlOutputProd1Seg3TotalSharePrev_R2</f>
        <v>-5.9081440551853959E-4</v>
      </c>
      <c r="G14" s="153"/>
      <c r="H14" s="153"/>
      <c r="I14" s="461">
        <f>INDEX(calcProd1Seg3VolumeTotalCustR2,,xxIndexTeam)</f>
        <v>66.454689990039455</v>
      </c>
      <c r="J14" s="558">
        <f>tlOutputProd1Seg3TRxVolume_R2-tlOutputProd1Seg3TotalVolumePrev_R2</f>
        <v>-13.151199641539463</v>
      </c>
      <c r="K14" s="394"/>
      <c r="L14" s="449">
        <f>INDEX(calcProd1Seg3ShareNewCustR2,,xxIndexTeam)</f>
        <v>1.9917857142857137E-3</v>
      </c>
      <c r="M14" s="448">
        <f>tlOutputProd1Seg3NRxShare_R2-tlOutputProd1Seg3NEwSharePrev_R2</f>
        <v>-5.4587662337662358E-4</v>
      </c>
      <c r="N14" s="153"/>
      <c r="O14" s="461">
        <f>INDEX(calcProd1Seg3NewCustR2,,xxIndexTeam)</f>
        <v>4.9831585303499981</v>
      </c>
      <c r="P14" s="558">
        <f>tlOutputProd1Seg3NRxVolume_R2-tlOutputProd1Seg3NewVolumePrev_R2</f>
        <v>-0.95035786965000035</v>
      </c>
      <c r="R14" s="153"/>
      <c r="S14" s="153"/>
      <c r="T14" s="153"/>
      <c r="U14" s="153"/>
      <c r="V14" s="153"/>
      <c r="AA14" s="349"/>
      <c r="AB14" s="449"/>
      <c r="AC14" s="448">
        <f>INDEX(calcProd1Seg3ShareTotalCustR1,,xxIndexTeam)</f>
        <v>2.4922278496494741E-3</v>
      </c>
      <c r="AD14" s="504">
        <f>INDEX(calcProd1Seg3VolumeTotalCustR1,,xxIndexTeam)</f>
        <v>79.605889631578918</v>
      </c>
      <c r="AG14" s="448">
        <f>INDEX(calcProd1Seg3ShareNewCustR1,,xxIndexTeam)</f>
        <v>2.5376623376623373E-3</v>
      </c>
      <c r="AH14" s="504">
        <f>INDEX(calcProd1Seg3NewCustR1,,xxIndexTeam)</f>
        <v>5.9335163999999985</v>
      </c>
    </row>
    <row r="15" spans="3:34" s="168" customFormat="1" ht="15" customHeight="1">
      <c r="E15" s="398"/>
      <c r="F15" s="399"/>
      <c r="G15" s="399"/>
      <c r="H15" s="399"/>
      <c r="I15" s="400"/>
      <c r="J15" s="401"/>
      <c r="K15" s="397"/>
      <c r="L15" s="402"/>
      <c r="M15" s="399"/>
      <c r="N15" s="399"/>
      <c r="O15" s="399"/>
      <c r="P15" s="403"/>
      <c r="R15" s="153"/>
      <c r="S15" s="153"/>
      <c r="T15" s="153"/>
      <c r="U15" s="153"/>
      <c r="V15" s="153"/>
      <c r="AA15" s="331"/>
      <c r="AB15" s="331"/>
    </row>
    <row r="16" spans="3:34" s="168" customFormat="1" ht="12.6" customHeight="1">
      <c r="E16" s="339"/>
      <c r="L16" s="153"/>
      <c r="M16" s="153"/>
    </row>
    <row r="17" spans="3:33" s="168" customFormat="1" ht="12.6" customHeight="1">
      <c r="E17" s="369"/>
      <c r="AA17" s="349"/>
      <c r="AB17" s="349"/>
    </row>
    <row r="18" spans="3:33" s="168" customFormat="1" ht="21.95" customHeight="1">
      <c r="C18" s="583" t="s">
        <v>757</v>
      </c>
      <c r="D18" s="583"/>
      <c r="E18" s="583"/>
      <c r="F18" s="583"/>
      <c r="G18" s="583"/>
      <c r="H18" s="583"/>
      <c r="I18" s="583"/>
      <c r="J18" s="583"/>
      <c r="K18" s="583"/>
      <c r="L18" s="583"/>
      <c r="M18" s="583"/>
      <c r="N18" s="583"/>
      <c r="O18" s="583"/>
      <c r="P18" s="583"/>
      <c r="Q18" s="583"/>
      <c r="R18" s="583"/>
      <c r="S18" s="583"/>
      <c r="T18" s="583"/>
      <c r="U18" s="583"/>
      <c r="V18" s="583"/>
      <c r="W18" s="583"/>
      <c r="X18" s="583"/>
      <c r="Y18" s="583"/>
      <c r="Z18" s="351"/>
      <c r="AA18" s="351"/>
    </row>
    <row r="19" spans="3:33" s="168" customFormat="1" ht="18.600000000000001" customHeight="1">
      <c r="E19" s="593" t="s">
        <v>765</v>
      </c>
      <c r="F19" s="594"/>
      <c r="G19" s="595"/>
      <c r="H19" s="361"/>
      <c r="I19" s="587" t="str">
        <f>nmTherapy1</f>
        <v>Wintellix</v>
      </c>
      <c r="J19" s="588"/>
      <c r="K19" s="588"/>
      <c r="L19" s="588"/>
      <c r="M19" s="589"/>
      <c r="O19" s="590" t="str">
        <f>nmComp1</f>
        <v>Vibrant</v>
      </c>
      <c r="P19" s="591"/>
      <c r="Q19" s="591"/>
      <c r="R19" s="591"/>
      <c r="S19" s="592"/>
      <c r="U19" s="596" t="str">
        <f>nmComp2</f>
        <v>Pristine</v>
      </c>
      <c r="V19" s="597"/>
      <c r="W19" s="597"/>
      <c r="X19" s="597"/>
      <c r="Y19" s="598"/>
      <c r="Z19" s="351"/>
      <c r="AA19" s="351"/>
    </row>
    <row r="20" spans="3:33" s="168" customFormat="1" ht="21.95" customHeight="1">
      <c r="C20" s="391" t="s">
        <v>750</v>
      </c>
      <c r="E20" s="422" t="s">
        <v>758</v>
      </c>
      <c r="F20" s="412" t="s">
        <v>2205</v>
      </c>
      <c r="G20" s="396"/>
      <c r="I20" s="407" t="str">
        <f>nmTherapy1&amp;" TRx Share"</f>
        <v>Wintellix TRx Share</v>
      </c>
      <c r="J20" s="410" t="s">
        <v>759</v>
      </c>
      <c r="K20" s="410"/>
      <c r="L20" s="410" t="str">
        <f>nmTherapy1&amp;" TRx Volume"</f>
        <v>Wintellix TRx Volume</v>
      </c>
      <c r="M20" s="408" t="s">
        <v>759</v>
      </c>
      <c r="O20" s="407" t="str">
        <f>nmComp1&amp;" TRx Share"</f>
        <v>Vibrant TRx Share</v>
      </c>
      <c r="P20" s="410" t="s">
        <v>759</v>
      </c>
      <c r="Q20" s="410"/>
      <c r="R20" s="410" t="str">
        <f>nmComp1&amp;" TRx Volume"</f>
        <v>Vibrant TRx Volume</v>
      </c>
      <c r="S20" s="408" t="s">
        <v>759</v>
      </c>
      <c r="U20" s="407" t="str">
        <f>nmComp2&amp;" TRx Share"</f>
        <v>Pristine TRx Share</v>
      </c>
      <c r="V20" s="410" t="s">
        <v>759</v>
      </c>
      <c r="W20" s="410"/>
      <c r="X20" s="410" t="str">
        <f>nmComp2&amp;" TRx Volume"</f>
        <v>Pristine TRx Volume</v>
      </c>
      <c r="Y20" s="408" t="s">
        <v>759</v>
      </c>
      <c r="Z20" s="351"/>
      <c r="AA20" s="351" t="s">
        <v>1486</v>
      </c>
      <c r="AB20" s="168" t="s">
        <v>1486</v>
      </c>
      <c r="AC20" s="168" t="s">
        <v>1486</v>
      </c>
      <c r="AD20" s="168" t="s">
        <v>2304</v>
      </c>
      <c r="AE20" s="168" t="s">
        <v>1487</v>
      </c>
    </row>
    <row r="21" spans="3:33" s="168" customFormat="1" ht="22.9" customHeight="1">
      <c r="C21" s="392" t="str">
        <f>nmProd1</f>
        <v>Riverrun</v>
      </c>
      <c r="E21" s="477">
        <f>INDEX(calcProd1TotalVolumeR2,,xxIndexTeam)</f>
        <v>135558.78378</v>
      </c>
      <c r="F21" s="518">
        <f>tlOutputProd1TotalMarketVolume_R2/tlOutputProd1PrevVolume_R2-1</f>
        <v>0.1407896305971208</v>
      </c>
      <c r="G21" s="482"/>
      <c r="H21" s="341"/>
      <c r="I21" s="446">
        <f>tlOutputProd1TRxShare_R2</f>
        <v>3.0208158887858241E-3</v>
      </c>
      <c r="J21" s="483">
        <f>tlOutputProd1TRxShareChange_R2</f>
        <v>-2.0110676241470943E-4</v>
      </c>
      <c r="K21" s="484"/>
      <c r="L21" s="485">
        <f>tlOutputProd1TRxVolume_R2</f>
        <v>409.49812790710604</v>
      </c>
      <c r="M21" s="559">
        <f>tlOutputProd1TRxVolumeChange_R2</f>
        <v>26.640584048327071</v>
      </c>
      <c r="N21" s="341"/>
      <c r="O21" s="446">
        <f>tlOutputProd1Comp1TRxVolume_R2/tlOutputProd1TotalMarketVolume_R2</f>
        <v>9.1163821037913359E-3</v>
      </c>
      <c r="P21" s="447">
        <f>tlOutputProd1Comp1TRxShare_R2-tlOutputProd1Comp1TotalPrevShare_R2</f>
        <v>-2.0331040502922365E-5</v>
      </c>
      <c r="Q21" s="484"/>
      <c r="R21" s="485">
        <f>SUM(R22:R24)</f>
        <v>1235.8056704637113</v>
      </c>
      <c r="S21" s="559">
        <f>tlOutputProd1Comp1TRxVolume_R2-tlOutputProd1Comp1TotalPrevVol_R2</f>
        <v>150.10004309140436</v>
      </c>
      <c r="T21" s="341"/>
      <c r="U21" s="446">
        <f>tlOutputProd1Comp2TRxVolume_R2/tlOutputProd1TotalMarketVolume_R2</f>
        <v>2.4677280842356895E-2</v>
      </c>
      <c r="V21" s="447">
        <f>tlOutputProd1Comp2TRxShare_R2-tlOutputProd1Comp2TotalPrevShare_R2</f>
        <v>-5.4006664114005648E-5</v>
      </c>
      <c r="W21" s="484"/>
      <c r="X21" s="485">
        <f>SUM(X22:X24)</f>
        <v>3345.2221779873944</v>
      </c>
      <c r="Y21" s="559">
        <f>tlOutputProd1Comp2TRxVolume_R2-tlOutputProd1Comp2TotalPrevVol_R2</f>
        <v>406.43033962198933</v>
      </c>
      <c r="Z21" s="351"/>
      <c r="AA21" s="514">
        <f>INDEX(calcProd1TotalVolumeR1,,xxIndexTeam)</f>
        <v>118828.906</v>
      </c>
      <c r="AB21" s="168">
        <f>tlOutputProd1Comp1TRxShare_R1</f>
        <v>9.1367131442942583E-3</v>
      </c>
      <c r="AC21" s="168">
        <f>tlOutputProd1Comp2TRxShare_R1</f>
        <v>2.4731287506470901E-2</v>
      </c>
      <c r="AD21" s="168">
        <f>tlOutputProd1Comp1TotalPrevShare_R2*tlOutputProd1PrevVolume_R2</f>
        <v>1085.7056273723069</v>
      </c>
      <c r="AE21" s="168">
        <f>tlOutputProd1Comp2TotalPrevShare_R2*tlOutputProd1PrevVolume_R2</f>
        <v>2938.7918383654051</v>
      </c>
    </row>
    <row r="22" spans="3:33" s="168" customFormat="1" ht="22.9" customHeight="1">
      <c r="C22" s="393" t="str">
        <f>nmProd1Seg1</f>
        <v>Riverrun Central</v>
      </c>
      <c r="E22" s="481">
        <f>INDEX(calcProd1Seg1TotalVolumeR2,,xxIndexTeam)</f>
        <v>55970.611199999999</v>
      </c>
      <c r="F22" s="480">
        <f>tlOutputProd1Seg1TotalMarketVolume_R2/tlOutputProd1Seg1PrevVolume_R2-1</f>
        <v>0.1715254237288133</v>
      </c>
      <c r="G22" s="486"/>
      <c r="H22" s="341"/>
      <c r="I22" s="487">
        <f>tlOutputProd1Seg1TRxShare_R2</f>
        <v>3.369968000000001E-3</v>
      </c>
      <c r="J22" s="488">
        <f>tlOutputProd1Seg1TRxShareChange_R2</f>
        <v>4.2288000000001002E-5</v>
      </c>
      <c r="K22" s="341"/>
      <c r="L22" s="489">
        <f>tlOutputProd1Seg1TRxVolume_R2</f>
        <v>188.61916868444166</v>
      </c>
      <c r="M22" s="558">
        <f>tlOutputProd1Seg1TRxVolumeChange_R2</f>
        <v>29.636461433241635</v>
      </c>
      <c r="N22" s="341"/>
      <c r="O22" s="512">
        <f>INDEX(calcProd1Seg1Comp1TotalShareR2,,xxIndexTeam)</f>
        <v>9.0978559999999997E-3</v>
      </c>
      <c r="P22" s="448">
        <f>tlOutputProd1Seg1Comp1TRxShare_R2-tlOutputProd1Seg1Comp1TotalPrevShare_R2</f>
        <v>0</v>
      </c>
      <c r="Q22" s="341"/>
      <c r="R22" s="489">
        <f>INDEX(calcProd1Seg1Comp1TotalCustR2,,xxIndexTeam)</f>
        <v>509.21256092958714</v>
      </c>
      <c r="S22" s="558">
        <f>tlOutputProd1Seg1Comp1TRxVolume_R2-tlOutputProd1Seg1Comp1TotalPrevVol_R2</f>
        <v>74.554848330547145</v>
      </c>
      <c r="T22" s="341"/>
      <c r="U22" s="449">
        <f>INDEX(calcProd1Seg1Comp2TotalShareR2,,xxIndexTeam)</f>
        <v>2.4507797333333334E-2</v>
      </c>
      <c r="V22" s="448">
        <f>tlOutputProd1Seg1Comp2TRxShare_R2-tlOutputProd1Seg1Comp2TotalPrevShare_R2</f>
        <v>0</v>
      </c>
      <c r="W22" s="341"/>
      <c r="X22" s="489">
        <f>INDEX(calcProd1Seg1Comp2TotalCustR2,,xxIndexTeam)</f>
        <v>1371.7163959123968</v>
      </c>
      <c r="Y22" s="558">
        <f>tlOutputProd1Seg1Comp2TRxVolume_R2-tlOutputProd1Seg1Comp2TotalPrevVol_R2</f>
        <v>200.83579176263675</v>
      </c>
      <c r="AA22" s="514">
        <f>INDEX(calcProd1Seg1TotalVolumeR1,,xxIndexTeam)</f>
        <v>47775.840000000011</v>
      </c>
      <c r="AB22" s="168">
        <f>INDEX(calcProd1Seg1Comp1TotalShareR1,,xxIndexTeam)</f>
        <v>9.0978559999999979E-3</v>
      </c>
      <c r="AC22" s="168">
        <f>INDEX(calcProd1Seg1Comp2TotalShareR1,,xxIndexTeam)</f>
        <v>2.4507797333333328E-2</v>
      </c>
      <c r="AD22" s="168">
        <f>tlOutputProd1Seg1Comp1TotalPrevShare_R2*tlOutputProd1Seg1PrevVolume_R2</f>
        <v>434.65771259904</v>
      </c>
      <c r="AE22" s="168">
        <f>tlOutputProd1Seg1Comp2TotalPrevShare_R2*tlOutputProd1Seg1PrevVolume_R2</f>
        <v>1170.8806041497601</v>
      </c>
    </row>
    <row r="23" spans="3:33" s="168" customFormat="1" ht="22.9" customHeight="1">
      <c r="C23" s="393" t="str">
        <f>nmProd1Seg2</f>
        <v>Tullyville</v>
      </c>
      <c r="E23" s="478">
        <f>INDEX(calcProd1Seg2TotalVolumeR2,,xxIndexTeam)</f>
        <v>44638.02</v>
      </c>
      <c r="F23" s="479">
        <f>tlOutputProd1Seg2TotalMarketVolume_R2/tlOutputProd1Seg2PrevVolume_R2-1</f>
        <v>0.14130434782608692</v>
      </c>
      <c r="G23" s="482"/>
      <c r="H23" s="341"/>
      <c r="I23" s="490">
        <f>tlOutputProd1Seg2TRxShare_R2</f>
        <v>3.4594784722222216E-3</v>
      </c>
      <c r="J23" s="491">
        <f>tlOutputProd1Seg2TRxShareChange_R2</f>
        <v>-2.2918819444444532E-4</v>
      </c>
      <c r="K23" s="484"/>
      <c r="L23" s="492">
        <f>tlOutputProd1Seg2TRxVolume_R2</f>
        <v>154.42426923262497</v>
      </c>
      <c r="M23" s="559">
        <f>tlOutputProd1Seg2TRxVolumeChange_R2</f>
        <v>10.15532225662497</v>
      </c>
      <c r="N23" s="341"/>
      <c r="O23" s="513">
        <f>INDEX(calcProd1Seg2Comp1TotalShareR2,,xxIndexTeam)</f>
        <v>9.2990666666666662E-3</v>
      </c>
      <c r="P23" s="447">
        <f>tlOutputProd1Seg2Comp1TRxShare_R2-tlOutputProd1Seg2Comp1TotalPrevShare_R2</f>
        <v>0</v>
      </c>
      <c r="Q23" s="484"/>
      <c r="R23" s="492">
        <f>INDEX(calcProd1Seg2Comp1TotalCustR2,,xxIndexTeam)</f>
        <v>415.09192384799996</v>
      </c>
      <c r="S23" s="559">
        <f>tlOutputProd1Seg2Comp1TRxVolume_R2-tlOutputProd1Seg2Comp1TotalPrevVol_R2</f>
        <v>51.392333428800043</v>
      </c>
      <c r="T23" s="341"/>
      <c r="U23" s="450">
        <f>INDEX(calcProd1Seg2Comp2TotalShareR2,,xxIndexTeam)</f>
        <v>2.5484488888888889E-2</v>
      </c>
      <c r="V23" s="447">
        <f>tlOutputProd1Seg2Comp2TRxShare_R2-tlOutputProd1Seg2Comp2TotalPrevShare_R2</f>
        <v>0</v>
      </c>
      <c r="W23" s="484"/>
      <c r="X23" s="492">
        <f>INDEX(calcProd1Seg2Comp2TotalCustR2,,xxIndexTeam)</f>
        <v>1137.5771247119999</v>
      </c>
      <c r="Y23" s="559">
        <f>tlOutputProd1Seg2Comp2TRxVolume_R2-tlOutputProd1Seg2Comp2TotalPrevVol_R2</f>
        <v>140.84288210720001</v>
      </c>
      <c r="AA23" s="514">
        <f>INDEX(calcProd1Seg2TotalVolumeR1,,xxIndexTeam)</f>
        <v>39111.407999999996</v>
      </c>
      <c r="AB23" s="168">
        <f>INDEX(calcProd1Seg2Comp1TotalShareR1,,xxIndexTeam)</f>
        <v>9.2990666666666662E-3</v>
      </c>
      <c r="AC23" s="168">
        <f>INDEX(calcProd1Seg2Comp2TotalShareR1,,xxIndexTeam)</f>
        <v>2.5484488888888889E-2</v>
      </c>
      <c r="AD23" s="168">
        <f>tlOutputProd1Seg2Comp1TotalPrevShare_R2*tlOutputProd1Seg2PrevVolume_R2</f>
        <v>363.69959041919992</v>
      </c>
      <c r="AE23" s="168">
        <f>tlOutputProd1Seg2Comp2TotalPrevShare_R2*tlOutputProd1Seg2PrevVolume_R2</f>
        <v>996.73424260479987</v>
      </c>
    </row>
    <row r="24" spans="3:33" s="168" customFormat="1" ht="22.9" customHeight="1">
      <c r="C24" s="393" t="str">
        <f>nmProd1Seg3</f>
        <v>Lordfrey City</v>
      </c>
      <c r="E24" s="481">
        <f>INDEX(calcProd1Seg3TotalVolumeR2,,xxIndexTeam)</f>
        <v>34950.152579999994</v>
      </c>
      <c r="F24" s="480">
        <f>tlOutputProd1Seg3TotalMarketVolume_R2/tlOutputProd1Seg3PrevVolume_R2-1</f>
        <v>9.4187176507869452E-2</v>
      </c>
      <c r="G24" s="486"/>
      <c r="H24" s="341"/>
      <c r="I24" s="487">
        <f>tlOutputProd1Seg3TRxShare_R2</f>
        <v>1.9014134441309345E-3</v>
      </c>
      <c r="J24" s="488">
        <f>tlOutputProd1Seg3TRxShareChange_R2</f>
        <v>-5.9081440551853959E-4</v>
      </c>
      <c r="K24" s="341"/>
      <c r="L24" s="489">
        <f>tlOutputProd1Seg3TRxVolume_R2</f>
        <v>66.454689990039455</v>
      </c>
      <c r="M24" s="558">
        <f>tlOutputProd1Seg3TRxVolumeChange_R2</f>
        <v>-13.151199641539463</v>
      </c>
      <c r="N24" s="341"/>
      <c r="O24" s="512">
        <f>INDEX(calcProd1Seg3Comp1TotalShareR2,,xxIndexTeam)</f>
        <v>8.9127274901906681E-3</v>
      </c>
      <c r="P24" s="448">
        <f>tlOutputProd1Seg3Comp1TRxShare_R2-tlOutputProd1Seg3Comp1TotalPrevShare_R2</f>
        <v>-8.3309107348099321E-5</v>
      </c>
      <c r="Q24" s="341"/>
      <c r="R24" s="489">
        <f>INDEX(calcProd1Seg3Comp1TotalCustR2,,xxIndexTeam)</f>
        <v>311.50118568612424</v>
      </c>
      <c r="S24" s="558">
        <f>tlOutputProd1Seg3Comp1TRxVolume_R2-tlOutputProd1Seg3Comp1TotalPrevVol_R2</f>
        <v>24.152861332057341</v>
      </c>
      <c r="T24" s="341"/>
      <c r="U24" s="449">
        <f>INDEX(calcProd1Seg3Comp2TotalShareR2,,xxIndexTeam)</f>
        <v>2.3917739856773989E-2</v>
      </c>
      <c r="V24" s="448">
        <f>tlOutputProd1Seg3Comp2TRxShare_R2-tlOutputProd1Seg3Comp2TotalPrevShare_R2</f>
        <v>-2.255588915516353E-4</v>
      </c>
      <c r="W24" s="341"/>
      <c r="X24" s="489">
        <f>INDEX(calcProd1Seg3Comp2TotalCustR2,,xxIndexTeam)</f>
        <v>835.92865736299814</v>
      </c>
      <c r="Y24" s="558">
        <f>tlOutputProd1Seg3Comp2TRxVolume_R2-tlOutputProd1Seg3Comp2TotalPrevVol_R2</f>
        <v>64.751665752153031</v>
      </c>
      <c r="AA24" s="514">
        <f>INDEX(calcProd1Seg3TotalVolumeR1,,xxIndexTeam)</f>
        <v>31941.657999999996</v>
      </c>
      <c r="AB24" s="168">
        <f>INDEX(calcProd1Seg3Comp1TotalShareR1,,xxIndexTeam)</f>
        <v>8.9960365975387674E-3</v>
      </c>
      <c r="AC24" s="168">
        <f>INDEX(calcProd1Seg3Comp2TotalShareR1,,xxIndexTeam)</f>
        <v>2.4143298748325624E-2</v>
      </c>
      <c r="AD24" s="168">
        <f>tlOutputProd1Seg3Comp1TotalPrevShare_R2*tlOutputProd1Seg3PrevVolume_R2</f>
        <v>287.3483243540669</v>
      </c>
      <c r="AE24" s="168">
        <f>tlOutputProd1Seg3Comp2TotalPrevShare_R2*tlOutputProd1Seg3PrevVolume_R2</f>
        <v>771.17699161084511</v>
      </c>
    </row>
    <row r="25" spans="3:33" s="168" customFormat="1" ht="13.9" customHeight="1">
      <c r="E25" s="409"/>
      <c r="F25" s="399"/>
      <c r="G25" s="403"/>
      <c r="I25" s="411"/>
      <c r="J25" s="399"/>
      <c r="K25" s="399"/>
      <c r="L25" s="399"/>
      <c r="M25" s="403"/>
      <c r="O25" s="411"/>
      <c r="P25" s="399"/>
      <c r="Q25" s="399"/>
      <c r="R25" s="399"/>
      <c r="S25" s="403"/>
      <c r="U25" s="411"/>
      <c r="V25" s="399"/>
      <c r="W25" s="399"/>
      <c r="X25" s="399"/>
      <c r="Y25" s="403"/>
    </row>
    <row r="26" spans="3:33" s="168" customFormat="1" ht="21.95" customHeight="1">
      <c r="E26" s="375"/>
    </row>
    <row r="27" spans="3:33" s="168" customFormat="1" ht="21.95" customHeight="1">
      <c r="C27" s="287"/>
      <c r="E27" s="153"/>
      <c r="G27" s="521"/>
      <c r="H27" s="521"/>
      <c r="J27" s="356"/>
      <c r="K27" s="356"/>
      <c r="M27" s="356"/>
    </row>
    <row r="28" spans="3:33" s="168" customFormat="1" ht="22.15" customHeight="1">
      <c r="C28" s="583" t="s">
        <v>761</v>
      </c>
      <c r="D28" s="583"/>
      <c r="E28" s="583"/>
      <c r="F28" s="583"/>
      <c r="G28" s="583"/>
      <c r="H28" s="583"/>
      <c r="I28" s="583"/>
      <c r="J28" s="583"/>
      <c r="K28" s="583"/>
      <c r="L28" s="583"/>
      <c r="M28" s="583"/>
      <c r="N28" s="583"/>
      <c r="O28" s="583"/>
      <c r="P28" s="583"/>
      <c r="Q28" s="583"/>
      <c r="R28" s="583"/>
      <c r="S28" s="583"/>
      <c r="T28" s="583"/>
      <c r="U28" s="583"/>
      <c r="V28" s="583"/>
      <c r="W28" s="583"/>
      <c r="X28" s="583"/>
      <c r="Y28" s="583"/>
      <c r="Z28" s="351"/>
      <c r="AA28" s="351"/>
    </row>
    <row r="29" spans="3:33" s="419" customFormat="1" ht="22.15" customHeight="1">
      <c r="C29" s="418"/>
      <c r="E29" s="584" t="s">
        <v>765</v>
      </c>
      <c r="F29" s="585"/>
      <c r="G29" s="586"/>
      <c r="H29" s="420"/>
      <c r="I29" s="587" t="str">
        <f>nmTherapy1</f>
        <v>Wintellix</v>
      </c>
      <c r="J29" s="588"/>
      <c r="K29" s="588"/>
      <c r="L29" s="588"/>
      <c r="M29" s="589"/>
      <c r="O29" s="590" t="str">
        <f>nmComp1</f>
        <v>Vibrant</v>
      </c>
      <c r="P29" s="591"/>
      <c r="Q29" s="591"/>
      <c r="R29" s="591"/>
      <c r="S29" s="592"/>
      <c r="U29" s="590" t="str">
        <f>nmComp2</f>
        <v>Pristine</v>
      </c>
      <c r="V29" s="591"/>
      <c r="W29" s="591"/>
      <c r="X29" s="591"/>
      <c r="Y29" s="592"/>
      <c r="Z29" s="421"/>
      <c r="AA29" s="421"/>
    </row>
    <row r="30" spans="3:33" s="168" customFormat="1" ht="21.95" customHeight="1">
      <c r="C30" s="391" t="s">
        <v>3198</v>
      </c>
      <c r="E30" s="407" t="s">
        <v>548</v>
      </c>
      <c r="F30" s="410" t="s">
        <v>763</v>
      </c>
      <c r="G30" s="408"/>
      <c r="H30" s="412"/>
      <c r="I30" s="407" t="s">
        <v>764</v>
      </c>
      <c r="J30" s="410" t="s">
        <v>549</v>
      </c>
      <c r="K30" s="410" t="s">
        <v>759</v>
      </c>
      <c r="L30" s="410" t="s">
        <v>548</v>
      </c>
      <c r="M30" s="408" t="s">
        <v>759</v>
      </c>
      <c r="O30" s="407" t="s">
        <v>764</v>
      </c>
      <c r="P30" s="410" t="s">
        <v>549</v>
      </c>
      <c r="Q30" s="410" t="s">
        <v>759</v>
      </c>
      <c r="R30" s="410" t="s">
        <v>548</v>
      </c>
      <c r="S30" s="408" t="s">
        <v>759</v>
      </c>
      <c r="T30" s="153"/>
      <c r="U30" s="407" t="s">
        <v>764</v>
      </c>
      <c r="V30" s="410" t="s">
        <v>549</v>
      </c>
      <c r="W30" s="410" t="s">
        <v>759</v>
      </c>
      <c r="X30" s="410" t="s">
        <v>548</v>
      </c>
      <c r="Y30" s="408" t="s">
        <v>759</v>
      </c>
      <c r="Z30" s="351"/>
      <c r="AA30" s="351" t="s">
        <v>586</v>
      </c>
    </row>
    <row r="31" spans="3:33" s="168" customFormat="1" ht="8.4499999999999993" customHeight="1">
      <c r="E31" s="395"/>
      <c r="F31" s="153"/>
      <c r="G31" s="396"/>
      <c r="H31" s="153"/>
      <c r="I31" s="395"/>
      <c r="J31" s="153"/>
      <c r="K31" s="153"/>
      <c r="L31" s="153"/>
      <c r="M31" s="416"/>
      <c r="O31" s="395"/>
      <c r="P31" s="153"/>
      <c r="Q31" s="153"/>
      <c r="R31" s="153"/>
      <c r="S31" s="396"/>
      <c r="U31" s="395"/>
      <c r="V31" s="153"/>
      <c r="W31" s="153"/>
      <c r="X31" s="153"/>
      <c r="Y31" s="396"/>
    </row>
    <row r="32" spans="3:33" s="168" customFormat="1" ht="19.899999999999999" customHeight="1">
      <c r="C32" s="340" t="str">
        <f>nmPayer1</f>
        <v>Blue Sword/Blue Shield</v>
      </c>
      <c r="E32" s="466">
        <f>INDEX(calcProd1Payer1TotalVolumeR2,,xxIndexTeam)</f>
        <v>52455.820928000001</v>
      </c>
      <c r="F32" s="468">
        <f>tlOutputProd1Payer1TRxTotalVolume_R2/SUM($E$32:$E$34)</f>
        <v>0.38695995541780009</v>
      </c>
      <c r="G32" s="482"/>
      <c r="H32" s="394"/>
      <c r="I32" s="497" t="str">
        <f>INDEX(cbalProd1Payer1Status,,xxIndexTeam)</f>
        <v>T3 DSE</v>
      </c>
      <c r="J32" s="476">
        <f>INDEX(calcProd1Payer1ShareTotalCustR2,,xxIndexTeam)</f>
        <v>5.4783203555241779E-3</v>
      </c>
      <c r="K32" s="474">
        <f>tlOutputProd1Payer1TRxShare_R2-AB32</f>
        <v>-2.3773237793429068E-4</v>
      </c>
      <c r="L32" s="471">
        <f>INDEX(calcProd1Payer1TotalCustR2,,xxIndexTeam)</f>
        <v>287.36979155559357</v>
      </c>
      <c r="M32" s="560">
        <f>tlOutputProd1Payer1TRxVolume_R2-AE32</f>
        <v>24.340128469193644</v>
      </c>
      <c r="N32" s="341"/>
      <c r="O32" s="497" t="str">
        <f>INDEX(cbalProd1Comp1Payer1Status,,xxIndexTeam)</f>
        <v>T2 DGSE</v>
      </c>
      <c r="P32" s="476">
        <f>INDEX(calcProd1Comp1Payer1TotalShareR2,,xxIndexTeam)</f>
        <v>1.1612558321566916E-2</v>
      </c>
      <c r="Q32" s="474">
        <f>tlOutputProd1Comp1Payer1TRxShare_R2-AC32</f>
        <v>-4.7480181483292722E-5</v>
      </c>
      <c r="R32" s="471">
        <f>tlOutputProd1Payer1TRxTotalVolume_R2*tlOutputProd1Comp1Payer1TRxShare_R2</f>
        <v>609.14627983207038</v>
      </c>
      <c r="S32" s="560">
        <f>tlOutputProd1Comp1Payer1TRxVolume_R2-AF32</f>
        <v>72.598395821190479</v>
      </c>
      <c r="T32" s="341"/>
      <c r="U32" s="497" t="str">
        <f>INDEX(cbalProd1Comp2Payer1Status,,xxIndexTeam)</f>
        <v>T2 DGSE</v>
      </c>
      <c r="V32" s="476">
        <f>INDEX(calcProd1Comp2Payer1TotalShareR2,,xxIndexTeam)</f>
        <v>3.1439622044742571E-2</v>
      </c>
      <c r="W32" s="474">
        <f>tlOutputProd1Comp2Payer1TRxShare_R2-AD32</f>
        <v>-1.263473710246682E-4</v>
      </c>
      <c r="X32" s="471">
        <f>tlOutputProd1Payer1TRxTotalVolume_R2*tlOutputProd1Comp2Payer1TRxShare_R2</f>
        <v>1649.1911840230175</v>
      </c>
      <c r="Y32" s="560">
        <f>tlOutputProd1Comp2Payer1TRxVolume_R2-AG32</f>
        <v>196.65274752029768</v>
      </c>
      <c r="AA32" s="168">
        <f>INDEX(calcProd1Payer1TotalVolumeR1,,xxIndexTeam)</f>
        <v>46015.961600000002</v>
      </c>
      <c r="AB32" s="537">
        <f>INDEX(calcProd1Payer1ShareTotalCustR1,,xxIndexTeam)</f>
        <v>5.7160527334584686E-3</v>
      </c>
      <c r="AC32" s="537">
        <f>INDEX(calcProd1Comp1Payer1TotalShareR1,,xxIndexTeam)</f>
        <v>1.1660038503050208E-2</v>
      </c>
      <c r="AD32" s="537">
        <f>INDEX(calcProd1Comp2Payer1TotalShareR1,,xxIndexTeam)</f>
        <v>3.1565969415767239E-2</v>
      </c>
      <c r="AE32" s="168">
        <f>AB32*$AA32</f>
        <v>263.02966308639992</v>
      </c>
      <c r="AF32" s="168">
        <f t="shared" ref="AF32:AG34" si="0">AC32*$AA32</f>
        <v>536.5478840108799</v>
      </c>
      <c r="AG32" s="168">
        <f t="shared" si="0"/>
        <v>1452.5384365027198</v>
      </c>
    </row>
    <row r="33" spans="3:33" s="168" customFormat="1" ht="19.899999999999999" customHeight="1">
      <c r="C33" s="340" t="str">
        <f>nmPayer3</f>
        <v>Dragon Health</v>
      </c>
      <c r="E33" s="467">
        <f>INDEX(calcProd1Payer3TotalVolumeR2,,xxIndexTeam)</f>
        <v>47232.787951999999</v>
      </c>
      <c r="F33" s="469">
        <f>tlOutputProd1Payer3TRxTotalVolume_R2/SUM($E$32:$E$34)</f>
        <v>0.34843030185823048</v>
      </c>
      <c r="G33" s="486"/>
      <c r="H33" s="394"/>
      <c r="I33" s="498" t="str">
        <f>INDEX(cbalProd1Payer3Status,,xxIndexTeam)</f>
        <v>T3 SGSE</v>
      </c>
      <c r="J33" s="473">
        <f>INDEX(cbalProd1Payer3Share,,xxIndexTeam)</f>
        <v>2.4978917036584058E-3</v>
      </c>
      <c r="K33" s="475">
        <f>tlOutputProd1Payer3TRxShare_R2-AB33</f>
        <v>-2.7892630672292796E-4</v>
      </c>
      <c r="L33" s="472">
        <f>INDEX(calcProd1Payer3TotalCustR2,,xxIndexTeam)</f>
        <v>117.9823891659575</v>
      </c>
      <c r="M33" s="561">
        <f>tlOutputProd1Payer3TRxVolume_R2-AE33</f>
        <v>21.294474626242774</v>
      </c>
      <c r="N33" s="341"/>
      <c r="O33" s="498" t="str">
        <f>INDEX(cbalProd1Comp1Payer3Status,,xxIndexTeam)</f>
        <v>T3 SGSE</v>
      </c>
      <c r="P33" s="473">
        <f>INDEX(calcProd1Comp1Payer3TotalShareR2,,xxIndexTeam)</f>
        <v>6.6643583780719639E-3</v>
      </c>
      <c r="Q33" s="475">
        <f>tlOutputProd1Comp1Payer3TRxShare_R2-AC33</f>
        <v>-2.3406202981761728E-5</v>
      </c>
      <c r="R33" s="472">
        <f>tlOutputProd1Comp1Payer3TRxShare_R2*tlOutputProd1Payer3TRxTotalVolume_R2</f>
        <v>314.77622610760773</v>
      </c>
      <c r="S33" s="561">
        <f>tlOutputProd1Comp1Payer3TRxVolume_R2-AF33</f>
        <v>81.910403479982932</v>
      </c>
      <c r="T33" s="341"/>
      <c r="U33" s="498" t="str">
        <f>INDEX(cbalProd1Comp2Payer3Status,,xxIndexTeam)</f>
        <v>T3 SGSE</v>
      </c>
      <c r="V33" s="473">
        <f>INDEX(calcProd1Comp2Payer3TotalShareR2,,xxIndexTeam)</f>
        <v>1.8089282833124384E-2</v>
      </c>
      <c r="W33" s="475">
        <f>tlOutputProd1Comp2Payer3TRxShare_R2-AD33</f>
        <v>-6.2627080090957299E-5</v>
      </c>
      <c r="X33" s="472">
        <f>tlOutputProd1Comp2Payer3TRxShare_R2*tlOutputProd1Payer3TRxTotalVolume_R2</f>
        <v>854.40726026071775</v>
      </c>
      <c r="Y33" s="561">
        <f>tlOutputProd1Comp2Payer3TRxVolume_R2-AG33</f>
        <v>222.36356569373186</v>
      </c>
      <c r="AA33" s="168">
        <f>INDEX(obalProd1Payer3TotalVolume,,xxIndexTeam)</f>
        <v>34819.68</v>
      </c>
      <c r="AB33" s="537">
        <f>INDEX(calcProd1Payer3ShareTotalCustR1,,xxIndexTeam)</f>
        <v>2.7768180103813337E-3</v>
      </c>
      <c r="AC33" s="537">
        <f>INDEX(calcProd1Comp1Payer3TotalShareR1,,xxIndexTeam)</f>
        <v>6.6877645810537257E-3</v>
      </c>
      <c r="AD33" s="537">
        <f>INDEX(calcProd1Comp2Payer3TotalShareR1,,xxIndexTeam)</f>
        <v>1.8151909913215341E-2</v>
      </c>
      <c r="AE33" s="168">
        <f t="shared" ref="AE33:AE34" si="1">AB33*$AA33</f>
        <v>96.687914539714725</v>
      </c>
      <c r="AF33" s="168">
        <f t="shared" si="0"/>
        <v>232.86582262762479</v>
      </c>
      <c r="AG33" s="168">
        <f t="shared" si="0"/>
        <v>632.04369456698589</v>
      </c>
    </row>
    <row r="34" spans="3:33" s="168" customFormat="1" ht="19.899999999999999" customHeight="1">
      <c r="C34" s="340" t="str">
        <f>nmPayer2</f>
        <v>WesterAid</v>
      </c>
      <c r="E34" s="466">
        <f>INDEX(calcProd1Payer2TotalVolumeR2,,xxIndexTeam)</f>
        <v>35870.174899999998</v>
      </c>
      <c r="F34" s="470">
        <f>tlOutputProd1Payer2TRxTotalVolume_R2/SUM($E$32:$E$34)</f>
        <v>0.26460974272396942</v>
      </c>
      <c r="G34" s="493"/>
      <c r="H34" s="494"/>
      <c r="I34" s="497" t="str">
        <f>INDEX(cbalProd1Payer2Status,,xxIndexTeam)</f>
        <v>T1 NR</v>
      </c>
      <c r="J34" s="476">
        <f>INDEX(cbalProd1Payer2Share,,xxIndexTeam)</f>
        <v>1.1558201757067571E-4</v>
      </c>
      <c r="K34" s="474">
        <f>tlOutputProd1Payer2TRxShare_R2-AB34</f>
        <v>-2.7123712439036359E-5</v>
      </c>
      <c r="L34" s="471">
        <f>INDEX(calcProd1Payer2TotalCustR2,,xxIndexTeam)</f>
        <v>4.145947185555011</v>
      </c>
      <c r="M34" s="560">
        <f>tlOutputProd1Payer2TRxVolume_R2-AE34</f>
        <v>0.40959151306552677</v>
      </c>
      <c r="N34" s="341"/>
      <c r="O34" s="497" t="str">
        <f>INDEX(cbalProd1Comp1Payer2Status,,xxIndexTeam)</f>
        <v>T1 NR</v>
      </c>
      <c r="P34" s="476">
        <f>INDEX(calcProd1Comp1Payer2TotalShareR2,,xxIndexTeam)</f>
        <v>8.6947767997650159E-3</v>
      </c>
      <c r="Q34" s="474">
        <f>tlOutputProd1Comp1Payer2TRxShare_R2-AC34</f>
        <v>1.7624197667643476E-5</v>
      </c>
      <c r="R34" s="471">
        <f>tlOutputProd1Payer2TRxTotalVolume_R2*tlOutputProd1Comp1Payer2TRxShare_R2</f>
        <v>311.88316452403336</v>
      </c>
      <c r="S34" s="560">
        <f>tlOutputProd1Comp1Payer2TRxVolume_R2-AF34</f>
        <v>84.69587257929544</v>
      </c>
      <c r="T34" s="341"/>
      <c r="U34" s="497" t="str">
        <f>INDEX(cbalProd1Comp2Payer2Status,,xxIndexTeam)</f>
        <v>T1 NR</v>
      </c>
      <c r="V34" s="476">
        <f>INDEX(calcProd1Comp2Payer2TotalShareR2,,xxIndexTeam)</f>
        <v>2.3463050739227366E-2</v>
      </c>
      <c r="W34" s="474">
        <f>tlOutputProd1Comp2Payer2TRxShare_R2-AD34</f>
        <v>4.8079388948924634E-5</v>
      </c>
      <c r="X34" s="471">
        <f>tlOutputProd1Payer2TRxTotalVolume_R2*tlOutputProd1Comp2Payer2TRxShare_R2</f>
        <v>841.62373370365992</v>
      </c>
      <c r="Y34" s="560">
        <f>tlOutputProd1Comp2Payer2TRxVolume_R2-AG34</f>
        <v>228.56733421754564</v>
      </c>
      <c r="AA34" s="168">
        <f>INDEX(obalProd1Payer2TotalVolume,,xxIndexTeam)</f>
        <v>26182.240000000002</v>
      </c>
      <c r="AB34" s="537">
        <f>INDEX(calcProd1Payer2ShareTotalCustR1,,xxIndexTeam)</f>
        <v>1.4270573000971207E-4</v>
      </c>
      <c r="AC34" s="537">
        <f>INDEX(calcProd1Comp1Payer2TotalShareR1,,xxIndexTeam)</f>
        <v>8.6771526020973724E-3</v>
      </c>
      <c r="AD34" s="537">
        <f>INDEX(calcProd1Comp2Payer2TotalShareR1,,xxIndexTeam)</f>
        <v>2.3414971350278441E-2</v>
      </c>
      <c r="AE34" s="168">
        <f t="shared" si="1"/>
        <v>3.7363556724894842</v>
      </c>
      <c r="AF34" s="168">
        <f t="shared" si="0"/>
        <v>227.18729194473792</v>
      </c>
      <c r="AG34" s="168">
        <f t="shared" si="0"/>
        <v>613.05639948611429</v>
      </c>
    </row>
    <row r="35" spans="3:33" s="168" customFormat="1" ht="15" customHeight="1">
      <c r="E35" s="413"/>
      <c r="F35" s="399"/>
      <c r="G35" s="403"/>
      <c r="H35" s="153"/>
      <c r="I35" s="402"/>
      <c r="J35" s="414"/>
      <c r="K35" s="414"/>
      <c r="L35" s="399"/>
      <c r="M35" s="417"/>
      <c r="O35" s="402"/>
      <c r="P35" s="399"/>
      <c r="Q35" s="399"/>
      <c r="R35" s="399"/>
      <c r="S35" s="403"/>
      <c r="U35" s="402"/>
      <c r="V35" s="399"/>
      <c r="W35" s="399"/>
      <c r="X35" s="399"/>
      <c r="Y35" s="403"/>
    </row>
    <row r="36" spans="3:33" s="168" customFormat="1" ht="9" customHeight="1">
      <c r="E36" s="355"/>
      <c r="G36" s="355"/>
      <c r="H36" s="355"/>
      <c r="J36" s="355"/>
      <c r="K36" s="355"/>
      <c r="M36" s="355"/>
    </row>
    <row r="37" spans="3:33" s="168" customFormat="1" ht="21.95" customHeight="1">
      <c r="C37" s="333"/>
      <c r="E37" s="354"/>
      <c r="F37" s="354"/>
      <c r="G37" s="354"/>
      <c r="H37" s="354"/>
      <c r="I37" s="354"/>
      <c r="J37" s="354"/>
      <c r="K37" s="354"/>
      <c r="L37" s="354"/>
      <c r="M37" s="354"/>
    </row>
    <row r="38" spans="3:33" s="168" customFormat="1" ht="21.95" customHeight="1">
      <c r="C38" s="287"/>
    </row>
    <row r="39" spans="3:33" s="168" customFormat="1" ht="21.95" customHeight="1">
      <c r="C39" s="521"/>
      <c r="E39" s="356"/>
      <c r="F39" s="521"/>
      <c r="G39" s="356"/>
      <c r="H39" s="356"/>
      <c r="I39" s="521"/>
      <c r="J39" s="356"/>
      <c r="K39" s="356"/>
      <c r="L39" s="521"/>
      <c r="M39" s="356"/>
      <c r="Z39" s="331"/>
      <c r="AA39" s="331"/>
      <c r="AB39" s="331"/>
    </row>
    <row r="40" spans="3:33" s="168" customFormat="1" ht="8.4499999999999993" customHeight="1">
      <c r="C40" s="521"/>
      <c r="E40" s="356"/>
      <c r="F40" s="521"/>
      <c r="G40" s="356"/>
      <c r="H40" s="356"/>
      <c r="I40" s="521"/>
      <c r="J40" s="356"/>
      <c r="K40" s="356"/>
      <c r="L40" s="521"/>
      <c r="M40" s="356"/>
      <c r="Z40" s="331"/>
      <c r="AA40" s="331"/>
      <c r="AB40" s="331"/>
    </row>
    <row r="41" spans="3:33" s="168" customFormat="1" ht="21.95" customHeight="1">
      <c r="C41" s="333"/>
      <c r="E41" s="374"/>
      <c r="G41" s="374"/>
      <c r="H41" s="374"/>
      <c r="J41" s="374"/>
      <c r="K41" s="374"/>
      <c r="Z41" s="331"/>
      <c r="AA41" s="331"/>
      <c r="AB41" s="331"/>
    </row>
    <row r="42" spans="3:33" s="168" customFormat="1" ht="21.95" customHeight="1"/>
    <row r="43" spans="3:33" s="168" customFormat="1" ht="21.95" customHeight="1"/>
    <row r="44" spans="3:33" s="168" customFormat="1" ht="21.95" customHeight="1"/>
    <row r="45" spans="3:33" s="167" customFormat="1" ht="15" customHeight="1">
      <c r="C45" s="168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</row>
    <row r="46" spans="3:33" s="167" customFormat="1" ht="15" customHeight="1"/>
    <row r="47" spans="3:33" ht="21.95" customHeight="1"/>
    <row r="48" spans="3:33" ht="21.95" customHeight="1"/>
    <row r="49" ht="21.95" customHeight="1"/>
  </sheetData>
  <sheetProtection selectLockedCells="1"/>
  <mergeCells count="14">
    <mergeCell ref="E19:G19"/>
    <mergeCell ref="I19:M19"/>
    <mergeCell ref="O19:S19"/>
    <mergeCell ref="U19:Y19"/>
    <mergeCell ref="C5:C6"/>
    <mergeCell ref="C8:Y8"/>
    <mergeCell ref="E9:J9"/>
    <mergeCell ref="L9:P9"/>
    <mergeCell ref="C18:Y18"/>
    <mergeCell ref="C28:Y28"/>
    <mergeCell ref="E29:G29"/>
    <mergeCell ref="I29:M29"/>
    <mergeCell ref="O29:S29"/>
    <mergeCell ref="U29:Y29"/>
  </mergeCells>
  <conditionalFormatting sqref="U25">
    <cfRule type="expression" dxfId="114" priority="1">
      <formula>U25&gt;#REF!</formula>
    </cfRule>
  </conditionalFormatting>
  <conditionalFormatting sqref="I21 I25">
    <cfRule type="expression" dxfId="113" priority="3">
      <formula>I21&gt;#REF!</formula>
    </cfRule>
  </conditionalFormatting>
  <conditionalFormatting sqref="O25">
    <cfRule type="expression" dxfId="112" priority="2">
      <formula>O25&gt;#REF!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/>
  </sheetPr>
  <dimension ref="C1:AH49"/>
  <sheetViews>
    <sheetView topLeftCell="D14" zoomScaleNormal="100" workbookViewId="0">
      <selection activeCell="O31" sqref="O31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8.8984375" style="166" customWidth="1"/>
    <col min="7" max="7" width="6.3984375" style="166" customWidth="1"/>
    <col min="8" max="8" width="1.19921875" style="166" customWidth="1"/>
    <col min="9" max="9" width="10.296875" style="166" customWidth="1"/>
    <col min="10" max="10" width="9" style="166" bestFit="1" customWidth="1"/>
    <col min="11" max="11" width="6.69921875" style="166" customWidth="1"/>
    <col min="12" max="12" width="11.59765625" style="166" customWidth="1"/>
    <col min="13" max="13" width="7.796875" style="166" customWidth="1"/>
    <col min="14" max="14" width="4.19921875" style="166" customWidth="1"/>
    <col min="15" max="15" width="10.69921875" style="166" customWidth="1"/>
    <col min="16" max="16" width="7.19921875" style="166" customWidth="1"/>
    <col min="17" max="17" width="6.8984375" style="166" customWidth="1"/>
    <col min="18" max="18" width="11.59765625" style="166" customWidth="1"/>
    <col min="19" max="19" width="7.19921875" style="166" customWidth="1"/>
    <col min="20" max="20" width="5.59765625" style="166" customWidth="1"/>
    <col min="21" max="21" width="10.69921875" style="166" customWidth="1"/>
    <col min="22" max="22" width="7" style="166" customWidth="1"/>
    <col min="23" max="23" width="7.19921875" style="166" customWidth="1"/>
    <col min="24" max="24" width="11.59765625" style="166" customWidth="1"/>
    <col min="25" max="25" width="7" style="166" customWidth="1"/>
    <col min="26" max="26" width="13.69921875" style="166" bestFit="1" customWidth="1"/>
    <col min="27" max="27" width="13.5" style="166" bestFit="1" customWidth="1"/>
    <col min="28" max="29" width="8.796875" style="166"/>
    <col min="30" max="30" width="12" style="166" bestFit="1" customWidth="1"/>
    <col min="31" max="31" width="9.296875" style="166" bestFit="1" customWidth="1"/>
    <col min="32" max="16384" width="8.796875" style="166"/>
  </cols>
  <sheetData>
    <row r="1" spans="3:34" s="168" customFormat="1" ht="6" customHeight="1"/>
    <row r="2" spans="3:34" s="342" customFormat="1" ht="22.15" customHeight="1">
      <c r="C2" s="337"/>
      <c r="Y2" s="343" t="str">
        <f>DB_Dashboard1</f>
        <v xml:space="preserve">TRx Share  0.32% NRx Share  0.33% TRx Volume  383 </v>
      </c>
      <c r="AB2" s="170" t="s">
        <v>760</v>
      </c>
      <c r="AC2" s="168" t="s">
        <v>212</v>
      </c>
    </row>
    <row r="3" spans="3:34" s="347" customFormat="1" ht="22.15" customHeight="1">
      <c r="C3" s="332" t="str">
        <f>nmProgramSubtitle</f>
        <v>Resourcing for Results</v>
      </c>
      <c r="Y3" s="362" t="str">
        <f>DB_Dashboard2</f>
        <v xml:space="preserve">Market Execution  60.0 Employee Engagement  60.0 </v>
      </c>
    </row>
    <row r="4" spans="3:34" s="342" customFormat="1" ht="22.15" customHeight="1">
      <c r="C4" s="344"/>
      <c r="Y4" s="343" t="str">
        <f>DB_Dashboard3</f>
        <v>MTUs Remaining  150 Samples Remaining  1% Promotional $ Remaining  1%</v>
      </c>
    </row>
    <row r="5" spans="3:34" s="168" customFormat="1" ht="20.100000000000001" customHeight="1">
      <c r="C5" s="599" t="s">
        <v>617</v>
      </c>
    </row>
    <row r="6" spans="3:34" s="168" customFormat="1" ht="21.95" customHeight="1">
      <c r="C6" s="600"/>
      <c r="D6" s="169"/>
      <c r="E6" s="169" t="s">
        <v>3199</v>
      </c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</row>
    <row r="7" spans="3:34" s="168" customFormat="1" ht="9.6" customHeight="1"/>
    <row r="8" spans="3:34" s="168" customFormat="1" ht="21" customHeight="1">
      <c r="C8" s="583" t="s">
        <v>754</v>
      </c>
      <c r="D8" s="583"/>
      <c r="E8" s="583"/>
      <c r="F8" s="583"/>
      <c r="G8" s="583"/>
      <c r="H8" s="583"/>
      <c r="I8" s="583"/>
      <c r="J8" s="583"/>
      <c r="K8" s="583"/>
      <c r="L8" s="583"/>
      <c r="M8" s="583"/>
      <c r="N8" s="583"/>
      <c r="O8" s="583"/>
      <c r="P8" s="583"/>
      <c r="Q8" s="583"/>
      <c r="R8" s="583"/>
      <c r="S8" s="583"/>
      <c r="T8" s="583"/>
      <c r="U8" s="583"/>
      <c r="V8" s="583"/>
      <c r="W8" s="583"/>
      <c r="X8" s="583"/>
      <c r="Y8" s="583"/>
    </row>
    <row r="9" spans="3:34" s="168" customFormat="1" ht="23.45" customHeight="1">
      <c r="E9" s="601" t="s">
        <v>752</v>
      </c>
      <c r="F9" s="602"/>
      <c r="G9" s="602"/>
      <c r="H9" s="602"/>
      <c r="I9" s="602"/>
      <c r="J9" s="603"/>
      <c r="K9" s="144"/>
      <c r="L9" s="601" t="s">
        <v>753</v>
      </c>
      <c r="M9" s="602"/>
      <c r="N9" s="602"/>
      <c r="O9" s="602"/>
      <c r="P9" s="603"/>
      <c r="Q9" s="153"/>
      <c r="R9" s="153"/>
      <c r="S9" s="153"/>
      <c r="T9" s="153"/>
      <c r="U9" s="415"/>
      <c r="V9" s="415"/>
    </row>
    <row r="10" spans="3:34" s="168" customFormat="1" ht="21.95" customHeight="1">
      <c r="C10" s="391" t="s">
        <v>750</v>
      </c>
      <c r="E10" s="404" t="s">
        <v>549</v>
      </c>
      <c r="F10" s="405" t="s">
        <v>759</v>
      </c>
      <c r="G10" s="153"/>
      <c r="H10" s="153"/>
      <c r="I10" s="405" t="s">
        <v>548</v>
      </c>
      <c r="J10" s="406" t="s">
        <v>759</v>
      </c>
      <c r="K10" s="405"/>
      <c r="L10" s="404" t="s">
        <v>550</v>
      </c>
      <c r="M10" s="405" t="s">
        <v>759</v>
      </c>
      <c r="N10" s="405"/>
      <c r="O10" s="405" t="s">
        <v>751</v>
      </c>
      <c r="P10" s="406" t="s">
        <v>759</v>
      </c>
      <c r="R10" s="405"/>
      <c r="S10" s="153"/>
      <c r="T10" s="405"/>
      <c r="U10" s="405"/>
      <c r="V10" s="405"/>
      <c r="AC10" s="168" t="s">
        <v>586</v>
      </c>
      <c r="AD10" s="168" t="s">
        <v>586</v>
      </c>
      <c r="AG10" s="168" t="s">
        <v>586</v>
      </c>
      <c r="AH10" s="168" t="s">
        <v>586</v>
      </c>
    </row>
    <row r="11" spans="3:34" s="168" customFormat="1" ht="19.899999999999999" customHeight="1">
      <c r="C11" s="392" t="str">
        <f>nmReg1</f>
        <v>The Region</v>
      </c>
      <c r="E11" s="446">
        <f>INDEX(calcReg1ShareTotalCustR1,,xxIndexTeam)</f>
        <v>3.3952291500203534E-3</v>
      </c>
      <c r="F11" s="463">
        <f>tlOutputReg1TRxShare_R1-tlOutputReg1TotalSharePrev_R1</f>
        <v>-4.0247121378764877E-5</v>
      </c>
      <c r="G11" s="423"/>
      <c r="H11" s="423"/>
      <c r="I11" s="424">
        <f>INDEX(calcReg1VolumeTotalCustR1,,xxIndexTeam)</f>
        <v>1218.6536309909438</v>
      </c>
      <c r="J11" s="557">
        <f>tlOutputReg1TRxVolume_R1-tlOutputReg1TotalVolumePrev_R1</f>
        <v>226.45043099094391</v>
      </c>
      <c r="K11" s="394"/>
      <c r="L11" s="446">
        <f>INDEX(calcReg1ShareNewCustR1,,xxIndexTeam)</f>
        <v>3.6242772609749265E-3</v>
      </c>
      <c r="M11" s="447">
        <f>tlOutputReg1NRxShare_R1-tlOutputReg1NewSharePrev_R1</f>
        <v>1.8880098957580827E-4</v>
      </c>
      <c r="N11" s="425"/>
      <c r="O11" s="424">
        <f>INDEX(calcReg1NewCustR1,,xxIndexTeam)</f>
        <v>140.86347231394399</v>
      </c>
      <c r="P11" s="557">
        <f>tlOutputReg1NRxVolume_R1-tlOutputReg1NEwVolumePrev_R1</f>
        <v>121.01940831394398</v>
      </c>
      <c r="R11" s="153"/>
      <c r="S11" s="153"/>
      <c r="T11" s="153"/>
      <c r="U11" s="153"/>
      <c r="V11" s="153"/>
      <c r="AA11" s="349"/>
      <c r="AB11" s="446"/>
      <c r="AC11" s="463">
        <f>INDEX(obalReg1TotalShare,,xxIndexTeam)</f>
        <v>3.4354762713991183E-3</v>
      </c>
      <c r="AD11" s="503">
        <f>INDEX(obalReg1TotalVolume,,xxIndexTeam)</f>
        <v>992.20319999999992</v>
      </c>
      <c r="AG11" s="463">
        <f>INDEX(obalReg1NewShare,,xxIndexTeam)</f>
        <v>3.4354762713991183E-3</v>
      </c>
      <c r="AH11" s="503">
        <f>INDEX(obalReg1NewVolume,,xxIndexTeam)</f>
        <v>19.844064000000003</v>
      </c>
    </row>
    <row r="12" spans="3:34" s="168" customFormat="1" ht="19.899999999999999" customHeight="1">
      <c r="C12" s="393" t="str">
        <f>nmReg1Seg1</f>
        <v>Riverrun</v>
      </c>
      <c r="E12" s="449">
        <f>INDEX(calcReg1Seg1ShareTotalCustR1,,xxIndexTeam)</f>
        <v>3.2059896302079754E-3</v>
      </c>
      <c r="F12" s="448">
        <f>tlOutputReg1Seg1TRxShare_R1-tlOutputReg1Seg1TotalSharePrev_R1</f>
        <v>-3.7253613035267193E-5</v>
      </c>
      <c r="G12" s="153"/>
      <c r="H12" s="153"/>
      <c r="I12" s="461">
        <f>INDEX(calcReg1Seg1VolumeTotalCustR1,,xxIndexTeam)</f>
        <v>373.27551039899993</v>
      </c>
      <c r="J12" s="558">
        <f>tlOutputReg1Seg1TRxVolume_R1-tlOutputReg1Seg1TotalVolumePrev_R1</f>
        <v>49.371510398999988</v>
      </c>
      <c r="K12" s="394"/>
      <c r="L12" s="449">
        <f>INDEX(calcReg1Seg1ShareNewCustR1,,xxIndexTeam)</f>
        <v>3.3717095238095245E-3</v>
      </c>
      <c r="M12" s="448">
        <f>tlOutputReg1Seg1NRxShare_R1-tlOutputReg1Seg1NewSharePrev_R1</f>
        <v>1.2846628056628184E-4</v>
      </c>
      <c r="N12" s="153"/>
      <c r="O12" s="461">
        <f>INDEX(calcReg1Seg1NewCustR1,,xxIndexTeam)</f>
        <v>33.275232705000008</v>
      </c>
      <c r="P12" s="558">
        <f>tlOutputReg1Seg1NRxVolume_R1-tlOutputReg1Seg1NewVolumePrev_R1</f>
        <v>26.797152705000009</v>
      </c>
      <c r="R12" s="153"/>
      <c r="S12" s="153"/>
      <c r="T12" s="153"/>
      <c r="U12" s="153"/>
      <c r="V12" s="153"/>
      <c r="AA12" s="331"/>
      <c r="AB12" s="449"/>
      <c r="AC12" s="448">
        <f>INDEX(obalReg1Seg1TotalShare,,xxIndexTeam)</f>
        <v>3.2432432432432426E-3</v>
      </c>
      <c r="AD12" s="504">
        <f>INDEX(obalReg1Seg1TotalVolume,,xxIndexTeam)</f>
        <v>323.90399999999994</v>
      </c>
      <c r="AG12" s="448">
        <f>INDEX(obalReg1Seg1NewShare,,xxIndexTeam)</f>
        <v>3.2432432432432426E-3</v>
      </c>
      <c r="AH12" s="504">
        <f>INDEX(obalReg1Seg1NewVolume,,xxIndexTeam)</f>
        <v>6.4780800000000003</v>
      </c>
    </row>
    <row r="13" spans="3:34" s="168" customFormat="1" ht="19.899999999999999" customHeight="1">
      <c r="C13" s="393" t="str">
        <f>nmReg1Seg2</f>
        <v>Winterfell</v>
      </c>
      <c r="E13" s="450">
        <f>INDEX(calcReg1Seg2ShareTotalCustR1,,xxIndexTeam)</f>
        <v>3.889465148981453E-3</v>
      </c>
      <c r="F13" s="447">
        <f>tlOutputReg1Seg2TRxShare_R1-tlOutputReg1Seg2TotalSharePrev_R1</f>
        <v>-1.105348510185471E-4</v>
      </c>
      <c r="G13" s="423"/>
      <c r="H13" s="423"/>
      <c r="I13" s="462">
        <f>INDEX(calcReg1Seg2VolumeTotalCustR1,,xxIndexTeam)</f>
        <v>399.38818859496155</v>
      </c>
      <c r="J13" s="559">
        <f>tlOutputReg1Seg2TRxVolume_R1-tlOutputReg1Seg2TotalVolumePrev_R1</f>
        <v>74.693788594961518</v>
      </c>
      <c r="K13" s="394"/>
      <c r="L13" s="450">
        <f>INDEX(calcReg1Seg2ShareNewCustR1,,xxIndexTeam)</f>
        <v>4.2522382478632475E-3</v>
      </c>
      <c r="M13" s="447">
        <f>tlOutputReg1Seg2NRxShare_R1-tlOutputReg1Seg2NewSharePrev_R1</f>
        <v>2.522382478632474E-4</v>
      </c>
      <c r="N13" s="423"/>
      <c r="O13" s="462">
        <f>INDEX(calcReg1Seg2NewCustR1,,xxIndexTeam)</f>
        <v>46.597880695961535</v>
      </c>
      <c r="P13" s="559">
        <f>tlOutputReg1Seg2NRxVolume_R1-tlOutputReg1Seg2NewVolumePrev_R1</f>
        <v>40.103992695961537</v>
      </c>
      <c r="R13" s="153"/>
      <c r="S13" s="153"/>
      <c r="T13" s="153"/>
      <c r="U13" s="153"/>
      <c r="V13" s="153"/>
      <c r="AB13" s="450"/>
      <c r="AC13" s="447">
        <f>INDEX(obalReg1Seg2TotalShare,,xxIndexTeam)</f>
        <v>4.0000000000000001E-3</v>
      </c>
      <c r="AD13" s="505">
        <f>INDEX(obalReg1Seg2TotalVolume,,xxIndexTeam)</f>
        <v>324.69440000000003</v>
      </c>
      <c r="AG13" s="447">
        <f>INDEX(obalReg1Seg2NewShare,,xxIndexTeam)</f>
        <v>4.0000000000000001E-3</v>
      </c>
      <c r="AH13" s="505">
        <f>INDEX(obalReg1Seg2NewVolume,,xxIndexTeam)</f>
        <v>6.493888000000001</v>
      </c>
    </row>
    <row r="14" spans="3:34" s="168" customFormat="1" ht="19.899999999999999" customHeight="1">
      <c r="C14" s="393" t="str">
        <f>nmReg1Seg3</f>
        <v>Harrenhal</v>
      </c>
      <c r="E14" s="449">
        <f>INDEX(calcReg1Seg3ShareTotalCustR1,,xxIndexTeam)</f>
        <v>3.1898366237869029E-3</v>
      </c>
      <c r="F14" s="448">
        <f>tlOutputReg1Seg3TRxShare_R1-tlOutputReg1Seg3TotalSharePrev_R1</f>
        <v>1.4308266854533465E-6</v>
      </c>
      <c r="G14" s="153"/>
      <c r="H14" s="153"/>
      <c r="I14" s="461">
        <f>INDEX(calcReg1Seg3VolumeTotalCustR1,,xxIndexTeam)</f>
        <v>445.98993199698253</v>
      </c>
      <c r="J14" s="558">
        <f>tlOutputReg1Seg3TRxVolume_R1-tlOutputReg1Seg3TotalVolumePrev_R1</f>
        <v>102.38513199698252</v>
      </c>
      <c r="K14" s="394"/>
      <c r="L14" s="449">
        <f>INDEX(calcReg1Seg3ShareNewCustR1,,xxIndexTeam)</f>
        <v>3.3809804815067971E-3</v>
      </c>
      <c r="M14" s="448">
        <f>tlOutputReg1Seg3NRxShare_R1-tlOutputReg1Seg3NEwSharePrev_R1</f>
        <v>1.9257468440534754E-4</v>
      </c>
      <c r="N14" s="153"/>
      <c r="O14" s="461">
        <f>INDEX(calcReg1Seg3NewCustR1,,xxIndexTeam)</f>
        <v>60.990358912982458</v>
      </c>
      <c r="P14" s="558">
        <f>tlOutputReg1Seg3NRxVolume_R1-tlOutputReg1Seg3NewVolumePrev_R1</f>
        <v>54.118262912982459</v>
      </c>
      <c r="R14" s="153"/>
      <c r="S14" s="153"/>
      <c r="T14" s="153"/>
      <c r="U14" s="153"/>
      <c r="V14" s="153"/>
      <c r="AA14" s="349"/>
      <c r="AB14" s="449"/>
      <c r="AC14" s="448">
        <f>INDEX(obalReg1Seg3TotalShare,,xxIndexTeam)</f>
        <v>3.1884057971014496E-3</v>
      </c>
      <c r="AD14" s="504">
        <f>INDEX(obalReg1Seg3TotalVolume,,xxIndexTeam)</f>
        <v>343.60480000000001</v>
      </c>
      <c r="AG14" s="448">
        <f>INDEX(obalReg1Seg3NewShare,,xxIndexTeam)</f>
        <v>3.1884057971014496E-3</v>
      </c>
      <c r="AH14" s="504">
        <f>INDEX(obalReg1Seg3NewVolume,,xxIndexTeam)</f>
        <v>6.8720960000000009</v>
      </c>
    </row>
    <row r="15" spans="3:34" s="168" customFormat="1" ht="15" customHeight="1">
      <c r="E15" s="398"/>
      <c r="F15" s="399"/>
      <c r="G15" s="399"/>
      <c r="H15" s="399"/>
      <c r="I15" s="400"/>
      <c r="J15" s="401"/>
      <c r="K15" s="397"/>
      <c r="L15" s="402"/>
      <c r="M15" s="399"/>
      <c r="N15" s="399"/>
      <c r="O15" s="399"/>
      <c r="P15" s="403"/>
      <c r="R15" s="153"/>
      <c r="S15" s="153"/>
      <c r="T15" s="153"/>
      <c r="U15" s="153"/>
      <c r="V15" s="153"/>
      <c r="AA15" s="331"/>
      <c r="AB15" s="331"/>
    </row>
    <row r="16" spans="3:34" s="168" customFormat="1" ht="12.6" customHeight="1">
      <c r="E16" s="339"/>
      <c r="L16" s="153"/>
      <c r="M16" s="153"/>
    </row>
    <row r="17" spans="3:33" s="168" customFormat="1" ht="12.6" customHeight="1">
      <c r="E17" s="369"/>
      <c r="AA17" s="349"/>
      <c r="AB17" s="349"/>
    </row>
    <row r="18" spans="3:33" s="168" customFormat="1" ht="21.95" customHeight="1">
      <c r="C18" s="583" t="s">
        <v>757</v>
      </c>
      <c r="D18" s="583"/>
      <c r="E18" s="583"/>
      <c r="F18" s="583"/>
      <c r="G18" s="583"/>
      <c r="H18" s="583"/>
      <c r="I18" s="583"/>
      <c r="J18" s="583"/>
      <c r="K18" s="583"/>
      <c r="L18" s="583"/>
      <c r="M18" s="583"/>
      <c r="N18" s="583"/>
      <c r="O18" s="583"/>
      <c r="P18" s="583"/>
      <c r="Q18" s="583"/>
      <c r="R18" s="583"/>
      <c r="S18" s="583"/>
      <c r="T18" s="583"/>
      <c r="U18" s="583"/>
      <c r="V18" s="583"/>
      <c r="W18" s="583"/>
      <c r="X18" s="583"/>
      <c r="Y18" s="583"/>
      <c r="Z18" s="351"/>
      <c r="AA18" s="351"/>
    </row>
    <row r="19" spans="3:33" s="168" customFormat="1" ht="18.600000000000001" customHeight="1">
      <c r="E19" s="593" t="s">
        <v>765</v>
      </c>
      <c r="F19" s="594"/>
      <c r="G19" s="595"/>
      <c r="H19" s="361"/>
      <c r="I19" s="587" t="str">
        <f>nmTherapy1</f>
        <v>Wintellix</v>
      </c>
      <c r="J19" s="588"/>
      <c r="K19" s="588"/>
      <c r="L19" s="588"/>
      <c r="M19" s="589"/>
      <c r="O19" s="590" t="str">
        <f>nmComp1</f>
        <v>Vibrant</v>
      </c>
      <c r="P19" s="591"/>
      <c r="Q19" s="591"/>
      <c r="R19" s="591"/>
      <c r="S19" s="592"/>
      <c r="U19" s="596" t="str">
        <f>nmComp2</f>
        <v>Pristine</v>
      </c>
      <c r="V19" s="597"/>
      <c r="W19" s="597"/>
      <c r="X19" s="597"/>
      <c r="Y19" s="598"/>
      <c r="Z19" s="351"/>
      <c r="AA19" s="351"/>
    </row>
    <row r="20" spans="3:33" s="168" customFormat="1" ht="21.95" customHeight="1">
      <c r="C20" s="391" t="s">
        <v>3198</v>
      </c>
      <c r="E20" s="422" t="s">
        <v>758</v>
      </c>
      <c r="F20" s="412" t="s">
        <v>2205</v>
      </c>
      <c r="G20" s="396"/>
      <c r="I20" s="407" t="str">
        <f>nmTherapy1&amp;" TRx Share"</f>
        <v>Wintellix TRx Share</v>
      </c>
      <c r="J20" s="410" t="s">
        <v>759</v>
      </c>
      <c r="K20" s="410"/>
      <c r="L20" s="410" t="str">
        <f>nmTherapy1&amp;" TRx Volume"</f>
        <v>Wintellix TRx Volume</v>
      </c>
      <c r="M20" s="408" t="s">
        <v>759</v>
      </c>
      <c r="O20" s="407" t="str">
        <f>nmComp1&amp;" TRx Share"</f>
        <v>Vibrant TRx Share</v>
      </c>
      <c r="P20" s="410" t="s">
        <v>759</v>
      </c>
      <c r="Q20" s="410"/>
      <c r="R20" s="410" t="str">
        <f>nmComp1&amp;" TRx Volume"</f>
        <v>Vibrant TRx Volume</v>
      </c>
      <c r="S20" s="408" t="s">
        <v>759</v>
      </c>
      <c r="U20" s="407" t="str">
        <f>nmComp2&amp;" TRx Share"</f>
        <v>Pristine TRx Share</v>
      </c>
      <c r="V20" s="410" t="s">
        <v>759</v>
      </c>
      <c r="W20" s="410"/>
      <c r="X20" s="410" t="str">
        <f>nmComp2&amp;" TRx Volume"</f>
        <v>Pristine TRx Volume</v>
      </c>
      <c r="Y20" s="408" t="s">
        <v>759</v>
      </c>
      <c r="Z20" s="351"/>
      <c r="AA20" s="351" t="s">
        <v>1486</v>
      </c>
      <c r="AB20" s="168" t="s">
        <v>1486</v>
      </c>
      <c r="AC20" s="168" t="s">
        <v>1486</v>
      </c>
      <c r="AD20" s="168" t="s">
        <v>2304</v>
      </c>
      <c r="AE20" s="168" t="s">
        <v>1487</v>
      </c>
    </row>
    <row r="21" spans="3:33" s="168" customFormat="1" ht="22.9" customHeight="1">
      <c r="C21" s="392" t="str">
        <f>nmReg1</f>
        <v>The Region</v>
      </c>
      <c r="E21" s="477">
        <f>INDEX(calcReg1TotalVolumeR1,,xxIndexTeam)</f>
        <v>358931.18759999995</v>
      </c>
      <c r="F21" s="518">
        <f>tlOutputReg1TotalMarketVolume_R1/tlOutputReg1PrevVolume_R1-1</f>
        <v>0.24278935813239189</v>
      </c>
      <c r="G21" s="482"/>
      <c r="H21" s="341"/>
      <c r="I21" s="446">
        <f>tlOutputReg1TRxShare_R1</f>
        <v>3.3952291500203534E-3</v>
      </c>
      <c r="J21" s="483">
        <f>tlOutputReg1TRxShareChange_R1</f>
        <v>-4.0247121378764877E-5</v>
      </c>
      <c r="K21" s="484"/>
      <c r="L21" s="485">
        <f>tlOutputReg1TRxVolume_R1</f>
        <v>1218.6536309909438</v>
      </c>
      <c r="M21" s="559">
        <f>tlOutputReg1TRxVolumeChange_R1</f>
        <v>226.45043099094391</v>
      </c>
      <c r="N21" s="341"/>
      <c r="O21" s="446">
        <f>tlOutputReg1Comp1TRxVolume_R1/tlOutputReg1TotalMarketVolume_R1</f>
        <v>9.419019024046486E-3</v>
      </c>
      <c r="P21" s="447">
        <f>tlOutputReg1Comp1TRxShare_R1-tlOutputReg1Comp1TotalPrevShare_R1</f>
        <v>3.9126031065888148E-5</v>
      </c>
      <c r="Q21" s="484"/>
      <c r="R21" s="485">
        <f>SUM(R22:R24)</f>
        <v>3380.7796843279975</v>
      </c>
      <c r="S21" s="559">
        <f>tlOutputReg1Comp1TRxVolume_R1-tlOutputReg1Comp1TotalPrevVol_R1</f>
        <v>671.76378432799766</v>
      </c>
      <c r="T21" s="341"/>
      <c r="U21" s="446">
        <f>tlOutputReg1Comp2TRxVolume_R1/tlOutputReg1TotalMarketVolume_R1</f>
        <v>2.5136497322025397E-2</v>
      </c>
      <c r="V21" s="447">
        <f>tlOutputReg1Comp2TRxShare_R1-tlOutputReg1Comp2TotalPrevShare_R1</f>
        <v>1.234493407438024E-4</v>
      </c>
      <c r="W21" s="484"/>
      <c r="X21" s="485">
        <f>SUM(X22:X24)</f>
        <v>9022.2728358987933</v>
      </c>
      <c r="Y21" s="559">
        <f>tlOutputReg1Comp2TRxVolume_R1-tlOutputReg1Comp2TotalPrevVol_R1</f>
        <v>1798.230435898794</v>
      </c>
      <c r="Z21" s="351"/>
      <c r="AA21" s="514">
        <f>INDEX(obalReg1TotalMarketVolume,,xxIndexTeam)</f>
        <v>288810.96000000002</v>
      </c>
      <c r="AB21" s="537">
        <f>INDEX(obalReg1Comp1TotalShare,,xxIndexTeam)</f>
        <v>9.3798929929805978E-3</v>
      </c>
      <c r="AC21" s="537">
        <f>INDEX(obalReg1Comp2TotalShare,,xxIndexTeam)</f>
        <v>2.5013047981281594E-2</v>
      </c>
      <c r="AD21" s="168">
        <f>tlOutputReg1Comp1TotalPrevShare_R1*tlOutputReg1PrevVolume_R1</f>
        <v>2709.0158999999999</v>
      </c>
      <c r="AE21" s="168">
        <f>tlOutputReg1Comp2TotalPrevShare_R1*tlOutputReg1PrevVolume_R1</f>
        <v>7224.0423999999994</v>
      </c>
    </row>
    <row r="22" spans="3:33" s="168" customFormat="1" ht="22.9" customHeight="1">
      <c r="C22" s="393" t="str">
        <f>nmReg1Seg1</f>
        <v>Riverrun</v>
      </c>
      <c r="E22" s="481">
        <f>INDEX(calcReg1Seg1TotalVolumeR1,,xxIndexTeam)</f>
        <v>116430.66679999998</v>
      </c>
      <c r="F22" s="480">
        <f>tlOutputReg1Seg1TotalMarketVolume_R1/tlOutputReg1Seg1PrevVolume_R1-1</f>
        <v>0.16581756756756749</v>
      </c>
      <c r="G22" s="486"/>
      <c r="H22" s="341"/>
      <c r="I22" s="487">
        <f>tlOutputReg1Seg1TRxShare_R1</f>
        <v>3.2059896302079754E-3</v>
      </c>
      <c r="J22" s="488">
        <f>tlOutputReg1Seg1TRxShareChange_R1</f>
        <v>-3.7253613035267193E-5</v>
      </c>
      <c r="K22" s="341"/>
      <c r="L22" s="489">
        <f>tlOutputReg1Seg1TRxVolume_R1</f>
        <v>373.27551039899993</v>
      </c>
      <c r="M22" s="558">
        <f>tlOutputReg1Seg1TRxVolumeChange_R1</f>
        <v>49.371510398999988</v>
      </c>
      <c r="N22" s="341"/>
      <c r="O22" s="512">
        <f>INDEX(calcReg1Seg1Comp1TotalShareR1,,xxIndexTeam)</f>
        <v>9.3472113712931171E-3</v>
      </c>
      <c r="P22" s="448">
        <f>tlOutputReg1Seg1Comp1TRxShare_R1-tlOutputReg1Seg1Comp1TotalPrevShare_R1</f>
        <v>2.2887046968794386E-5</v>
      </c>
      <c r="Q22" s="341"/>
      <c r="R22" s="489">
        <f>INDEX(calcReg1Seg1Comp1TotalCustR1,,xxIndexTeam)</f>
        <v>1088.3020526801997</v>
      </c>
      <c r="S22" s="558">
        <f>tlOutputReg1Seg1Comp1TRxVolume_R1-tlOutputReg1Seg1Comp1TotalPrevVol_R1</f>
        <v>157.0780526801999</v>
      </c>
      <c r="T22" s="341"/>
      <c r="U22" s="449">
        <f>INDEX(calcReg1Seg1Comp2TotalShareR1,,xxIndexTeam)</f>
        <v>2.4940003098228414E-2</v>
      </c>
      <c r="V22" s="448">
        <f>tlOutputReg1Seg1Comp2TRxShare_R1-tlOutputReg1Seg1Comp2TotalPrevShare_R1</f>
        <v>7.5138233363546136E-5</v>
      </c>
      <c r="W22" s="341"/>
      <c r="X22" s="489">
        <f>INDEX(calcReg1Seg1Comp2TotalCustR1,,xxIndexTeam)</f>
        <v>2903.7811907207997</v>
      </c>
      <c r="Y22" s="558">
        <f>tlOutputReg1Seg1Comp2TRxVolume_R1-tlOutputReg1Seg1Comp2TotalPrevVol_R1</f>
        <v>420.51719072079959</v>
      </c>
      <c r="AA22" s="514">
        <f>INDEX(obalReg1Seg1TotalMarketVolume,,xxIndexTeam)</f>
        <v>99870.399999999994</v>
      </c>
      <c r="AB22" s="537">
        <f>INDEX(obalReg1Seg1Comp1TotalShare,,xxIndexTeam)</f>
        <v>9.3243243243243228E-3</v>
      </c>
      <c r="AC22" s="537">
        <f>INDEX(obalReg1Seg1Comp2TotalShare,,xxIndexTeam)</f>
        <v>2.4864864864864868E-2</v>
      </c>
      <c r="AD22" s="168">
        <f>tlOutputReg1Seg1Comp1TotalPrevShare_R1*tlOutputReg1Seg1PrevVolume_R1</f>
        <v>931.22399999999982</v>
      </c>
      <c r="AE22" s="168">
        <f>tlOutputReg1Seg1Comp2TotalPrevShare_R1*tlOutputReg1Seg1PrevVolume_R1</f>
        <v>2483.2640000000001</v>
      </c>
    </row>
    <row r="23" spans="3:33" s="168" customFormat="1" ht="22.9" customHeight="1">
      <c r="C23" s="393" t="str">
        <f>nmReg1Seg2</f>
        <v>Winterfell</v>
      </c>
      <c r="E23" s="478">
        <f>INDEX(calcReg1Seg2TotalVolumeR1,,xxIndexTeam)</f>
        <v>102684.60400000001</v>
      </c>
      <c r="F23" s="479">
        <f>tlOutputReg1Seg2TotalMarketVolume_R1/tlOutputReg1Seg2PrevVolume_R1-1</f>
        <v>0.2649999999999999</v>
      </c>
      <c r="G23" s="482"/>
      <c r="H23" s="341"/>
      <c r="I23" s="490">
        <f>tlOutputReg1Seg2TRxShare_R1</f>
        <v>3.889465148981453E-3</v>
      </c>
      <c r="J23" s="491">
        <f>tlOutputReg1Seg2TRxShareChange_R1</f>
        <v>-1.105348510185471E-4</v>
      </c>
      <c r="K23" s="484"/>
      <c r="L23" s="492">
        <f>tlOutputReg1Seg2TRxVolume_R1</f>
        <v>399.38818859496155</v>
      </c>
      <c r="M23" s="559">
        <f>tlOutputReg1Seg2TRxVolumeChange_R1</f>
        <v>74.693788594961518</v>
      </c>
      <c r="N23" s="341"/>
      <c r="O23" s="513">
        <f>INDEX(calcReg1Seg2Comp1TotalShareR1,,xxIndexTeam)</f>
        <v>8.6017714361725228E-3</v>
      </c>
      <c r="P23" s="447">
        <f>tlOutputReg1Seg2Comp1TRxShare_R1-tlOutputReg1Seg2Comp1TotalPrevShare_R1</f>
        <v>-2.3228563827476165E-5</v>
      </c>
      <c r="Q23" s="484"/>
      <c r="R23" s="492">
        <f>INDEX(calcReg1Seg2Comp1TotalCustR1,,xxIndexTeam)</f>
        <v>883.2694936218868</v>
      </c>
      <c r="S23" s="559">
        <f>tlOutputReg1Seg2Comp1TRxVolume_R1-tlOutputReg1Seg2Comp1TotalPrevVol_R1</f>
        <v>183.1471936218868</v>
      </c>
      <c r="T23" s="341"/>
      <c r="U23" s="450">
        <f>INDEX(calcReg1Seg2Comp2TotalShareR1,,xxIndexTeam)</f>
        <v>2.2979013816618162E-2</v>
      </c>
      <c r="V23" s="447">
        <f>tlOutputReg1Seg2Comp2TRxShare_R1-tlOutputReg1Seg2Comp2TotalPrevShare_R1</f>
        <v>-2.0986183381838108E-5</v>
      </c>
      <c r="W23" s="484"/>
      <c r="X23" s="492">
        <f>INDEX(calcReg1Seg2Comp2TotalCustR1,,xxIndexTeam)</f>
        <v>2359.5909340699645</v>
      </c>
      <c r="Y23" s="559">
        <f>tlOutputReg1Seg2Comp2TRxVolume_R1-tlOutputReg1Seg2Comp2TotalPrevVol_R1</f>
        <v>492.59813406996432</v>
      </c>
      <c r="AA23" s="514">
        <f>INDEX(obalReg1Seg2TotalMarketVolume,,xxIndexTeam)</f>
        <v>81173.600000000006</v>
      </c>
      <c r="AB23" s="537">
        <f>INDEX(obalReg1Seg2Comp1TotalShare,,xxIndexTeam)</f>
        <v>8.624999999999999E-3</v>
      </c>
      <c r="AC23" s="537">
        <f>INDEX(obalReg1Seg2Comp2TotalShare,,xxIndexTeam)</f>
        <v>2.3E-2</v>
      </c>
      <c r="AD23" s="168">
        <f>tlOutputReg1Seg2Comp1TotalPrevShare_R1*tlOutputReg1Seg2PrevVolume_R1</f>
        <v>700.1223</v>
      </c>
      <c r="AE23" s="168">
        <f>tlOutputReg1Seg2Comp2TotalPrevShare_R1*tlOutputReg1Seg2PrevVolume_R1</f>
        <v>1866.9928000000002</v>
      </c>
    </row>
    <row r="24" spans="3:33" s="168" customFormat="1" ht="22.9" customHeight="1">
      <c r="C24" s="393" t="str">
        <f>nmReg1Seg3</f>
        <v>Harrenhal</v>
      </c>
      <c r="E24" s="481">
        <f>INDEX(calcReg1Seg3TotalVolumeR1,,xxIndexTeam)</f>
        <v>139815.91680000001</v>
      </c>
      <c r="F24" s="480">
        <f>tlOutputReg1Seg3TotalMarketVolume_R1/tlOutputReg1Seg3PrevVolume_R1-1</f>
        <v>0.29739130434782624</v>
      </c>
      <c r="G24" s="486"/>
      <c r="H24" s="341"/>
      <c r="I24" s="487">
        <f>tlOutputReg1Seg3TRxShare_R1</f>
        <v>3.1898366237869029E-3</v>
      </c>
      <c r="J24" s="488">
        <f>tlOutputReg1Seg3TRxShareChange_R1</f>
        <v>1.4308266854533465E-6</v>
      </c>
      <c r="K24" s="341"/>
      <c r="L24" s="489">
        <f>tlOutputReg1Seg3TRxVolume_R1</f>
        <v>445.98993199698253</v>
      </c>
      <c r="M24" s="558">
        <f>tlOutputReg1Seg3TRxVolumeChange_R1</f>
        <v>102.38513199698252</v>
      </c>
      <c r="N24" s="341"/>
      <c r="O24" s="512">
        <f>INDEX(calcReg1Seg3Comp1TotalShareR1,,xxIndexTeam)</f>
        <v>1.0079025123024554E-2</v>
      </c>
      <c r="P24" s="448">
        <f>tlOutputReg1Seg3Comp1TRxShare_R1-tlOutputReg1Seg3Comp1TotalPrevShare_R1</f>
        <v>7.902512302455228E-5</v>
      </c>
      <c r="Q24" s="341"/>
      <c r="R24" s="489">
        <f>INDEX(calcReg1Seg3Comp1TotalCustR1,,xxIndexTeam)</f>
        <v>1409.208138025911</v>
      </c>
      <c r="S24" s="558">
        <f>tlOutputReg1Seg3Comp1TRxVolume_R1-tlOutputReg1Seg3Comp1TotalPrevVol_R1</f>
        <v>331.53853802591084</v>
      </c>
      <c r="T24" s="341"/>
      <c r="U24" s="449">
        <f>INDEX(calcReg1Seg3Comp2TotalShareR1,,xxIndexTeam)</f>
        <v>2.6884640870216206E-2</v>
      </c>
      <c r="V24" s="448">
        <f>tlOutputReg1Seg3Comp2TRxShare_R1-tlOutputReg1Seg3Comp2TotalPrevShare_R1</f>
        <v>2.1797420354953412E-4</v>
      </c>
      <c r="W24" s="341"/>
      <c r="X24" s="489">
        <f>INDEX(calcReg1Seg3Comp2TotalCustR1,,xxIndexTeam)</f>
        <v>3758.9007111080286</v>
      </c>
      <c r="Y24" s="558">
        <f>tlOutputReg1Seg3Comp2TRxVolume_R1-tlOutputReg1Seg3Comp2TotalPrevVol_R1</f>
        <v>885.11511110802849</v>
      </c>
      <c r="AA24" s="514">
        <f>INDEX(obalReg1Seg3TotalMarketVolume,,xxIndexTeam)</f>
        <v>107766.95999999999</v>
      </c>
      <c r="AB24" s="537">
        <f>INDEX(obalReg1Seg3Comp1TotalShare,,xxIndexTeam)</f>
        <v>1.0000000000000002E-2</v>
      </c>
      <c r="AC24" s="537">
        <f>INDEX(obalReg1Seg3Comp2TotalShare,,xxIndexTeam)</f>
        <v>2.6666666666666672E-2</v>
      </c>
      <c r="AD24" s="168">
        <f>tlOutputReg1Seg3Comp1TotalPrevShare_R1*tlOutputReg1Seg3PrevVolume_R1</f>
        <v>1077.6696000000002</v>
      </c>
      <c r="AE24" s="168">
        <f>tlOutputReg1Seg3Comp2TotalPrevShare_R1*tlOutputReg1Seg3PrevVolume_R1</f>
        <v>2873.7856000000002</v>
      </c>
    </row>
    <row r="25" spans="3:33" s="168" customFormat="1" ht="13.9" customHeight="1">
      <c r="E25" s="409"/>
      <c r="F25" s="399"/>
      <c r="G25" s="403"/>
      <c r="I25" s="411"/>
      <c r="J25" s="399"/>
      <c r="K25" s="399"/>
      <c r="L25" s="399"/>
      <c r="M25" s="403"/>
      <c r="O25" s="411"/>
      <c r="P25" s="399"/>
      <c r="Q25" s="399"/>
      <c r="R25" s="399"/>
      <c r="S25" s="403"/>
      <c r="U25" s="411"/>
      <c r="V25" s="399"/>
      <c r="W25" s="399"/>
      <c r="X25" s="399"/>
      <c r="Y25" s="403"/>
    </row>
    <row r="26" spans="3:33" s="168" customFormat="1" ht="21.95" customHeight="1">
      <c r="E26" s="375"/>
    </row>
    <row r="27" spans="3:33" s="168" customFormat="1" ht="21.95" customHeight="1">
      <c r="C27" s="287"/>
      <c r="E27" s="153"/>
      <c r="G27" s="460"/>
      <c r="H27" s="460"/>
      <c r="J27" s="356"/>
      <c r="K27" s="356"/>
      <c r="M27" s="356"/>
    </row>
    <row r="28" spans="3:33" s="168" customFormat="1" ht="22.15" customHeight="1">
      <c r="C28" s="583" t="s">
        <v>761</v>
      </c>
      <c r="D28" s="583"/>
      <c r="E28" s="583"/>
      <c r="F28" s="583"/>
      <c r="G28" s="583"/>
      <c r="H28" s="583"/>
      <c r="I28" s="583"/>
      <c r="J28" s="583"/>
      <c r="K28" s="583"/>
      <c r="L28" s="583"/>
      <c r="M28" s="583"/>
      <c r="N28" s="583"/>
      <c r="O28" s="583"/>
      <c r="P28" s="583"/>
      <c r="Q28" s="583"/>
      <c r="R28" s="583"/>
      <c r="S28" s="583"/>
      <c r="T28" s="583"/>
      <c r="U28" s="583"/>
      <c r="V28" s="583"/>
      <c r="W28" s="583"/>
      <c r="X28" s="583"/>
      <c r="Y28" s="583"/>
      <c r="Z28" s="351"/>
      <c r="AA28" s="351"/>
    </row>
    <row r="29" spans="3:33" s="419" customFormat="1" ht="22.15" customHeight="1">
      <c r="C29" s="418"/>
      <c r="E29" s="584" t="s">
        <v>765</v>
      </c>
      <c r="F29" s="585"/>
      <c r="G29" s="586"/>
      <c r="H29" s="420"/>
      <c r="I29" s="587" t="str">
        <f>nmTherapy1</f>
        <v>Wintellix</v>
      </c>
      <c r="J29" s="588"/>
      <c r="K29" s="588"/>
      <c r="L29" s="588"/>
      <c r="M29" s="589"/>
      <c r="O29" s="590" t="str">
        <f>nmComp1</f>
        <v>Vibrant</v>
      </c>
      <c r="P29" s="591"/>
      <c r="Q29" s="591"/>
      <c r="R29" s="591"/>
      <c r="S29" s="592"/>
      <c r="U29" s="590" t="str">
        <f>nmComp2</f>
        <v>Pristine</v>
      </c>
      <c r="V29" s="591"/>
      <c r="W29" s="591"/>
      <c r="X29" s="591"/>
      <c r="Y29" s="592"/>
      <c r="Z29" s="421"/>
      <c r="AA29" s="421"/>
    </row>
    <row r="30" spans="3:33" s="168" customFormat="1" ht="21.95" customHeight="1">
      <c r="C30" s="391" t="s">
        <v>762</v>
      </c>
      <c r="E30" s="407" t="s">
        <v>548</v>
      </c>
      <c r="F30" s="410" t="s">
        <v>763</v>
      </c>
      <c r="G30" s="408"/>
      <c r="H30" s="412"/>
      <c r="I30" s="407" t="s">
        <v>764</v>
      </c>
      <c r="J30" s="410" t="s">
        <v>549</v>
      </c>
      <c r="K30" s="410" t="s">
        <v>759</v>
      </c>
      <c r="L30" s="410" t="s">
        <v>548</v>
      </c>
      <c r="M30" s="408" t="s">
        <v>759</v>
      </c>
      <c r="O30" s="407" t="s">
        <v>764</v>
      </c>
      <c r="P30" s="410" t="s">
        <v>549</v>
      </c>
      <c r="Q30" s="410" t="s">
        <v>759</v>
      </c>
      <c r="R30" s="410" t="s">
        <v>548</v>
      </c>
      <c r="S30" s="408" t="s">
        <v>759</v>
      </c>
      <c r="T30" s="153"/>
      <c r="U30" s="407" t="s">
        <v>764</v>
      </c>
      <c r="V30" s="410" t="s">
        <v>549</v>
      </c>
      <c r="W30" s="410" t="s">
        <v>759</v>
      </c>
      <c r="X30" s="410" t="s">
        <v>548</v>
      </c>
      <c r="Y30" s="408" t="s">
        <v>759</v>
      </c>
      <c r="Z30" s="351"/>
      <c r="AA30" s="351" t="s">
        <v>586</v>
      </c>
    </row>
    <row r="31" spans="3:33" s="168" customFormat="1" ht="8.4499999999999993" customHeight="1">
      <c r="E31" s="395"/>
      <c r="F31" s="153"/>
      <c r="G31" s="396"/>
      <c r="H31" s="153"/>
      <c r="I31" s="395"/>
      <c r="J31" s="153"/>
      <c r="K31" s="153"/>
      <c r="L31" s="153"/>
      <c r="M31" s="416"/>
      <c r="O31" s="395"/>
      <c r="P31" s="153"/>
      <c r="Q31" s="153"/>
      <c r="R31" s="153"/>
      <c r="S31" s="396"/>
      <c r="U31" s="395"/>
      <c r="V31" s="153"/>
      <c r="W31" s="153"/>
      <c r="X31" s="153"/>
      <c r="Y31" s="396"/>
    </row>
    <row r="32" spans="3:33" s="168" customFormat="1" ht="19.899999999999999" customHeight="1">
      <c r="C32" s="340" t="str">
        <f>nmPayer1</f>
        <v>Blue Sword/Blue Shield</v>
      </c>
      <c r="E32" s="466">
        <f>INDEX(calcReg1Payer1TotalVolumeR1,,xxIndexTeam)</f>
        <v>137057.33679999999</v>
      </c>
      <c r="F32" s="468">
        <f>tlOutputReg1Payer1TRxTotalVolume_R1/SUM($E$32:$E$34)</f>
        <v>0.38184850337591558</v>
      </c>
      <c r="G32" s="482"/>
      <c r="H32" s="394"/>
      <c r="I32" s="497" t="str">
        <f>INDEX(obalProd1Payer1Status,,xxIndexTeam)</f>
        <v>T2 DGSE</v>
      </c>
      <c r="J32" s="476">
        <f>INDEX(calcReg1Payer1ShareTotalCustR1,,xxIndexTeam)</f>
        <v>4.4967692434931062E-3</v>
      </c>
      <c r="K32" s="474">
        <f>tlOutputReg1Payer1TRxShare_R1-AB32</f>
        <v>-7.6145984494745828E-5</v>
      </c>
      <c r="L32" s="471">
        <f>INDEX(calcReg1Payer1TotalCustR1,,xxIndexTeam)</f>
        <v>616.31521671731582</v>
      </c>
      <c r="M32" s="560">
        <f>tlOutputReg1Payer1TRxVolume_R1-AE32</f>
        <v>109.86595271731591</v>
      </c>
      <c r="N32" s="341"/>
      <c r="O32" s="497" t="str">
        <f>INDEX(obalProd1Comp1Payer1Status,,xxIndexTeam)</f>
        <v>T2 DGSE</v>
      </c>
      <c r="P32" s="476">
        <f>INDEX(calcReg1Comp1Payer1TotalShareR1,,xxIndexTeam)</f>
        <v>1.2386975998500582E-2</v>
      </c>
      <c r="Q32" s="474">
        <f>tlOutputReg1Comp1Payer1TRxShare_R1-AC32</f>
        <v>1.5662940452150845E-4</v>
      </c>
      <c r="R32" s="471">
        <f>tlOutputReg1Payer1TRxTotalVolume_R1*tlOutputReg1Comp1Payer1TRxShare_R1</f>
        <v>1697.7259413600104</v>
      </c>
      <c r="S32" s="560">
        <f>tlOutputReg1Comp1Payer1TRxVolume_R1-AF32</f>
        <v>343.2179913600105</v>
      </c>
      <c r="T32" s="341"/>
      <c r="U32" s="497" t="str">
        <f>INDEX(obalProd1Comp2Payer1Status,,xxIndexTeam)</f>
        <v>T2 DGSE</v>
      </c>
      <c r="V32" s="476">
        <f>INDEX(calcReg1Comp2Payer1TotalShareR1,,xxIndexTeam)</f>
        <v>3.3065238189139354E-2</v>
      </c>
      <c r="W32" s="474">
        <f>tlOutputReg1Comp2Payer1TRxShare_R1-AD32</f>
        <v>4.5098060519515454E-4</v>
      </c>
      <c r="X32" s="471">
        <f>tlOutputReg1Payer1TRxTotalVolume_R1*tlOutputReg1Comp2Payer1TRxShare_R1</f>
        <v>4531.8334868610946</v>
      </c>
      <c r="Y32" s="560">
        <f>tlOutputReg1Comp2Payer1TRxVolume_R1-AG32</f>
        <v>919.81228686109444</v>
      </c>
      <c r="AA32" s="168">
        <f>INDEX(obalReg1Payer1TotalVolume,,xxIndexTeam)</f>
        <v>110749.76000000001</v>
      </c>
      <c r="AB32" s="537">
        <f>INDEX(obalReg1Payer1Share,,xxIndexTeam)</f>
        <v>4.572915227987852E-3</v>
      </c>
      <c r="AC32" s="537">
        <f>INDEX(obalReg1Comp1Payer1Share,,xxIndexTeam)</f>
        <v>1.2230346593979074E-2</v>
      </c>
      <c r="AD32" s="537">
        <f>INDEX(obalReg1Comp2Payer1Share,,xxIndexTeam)</f>
        <v>3.2614257583944199E-2</v>
      </c>
      <c r="AE32" s="168">
        <f>AB32*$AA32</f>
        <v>506.44926399999991</v>
      </c>
      <c r="AF32" s="168">
        <f t="shared" ref="AF32:AG32" si="0">AC32*$AA32</f>
        <v>1354.5079499999999</v>
      </c>
      <c r="AG32" s="168">
        <f t="shared" si="0"/>
        <v>3612.0212000000001</v>
      </c>
    </row>
    <row r="33" spans="3:33" s="168" customFormat="1" ht="19.899999999999999" customHeight="1">
      <c r="C33" s="340" t="str">
        <f>nmPayer3</f>
        <v>Dragon Health</v>
      </c>
      <c r="E33" s="467">
        <f>INDEX(calcReg1Payer3TotalVolumeR1,,xxIndexTeam)</f>
        <v>104492.4709</v>
      </c>
      <c r="F33" s="469">
        <f>tlOutputReg1Payer3TRxTotalVolume_R1/SUM($E$32:$E$34)</f>
        <v>0.29112118007546467</v>
      </c>
      <c r="G33" s="486"/>
      <c r="H33" s="394"/>
      <c r="I33" s="498" t="str">
        <f>INDEX(obalProd1Payer3Status,,xxIndexTeam)</f>
        <v>T3 SGSE</v>
      </c>
      <c r="J33" s="473">
        <f>INDEX(calcReg1Payer3ShareTotalCustR1,,xxIndexTeam)</f>
        <v>5.764419283855105E-3</v>
      </c>
      <c r="K33" s="475">
        <f>tlOutputReg1Payer3TRxShare_R1-AB33</f>
        <v>-9.9614651091646349E-5</v>
      </c>
      <c r="L33" s="472">
        <f>INDEX(calcReg1Payer3TotalCustR1,,xxIndexTeam)</f>
        <v>602.33841427362836</v>
      </c>
      <c r="M33" s="561">
        <f>tlOutputReg1Payer3TRxVolume_R1-AE33</f>
        <v>116.58447827362835</v>
      </c>
      <c r="N33" s="341"/>
      <c r="O33" s="498" t="str">
        <f>INDEX(obalProd1Comp1Payer3Status,,xxIndexTeam)</f>
        <v>T3 SGSE</v>
      </c>
      <c r="P33" s="473">
        <f>INDEX(calcReg1Comp1Payer3TotalShareR1,,xxIndexTeam)</f>
        <v>8.1741025883991757E-3</v>
      </c>
      <c r="Q33" s="475">
        <f>tlOutputReg1Comp1Payer3TRxShare_R1-AC33</f>
        <v>-1.7247135489836113E-6</v>
      </c>
      <c r="R33" s="472">
        <f>tlOutputReg1Comp1Payer3TRxShare_R1*tlOutputReg1Payer3TRxTotalVolume_R1</f>
        <v>854.13217685191557</v>
      </c>
      <c r="S33" s="561">
        <f>tlOutputReg1Comp1Payer3TRxVolume_R1-AF33</f>
        <v>176.87820185191561</v>
      </c>
      <c r="T33" s="341"/>
      <c r="U33" s="498" t="str">
        <f>INDEX(obalProd1Comp2Payer3Status,,xxIndexTeam)</f>
        <v>T3 SGSE</v>
      </c>
      <c r="V33" s="473">
        <f>INDEX(calcReg1Comp2Payer3TotalShareR1,,xxIndexTeam)</f>
        <v>2.1819580107133262E-2</v>
      </c>
      <c r="W33" s="475">
        <f>tlOutputReg1Comp2Payer3TRxShare_R1-AD33</f>
        <v>1.737396860483631E-5</v>
      </c>
      <c r="X33" s="472">
        <f>tlOutputReg1Comp2Payer3TRxShare_R1*tlOutputReg1Payer3TRxTotalVolume_R1</f>
        <v>2279.9818393948412</v>
      </c>
      <c r="Y33" s="561">
        <f>tlOutputReg1Comp2Payer3TRxVolume_R1-AG33</f>
        <v>473.97123939484118</v>
      </c>
      <c r="AA33" s="168">
        <f>INDEX(obalReg1Payer3TotalVolume,,xxIndexTeam)</f>
        <v>82836.14</v>
      </c>
      <c r="AB33" s="537">
        <f>INDEX(obalReg1Payer3Share,,xxIndexTeam)</f>
        <v>5.8640339349467514E-3</v>
      </c>
      <c r="AC33" s="537">
        <f>INDEX(obalReg1Comp1Payer3Share,,xxIndexTeam)</f>
        <v>8.1758273019481593E-3</v>
      </c>
      <c r="AD33" s="537">
        <f>INDEX(obalReg1Comp2Payer3Share,,xxIndexTeam)</f>
        <v>2.1802206138528426E-2</v>
      </c>
      <c r="AE33" s="168">
        <f t="shared" ref="AE33:AE34" si="1">AB33*$AA33</f>
        <v>485.75393600000001</v>
      </c>
      <c r="AF33" s="168">
        <f t="shared" ref="AF33:AF34" si="2">AC33*$AA33</f>
        <v>677.25397499999997</v>
      </c>
      <c r="AG33" s="168">
        <f t="shared" ref="AG33" si="3">AD33*$AA33</f>
        <v>1806.0106000000001</v>
      </c>
    </row>
    <row r="34" spans="3:33" s="168" customFormat="1" ht="19.899999999999999" customHeight="1">
      <c r="C34" s="340" t="str">
        <f>nmPayer2</f>
        <v>WesterAid</v>
      </c>
      <c r="E34" s="466">
        <f>INDEX(calcReg1Payer2TotalVolumeR1,,xxIndexTeam)</f>
        <v>117381.3799</v>
      </c>
      <c r="F34" s="470">
        <f>tlOutputReg1Payer2TRxTotalVolume_R1/SUM($E$32:$E$34)</f>
        <v>0.32703031654861969</v>
      </c>
      <c r="G34" s="493"/>
      <c r="H34" s="494"/>
      <c r="I34" s="497" t="str">
        <f>INDEX(obalProd1Payer2Status,,xxIndexTeam)</f>
        <v>T1 NR</v>
      </c>
      <c r="J34" s="476">
        <f>INDEX(calcReg1Payer2ShareTotalCustR1,,xxIndexTeam)</f>
        <v>0</v>
      </c>
      <c r="K34" s="474">
        <f>tlOutputReg1Payer2TRxShare_R1-AB34</f>
        <v>0</v>
      </c>
      <c r="L34" s="471">
        <f>INDEX(calcReg1Payer2TotalCustR1,,xxIndexTeam)</f>
        <v>0</v>
      </c>
      <c r="M34" s="560">
        <f>tlOutputReg1Payer2TRxVolume_R1-AE34</f>
        <v>0</v>
      </c>
      <c r="N34" s="341"/>
      <c r="O34" s="497" t="str">
        <f>INDEX(obalProd1Comp1Payer2Status,,xxIndexTeam)</f>
        <v>T1 NR</v>
      </c>
      <c r="P34" s="476">
        <f>INDEX(calcReg1Comp1Payer2TotalShareR1,,xxIndexTeam)</f>
        <v>7.0617807255482033E-3</v>
      </c>
      <c r="Q34" s="474">
        <f>tlOutputReg1Comp1Payer2TRxShare_R1-AC34</f>
        <v>-5.0359450577701706E-5</v>
      </c>
      <c r="R34" s="471">
        <f>tlOutputReg1Payer2TRxTotalVolume_R1*tlOutputReg1Comp1Payer2TRxShare_R1</f>
        <v>828.92156611607129</v>
      </c>
      <c r="S34" s="560">
        <f>tlOutputReg1Comp1Payer2TRxVolume_R1-AF34</f>
        <v>151.66759111607132</v>
      </c>
      <c r="T34" s="341"/>
      <c r="U34" s="497" t="str">
        <f>INDEX(obalProd1Comp2Payer2Status,,xxIndexTeam)</f>
        <v>T1 NR</v>
      </c>
      <c r="V34" s="476">
        <f>INDEX(calcReg1Comp2Payer2TotalShareR1,,xxIndexTeam)</f>
        <v>1.8831415268128544E-2</v>
      </c>
      <c r="W34" s="474">
        <f>tlOutputReg1Comp2Payer2TRxShare_R1-AD34</f>
        <v>-1.3429186820720571E-4</v>
      </c>
      <c r="X34" s="471">
        <f>tlOutputReg1Payer2TRxTotalVolume_R1*tlOutputReg1Comp2Payer2TRxShare_R1</f>
        <v>2210.4575096428571</v>
      </c>
      <c r="Y34" s="560">
        <f>tlOutputReg1Comp2Payer2TRxVolume_R1-AG34</f>
        <v>404.44690964285678</v>
      </c>
      <c r="AA34" s="168">
        <f>INDEX(obalReg1Payer2TotalVolume,,xxIndexTeam)</f>
        <v>95225.060000000012</v>
      </c>
      <c r="AB34" s="537">
        <f>INDEX(obalReg1Payer2Share,,xxIndexTeam)</f>
        <v>0</v>
      </c>
      <c r="AC34" s="537">
        <f>INDEX(obalReg1Comp1Payer2Share,,xxIndexTeam)</f>
        <v>7.112140176125905E-3</v>
      </c>
      <c r="AD34" s="537">
        <f>INDEX(obalReg1Comp2Payer2Share,,xxIndexTeam)</f>
        <v>1.896570713633575E-2</v>
      </c>
      <c r="AE34" s="168">
        <f t="shared" si="1"/>
        <v>0</v>
      </c>
      <c r="AF34" s="168">
        <f t="shared" si="2"/>
        <v>677.25397499999997</v>
      </c>
      <c r="AG34" s="168">
        <f>AD34*$AA34</f>
        <v>1806.0106000000003</v>
      </c>
    </row>
    <row r="35" spans="3:33" s="168" customFormat="1" ht="15" customHeight="1">
      <c r="E35" s="413"/>
      <c r="F35" s="399"/>
      <c r="G35" s="403"/>
      <c r="H35" s="153"/>
      <c r="I35" s="402"/>
      <c r="J35" s="414"/>
      <c r="K35" s="414"/>
      <c r="L35" s="399"/>
      <c r="M35" s="417"/>
      <c r="O35" s="402"/>
      <c r="P35" s="399"/>
      <c r="Q35" s="399"/>
      <c r="R35" s="399"/>
      <c r="S35" s="403"/>
      <c r="U35" s="402"/>
      <c r="V35" s="399"/>
      <c r="W35" s="399"/>
      <c r="X35" s="399"/>
      <c r="Y35" s="403"/>
    </row>
    <row r="36" spans="3:33" s="168" customFormat="1" ht="9" customHeight="1">
      <c r="E36" s="355"/>
      <c r="G36" s="355"/>
      <c r="H36" s="355"/>
      <c r="J36" s="355"/>
      <c r="K36" s="355"/>
      <c r="M36" s="355"/>
    </row>
    <row r="37" spans="3:33" s="168" customFormat="1" ht="21.95" customHeight="1">
      <c r="C37" s="333"/>
      <c r="E37" s="354"/>
      <c r="F37" s="354"/>
      <c r="G37" s="354"/>
      <c r="H37" s="354"/>
      <c r="I37" s="354"/>
      <c r="J37" s="354"/>
      <c r="K37" s="354"/>
      <c r="L37" s="354"/>
      <c r="M37" s="354"/>
    </row>
    <row r="38" spans="3:33" s="168" customFormat="1" ht="21.95" customHeight="1">
      <c r="C38" s="287"/>
    </row>
    <row r="39" spans="3:33" s="168" customFormat="1" ht="21.95" customHeight="1">
      <c r="C39" s="389"/>
      <c r="E39" s="356"/>
      <c r="F39" s="389"/>
      <c r="G39" s="356"/>
      <c r="H39" s="356"/>
      <c r="I39" s="389"/>
      <c r="J39" s="356"/>
      <c r="K39" s="356"/>
      <c r="L39" s="389"/>
      <c r="M39" s="356"/>
      <c r="Z39" s="331"/>
      <c r="AA39" s="331"/>
      <c r="AB39" s="331"/>
    </row>
    <row r="40" spans="3:33" s="168" customFormat="1" ht="8.4499999999999993" customHeight="1">
      <c r="C40" s="389"/>
      <c r="E40" s="356"/>
      <c r="F40" s="389"/>
      <c r="G40" s="356"/>
      <c r="H40" s="356"/>
      <c r="I40" s="389"/>
      <c r="J40" s="356"/>
      <c r="K40" s="356"/>
      <c r="L40" s="389"/>
      <c r="M40" s="356"/>
      <c r="Z40" s="331"/>
      <c r="AA40" s="331"/>
      <c r="AB40" s="331"/>
    </row>
    <row r="41" spans="3:33" s="168" customFormat="1" ht="21.95" customHeight="1">
      <c r="C41" s="333"/>
      <c r="E41" s="374"/>
      <c r="G41" s="374"/>
      <c r="H41" s="374"/>
      <c r="J41" s="374"/>
      <c r="K41" s="374"/>
      <c r="Z41" s="331"/>
      <c r="AA41" s="331"/>
      <c r="AB41" s="331"/>
    </row>
    <row r="42" spans="3:33" s="168" customFormat="1" ht="21.95" customHeight="1"/>
    <row r="43" spans="3:33" s="168" customFormat="1" ht="21.95" customHeight="1"/>
    <row r="44" spans="3:33" s="168" customFormat="1" ht="21.95" customHeight="1"/>
    <row r="45" spans="3:33" s="167" customFormat="1" ht="15" customHeight="1">
      <c r="C45" s="168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</row>
    <row r="46" spans="3:33" s="167" customFormat="1" ht="15" customHeight="1"/>
    <row r="47" spans="3:33" ht="21.95" customHeight="1"/>
    <row r="48" spans="3:33" ht="21.95" customHeight="1"/>
    <row r="49" ht="21.95" customHeight="1"/>
  </sheetData>
  <sheetProtection selectLockedCells="1"/>
  <mergeCells count="14">
    <mergeCell ref="E29:G29"/>
    <mergeCell ref="I29:M29"/>
    <mergeCell ref="O29:S29"/>
    <mergeCell ref="U29:Y29"/>
    <mergeCell ref="C8:Y8"/>
    <mergeCell ref="C18:Y18"/>
    <mergeCell ref="C28:Y28"/>
    <mergeCell ref="U19:Y19"/>
    <mergeCell ref="C5:C6"/>
    <mergeCell ref="E9:J9"/>
    <mergeCell ref="L9:P9"/>
    <mergeCell ref="E19:G19"/>
    <mergeCell ref="I19:M19"/>
    <mergeCell ref="O19:S19"/>
  </mergeCells>
  <conditionalFormatting sqref="U25">
    <cfRule type="expression" dxfId="111" priority="1">
      <formula>U25&gt;#REF!</formula>
    </cfRule>
  </conditionalFormatting>
  <conditionalFormatting sqref="I21 I25">
    <cfRule type="expression" dxfId="110" priority="3">
      <formula>I21&gt;#REF!</formula>
    </cfRule>
  </conditionalFormatting>
  <conditionalFormatting sqref="O25">
    <cfRule type="expression" dxfId="109" priority="2">
      <formula>O25&gt;#REF!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5"/>
  </sheetPr>
  <dimension ref="C1:AH49"/>
  <sheetViews>
    <sheetView tabSelected="1" topLeftCell="G16" zoomScaleNormal="100" workbookViewId="0">
      <selection activeCell="O35" sqref="O35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8.8984375" style="166" customWidth="1"/>
    <col min="7" max="7" width="6.3984375" style="166" customWidth="1"/>
    <col min="8" max="8" width="1.19921875" style="166" customWidth="1"/>
    <col min="9" max="9" width="10.296875" style="166" customWidth="1"/>
    <col min="10" max="10" width="9" style="166" bestFit="1" customWidth="1"/>
    <col min="11" max="11" width="6.69921875" style="166" customWidth="1"/>
    <col min="12" max="12" width="11.59765625" style="166" customWidth="1"/>
    <col min="13" max="13" width="7.796875" style="166" customWidth="1"/>
    <col min="14" max="14" width="4.19921875" style="166" customWidth="1"/>
    <col min="15" max="15" width="10.69921875" style="166" customWidth="1"/>
    <col min="16" max="16" width="8" style="166" bestFit="1" customWidth="1"/>
    <col min="17" max="17" width="6.8984375" style="166" customWidth="1"/>
    <col min="18" max="18" width="11.59765625" style="166" customWidth="1"/>
    <col min="19" max="19" width="6.3984375" style="166" customWidth="1"/>
    <col min="20" max="20" width="5.59765625" style="166" customWidth="1"/>
    <col min="21" max="21" width="10.69921875" style="166" customWidth="1"/>
    <col min="22" max="22" width="7" style="166" customWidth="1"/>
    <col min="23" max="23" width="7.19921875" style="166" customWidth="1"/>
    <col min="24" max="24" width="11.59765625" style="166" customWidth="1"/>
    <col min="25" max="25" width="8" style="166" customWidth="1"/>
    <col min="26" max="26" width="13.69921875" style="166" bestFit="1" customWidth="1"/>
    <col min="27" max="27" width="13.5" style="166" bestFit="1" customWidth="1"/>
    <col min="28" max="29" width="8.796875" style="166"/>
    <col min="30" max="30" width="12" style="166" bestFit="1" customWidth="1"/>
    <col min="31" max="31" width="9.296875" style="166" bestFit="1" customWidth="1"/>
    <col min="32" max="16384" width="8.796875" style="166"/>
  </cols>
  <sheetData>
    <row r="1" spans="3:34" s="168" customFormat="1" ht="6" customHeight="1"/>
    <row r="2" spans="3:34" s="342" customFormat="1" ht="22.15" customHeight="1">
      <c r="C2" s="337"/>
      <c r="Y2" s="343" t="str">
        <f>DB_Dashboard1</f>
        <v xml:space="preserve">TRx Share  0.32% NRx Share  0.33% TRx Volume  383 </v>
      </c>
      <c r="AB2" s="170" t="s">
        <v>760</v>
      </c>
      <c r="AC2" s="168" t="s">
        <v>212</v>
      </c>
    </row>
    <row r="3" spans="3:34" s="347" customFormat="1" ht="22.15" customHeight="1">
      <c r="C3" s="332" t="str">
        <f>nmProgramSubtitle</f>
        <v>Resourcing for Results</v>
      </c>
      <c r="Y3" s="362" t="str">
        <f>DB_Dashboard2</f>
        <v xml:space="preserve">Market Execution  60.0 Employee Engagement  60.0 </v>
      </c>
    </row>
    <row r="4" spans="3:34" s="342" customFormat="1" ht="22.15" customHeight="1">
      <c r="C4" s="344"/>
      <c r="Y4" s="343" t="str">
        <f>DB_Dashboard3</f>
        <v>MTUs Remaining  150 Samples Remaining  1% Promotional $ Remaining  1%</v>
      </c>
    </row>
    <row r="5" spans="3:34" s="168" customFormat="1" ht="20.100000000000001" customHeight="1">
      <c r="C5" s="599" t="s">
        <v>617</v>
      </c>
    </row>
    <row r="6" spans="3:34" s="168" customFormat="1" ht="21.95" customHeight="1">
      <c r="C6" s="600"/>
      <c r="D6" s="169"/>
      <c r="E6" s="169" t="s">
        <v>3199</v>
      </c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</row>
    <row r="7" spans="3:34" s="168" customFormat="1" ht="9.6" customHeight="1"/>
    <row r="8" spans="3:34" s="168" customFormat="1" ht="21" customHeight="1">
      <c r="C8" s="583" t="s">
        <v>754</v>
      </c>
      <c r="D8" s="583"/>
      <c r="E8" s="583"/>
      <c r="F8" s="583"/>
      <c r="G8" s="583"/>
      <c r="H8" s="583"/>
      <c r="I8" s="583"/>
      <c r="J8" s="583"/>
      <c r="K8" s="583"/>
      <c r="L8" s="583"/>
      <c r="M8" s="583"/>
      <c r="N8" s="583"/>
      <c r="O8" s="583"/>
      <c r="P8" s="583"/>
      <c r="Q8" s="583"/>
      <c r="R8" s="583"/>
      <c r="S8" s="583"/>
      <c r="T8" s="583"/>
      <c r="U8" s="583"/>
      <c r="V8" s="583"/>
      <c r="W8" s="583"/>
      <c r="X8" s="583"/>
      <c r="Y8" s="583"/>
    </row>
    <row r="9" spans="3:34" s="168" customFormat="1" ht="23.45" customHeight="1">
      <c r="E9" s="601" t="s">
        <v>752</v>
      </c>
      <c r="F9" s="602"/>
      <c r="G9" s="602"/>
      <c r="H9" s="602"/>
      <c r="I9" s="602"/>
      <c r="J9" s="603"/>
      <c r="K9" s="144"/>
      <c r="L9" s="601" t="s">
        <v>753</v>
      </c>
      <c r="M9" s="602"/>
      <c r="N9" s="602"/>
      <c r="O9" s="602"/>
      <c r="P9" s="603"/>
      <c r="Q9" s="153"/>
      <c r="R9" s="153"/>
      <c r="S9" s="153"/>
      <c r="T9" s="153"/>
      <c r="U9" s="415"/>
      <c r="V9" s="415"/>
    </row>
    <row r="10" spans="3:34" s="168" customFormat="1" ht="21.95" customHeight="1">
      <c r="C10" s="391" t="s">
        <v>750</v>
      </c>
      <c r="E10" s="404" t="s">
        <v>549</v>
      </c>
      <c r="F10" s="405" t="s">
        <v>759</v>
      </c>
      <c r="G10" s="153"/>
      <c r="H10" s="153"/>
      <c r="I10" s="405" t="s">
        <v>548</v>
      </c>
      <c r="J10" s="406" t="s">
        <v>759</v>
      </c>
      <c r="K10" s="405"/>
      <c r="L10" s="404" t="s">
        <v>550</v>
      </c>
      <c r="M10" s="405" t="s">
        <v>759</v>
      </c>
      <c r="N10" s="405"/>
      <c r="O10" s="405" t="s">
        <v>751</v>
      </c>
      <c r="P10" s="406" t="s">
        <v>759</v>
      </c>
      <c r="R10" s="405"/>
      <c r="S10" s="153"/>
      <c r="T10" s="405"/>
      <c r="U10" s="405"/>
      <c r="V10" s="405"/>
      <c r="AC10" s="168" t="s">
        <v>586</v>
      </c>
      <c r="AD10" s="168" t="s">
        <v>586</v>
      </c>
      <c r="AG10" s="168" t="s">
        <v>586</v>
      </c>
      <c r="AH10" s="168" t="s">
        <v>586</v>
      </c>
    </row>
    <row r="11" spans="3:34" s="168" customFormat="1" ht="19.899999999999999" customHeight="1">
      <c r="C11" s="392" t="str">
        <f>nmReg1</f>
        <v>The Region</v>
      </c>
      <c r="E11" s="446">
        <f>INDEX(calcReg1ShareTotalCustR2,,xxIndexTeam)</f>
        <v>3.262391527425332E-3</v>
      </c>
      <c r="F11" s="463">
        <f>tlOutputReg1TRxShare_R2-tlOutputReg1TotalSharePrev_R2</f>
        <v>-1.3283762259502134E-4</v>
      </c>
      <c r="G11" s="423"/>
      <c r="H11" s="423"/>
      <c r="I11" s="424">
        <f>INDEX(calcReg1VolumeTotalCustR2,,xxIndexTeam)</f>
        <v>1325.5488830829531</v>
      </c>
      <c r="J11" s="557">
        <f>tlOutputReg1TRxVolume_R2-tlOutputReg1TotalVolumePrev_R2</f>
        <v>106.89525209200929</v>
      </c>
      <c r="K11" s="394"/>
      <c r="L11" s="446">
        <f>INDEX(calcReg1ShareNewCustR2,,xxIndexTeam)</f>
        <v>3.4700729127190291E-3</v>
      </c>
      <c r="M11" s="447">
        <f>tlOutputReg1NRxShare_R2-tlOutputReg1NewSharePrev_R2</f>
        <v>-1.5420434825589744E-4</v>
      </c>
      <c r="N11" s="425"/>
      <c r="O11" s="424">
        <f>INDEX(calcReg1NewCustR2,,xxIndexTeam)</f>
        <v>164.28389592857422</v>
      </c>
      <c r="P11" s="557">
        <f>tlOutputReg1NRxVolume_R2-tlOutputReg1NEwVolumePrev_R2</f>
        <v>23.420423614630238</v>
      </c>
      <c r="R11" s="153"/>
      <c r="S11" s="153"/>
      <c r="T11" s="153"/>
      <c r="U11" s="153"/>
      <c r="V11" s="153"/>
      <c r="AA11" s="349"/>
      <c r="AB11" s="446"/>
      <c r="AC11" s="463">
        <f>INDEX(calcReg1ShareTotalCustR1,,xxIndexTeam)</f>
        <v>3.3952291500203534E-3</v>
      </c>
      <c r="AD11" s="503">
        <f>INDEX(calcReg1VolumeTotalCustR1,,xxIndexTeam)</f>
        <v>1218.6536309909438</v>
      </c>
      <c r="AG11" s="463">
        <f>INDEX(calcReg1ShareNewCustR1,,xxIndexTeam)</f>
        <v>3.6242772609749265E-3</v>
      </c>
      <c r="AH11" s="503">
        <f>INDEX(calcReg1NewCustR1,,xxIndexTeam)</f>
        <v>140.86347231394399</v>
      </c>
    </row>
    <row r="12" spans="3:34" s="168" customFormat="1" ht="19.899999999999999" customHeight="1">
      <c r="C12" s="393" t="str">
        <f>nmReg1Seg1</f>
        <v>Riverrun</v>
      </c>
      <c r="E12" s="449">
        <f>INDEX(calcReg1Seg1ShareTotalCustR2,,xxIndexTeam)</f>
        <v>3.0963025034194173E-3</v>
      </c>
      <c r="F12" s="448">
        <f>tlOutputReg1Seg1TRxShare_R2-tlOutputReg1Seg1TotalSharePrev_R2</f>
        <v>-1.0968712678855819E-4</v>
      </c>
      <c r="G12" s="153"/>
      <c r="H12" s="153"/>
      <c r="I12" s="461">
        <f>INDEX(calcReg1Seg1VolumeTotalCustR2,,xxIndexTeam)</f>
        <v>409.59880098386998</v>
      </c>
      <c r="J12" s="558">
        <f>tlOutputReg1Seg1TRxVolume_R2-tlOutputReg1Seg1TotalVolumePrev_R2</f>
        <v>36.323290584870051</v>
      </c>
      <c r="K12" s="394"/>
      <c r="L12" s="449">
        <f>INDEX(calcReg1Seg1ShareNewCustR2,,xxIndexTeam)</f>
        <v>3.2511495238095232E-3</v>
      </c>
      <c r="M12" s="448">
        <f>tlOutputReg1Seg1NRxShare_R2-tlOutputReg1Seg1NewSharePrev_R2</f>
        <v>-1.2056000000000133E-4</v>
      </c>
      <c r="N12" s="153"/>
      <c r="O12" s="461">
        <f>INDEX(calcReg1Seg1NewCustR2,,xxIndexTeam)</f>
        <v>47.387715091199993</v>
      </c>
      <c r="P12" s="558">
        <f>tlOutputReg1Seg1NRxVolume_R2-tlOutputReg1Seg1NewVolumePrev_R2</f>
        <v>14.112482386199986</v>
      </c>
      <c r="R12" s="153"/>
      <c r="S12" s="153"/>
      <c r="T12" s="153"/>
      <c r="U12" s="153"/>
      <c r="V12" s="153"/>
      <c r="AA12" s="331"/>
      <c r="AB12" s="449"/>
      <c r="AC12" s="448">
        <f>INDEX(calcReg1Seg1ShareTotalCustR1,,xxIndexTeam)</f>
        <v>3.2059896302079754E-3</v>
      </c>
      <c r="AD12" s="504">
        <f>INDEX(calcReg1Seg1VolumeTotalCustR1,,xxIndexTeam)</f>
        <v>373.27551039899993</v>
      </c>
      <c r="AG12" s="448">
        <f>INDEX(calcReg1Seg1ShareNewCustR1,,xxIndexTeam)</f>
        <v>3.3717095238095245E-3</v>
      </c>
      <c r="AH12" s="504">
        <f>INDEX(calcReg1Seg1NewCustR1,,xxIndexTeam)</f>
        <v>33.275232705000008</v>
      </c>
    </row>
    <row r="13" spans="3:34" s="168" customFormat="1" ht="19.899999999999999" customHeight="1">
      <c r="C13" s="393" t="str">
        <f>nmReg1Seg2</f>
        <v>Winterfell</v>
      </c>
      <c r="E13" s="450">
        <f>INDEX(calcReg1Seg2ShareTotalCustR2,,xxIndexTeam)</f>
        <v>3.6651635185466708E-3</v>
      </c>
      <c r="F13" s="447">
        <f>tlOutputReg1Seg2TRxShare_R2-tlOutputReg1Seg2TotalSharePrev_R2</f>
        <v>-2.2430163043478217E-4</v>
      </c>
      <c r="G13" s="423"/>
      <c r="H13" s="423"/>
      <c r="I13" s="462">
        <f>INDEX(calcReg1Seg2VolumeTotalCustR2,,xxIndexTeam)</f>
        <v>425.28212688184908</v>
      </c>
      <c r="J13" s="559">
        <f>tlOutputReg1Seg2TRxVolume_R2-tlOutputReg1Seg2TotalVolumePrev_R2</f>
        <v>25.893938286887533</v>
      </c>
      <c r="K13" s="394"/>
      <c r="L13" s="450">
        <f>INDEX(calcReg1Seg2ShareNewCustR2,,xxIndexTeam)</f>
        <v>4.020703525641026E-3</v>
      </c>
      <c r="M13" s="447">
        <f>tlOutputReg1Seg2NRxShare_R2-tlOutputReg1Seg2NewSharePrev_R2</f>
        <v>-2.3153472222222152E-4</v>
      </c>
      <c r="N13" s="423"/>
      <c r="O13" s="462">
        <f>INDEX(calcReg1Seg2NewCustR2,,xxIndexTeam)</f>
        <v>49.788503154604044</v>
      </c>
      <c r="P13" s="559">
        <f>tlOutputReg1Seg2NRxVolume_R2-tlOutputReg1Seg2NewVolumePrev_R2</f>
        <v>3.1906224586425083</v>
      </c>
      <c r="R13" s="153"/>
      <c r="S13" s="153"/>
      <c r="T13" s="153"/>
      <c r="U13" s="153"/>
      <c r="V13" s="153"/>
      <c r="AB13" s="450"/>
      <c r="AC13" s="447">
        <f>INDEX(calcReg1Seg2ShareTotalCustR1,,xxIndexTeam)</f>
        <v>3.889465148981453E-3</v>
      </c>
      <c r="AD13" s="505">
        <f>INDEX(calcReg1Seg2VolumeTotalCustR1,,xxIndexTeam)</f>
        <v>399.38818859496155</v>
      </c>
      <c r="AG13" s="447">
        <f>INDEX(calcReg1Seg2ShareNewCustR1,,xxIndexTeam)</f>
        <v>4.2522382478632475E-3</v>
      </c>
      <c r="AH13" s="505">
        <f>INDEX(calcReg1Seg2NewCustR1,,xxIndexTeam)</f>
        <v>46.597880695961535</v>
      </c>
    </row>
    <row r="14" spans="3:34" s="168" customFormat="1" ht="19.899999999999999" customHeight="1">
      <c r="C14" s="393" t="str">
        <f>nmReg1Seg3</f>
        <v>Harrenhal</v>
      </c>
      <c r="E14" s="449">
        <f>INDEX(calcReg1Seg3ShareTotalCustR2,,xxIndexTeam)</f>
        <v>3.1056509110970014E-3</v>
      </c>
      <c r="F14" s="448">
        <f>tlOutputReg1Seg3TRxShare_R2-tlOutputReg1Seg3TotalSharePrev_R2</f>
        <v>-8.4185712689901528E-5</v>
      </c>
      <c r="G14" s="153"/>
      <c r="H14" s="153"/>
      <c r="I14" s="461">
        <f>INDEX(calcReg1Seg3VolumeTotalCustR2,,xxIndexTeam)</f>
        <v>490.66795521723429</v>
      </c>
      <c r="J14" s="558">
        <f>tlOutputReg1Seg3TRxVolume_R2-AD14</f>
        <v>44.67802322025176</v>
      </c>
      <c r="K14" s="394"/>
      <c r="L14" s="449">
        <f>INDEX(calcReg1Seg3ShareNewCustR2,,xxIndexTeam)</f>
        <v>3.2921168451431611E-3</v>
      </c>
      <c r="M14" s="448">
        <f>tlOutputReg1Seg3NRxShare_R2-tlOutputReg1Seg3NEwSharePrev_R2</f>
        <v>-8.8863636363636055E-5</v>
      </c>
      <c r="N14" s="153"/>
      <c r="O14" s="461">
        <f>INDEX(calcReg1Seg3NewCustR2,,xxIndexTeam)</f>
        <v>67.107677682770188</v>
      </c>
      <c r="P14" s="558">
        <f>tlOutputReg1Seg3NRxVolume_R2-tlOutputReg1Seg3NewVolumePrev_R2</f>
        <v>6.1173187697877296</v>
      </c>
      <c r="R14" s="153"/>
      <c r="S14" s="153"/>
      <c r="T14" s="153"/>
      <c r="U14" s="153"/>
      <c r="V14" s="153"/>
      <c r="AA14" s="349"/>
      <c r="AB14" s="449"/>
      <c r="AC14" s="448">
        <f>INDEX(calcReg1Seg3ShareTotalCustR1,,xxIndexTeam)</f>
        <v>3.1898366237869029E-3</v>
      </c>
      <c r="AD14" s="504">
        <f>INDEX(calcReg1Seg3VolumeTotalCustR1,,xxIndexTeam)</f>
        <v>445.98993199698253</v>
      </c>
      <c r="AG14" s="448">
        <f>INDEX(calcReg1Seg3ShareNewCustR1,,xxIndexTeam)</f>
        <v>3.3809804815067971E-3</v>
      </c>
      <c r="AH14" s="504">
        <f>INDEX(calcReg1Seg3NewCustR1,,xxIndexTeam)</f>
        <v>60.990358912982458</v>
      </c>
    </row>
    <row r="15" spans="3:34" s="168" customFormat="1" ht="15" customHeight="1">
      <c r="E15" s="398"/>
      <c r="F15" s="399"/>
      <c r="G15" s="399"/>
      <c r="H15" s="399"/>
      <c r="I15" s="400"/>
      <c r="J15" s="401"/>
      <c r="K15" s="397"/>
      <c r="L15" s="402"/>
      <c r="M15" s="399"/>
      <c r="N15" s="399"/>
      <c r="O15" s="399"/>
      <c r="P15" s="403"/>
      <c r="R15" s="153"/>
      <c r="S15" s="153"/>
      <c r="T15" s="153"/>
      <c r="U15" s="153"/>
      <c r="V15" s="153"/>
      <c r="AA15" s="331"/>
      <c r="AB15" s="331"/>
    </row>
    <row r="16" spans="3:34" s="168" customFormat="1" ht="12.6" customHeight="1">
      <c r="E16" s="339"/>
      <c r="L16" s="153"/>
      <c r="M16" s="153"/>
    </row>
    <row r="17" spans="3:33" s="168" customFormat="1" ht="12.6" customHeight="1">
      <c r="E17" s="369"/>
      <c r="AA17" s="349"/>
      <c r="AB17" s="349"/>
    </row>
    <row r="18" spans="3:33" s="168" customFormat="1" ht="21.95" customHeight="1">
      <c r="C18" s="583" t="s">
        <v>757</v>
      </c>
      <c r="D18" s="583"/>
      <c r="E18" s="583"/>
      <c r="F18" s="583"/>
      <c r="G18" s="583"/>
      <c r="H18" s="583"/>
      <c r="I18" s="583"/>
      <c r="J18" s="583"/>
      <c r="K18" s="583"/>
      <c r="L18" s="583"/>
      <c r="M18" s="583"/>
      <c r="N18" s="583"/>
      <c r="O18" s="583"/>
      <c r="P18" s="583"/>
      <c r="Q18" s="583"/>
      <c r="R18" s="583"/>
      <c r="S18" s="583"/>
      <c r="T18" s="583"/>
      <c r="U18" s="583"/>
      <c r="V18" s="583"/>
      <c r="W18" s="583"/>
      <c r="X18" s="583"/>
      <c r="Y18" s="583"/>
      <c r="Z18" s="351"/>
      <c r="AA18" s="351"/>
    </row>
    <row r="19" spans="3:33" s="168" customFormat="1" ht="18.600000000000001" customHeight="1">
      <c r="E19" s="593" t="s">
        <v>765</v>
      </c>
      <c r="F19" s="594"/>
      <c r="G19" s="595"/>
      <c r="H19" s="361"/>
      <c r="I19" s="587" t="str">
        <f>nmTherapy1</f>
        <v>Wintellix</v>
      </c>
      <c r="J19" s="588"/>
      <c r="K19" s="588"/>
      <c r="L19" s="588"/>
      <c r="M19" s="589"/>
      <c r="O19" s="590" t="str">
        <f>nmComp1</f>
        <v>Vibrant</v>
      </c>
      <c r="P19" s="591"/>
      <c r="Q19" s="591"/>
      <c r="R19" s="591"/>
      <c r="S19" s="592"/>
      <c r="U19" s="596" t="str">
        <f>nmComp2</f>
        <v>Pristine</v>
      </c>
      <c r="V19" s="597"/>
      <c r="W19" s="597"/>
      <c r="X19" s="597"/>
      <c r="Y19" s="598"/>
      <c r="Z19" s="351"/>
      <c r="AA19" s="351"/>
    </row>
    <row r="20" spans="3:33" s="168" customFormat="1" ht="21.95" customHeight="1">
      <c r="C20" s="391" t="s">
        <v>750</v>
      </c>
      <c r="E20" s="422" t="s">
        <v>758</v>
      </c>
      <c r="F20" s="412" t="s">
        <v>2205</v>
      </c>
      <c r="G20" s="396"/>
      <c r="I20" s="407" t="str">
        <f>nmTherapy1&amp;" TRx Share"</f>
        <v>Wintellix TRx Share</v>
      </c>
      <c r="J20" s="410" t="s">
        <v>759</v>
      </c>
      <c r="K20" s="410"/>
      <c r="L20" s="410" t="str">
        <f>nmTherapy1&amp;" TRx Volume"</f>
        <v>Wintellix TRx Volume</v>
      </c>
      <c r="M20" s="408" t="s">
        <v>759</v>
      </c>
      <c r="O20" s="407" t="str">
        <f>nmComp1&amp;" TRx Share"</f>
        <v>Vibrant TRx Share</v>
      </c>
      <c r="P20" s="410" t="s">
        <v>759</v>
      </c>
      <c r="Q20" s="410"/>
      <c r="R20" s="410" t="str">
        <f>nmComp1&amp;" TRx Volume"</f>
        <v>Vibrant TRx Volume</v>
      </c>
      <c r="S20" s="408" t="s">
        <v>759</v>
      </c>
      <c r="U20" s="407" t="str">
        <f>nmComp2&amp;" TRx Share"</f>
        <v>Pristine TRx Share</v>
      </c>
      <c r="V20" s="410" t="s">
        <v>759</v>
      </c>
      <c r="W20" s="410"/>
      <c r="X20" s="410" t="str">
        <f>nmComp2&amp;" TRx Volume"</f>
        <v>Pristine TRx Volume</v>
      </c>
      <c r="Y20" s="408" t="s">
        <v>759</v>
      </c>
      <c r="Z20" s="351"/>
      <c r="AA20" s="351" t="s">
        <v>1486</v>
      </c>
      <c r="AB20" s="168" t="s">
        <v>1486</v>
      </c>
      <c r="AC20" s="168" t="s">
        <v>1486</v>
      </c>
      <c r="AD20" s="168" t="s">
        <v>2304</v>
      </c>
      <c r="AE20" s="168" t="s">
        <v>1487</v>
      </c>
    </row>
    <row r="21" spans="3:33" s="168" customFormat="1" ht="22.9" customHeight="1">
      <c r="C21" s="392" t="str">
        <f>nmReg1</f>
        <v>The Region</v>
      </c>
      <c r="E21" s="477">
        <f>INDEX(calcReg1TotalVolumeR2,,xxIndexTeam)</f>
        <v>406312.01740799996</v>
      </c>
      <c r="F21" s="518">
        <f>tlOutputReg1TotalMarketVolume_R2/tlOutputReg1PrevVolume_R2-1</f>
        <v>0.13200532983721147</v>
      </c>
      <c r="G21" s="482"/>
      <c r="H21" s="341"/>
      <c r="I21" s="446">
        <f>tlOutputReg1TRxShare_R2</f>
        <v>3.262391527425332E-3</v>
      </c>
      <c r="J21" s="483">
        <f>tlOutputReg1TRxShareChange_R2</f>
        <v>-1.3283762259502134E-4</v>
      </c>
      <c r="K21" s="484"/>
      <c r="L21" s="485">
        <f>tlOutputReg1TRxVolume_R2</f>
        <v>1325.5488830829531</v>
      </c>
      <c r="M21" s="563">
        <f>tlOutputReg1TRxVolumeChange_R2</f>
        <v>106.89525209200929</v>
      </c>
      <c r="N21" s="341"/>
      <c r="O21" s="446">
        <f>tlOutputReg1Comp1TRxVolume_R2/tlOutputReg1TotalMarketVolume_R2</f>
        <v>9.420099322291018E-3</v>
      </c>
      <c r="P21" s="447">
        <f>tlOutputReg1Comp1TRxShare_R2-tlOutputReg1Comp1TotalPrevShare_R2</f>
        <v>1.0802982445320269E-6</v>
      </c>
      <c r="Q21" s="484"/>
      <c r="R21" s="485">
        <f>SUM(R22:R24)</f>
        <v>3827.499559823797</v>
      </c>
      <c r="S21" s="563">
        <f>tlOutputReg1Comp1TRxVolume_R2-tlOutputReg1Comp1TotalPrevVol_R2</f>
        <v>446.71987549579944</v>
      </c>
      <c r="T21" s="341"/>
      <c r="U21" s="446">
        <f>tlOutputReg1Comp2TRxVolume_R2/tlOutputReg1TotalMarketVolume_R2</f>
        <v>2.5139376968812154E-2</v>
      </c>
      <c r="V21" s="447">
        <f>tlOutputReg1Comp2TRxShare_R2-tlOutputReg1Comp2TotalPrevShare_R2</f>
        <v>2.8796467867568676E-6</v>
      </c>
      <c r="W21" s="484"/>
      <c r="X21" s="485">
        <f>SUM(X22:X24)</f>
        <v>10214.430972578277</v>
      </c>
      <c r="Y21" s="563">
        <f>tlOutputReg1Comp2TRxVolume_R2-tlOutputReg1Comp2TotalPrevVol_R2</f>
        <v>1192.1581366794835</v>
      </c>
      <c r="Z21" s="351"/>
      <c r="AA21" s="514">
        <f>INDEX(calcReg1TotalVolumeR1,,xxIndexTeam)</f>
        <v>358931.18759999995</v>
      </c>
      <c r="AB21" s="168">
        <f>tlOutputReg1Comp1TRxShare_R1</f>
        <v>9.419019024046486E-3</v>
      </c>
      <c r="AC21" s="168">
        <f>tlOutputReg1Comp2TRxShare_R1</f>
        <v>2.5136497322025397E-2</v>
      </c>
      <c r="AD21" s="168">
        <f>tlOutputReg1Comp1TotalPrevShare_R2*tlOutputReg1PrevVolume_R2</f>
        <v>3380.7796843279975</v>
      </c>
      <c r="AE21" s="168">
        <f>tlOutputReg1Comp2TotalPrevShare_R2*tlOutputReg1PrevVolume_R2</f>
        <v>9022.2728358987933</v>
      </c>
    </row>
    <row r="22" spans="3:33" s="168" customFormat="1" ht="22.9" customHeight="1">
      <c r="C22" s="393" t="str">
        <f>nmReg1Seg1</f>
        <v>Riverrun</v>
      </c>
      <c r="E22" s="481">
        <f>INDEX(calcReg1Seg1TotalVolumeR2,,xxIndexTeam)</f>
        <v>132286.428904</v>
      </c>
      <c r="F22" s="480">
        <f>tlOutputReg1Seg1TotalMarketVolume_R2/tlOutputReg1Seg1PrevVolume_R2-1</f>
        <v>0.1361820089138237</v>
      </c>
      <c r="G22" s="486"/>
      <c r="H22" s="341"/>
      <c r="I22" s="487">
        <f>tlOutputReg1Seg1TRxShare_R2</f>
        <v>3.0963025034194173E-3</v>
      </c>
      <c r="J22" s="488">
        <f>tlOutputReg1Seg1TRxShareChange_R2</f>
        <v>-1.0968712678855819E-4</v>
      </c>
      <c r="K22" s="341"/>
      <c r="L22" s="489">
        <f>tlOutputReg1Seg1TRxVolume_R2</f>
        <v>409.59880098386998</v>
      </c>
      <c r="M22" s="558">
        <f>tlOutputReg1Seg1TRxVolumeChange_R2</f>
        <v>36.323290584870051</v>
      </c>
      <c r="N22" s="341"/>
      <c r="O22" s="512">
        <f>INDEX(calcReg1Seg1Comp1TotalShareR2,,xxIndexTeam)</f>
        <v>9.3509201685342477E-3</v>
      </c>
      <c r="P22" s="448">
        <f>tlOutputReg1Seg1Comp1TRxShare_R2-tlOutputReg1Seg1Comp1TotalPrevShare_R2</f>
        <v>3.7087972411305875E-6</v>
      </c>
      <c r="Q22" s="341"/>
      <c r="R22" s="489">
        <f>INDEX(calcReg1Seg1Comp1TotalCustR2,,xxIndexTeam)</f>
        <v>1236.9998360617856</v>
      </c>
      <c r="S22" s="558">
        <f>tlOutputReg1Seg1Comp1TRxVolume_R2-tlOutputReg1Seg1Comp1TotalPrevVol_R2</f>
        <v>148.69778338158585</v>
      </c>
      <c r="T22" s="341"/>
      <c r="U22" s="449">
        <f>INDEX(calcReg1Seg1Comp2TotalShareR2,,xxIndexTeam)</f>
        <v>2.4949916940628401E-2</v>
      </c>
      <c r="V22" s="448">
        <f>tlOutputReg1Seg1Comp2TRxShare_R2-tlOutputReg1Seg1Comp2TotalPrevShare_R2</f>
        <v>9.9138423999868552E-6</v>
      </c>
      <c r="W22" s="341"/>
      <c r="X22" s="489">
        <f>INDEX(calcReg1Seg1Comp2TotalCustR2,,xxIndexTeam)</f>
        <v>3300.5354135271441</v>
      </c>
      <c r="Y22" s="558">
        <f>tlOutputReg1Seg1Comp2TRxVolume_R2-tlOutputReg1Seg1Comp2TotalPrevVol_R2</f>
        <v>396.75422280634439</v>
      </c>
      <c r="AA22" s="514">
        <f>INDEX(calcReg1Seg1TotalVolumeR1,,xxIndexTeam)</f>
        <v>116430.66679999998</v>
      </c>
      <c r="AB22" s="168">
        <f>INDEX(calcReg1Seg1Comp1TotalShareR1,,xxIndexTeam)</f>
        <v>9.3472113712931171E-3</v>
      </c>
      <c r="AC22" s="168">
        <f>INDEX(calcReg1Seg1Comp2TotalShareR1,,xxIndexTeam)</f>
        <v>2.4940003098228414E-2</v>
      </c>
      <c r="AD22" s="168">
        <f>tlOutputReg1Seg1Comp1TotalPrevShare_R2*tlOutputReg1Seg1PrevVolume_R2</f>
        <v>1088.3020526801997</v>
      </c>
      <c r="AE22" s="168">
        <f>tlOutputReg1Seg1Comp2TotalPrevShare_R2*tlOutputReg1Seg1PrevVolume_R2</f>
        <v>2903.7811907207997</v>
      </c>
    </row>
    <row r="23" spans="3:33" s="168" customFormat="1" ht="22.9" customHeight="1">
      <c r="C23" s="393" t="str">
        <f>nmReg1Seg2</f>
        <v>Winterfell</v>
      </c>
      <c r="E23" s="478">
        <f>INDEX(calcReg1Seg2TotalVolumeR2,,xxIndexTeam)</f>
        <v>116033.60252000001</v>
      </c>
      <c r="F23" s="479">
        <f>tlOutputReg1Seg2TotalMarketVolume_R2/tlOutputReg1Seg2PrevVolume_R2-1</f>
        <v>0.13000000000000012</v>
      </c>
      <c r="G23" s="482"/>
      <c r="H23" s="341"/>
      <c r="I23" s="490">
        <f>tlOutputReg1Seg2TRxShare_R2</f>
        <v>3.6651635185466708E-3</v>
      </c>
      <c r="J23" s="491">
        <f>tlOutputReg1Seg2TRxShareChange_R2</f>
        <v>-2.2430163043478217E-4</v>
      </c>
      <c r="K23" s="484"/>
      <c r="L23" s="492">
        <f>tlOutputReg1Seg2TRxVolume_R2</f>
        <v>425.28212688184908</v>
      </c>
      <c r="M23" s="559">
        <f>tlOutputReg1Seg2TRxVolumeChange_R2</f>
        <v>25.893938286887533</v>
      </c>
      <c r="N23" s="341"/>
      <c r="O23" s="513">
        <f>INDEX(calcReg1Seg2Comp1TotalShareR2,,xxIndexTeam)</f>
        <v>8.6017714361725228E-3</v>
      </c>
      <c r="P23" s="447">
        <f>tlOutputReg1Seg2Comp1TRxShare_R2-tlOutputReg1Seg2Comp1TotalPrevShare_R2</f>
        <v>0</v>
      </c>
      <c r="Q23" s="484"/>
      <c r="R23" s="492">
        <f>INDEX(calcReg1Seg2Comp1TotalCustR2,,xxIndexTeam)</f>
        <v>998.09452779273215</v>
      </c>
      <c r="S23" s="559">
        <f>tlOutputReg1Seg2Comp1TRxVolume_R2-tlOutputReg1Seg2Comp1TotalPrevVol_R2</f>
        <v>114.82503417084536</v>
      </c>
      <c r="T23" s="341"/>
      <c r="U23" s="450">
        <f>INDEX(calcReg1Seg2Comp2TotalShareR2,,xxIndexTeam)</f>
        <v>2.2979013816618162E-2</v>
      </c>
      <c r="V23" s="447">
        <f>tlOutputReg1Seg2Comp2TRxShare_R2-tlOutputReg1Seg2Comp2TotalPrevShare_R2</f>
        <v>0</v>
      </c>
      <c r="W23" s="484"/>
      <c r="X23" s="492">
        <f>INDEX(calcReg1Seg2Comp2TotalCustR2,,xxIndexTeam)</f>
        <v>2666.3377554990602</v>
      </c>
      <c r="Y23" s="559">
        <f>tlOutputReg1Seg2Comp2TRxVolume_R2-tlOutputReg1Seg2Comp2TotalPrevVol_R2</f>
        <v>306.74682142909569</v>
      </c>
      <c r="AA23" s="514">
        <f>INDEX(calcReg1Seg2TotalVolumeR1,,xxIndexTeam)</f>
        <v>102684.60400000001</v>
      </c>
      <c r="AB23" s="168">
        <f>INDEX(calcReg1Seg2Comp1TotalShareR1,,xxIndexTeam)</f>
        <v>8.6017714361725228E-3</v>
      </c>
      <c r="AC23" s="168">
        <f>INDEX(calcReg1Seg2Comp2TotalShareR1,,xxIndexTeam)</f>
        <v>2.2979013816618162E-2</v>
      </c>
      <c r="AD23" s="168">
        <f>tlOutputReg1Seg2Comp1TotalPrevShare_R2*tlOutputReg1Seg2PrevVolume_R2</f>
        <v>883.2694936218868</v>
      </c>
      <c r="AE23" s="168">
        <f>tlOutputReg1Seg2Comp2TotalPrevShare_R2*tlOutputReg1Seg2PrevVolume_R2</f>
        <v>2359.5909340699645</v>
      </c>
    </row>
    <row r="24" spans="3:33" s="168" customFormat="1" ht="22.9" customHeight="1">
      <c r="C24" s="393" t="str">
        <f>nmReg1Seg3</f>
        <v>Harrenhal</v>
      </c>
      <c r="E24" s="481">
        <f>INDEX(calcReg1Seg3TotalVolumeR2,,xxIndexTeam)</f>
        <v>157991.985984</v>
      </c>
      <c r="F24" s="480">
        <f>tlOutputReg1Seg3TotalMarketVolume_R2/tlOutputReg1Seg3PrevVolume_R2-1</f>
        <v>0.12999999999999989</v>
      </c>
      <c r="G24" s="486"/>
      <c r="H24" s="341"/>
      <c r="I24" s="487">
        <f>tlOutputReg1Seg3TRxShare_R2</f>
        <v>3.1056509110970014E-3</v>
      </c>
      <c r="J24" s="488">
        <f>tlOutputReg1Seg3TRxShareChange_R2</f>
        <v>-8.4185712689901528E-5</v>
      </c>
      <c r="K24" s="341"/>
      <c r="L24" s="489">
        <f>tlOutputReg1Seg3TRxVolume_R2</f>
        <v>490.66795521723429</v>
      </c>
      <c r="M24" s="558">
        <f>tlOutputReg1Seg3TRxVolumeChange_R2</f>
        <v>44.67802322025176</v>
      </c>
      <c r="N24" s="341"/>
      <c r="O24" s="512">
        <f>INDEX(calcReg1Seg3Comp1TotalShareR2,,xxIndexTeam)</f>
        <v>1.0079025123024554E-2</v>
      </c>
      <c r="P24" s="448">
        <f>tlOutputReg1Seg3Comp1TRxShare_R2-tlOutputReg1Seg3Comp1TotalPrevShare_R2</f>
        <v>0</v>
      </c>
      <c r="Q24" s="341"/>
      <c r="R24" s="489">
        <f>INDEX(calcReg1Seg3Comp1TotalCustR2,,xxIndexTeam)</f>
        <v>1592.4051959692792</v>
      </c>
      <c r="S24" s="558">
        <f>tlOutputReg1Seg3Comp1TRxVolume_R2-tlOutputReg1Seg3Comp1TotalPrevVol_R2</f>
        <v>183.19705794336824</v>
      </c>
      <c r="T24" s="341"/>
      <c r="U24" s="449">
        <f>INDEX(calcReg1Seg3Comp2TotalShareR2,,xxIndexTeam)</f>
        <v>2.6884640870216202E-2</v>
      </c>
      <c r="V24" s="448">
        <f>tlOutputReg1Seg3Comp2TRxShare_R2-tlOutputReg1Seg3Comp2TotalPrevShare_R2</f>
        <v>0</v>
      </c>
      <c r="W24" s="341"/>
      <c r="X24" s="489">
        <f>INDEX(calcReg1Seg3Comp2TotalCustR2,,xxIndexTeam)</f>
        <v>4247.5578035520721</v>
      </c>
      <c r="Y24" s="558">
        <f>tlOutputReg1Seg3Comp2TRxVolume_R2-tlOutputReg1Seg3Comp2TotalPrevVol_R2</f>
        <v>488.65709244404343</v>
      </c>
      <c r="AA24" s="514">
        <f>INDEX(calcReg1Seg3TotalVolumeR1,,xxIndexTeam)</f>
        <v>139815.91680000001</v>
      </c>
      <c r="AB24" s="168">
        <f>INDEX(calcReg1Seg3Comp1TotalShareR1,,xxIndexTeam)</f>
        <v>1.0079025123024554E-2</v>
      </c>
      <c r="AC24" s="168">
        <f>INDEX(calcReg1Seg3Comp2TotalShareR1,,xxIndexTeam)</f>
        <v>2.6884640870216206E-2</v>
      </c>
      <c r="AD24" s="168">
        <f>tlOutputReg1Seg3Comp1TotalPrevShare_R2*tlOutputReg1Seg3PrevVolume_R2</f>
        <v>1409.208138025911</v>
      </c>
      <c r="AE24" s="168">
        <f>tlOutputReg1Seg3Comp2TotalPrevShare_R2*tlOutputReg1Seg3PrevVolume_R2</f>
        <v>3758.9007111080286</v>
      </c>
    </row>
    <row r="25" spans="3:33" s="168" customFormat="1" ht="13.9" customHeight="1">
      <c r="E25" s="409"/>
      <c r="F25" s="399"/>
      <c r="G25" s="403"/>
      <c r="I25" s="411"/>
      <c r="J25" s="399"/>
      <c r="K25" s="399"/>
      <c r="L25" s="399"/>
      <c r="M25" s="403"/>
      <c r="O25" s="411"/>
      <c r="P25" s="399"/>
      <c r="Q25" s="399"/>
      <c r="R25" s="399"/>
      <c r="S25" s="403"/>
      <c r="U25" s="411"/>
      <c r="V25" s="399"/>
      <c r="W25" s="399"/>
      <c r="X25" s="399"/>
      <c r="Y25" s="403"/>
    </row>
    <row r="26" spans="3:33" s="168" customFormat="1" ht="21.95" customHeight="1">
      <c r="E26" s="375"/>
    </row>
    <row r="27" spans="3:33" s="168" customFormat="1" ht="21.95" customHeight="1">
      <c r="C27" s="287"/>
      <c r="E27" s="153"/>
      <c r="G27" s="521"/>
      <c r="H27" s="521"/>
      <c r="J27" s="356"/>
      <c r="K27" s="356"/>
      <c r="M27" s="356"/>
    </row>
    <row r="28" spans="3:33" s="168" customFormat="1" ht="22.15" customHeight="1">
      <c r="C28" s="583" t="s">
        <v>761</v>
      </c>
      <c r="D28" s="583"/>
      <c r="E28" s="583"/>
      <c r="F28" s="583"/>
      <c r="G28" s="583"/>
      <c r="H28" s="583"/>
      <c r="I28" s="583"/>
      <c r="J28" s="583"/>
      <c r="K28" s="583"/>
      <c r="L28" s="583"/>
      <c r="M28" s="583"/>
      <c r="N28" s="583"/>
      <c r="O28" s="583"/>
      <c r="P28" s="583"/>
      <c r="Q28" s="583"/>
      <c r="R28" s="583"/>
      <c r="S28" s="583"/>
      <c r="T28" s="583"/>
      <c r="U28" s="583"/>
      <c r="V28" s="583"/>
      <c r="W28" s="583"/>
      <c r="X28" s="583"/>
      <c r="Y28" s="583"/>
      <c r="Z28" s="351"/>
      <c r="AA28" s="351"/>
    </row>
    <row r="29" spans="3:33" s="419" customFormat="1" ht="22.15" customHeight="1">
      <c r="C29" s="418"/>
      <c r="E29" s="584" t="s">
        <v>765</v>
      </c>
      <c r="F29" s="585"/>
      <c r="G29" s="586"/>
      <c r="H29" s="420"/>
      <c r="I29" s="587" t="str">
        <f>nmTherapy1</f>
        <v>Wintellix</v>
      </c>
      <c r="J29" s="588"/>
      <c r="K29" s="588"/>
      <c r="L29" s="588"/>
      <c r="M29" s="589"/>
      <c r="O29" s="590" t="str">
        <f>nmComp1</f>
        <v>Vibrant</v>
      </c>
      <c r="P29" s="591"/>
      <c r="Q29" s="591"/>
      <c r="R29" s="591"/>
      <c r="S29" s="592"/>
      <c r="U29" s="590" t="str">
        <f>nmComp2</f>
        <v>Pristine</v>
      </c>
      <c r="V29" s="591"/>
      <c r="W29" s="591"/>
      <c r="X29" s="591"/>
      <c r="Y29" s="592"/>
      <c r="Z29" s="421"/>
      <c r="AA29" s="421"/>
    </row>
    <row r="30" spans="3:33" s="168" customFormat="1" ht="21.95" customHeight="1">
      <c r="C30" s="391" t="s">
        <v>3198</v>
      </c>
      <c r="E30" s="407" t="s">
        <v>548</v>
      </c>
      <c r="F30" s="410" t="s">
        <v>763</v>
      </c>
      <c r="G30" s="408"/>
      <c r="H30" s="412"/>
      <c r="I30" s="407" t="s">
        <v>764</v>
      </c>
      <c r="J30" s="410" t="s">
        <v>549</v>
      </c>
      <c r="K30" s="410" t="s">
        <v>759</v>
      </c>
      <c r="L30" s="410" t="s">
        <v>548</v>
      </c>
      <c r="M30" s="408" t="s">
        <v>759</v>
      </c>
      <c r="O30" s="407" t="s">
        <v>764</v>
      </c>
      <c r="P30" s="410" t="s">
        <v>549</v>
      </c>
      <c r="Q30" s="410" t="s">
        <v>759</v>
      </c>
      <c r="R30" s="410" t="s">
        <v>548</v>
      </c>
      <c r="S30" s="408" t="s">
        <v>759</v>
      </c>
      <c r="T30" s="153"/>
      <c r="U30" s="407" t="s">
        <v>764</v>
      </c>
      <c r="V30" s="410" t="s">
        <v>549</v>
      </c>
      <c r="W30" s="410" t="s">
        <v>759</v>
      </c>
      <c r="X30" s="410" t="s">
        <v>548</v>
      </c>
      <c r="Y30" s="408" t="s">
        <v>759</v>
      </c>
      <c r="Z30" s="351"/>
      <c r="AA30" s="351" t="s">
        <v>586</v>
      </c>
    </row>
    <row r="31" spans="3:33" s="168" customFormat="1" ht="8.4499999999999993" customHeight="1">
      <c r="E31" s="395"/>
      <c r="F31" s="153"/>
      <c r="G31" s="396"/>
      <c r="H31" s="153"/>
      <c r="I31" s="395"/>
      <c r="J31" s="153"/>
      <c r="K31" s="153"/>
      <c r="L31" s="153"/>
      <c r="M31" s="416"/>
      <c r="O31" s="395"/>
      <c r="P31" s="153"/>
      <c r="Q31" s="153"/>
      <c r="R31" s="153"/>
      <c r="S31" s="396"/>
      <c r="U31" s="395"/>
      <c r="V31" s="153"/>
      <c r="W31" s="153"/>
      <c r="X31" s="153"/>
      <c r="Y31" s="396"/>
    </row>
    <row r="32" spans="3:33" s="168" customFormat="1" ht="19.899999999999999" customHeight="1">
      <c r="C32" s="340" t="str">
        <f>nmPayer1</f>
        <v>Blue Sword/Blue Shield</v>
      </c>
      <c r="E32" s="466">
        <f>INDEX(calcReg1Payer1TotalVolumeR1,,xxIndexTeam)</f>
        <v>137057.33679999999</v>
      </c>
      <c r="F32" s="468">
        <f>tlOutputReg1Payer1TRxTotalVolume_R2/SUM($E$32:$E$34)</f>
        <v>0.38184850337591558</v>
      </c>
      <c r="G32" s="482"/>
      <c r="H32" s="394"/>
      <c r="I32" s="497" t="str">
        <f>INDEX(cbalProd1Payer1Status,,xxIndexTeam)</f>
        <v>T3 DSE</v>
      </c>
      <c r="J32" s="476">
        <f>INDEX(calcReg1Payer1ShareTotalCustR2,,xxIndexTeam)</f>
        <v>4.2920345418578452E-3</v>
      </c>
      <c r="K32" s="474">
        <f>tlOutputReg1Payer1TRxShare_R2-AB32</f>
        <v>-2.0473470163526099E-4</v>
      </c>
      <c r="L32" s="471">
        <f>INDEX(calcReg1Payer1TotalCustR2,,xxIndexTeam)</f>
        <v>666.48873510086082</v>
      </c>
      <c r="M32" s="560">
        <f>tlOutputReg1Payer1TRxVolume_R2-AE32</f>
        <v>50.173518383545002</v>
      </c>
      <c r="N32" s="341"/>
      <c r="O32" s="497" t="str">
        <f>INDEX(cbalProd1Comp1Payer1Status,,xxIndexTeam)</f>
        <v>T2 DGSE</v>
      </c>
      <c r="P32" s="476">
        <f>INDEX(calcReg1Comp1Payer1TotalShareR2,,xxIndexTeam)</f>
        <v>1.2384676304074253E-2</v>
      </c>
      <c r="Q32" s="474">
        <f>tlOutputReg1Comp1Payer1TRxShare_R2-AC32</f>
        <v>-2.2996944263296848E-6</v>
      </c>
      <c r="R32" s="471">
        <f>tlOutputReg1Comp1Payer1TRxShare_R2*tlOutputReg1Payer1TRxTotalVolume_R2</f>
        <v>1697.410751366484</v>
      </c>
      <c r="S32" s="560">
        <f>tlOutputReg1Comp1Payer1TRxVolume_R2-AF32</f>
        <v>-0.3151899935264737</v>
      </c>
      <c r="T32" s="341"/>
      <c r="U32" s="497" t="str">
        <f>INDEX(cbalProd1Comp2Payer1Status,,xxIndexTeam)</f>
        <v>T2 DGSE</v>
      </c>
      <c r="V32" s="476">
        <f>INDEX(calcReg1Comp2Payer1TotalShareR2,,xxIndexTeam)</f>
        <v>3.3059075811614325E-2</v>
      </c>
      <c r="W32" s="474">
        <f>tlOutputReg1Comp2Payer1TRxShare_R2-AD32</f>
        <v>-6.1623775250291279E-6</v>
      </c>
      <c r="X32" s="471">
        <f>tlOutputReg1Payer1TRxTotalVolume_R2*tlOutputReg1Comp2Payer1TRxShare_R2</f>
        <v>4530.9888878091579</v>
      </c>
      <c r="Y32" s="560">
        <f>tlOutputReg1Comp2Payer1TRxVolume_R2-AG32</f>
        <v>-0.84459905193671148</v>
      </c>
      <c r="AA32" s="168">
        <f>INDEX(calcReg1Payer1TotalVolumeR1,,xxIndexTeam)</f>
        <v>137057.33679999999</v>
      </c>
      <c r="AB32" s="537">
        <f>INDEX(calcReg1Payer1ShareTotalCustR1,,xxIndexTeam)</f>
        <v>4.4967692434931062E-3</v>
      </c>
      <c r="AC32" s="537">
        <f>INDEX(calcReg1Comp1Payer1TotalShareR1,,xxIndexTeam)</f>
        <v>1.2386975998500582E-2</v>
      </c>
      <c r="AD32" s="537">
        <f>INDEX(calcReg1Comp2Payer1TotalShareR1,,xxIndexTeam)</f>
        <v>3.3065238189139354E-2</v>
      </c>
      <c r="AE32" s="168">
        <f>AB32*$AA32</f>
        <v>616.31521671731582</v>
      </c>
      <c r="AF32" s="168">
        <f t="shared" ref="AF32:AG34" si="0">AC32*$AA32</f>
        <v>1697.7259413600104</v>
      </c>
      <c r="AG32" s="168">
        <f t="shared" si="0"/>
        <v>4531.8334868610946</v>
      </c>
    </row>
    <row r="33" spans="3:33" s="168" customFormat="1" ht="19.899999999999999" customHeight="1">
      <c r="C33" s="340" t="str">
        <f>nmPayer3</f>
        <v>Dragon Health</v>
      </c>
      <c r="E33" s="467">
        <f>INDEX(calcReg1Payer3TotalVolumeR1,,xxIndexTeam)</f>
        <v>104492.4709</v>
      </c>
      <c r="F33" s="469">
        <f>tlOutputReg1Payer3TRxTotalVolume_R2/SUM($E$32:$E$34)</f>
        <v>0.29112118007546467</v>
      </c>
      <c r="G33" s="486"/>
      <c r="H33" s="394"/>
      <c r="I33" s="498" t="str">
        <f>INDEX(cbalProd1Payer3Status,,xxIndexTeam)</f>
        <v>T3 SGSE</v>
      </c>
      <c r="J33" s="473">
        <f>INDEX(calcReg1Payer3ShareTotalCustR2,,xxIndexTeam)</f>
        <v>5.570458458948299E-3</v>
      </c>
      <c r="K33" s="475">
        <f>tlOutputReg1Payer3TRxShare_R2-AB33</f>
        <v>-1.9396082490680602E-4</v>
      </c>
      <c r="L33" s="472">
        <f>INDEX(calcReg1Payer3TotalCustR2,,xxIndexTeam)</f>
        <v>659.06014798209253</v>
      </c>
      <c r="M33" s="561">
        <f>tlOutputReg1Payer3TRxVolume_R2-AE33</f>
        <v>56.721733708464171</v>
      </c>
      <c r="N33" s="341"/>
      <c r="O33" s="498" t="str">
        <f>INDEX(cbalProd1Comp1Payer3Status,,xxIndexTeam)</f>
        <v>T3 SGSE</v>
      </c>
      <c r="P33" s="473">
        <f>INDEX(calcReg1Comp1Payer3TotalShareR2,,xxIndexTeam)</f>
        <v>8.1742101039863849E-3</v>
      </c>
      <c r="Q33" s="475">
        <f>tlOutputReg1Comp1Payer3TRxShare_R2-AC33</f>
        <v>1.0751558720926979E-7</v>
      </c>
      <c r="R33" s="472">
        <f>tlOutputReg1Comp1Payer3TRxShare_R2*tlOutputReg1Payer3TRxTotalVolume_R2</f>
        <v>854.1434114212833</v>
      </c>
      <c r="S33" s="561">
        <f>tlOutputReg1Comp1Payer3TRxVolume_R2-AF33</f>
        <v>1.1234569367729819E-2</v>
      </c>
      <c r="T33" s="341"/>
      <c r="U33" s="498" t="str">
        <f>INDEX(cbalProd1Comp2Payer3Status,,xxIndexTeam)</f>
        <v>T3 SGSE</v>
      </c>
      <c r="V33" s="473">
        <f>INDEX(calcReg1Comp2Payer3TotalShareR2,,xxIndexTeam)</f>
        <v>2.1819858857903711E-2</v>
      </c>
      <c r="W33" s="475">
        <f>tlOutputReg1Comp2Payer3TRxShare_R2-AD33</f>
        <v>2.7875077044867136E-7</v>
      </c>
      <c r="X33" s="472">
        <f>tlOutputReg1Comp2Payer3TRxShare_R2*tlOutputReg1Payer3TRxTotalVolume_R2</f>
        <v>2280.0109667516108</v>
      </c>
      <c r="Y33" s="561">
        <f>tlOutputReg1Comp2Payer3TRxVolume_R2-AG33</f>
        <v>2.9127356769549806E-2</v>
      </c>
      <c r="AA33" s="168">
        <f>INDEX(calcReg1Payer3TotalVolumeR1,,xxIndexTeam)</f>
        <v>104492.4709</v>
      </c>
      <c r="AB33" s="537">
        <f>INDEX(calcReg1Payer3ShareTotalCustR1,,xxIndexTeam)</f>
        <v>5.764419283855105E-3</v>
      </c>
      <c r="AC33" s="537">
        <f>INDEX(calcReg1Comp1Payer3TotalShareR1,,xxIndexTeam)</f>
        <v>8.1741025883991757E-3</v>
      </c>
      <c r="AD33" s="537">
        <f>INDEX(calcReg1Comp2Payer3TotalShareR1,,xxIndexTeam)</f>
        <v>2.1819580107133262E-2</v>
      </c>
      <c r="AE33" s="168">
        <f t="shared" ref="AE33:AE34" si="1">AB33*$AA33</f>
        <v>602.33841427362836</v>
      </c>
      <c r="AF33" s="168">
        <f t="shared" si="0"/>
        <v>854.13217685191557</v>
      </c>
      <c r="AG33" s="168">
        <f t="shared" si="0"/>
        <v>2279.9818393948412</v>
      </c>
    </row>
    <row r="34" spans="3:33" s="168" customFormat="1" ht="19.899999999999999" customHeight="1">
      <c r="C34" s="340" t="str">
        <f>nmPayer2</f>
        <v>WesterAid</v>
      </c>
      <c r="E34" s="466">
        <f>INDEX(calcReg1Payer2TotalVolumeR1,,xxIndexTeam)</f>
        <v>117381.3799</v>
      </c>
      <c r="F34" s="470">
        <f>tlOutputReg1Payer2TRxTotalVolume_R2/SUM($E$32:$E$34)</f>
        <v>0.32703031654861969</v>
      </c>
      <c r="G34" s="493"/>
      <c r="H34" s="494"/>
      <c r="I34" s="497" t="str">
        <f>INDEX(cbalProd1Payer2Status,,xxIndexTeam)</f>
        <v>T1 NR</v>
      </c>
      <c r="J34" s="476">
        <f>INDEX(calcReg1Payer2ShareTotalCustR2,,xxIndexTeam)</f>
        <v>0</v>
      </c>
      <c r="K34" s="474">
        <f>tlOutputReg1Payer2TRxShare_R2-AB34</f>
        <v>0</v>
      </c>
      <c r="L34" s="471">
        <f>INDEX(calcReg1Payer2TotalCustR2,,xxIndexTeam)</f>
        <v>0</v>
      </c>
      <c r="M34" s="560">
        <f>tlOutputReg1Payer2TRxVolume_R2-AE34</f>
        <v>0</v>
      </c>
      <c r="N34" s="341"/>
      <c r="O34" s="497" t="str">
        <f>INDEX(cbalProd1Comp1Payer2Status,,xxIndexTeam)</f>
        <v>T1 NR</v>
      </c>
      <c r="P34" s="476">
        <f>INDEX(calcReg1Comp1Payer2TotalShareR2,,xxIndexTeam)</f>
        <v>7.0620203668940503E-3</v>
      </c>
      <c r="Q34" s="474">
        <f>tlOutputReg1Comp1Payer2TRxShare_R2-AC34</f>
        <v>2.396413458470581E-7</v>
      </c>
      <c r="R34" s="471">
        <f>tlOutputReg1Payer2TRxTotalVolume_R2*tlOutputReg1Comp1Payer2TRxShare_R2</f>
        <v>828.94969554792794</v>
      </c>
      <c r="S34" s="560">
        <f>tlOutputReg1Comp1Payer2TRxVolume_R2-AF34</f>
        <v>2.8129431856655174E-2</v>
      </c>
      <c r="T34" s="341"/>
      <c r="U34" s="497" t="str">
        <f>INDEX(cbalProd1Comp2Payer2Status,,xxIndexTeam)</f>
        <v>T1 NR</v>
      </c>
      <c r="V34" s="476">
        <f>INDEX(calcReg1Comp2Payer2TotalShareR2,,xxIndexTeam)</f>
        <v>1.8832054311717472E-2</v>
      </c>
      <c r="W34" s="474">
        <f>tlOutputReg1Comp2Payer2TRxShare_R2-AD34</f>
        <v>6.3904358892780122E-7</v>
      </c>
      <c r="X34" s="471">
        <f>tlOutputReg1Payer2TRxTotalVolume_R2*tlOutputReg1Comp2Payer2TRxShare_R2</f>
        <v>2210.5325214611416</v>
      </c>
      <c r="Y34" s="560">
        <f>tlOutputReg1Comp2Payer2TRxVolume_R2-AG34</f>
        <v>7.5011818284565379E-2</v>
      </c>
      <c r="AA34" s="168">
        <f>INDEX(calcReg1Payer2TotalVolumeR1,,xxIndexTeam)</f>
        <v>117381.3799</v>
      </c>
      <c r="AB34" s="537">
        <f>INDEX(calcReg1Payer2ShareTotalCustR1,,xxIndexTeam)</f>
        <v>0</v>
      </c>
      <c r="AC34" s="537">
        <f>INDEX(calcReg1Comp1Payer2TotalShareR1,,xxIndexTeam)</f>
        <v>7.0617807255482033E-3</v>
      </c>
      <c r="AD34" s="537">
        <f>INDEX(calcReg1Comp2Payer2TotalShareR1,,xxIndexTeam)</f>
        <v>1.8831415268128544E-2</v>
      </c>
      <c r="AE34" s="168">
        <f t="shared" si="1"/>
        <v>0</v>
      </c>
      <c r="AF34" s="168">
        <f t="shared" si="0"/>
        <v>828.92156611607129</v>
      </c>
      <c r="AG34" s="168">
        <f t="shared" si="0"/>
        <v>2210.4575096428571</v>
      </c>
    </row>
    <row r="35" spans="3:33" s="168" customFormat="1" ht="15" customHeight="1">
      <c r="E35" s="413"/>
      <c r="F35" s="399"/>
      <c r="G35" s="403"/>
      <c r="H35" s="153"/>
      <c r="I35" s="402"/>
      <c r="J35" s="414"/>
      <c r="K35" s="414"/>
      <c r="L35" s="399"/>
      <c r="M35" s="417"/>
      <c r="O35" s="402"/>
      <c r="P35" s="399"/>
      <c r="Q35" s="399"/>
      <c r="R35" s="399"/>
      <c r="S35" s="403"/>
      <c r="U35" s="402"/>
      <c r="V35" s="399"/>
      <c r="W35" s="399"/>
      <c r="X35" s="399"/>
      <c r="Y35" s="403"/>
    </row>
    <row r="36" spans="3:33" s="168" customFormat="1" ht="9" customHeight="1">
      <c r="E36" s="355"/>
      <c r="G36" s="355"/>
      <c r="H36" s="355"/>
      <c r="J36" s="355"/>
      <c r="K36" s="355"/>
      <c r="M36" s="355"/>
    </row>
    <row r="37" spans="3:33" s="168" customFormat="1" ht="21.95" customHeight="1">
      <c r="C37" s="333"/>
      <c r="E37" s="354"/>
      <c r="F37" s="354"/>
      <c r="G37" s="354"/>
      <c r="H37" s="354"/>
      <c r="I37" s="354"/>
      <c r="J37" s="354"/>
      <c r="K37" s="354"/>
      <c r="L37" s="354"/>
      <c r="M37" s="354"/>
    </row>
    <row r="38" spans="3:33" s="168" customFormat="1" ht="21.95" customHeight="1">
      <c r="C38" s="287"/>
    </row>
    <row r="39" spans="3:33" s="168" customFormat="1" ht="21.95" customHeight="1">
      <c r="C39" s="521"/>
      <c r="E39" s="356"/>
      <c r="F39" s="521"/>
      <c r="G39" s="356"/>
      <c r="H39" s="356"/>
      <c r="I39" s="521"/>
      <c r="J39" s="356"/>
      <c r="K39" s="356"/>
      <c r="L39" s="521"/>
      <c r="M39" s="356"/>
      <c r="Z39" s="331"/>
      <c r="AA39" s="331"/>
      <c r="AB39" s="331"/>
    </row>
    <row r="40" spans="3:33" s="168" customFormat="1" ht="8.4499999999999993" customHeight="1">
      <c r="C40" s="521"/>
      <c r="E40" s="356"/>
      <c r="F40" s="521"/>
      <c r="G40" s="356"/>
      <c r="H40" s="356"/>
      <c r="I40" s="521"/>
      <c r="J40" s="356"/>
      <c r="K40" s="356"/>
      <c r="L40" s="521"/>
      <c r="M40" s="356"/>
      <c r="Z40" s="331"/>
      <c r="AA40" s="331"/>
      <c r="AB40" s="331"/>
    </row>
    <row r="41" spans="3:33" s="168" customFormat="1" ht="21.95" customHeight="1">
      <c r="C41" s="333"/>
      <c r="E41" s="374"/>
      <c r="G41" s="374"/>
      <c r="H41" s="374"/>
      <c r="J41" s="374"/>
      <c r="K41" s="374"/>
      <c r="Z41" s="331"/>
      <c r="AA41" s="331"/>
      <c r="AB41" s="331"/>
    </row>
    <row r="42" spans="3:33" s="168" customFormat="1" ht="21.95" customHeight="1"/>
    <row r="43" spans="3:33" s="168" customFormat="1" ht="21.95" customHeight="1"/>
    <row r="44" spans="3:33" s="168" customFormat="1" ht="21.95" customHeight="1"/>
    <row r="45" spans="3:33" s="167" customFormat="1" ht="15" customHeight="1">
      <c r="C45" s="168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</row>
    <row r="46" spans="3:33" s="167" customFormat="1" ht="15" customHeight="1"/>
    <row r="47" spans="3:33" ht="21.95" customHeight="1"/>
    <row r="48" spans="3:33" ht="21.95" customHeight="1"/>
    <row r="49" ht="21.95" customHeight="1"/>
  </sheetData>
  <sheetProtection selectLockedCells="1"/>
  <mergeCells count="14">
    <mergeCell ref="E19:G19"/>
    <mergeCell ref="I19:M19"/>
    <mergeCell ref="O19:S19"/>
    <mergeCell ref="U19:Y19"/>
    <mergeCell ref="C5:C6"/>
    <mergeCell ref="C8:Y8"/>
    <mergeCell ref="E9:J9"/>
    <mergeCell ref="L9:P9"/>
    <mergeCell ref="C18:Y18"/>
    <mergeCell ref="C28:Y28"/>
    <mergeCell ref="E29:G29"/>
    <mergeCell ref="I29:M29"/>
    <mergeCell ref="O29:S29"/>
    <mergeCell ref="U29:Y29"/>
  </mergeCells>
  <conditionalFormatting sqref="U25">
    <cfRule type="expression" dxfId="108" priority="1">
      <formula>U25&gt;#REF!</formula>
    </cfRule>
  </conditionalFormatting>
  <conditionalFormatting sqref="I21 I25">
    <cfRule type="expression" dxfId="107" priority="3">
      <formula>I21&gt;#REF!</formula>
    </cfRule>
  </conditionalFormatting>
  <conditionalFormatting sqref="O25">
    <cfRule type="expression" dxfId="106" priority="2">
      <formula>O25&gt;#REF!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5"/>
  </sheetPr>
  <dimension ref="C1:Z48"/>
  <sheetViews>
    <sheetView zoomScaleNormal="100" workbookViewId="0">
      <selection activeCell="D5" sqref="D5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DB_Dashboard5</f>
        <v>TRx Share  0.34% NRx Share  0.36% TRx Volume  1,219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DB_Dashboard6Reg1</f>
        <v xml:space="preserve">Market Execution  60.0 Employee Engagement  60.0 </v>
      </c>
    </row>
    <row r="4" spans="3:26" s="342" customFormat="1" ht="22.15" customHeight="1">
      <c r="C4" s="344"/>
      <c r="T4" s="343" t="str">
        <f>DB_Dashboard7Reg1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nmReg1</f>
        <v>The Region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nmReg1Seg1</f>
        <v>Riverrun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I10" s="360"/>
      <c r="L10" s="346"/>
      <c r="M10" s="346"/>
      <c r="N10" s="346"/>
      <c r="X10" s="168" t="s">
        <v>549</v>
      </c>
      <c r="Y10" s="349">
        <f>INDEX(obalReg1Seg1TotalShare,,xxIndexTeam)</f>
        <v>3.2432432432432426E-3</v>
      </c>
      <c r="Z10" s="349">
        <f>INDEX(calcReg1Seg1ShareTotalCustR1,,xxIndexTeam)</f>
        <v>3.2059896302079754E-3</v>
      </c>
    </row>
    <row r="11" spans="3:26" s="168" customFormat="1" ht="9.9499999999999993" customHeight="1">
      <c r="X11" s="168" t="s">
        <v>550</v>
      </c>
      <c r="Y11" s="349">
        <f>INDEX(obalReg1Seg1NewShare,,xxIndexTeam)</f>
        <v>3.2432432432432426E-3</v>
      </c>
      <c r="Z11" s="349">
        <f>INDEX(calcReg1Seg1ShareNewCustR1,,xxIndexTeam)</f>
        <v>3.3717095238095245E-3</v>
      </c>
    </row>
    <row r="12" spans="3:26" s="168" customFormat="1" ht="15" customHeight="1">
      <c r="C12" s="168" t="str">
        <f>nmPayer1</f>
        <v>Blue Sword/Blue Shield</v>
      </c>
      <c r="E12" s="345">
        <f>INDEX(calcReg1Seg1Payer1VolumeR1,,xxIndexTeam)</f>
        <v>167.23262209499995</v>
      </c>
      <c r="G12" s="548">
        <f>tlOutputReg1Seg1Payer1Volume_R1-V12</f>
        <v>21.475822094999984</v>
      </c>
      <c r="I12" s="345"/>
      <c r="V12" s="168">
        <f>INDEX(obalReg1Seg1Payer1Volume,,xxIndexTeam)</f>
        <v>145.75679999999997</v>
      </c>
    </row>
    <row r="13" spans="3:26" s="168" customFormat="1" ht="12.6" customHeight="1">
      <c r="C13" s="287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INDEX(calcReg1Seg1Payer3VolumeR1,,xxIndexTeam)</f>
        <v>206.04288830399997</v>
      </c>
      <c r="G14" s="548">
        <f>tlOutputReg1Seg1Payer3Volume_R1-V14</f>
        <v>27.895688304000004</v>
      </c>
      <c r="I14" s="345"/>
      <c r="V14" s="168">
        <f>INDEX(obalReg1Seg1Payer3Volume,,xxIndexTeam)</f>
        <v>178.14719999999997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2.6" customHeight="1">
      <c r="C16" s="168" t="str">
        <f>nmPayer2</f>
        <v>WesterAid</v>
      </c>
      <c r="E16" s="345">
        <f>INDEX(calcReg1Seg1Payer2VolumeR1,,xxIndexTeam)</f>
        <v>0</v>
      </c>
      <c r="G16" s="548">
        <f>tlOutputReg1Seg1Payer2Volume_R1-V16</f>
        <v>0</v>
      </c>
      <c r="V16" s="168">
        <f>INDEX(obalReg1Seg1Payer2Volume,,xxIndexTeam)</f>
        <v>0</v>
      </c>
      <c r="Y16" s="349"/>
      <c r="Z16" s="349"/>
    </row>
    <row r="17" spans="3:26" s="168" customFormat="1" ht="21.95" customHeight="1">
      <c r="C17" s="287"/>
      <c r="Y17" s="331"/>
      <c r="Z17" s="331"/>
    </row>
    <row r="18" spans="3:26" s="168" customFormat="1" ht="21.95" customHeight="1">
      <c r="C18" s="531" t="s">
        <v>3184</v>
      </c>
      <c r="G18" s="350" t="s">
        <v>516</v>
      </c>
      <c r="I18" s="370" t="s">
        <v>587</v>
      </c>
      <c r="J18" s="368"/>
      <c r="K18" s="371" t="s">
        <v>586</v>
      </c>
      <c r="W18" s="168" t="s">
        <v>590</v>
      </c>
      <c r="X18" s="351">
        <v>1119826.5311969998</v>
      </c>
      <c r="Y18" s="351">
        <f>INDEX(calcReg1Seg1GrossRevenueR1,,xxIndexTeam)</f>
        <v>1119826.5311969998</v>
      </c>
    </row>
    <row r="19" spans="3:26" s="168" customFormat="1" ht="13.9" customHeight="1">
      <c r="C19" s="354" t="s">
        <v>2904</v>
      </c>
      <c r="E19" s="348">
        <v>0.33</v>
      </c>
      <c r="G19" s="533">
        <f>I19/70</f>
        <v>707.14285714285711</v>
      </c>
      <c r="I19" s="359">
        <f>INDEX(calcReg1Seg1SampleAllocR1,,xxIndexTeam)</f>
        <v>49500</v>
      </c>
      <c r="K19" s="359">
        <f>INDEX(obalReg1Seg1SampleAlloc,,xxIndexTeam)</f>
        <v>49500</v>
      </c>
      <c r="W19" s="168" t="s">
        <v>3825</v>
      </c>
      <c r="X19" s="351">
        <v>548270.18573579995</v>
      </c>
      <c r="Y19" s="351">
        <f>INDEX(calcReg1Seg1Reimbursement,,xxIndexTeam)</f>
        <v>548270.18573579995</v>
      </c>
    </row>
    <row r="20" spans="3:26" s="168" customFormat="1" ht="21.95" customHeight="1">
      <c r="G20" s="361"/>
      <c r="W20" s="168" t="s">
        <v>593</v>
      </c>
      <c r="X20" s="351">
        <v>571556.34546119987</v>
      </c>
      <c r="Y20" s="351">
        <f>INDEX(calcReg1Seg1NetRevenueR1,,xxIndexTeam)</f>
        <v>571556.34546119987</v>
      </c>
    </row>
    <row r="21" spans="3:26" s="168" customFormat="1" ht="19.149999999999999" customHeight="1">
      <c r="C21" s="168" t="s">
        <v>3190</v>
      </c>
      <c r="E21" s="532">
        <v>0.33</v>
      </c>
      <c r="I21" s="370" t="s">
        <v>587</v>
      </c>
      <c r="J21" s="530"/>
      <c r="K21" s="371" t="s">
        <v>586</v>
      </c>
      <c r="W21" s="168" t="s">
        <v>516</v>
      </c>
      <c r="X21" s="351">
        <v>49500</v>
      </c>
      <c r="Y21" s="351">
        <f>INDEX(calcReg1Seg1SampleAllocR2,,xxIndexTeam)</f>
        <v>49500</v>
      </c>
    </row>
    <row r="22" spans="3:26" s="168" customFormat="1" ht="13.9" customHeight="1">
      <c r="I22" s="359">
        <f>INDEX(calcReg1Seg1PromotionAllocationR1,,xxIndexTeam)</f>
        <v>198000</v>
      </c>
      <c r="K22" s="536">
        <f>INDEX(obalReg1Seg1TotalPromotionAllocation,,xxIndexTeam)</f>
        <v>198000</v>
      </c>
      <c r="W22" s="168" t="s">
        <v>3251</v>
      </c>
      <c r="X22" s="351">
        <v>99000</v>
      </c>
      <c r="Y22" s="351">
        <f>INDEX(calcReg1Seg1SpeakerAllocR1,,xxIndexTeam)</f>
        <v>99000</v>
      </c>
    </row>
    <row r="23" spans="3:26" s="168" customFormat="1" ht="6.6" customHeight="1">
      <c r="C23" s="534"/>
      <c r="E23" s="352"/>
      <c r="I23" s="358"/>
      <c r="J23" s="526"/>
      <c r="K23" s="535"/>
      <c r="W23" s="168" t="s">
        <v>2333</v>
      </c>
      <c r="X23" s="351">
        <v>99000</v>
      </c>
      <c r="Y23" s="351">
        <f>INDEX(calcReg1Seg1PromotionAllocR1,,xxIndexTeam)</f>
        <v>99000</v>
      </c>
    </row>
    <row r="24" spans="3:26" s="168" customFormat="1" ht="13.9" customHeight="1">
      <c r="C24" s="534" t="s">
        <v>2900</v>
      </c>
      <c r="E24" s="348">
        <v>0.5</v>
      </c>
      <c r="I24" s="359">
        <f>INDEX(calcReg1Seg1SpeakerAllocR1,,xxIndexTeam)</f>
        <v>99000</v>
      </c>
      <c r="J24" s="526"/>
      <c r="K24" s="536">
        <f>INDEX(obalReg1Seg1SpeakerAlloc,,xxIndexTeam)</f>
        <v>99000</v>
      </c>
      <c r="W24" s="168" t="s">
        <v>594</v>
      </c>
      <c r="X24" s="351">
        <v>30000</v>
      </c>
      <c r="Y24" s="573">
        <f>INDEX(calcReg1Seg1InternalCostR1,,xxIndexTeam)</f>
        <v>0</v>
      </c>
    </row>
    <row r="25" spans="3:26" s="168" customFormat="1" ht="6.6" customHeight="1">
      <c r="C25" s="534"/>
      <c r="E25" s="352"/>
      <c r="I25" s="358"/>
      <c r="J25" s="526"/>
      <c r="K25" s="535"/>
      <c r="W25" s="168" t="s">
        <v>595</v>
      </c>
      <c r="X25" s="351">
        <v>294056.34546119987</v>
      </c>
      <c r="Y25" s="351">
        <f>Y20-SUM(Y21:Y24)</f>
        <v>324056.34546119987</v>
      </c>
    </row>
    <row r="26" spans="3:26" s="168" customFormat="1" ht="13.9" customHeight="1">
      <c r="C26" s="534" t="s">
        <v>2901</v>
      </c>
      <c r="E26" s="539">
        <f>1-tlInputReg1Seg1SpeakersPerc_R1</f>
        <v>0.5</v>
      </c>
      <c r="I26" s="359">
        <f>INDEX(calcReg1Seg1PromotionAllocR1,,xxIndexTeam)</f>
        <v>99000</v>
      </c>
      <c r="J26" s="526"/>
      <c r="K26" s="536">
        <f>INDEX(obalReg1Seg1PromotionAlloc,,xxIndexTeam)</f>
        <v>99000</v>
      </c>
    </row>
    <row r="27" spans="3:26" s="168" customFormat="1" ht="21.95" customHeight="1">
      <c r="E27" s="331"/>
    </row>
    <row r="28" spans="3:26" s="168" customFormat="1" ht="21.95" customHeight="1">
      <c r="C28" s="287" t="s">
        <v>2903</v>
      </c>
      <c r="G28" s="368" t="s">
        <v>2666</v>
      </c>
      <c r="I28" s="356"/>
      <c r="K28" s="356"/>
    </row>
    <row r="29" spans="3:26" s="168" customFormat="1" ht="14.45" customHeight="1">
      <c r="C29" s="340" t="s">
        <v>556</v>
      </c>
      <c r="E29" s="353">
        <v>0</v>
      </c>
      <c r="G29" s="358">
        <f>INDEX(calcReg1Seg1FTEsCFCollabR1,,xxIndexTeam)</f>
        <v>0</v>
      </c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1193</v>
      </c>
      <c r="E33" s="354" t="s">
        <v>771</v>
      </c>
      <c r="F33" s="363"/>
      <c r="G33" s="534" t="s">
        <v>2666</v>
      </c>
      <c r="H33" s="459"/>
      <c r="I33" s="354"/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4">
        <f>INDEX(calcReg1Seg1FTEsRep1R1,,xxIndexTeam)</f>
        <v>0</v>
      </c>
      <c r="I34" s="355"/>
      <c r="K34" s="355"/>
      <c r="W34" s="168" t="s">
        <v>592</v>
      </c>
      <c r="X34" s="496">
        <f>INDEX(obalESATReg1,,xxIndexTeam)</f>
        <v>60</v>
      </c>
      <c r="Y34" s="496">
        <f>INDEX(cbalESATReg1,,xxIndexTeam)</f>
        <v>60</v>
      </c>
    </row>
    <row r="35" spans="3:26" s="168" customFormat="1" ht="9" customHeight="1">
      <c r="E35" s="355"/>
      <c r="F35" s="336"/>
      <c r="G35" s="355"/>
      <c r="I35" s="355"/>
      <c r="K35" s="355"/>
      <c r="W35" s="168" t="s">
        <v>2644</v>
      </c>
      <c r="X35" s="496">
        <f>INDEX(obalOpEffReg1,,xxIndexTeam)</f>
        <v>60</v>
      </c>
      <c r="Y35" s="496">
        <f>INDEX(cbalOpEffReg1,,xxIndexTeam)</f>
        <v>60</v>
      </c>
    </row>
    <row r="36" spans="3:26" s="168" customFormat="1" ht="21.95" customHeight="1">
      <c r="F36" s="364"/>
      <c r="G36" s="354"/>
      <c r="H36" s="354"/>
      <c r="I36" s="354"/>
      <c r="J36" s="354"/>
      <c r="K36" s="354"/>
    </row>
    <row r="37" spans="3:26" s="168" customFormat="1" ht="21.95" customHeight="1">
      <c r="C37" s="340" t="s">
        <v>1192</v>
      </c>
      <c r="E37" s="353">
        <v>0</v>
      </c>
      <c r="G37" s="358">
        <f>INDEX(calcReg1Seg1FTEsRegTrainR1,,xxIndexTeam)</f>
        <v>0</v>
      </c>
      <c r="X37" s="168" t="str">
        <f>nmReg1Seg1</f>
        <v>Riverrun</v>
      </c>
      <c r="Y37" s="168" t="str">
        <f>nmReg1Seg2</f>
        <v>Winterfell</v>
      </c>
      <c r="Z37" s="168" t="str">
        <f>nmReg1Seg3</f>
        <v>Harrenhal</v>
      </c>
    </row>
    <row r="38" spans="3:26" s="168" customFormat="1" ht="21.95" customHeight="1">
      <c r="C38" s="368"/>
      <c r="E38" s="356"/>
      <c r="F38" s="459"/>
      <c r="G38" s="356"/>
      <c r="H38" s="459"/>
      <c r="I38" s="356"/>
      <c r="J38" s="368"/>
      <c r="K38" s="356"/>
      <c r="W38" s="168" t="s">
        <v>596</v>
      </c>
      <c r="X38" s="331">
        <f>1-tlOutputReg1Seg1Rep1IntTime_R1</f>
        <v>0.9</v>
      </c>
      <c r="Y38" s="331">
        <f>1-tlOutputReg1Seg1Rep2IntTime_R1</f>
        <v>0.9</v>
      </c>
      <c r="Z38" s="331">
        <f>1-tlOutputReg1Seg1Rep3IntTime_R1</f>
        <v>0.9</v>
      </c>
    </row>
    <row r="39" spans="3:26" s="168" customFormat="1" ht="8.4499999999999993" customHeight="1">
      <c r="C39" s="368"/>
      <c r="E39" s="356"/>
      <c r="F39" s="459"/>
      <c r="G39" s="356"/>
      <c r="H39" s="459"/>
      <c r="I39" s="356"/>
      <c r="J39" s="368"/>
      <c r="K39" s="356"/>
      <c r="X39" s="331"/>
      <c r="Y39" s="331"/>
      <c r="Z39" s="331"/>
    </row>
    <row r="40" spans="3:26" s="168" customFormat="1" ht="21.95" customHeight="1">
      <c r="C40" s="333"/>
      <c r="E40" s="374"/>
      <c r="G40" s="374"/>
      <c r="I40" s="374"/>
      <c r="W40" s="168" t="s">
        <v>597</v>
      </c>
      <c r="X40" s="331">
        <f>INDEX(calcReg1Seg1Rep1InternalTimeR1,,xxIndexTeam)</f>
        <v>0.1</v>
      </c>
      <c r="Y40" s="331">
        <f>INDEX(calcReg1Seg2Rep1InternalTimeR1,,xxIndexTeam)</f>
        <v>0.1</v>
      </c>
      <c r="Z40" s="331">
        <f>INDEX(calcReg1Seg3Rep1InternalTimeR1,,xxIndexTeam)</f>
        <v>0.1</v>
      </c>
    </row>
    <row r="41" spans="3:26" s="168" customFormat="1" ht="21.95" customHeight="1"/>
    <row r="42" spans="3:26" s="168" customFormat="1" ht="21.95" customHeight="1"/>
    <row r="43" spans="3:26" s="168" customFormat="1" ht="21.95" customHeight="1"/>
    <row r="44" spans="3:26" s="167" customFormat="1" ht="15" customHeight="1"/>
    <row r="45" spans="3:26" s="167" customFormat="1" ht="15" customHeight="1"/>
    <row r="46" spans="3:26" ht="21.95" customHeight="1"/>
    <row r="47" spans="3:26" ht="21.95" customHeight="1"/>
    <row r="48" spans="3:26" ht="21.95" customHeight="1"/>
  </sheetData>
  <sheetProtection selectLockedCells="1"/>
  <conditionalFormatting sqref="I24 I26">
    <cfRule type="expression" dxfId="105" priority="5">
      <formula>I24&gt;#REF!</formula>
    </cfRule>
  </conditionalFormatting>
  <conditionalFormatting sqref="K24 K26">
    <cfRule type="expression" dxfId="104" priority="4">
      <formula>K24&gt;#REF!</formula>
    </cfRule>
  </conditionalFormatting>
  <conditionalFormatting sqref="I19">
    <cfRule type="expression" dxfId="103" priority="3">
      <formula>I19&gt;#REF!</formula>
    </cfRule>
  </conditionalFormatting>
  <conditionalFormatting sqref="K19">
    <cfRule type="expression" dxfId="102" priority="2">
      <formula>K19&gt;#REF!</formula>
    </cfRule>
  </conditionalFormatting>
  <conditionalFormatting sqref="I22">
    <cfRule type="expression" dxfId="101" priority="1">
      <formula>I22&gt;#REF!</formula>
    </cfRule>
  </conditionalFormatting>
  <dataValidations count="1">
    <dataValidation type="list" allowBlank="1" showInputMessage="1" showErrorMessage="1" sqref="E29 E37 E34">
      <formula1>"0,1,2,3,4,5"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5"/>
  </sheetPr>
  <dimension ref="C1:Z46"/>
  <sheetViews>
    <sheetView topLeftCell="A30" zoomScaleNormal="100" workbookViewId="0">
      <selection activeCell="G34" sqref="G34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DB_Dashboard5</f>
        <v>TRx Share  0.34% NRx Share  0.36% TRx Volume  1,219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DB_Dashboard6Reg1</f>
        <v xml:space="preserve">Market Execution  60.0 Employee Engagement  60.0 </v>
      </c>
    </row>
    <row r="4" spans="3:26" s="342" customFormat="1" ht="22.15" customHeight="1">
      <c r="C4" s="344"/>
      <c r="T4" s="343" t="str">
        <f>DB_Dashboard7Reg1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nmReg1</f>
        <v>The Region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nmReg1Seg2</f>
        <v>Winterfell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I10" s="360"/>
      <c r="L10" s="346"/>
      <c r="M10" s="346"/>
      <c r="N10" s="346"/>
      <c r="X10" s="168" t="s">
        <v>549</v>
      </c>
      <c r="Y10" s="349">
        <f>INDEX(obalReg1Seg2TotalShare,,xxIndexTeam)</f>
        <v>4.0000000000000001E-3</v>
      </c>
      <c r="Z10" s="349">
        <f>INDEX(calcReg1Seg2ShareTotalCustR1,,xxIndexTeam)</f>
        <v>3.889465148981453E-3</v>
      </c>
    </row>
    <row r="11" spans="3:26" s="168" customFormat="1" ht="9.9499999999999993" customHeight="1">
      <c r="X11" s="168" t="s">
        <v>550</v>
      </c>
      <c r="Y11" s="349">
        <f>INDEX(obalReg1Seg2NewShare,,xxIndexTeam)</f>
        <v>4.0000000000000001E-3</v>
      </c>
      <c r="Z11" s="349">
        <f>INDEX(calcReg1Seg2ShareNewCustR1,,xxIndexTeam)</f>
        <v>4.2522382478632475E-3</v>
      </c>
    </row>
    <row r="12" spans="3:26" s="168" customFormat="1" ht="15" customHeight="1">
      <c r="C12" s="168" t="str">
        <f>nmPayer1</f>
        <v>Blue Sword/Blue Shield</v>
      </c>
      <c r="E12" s="345">
        <f>INDEX(calcReg1Seg2Payer1VolumeR1,,xxIndexTeam)</f>
        <v>209.52123764000004</v>
      </c>
      <c r="G12" s="548">
        <f>tlOutputReg1Seg2Payer1Volume_R1-V12</f>
        <v>30.939317640000013</v>
      </c>
      <c r="I12" s="345"/>
      <c r="V12" s="168">
        <f>INDEX(obalReg1Seg2Payer1Volume,,xxIndexTeam)</f>
        <v>178.58192000000003</v>
      </c>
    </row>
    <row r="13" spans="3:26" s="168" customFormat="1" ht="12.6" customHeight="1">
      <c r="C13" s="287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INDEX(calcReg1Seg2Payer3VolumeR1,,xxIndexTeam)</f>
        <v>189.86695095496154</v>
      </c>
      <c r="G14" s="548">
        <f>tlOutputReg1Seg2Payer3Volume_R1-V14</f>
        <v>43.754470954961533</v>
      </c>
      <c r="I14" s="345"/>
      <c r="V14" s="168">
        <f>INDEX(obalReg1Seg2Payer3Volume,,xxIndexTeam)</f>
        <v>146.11248000000001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2.6" customHeight="1">
      <c r="C16" s="168" t="str">
        <f>nmPayer2</f>
        <v>WesterAid</v>
      </c>
      <c r="E16" s="345">
        <f>INDEX(calcReg1Seg2Payer2VolumeR1,,xxIndexTeam)</f>
        <v>0</v>
      </c>
      <c r="G16" s="548">
        <f>tlOutputReg1Seg2Payer2Volume_R1-V16</f>
        <v>0</v>
      </c>
      <c r="V16" s="168">
        <f>INDEX(obalReg1Seg2Payer2Volume,,xxIndexTeam)</f>
        <v>0</v>
      </c>
      <c r="Y16" s="349"/>
      <c r="Z16" s="349"/>
    </row>
    <row r="17" spans="3:26" s="168" customFormat="1" ht="21.95" customHeight="1">
      <c r="C17" s="287"/>
      <c r="X17" s="168" t="s">
        <v>586</v>
      </c>
      <c r="Y17" s="331" t="s">
        <v>587</v>
      </c>
      <c r="Z17" s="331"/>
    </row>
    <row r="18" spans="3:26" s="168" customFormat="1" ht="21.95" customHeight="1">
      <c r="C18" s="531" t="s">
        <v>3184</v>
      </c>
      <c r="E18" s="368"/>
      <c r="G18" s="350" t="s">
        <v>516</v>
      </c>
      <c r="I18" s="370" t="s">
        <v>587</v>
      </c>
      <c r="J18" s="530"/>
      <c r="K18" s="371" t="s">
        <v>586</v>
      </c>
      <c r="W18" s="168" t="s">
        <v>590</v>
      </c>
      <c r="X18" s="351">
        <v>1198164.5657848846</v>
      </c>
      <c r="Y18" s="351">
        <f>INDEX(calcReg1Seg2GrossRevenueR1,,xxIndexTeam)</f>
        <v>1198164.5657848846</v>
      </c>
    </row>
    <row r="19" spans="3:26" s="168" customFormat="1" ht="13.9" customHeight="1">
      <c r="C19" s="354" t="s">
        <v>2904</v>
      </c>
      <c r="E19" s="348">
        <v>0.33</v>
      </c>
      <c r="G19" s="533">
        <f>I19/70</f>
        <v>707.14285714285711</v>
      </c>
      <c r="I19" s="359">
        <f>INDEX(calcReg1Seg2SampleAllocR1,,xxIndexTeam)</f>
        <v>49500</v>
      </c>
      <c r="K19" s="359">
        <f>INDEX(obalReg1Seg2SampleAlloc,,xxIndexTeam)</f>
        <v>49500</v>
      </c>
      <c r="W19" s="168" t="s">
        <v>3825</v>
      </c>
      <c r="X19" s="351">
        <v>604978.56889795372</v>
      </c>
      <c r="Y19" s="351">
        <f>INDEX(calcReg1Seg2Reimbursement,,xxIndexTeam)</f>
        <v>604978.56889795372</v>
      </c>
    </row>
    <row r="20" spans="3:26" s="168" customFormat="1" ht="21.95" customHeight="1">
      <c r="G20" s="361"/>
      <c r="W20" s="168" t="s">
        <v>593</v>
      </c>
      <c r="X20" s="351">
        <v>593185.99688693089</v>
      </c>
      <c r="Y20" s="351">
        <f>INDEX(calcReg1Seg2NetRevenueR1,,xxIndexTeam)</f>
        <v>593185.99688693089</v>
      </c>
    </row>
    <row r="21" spans="3:26" s="168" customFormat="1" ht="19.149999999999999" customHeight="1">
      <c r="C21" s="168" t="s">
        <v>3190</v>
      </c>
      <c r="E21" s="532">
        <v>0.33</v>
      </c>
      <c r="I21" s="370" t="s">
        <v>587</v>
      </c>
      <c r="J21" s="530"/>
      <c r="K21" s="371" t="s">
        <v>586</v>
      </c>
      <c r="W21" s="168" t="s">
        <v>516</v>
      </c>
      <c r="X21" s="351">
        <v>49500</v>
      </c>
      <c r="Y21" s="351">
        <f>INDEX(calcReg1Seg2SampleAllocR2,,xxIndexTeam)</f>
        <v>49500</v>
      </c>
    </row>
    <row r="22" spans="3:26" s="168" customFormat="1" ht="13.9" customHeight="1">
      <c r="I22" s="359">
        <f>INDEX(calcReg1Seg2PromotionAllocationR1,,xxIndexTeam)</f>
        <v>198000</v>
      </c>
      <c r="K22" s="536">
        <f>INDEX(obalReg1Seg2TotalPromotionAllocation,,xxIndexTeam)</f>
        <v>198000</v>
      </c>
      <c r="W22" s="168" t="s">
        <v>3251</v>
      </c>
      <c r="X22" s="351">
        <v>99000</v>
      </c>
      <c r="Y22" s="351">
        <f>INDEX(calcReg1Seg2SpeakerAllocR1,,xxIndexTeam)</f>
        <v>99000</v>
      </c>
    </row>
    <row r="23" spans="3:26" s="168" customFormat="1" ht="6.6" customHeight="1">
      <c r="C23" s="368"/>
      <c r="E23" s="352"/>
      <c r="I23" s="358"/>
      <c r="J23" s="530"/>
      <c r="K23" s="535"/>
      <c r="W23" s="168" t="s">
        <v>2333</v>
      </c>
      <c r="X23" s="351">
        <v>99000</v>
      </c>
      <c r="Y23" s="351">
        <f>INDEX(calcReg1Seg2PromotionAllocR1,,xxIndexTeam)</f>
        <v>99000</v>
      </c>
    </row>
    <row r="24" spans="3:26" s="168" customFormat="1" ht="13.9" customHeight="1">
      <c r="C24" s="534" t="s">
        <v>2900</v>
      </c>
      <c r="E24" s="348">
        <v>0.5</v>
      </c>
      <c r="I24" s="359">
        <f>INDEX(calcReg1Seg2SpeakerAllocR1,,xxIndexTeam)</f>
        <v>99000</v>
      </c>
      <c r="J24" s="530"/>
      <c r="K24" s="536">
        <f>INDEX(obalReg1Seg2SpeakerAlloc,,xxIndexTeam)</f>
        <v>99000</v>
      </c>
      <c r="W24" s="168" t="s">
        <v>594</v>
      </c>
      <c r="X24" s="351">
        <v>30000</v>
      </c>
      <c r="Y24" s="573">
        <f>INDEX(calcReg1Seg2InternalCostR1,,xxIndexTeam)</f>
        <v>0</v>
      </c>
    </row>
    <row r="25" spans="3:26" s="168" customFormat="1" ht="6.6" customHeight="1">
      <c r="C25" s="534"/>
      <c r="E25" s="352"/>
      <c r="I25" s="358"/>
      <c r="J25" s="530"/>
      <c r="K25" s="535"/>
      <c r="W25" s="168" t="s">
        <v>595</v>
      </c>
      <c r="X25" s="351">
        <v>315685.99688693089</v>
      </c>
      <c r="Y25" s="351">
        <f>Y20-SUM(Y21:Y24)</f>
        <v>345685.99688693089</v>
      </c>
    </row>
    <row r="26" spans="3:26" s="168" customFormat="1" ht="13.9" customHeight="1">
      <c r="C26" s="534" t="s">
        <v>2901</v>
      </c>
      <c r="E26" s="539">
        <f>1-tlInputReg1Seg2SpeakersPerc_R1</f>
        <v>0.5</v>
      </c>
      <c r="I26" s="359">
        <f>INDEX(calcReg1Seg2PromotionAllocR1,,xxIndexTeam)</f>
        <v>99000</v>
      </c>
      <c r="J26" s="530"/>
      <c r="K26" s="536">
        <f>INDEX(obalReg1Seg2PromotionAlloc,,xxIndexTeam)</f>
        <v>99000</v>
      </c>
    </row>
    <row r="27" spans="3:26" s="168" customFormat="1" ht="21.95" customHeight="1">
      <c r="E27" s="331"/>
    </row>
    <row r="28" spans="3:26" s="168" customFormat="1" ht="21.95" customHeight="1">
      <c r="C28" s="287"/>
      <c r="G28" s="527"/>
      <c r="I28" s="356"/>
      <c r="K28" s="356"/>
    </row>
    <row r="29" spans="3:26" s="168" customFormat="1" ht="14.45" customHeight="1">
      <c r="C29" s="340"/>
      <c r="E29" s="355"/>
      <c r="G29" s="358"/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599</v>
      </c>
      <c r="E33" s="354" t="s">
        <v>771</v>
      </c>
      <c r="F33" s="363"/>
      <c r="G33" s="534" t="s">
        <v>2666</v>
      </c>
      <c r="H33" s="522"/>
      <c r="I33" s="354"/>
      <c r="J33" s="522"/>
      <c r="K33" s="522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8">
        <f>INDEX(calcReg1Seg2FTEsRep1R1,,xxIndexTeam)</f>
        <v>0</v>
      </c>
      <c r="I34" s="355"/>
      <c r="K34" s="355"/>
      <c r="W34" s="168" t="s">
        <v>592</v>
      </c>
      <c r="X34" s="496">
        <f>INDEX(obalESATReg1,,xxIndexTeam)</f>
        <v>60</v>
      </c>
      <c r="Y34" s="496">
        <f>INDEX(cbalESATReg1,,xxIndexTeam)</f>
        <v>60</v>
      </c>
    </row>
    <row r="35" spans="3:26" s="168" customFormat="1" ht="9" customHeight="1">
      <c r="E35" s="355"/>
      <c r="F35" s="336"/>
      <c r="G35" s="355"/>
      <c r="I35" s="355"/>
      <c r="K35" s="355"/>
      <c r="W35" s="168" t="s">
        <v>2644</v>
      </c>
      <c r="X35" s="496">
        <f>INDEX(obalOpEffReg1,,xxIndexTeam)</f>
        <v>60</v>
      </c>
      <c r="Y35" s="496">
        <f>INDEX(cbalOpEffReg1,,xxIndexTeam)</f>
        <v>60</v>
      </c>
    </row>
    <row r="36" spans="3:26" s="168" customFormat="1" ht="21.95" customHeight="1">
      <c r="C36" s="333"/>
      <c r="F36" s="364"/>
      <c r="G36" s="354"/>
      <c r="H36" s="354"/>
      <c r="I36" s="354"/>
      <c r="J36" s="354"/>
      <c r="K36" s="354"/>
    </row>
    <row r="37" spans="3:26" s="168" customFormat="1" ht="21.95" customHeight="1">
      <c r="C37" s="340" t="s">
        <v>3211</v>
      </c>
      <c r="E37" s="353">
        <v>0</v>
      </c>
      <c r="G37" s="358">
        <f>INDEX(calcReg1Seg2FTEsRegTrainR1,,xxIndexTeam)</f>
        <v>0</v>
      </c>
      <c r="H37" s="336"/>
      <c r="X37" s="168" t="str">
        <f>nmReg1Seg1</f>
        <v>Riverrun</v>
      </c>
      <c r="Y37" s="168" t="str">
        <f>nmReg1Seg2</f>
        <v>Winterfell</v>
      </c>
      <c r="Z37" s="168" t="str">
        <f>nmReg1Seg3</f>
        <v>Harrenhal</v>
      </c>
    </row>
    <row r="38" spans="3:26" s="168" customFormat="1" ht="21.95" customHeight="1">
      <c r="C38" s="368"/>
      <c r="J38" s="368"/>
      <c r="K38" s="356"/>
      <c r="W38" s="168" t="s">
        <v>596</v>
      </c>
      <c r="X38" s="331">
        <f>1-tlOutputReg1Seg1Rep1IntTime_R1</f>
        <v>0.9</v>
      </c>
      <c r="Y38" s="331">
        <f>1-tlOutputReg1Seg2Rep2IntTime_R1</f>
        <v>0.9</v>
      </c>
      <c r="Z38" s="331">
        <f>1-tlOutputReg1Seg2Rep3IntTime_R1</f>
        <v>0.9</v>
      </c>
    </row>
    <row r="39" spans="3:26" s="168" customFormat="1" ht="8.4499999999999993" customHeight="1">
      <c r="C39" s="368"/>
      <c r="J39" s="368"/>
      <c r="K39" s="356"/>
      <c r="X39" s="331"/>
      <c r="Y39" s="331"/>
      <c r="Z39" s="331"/>
    </row>
    <row r="40" spans="3:26" s="168" customFormat="1" ht="21.95" customHeight="1">
      <c r="C40" s="333"/>
      <c r="W40" s="168" t="s">
        <v>597</v>
      </c>
      <c r="X40" s="331">
        <f>INDEX(calcReg1Seg1Rep1InternalTimeR1,,xxIndexTeam)</f>
        <v>0.1</v>
      </c>
      <c r="Y40" s="331">
        <f>INDEX(calcReg1Seg2Rep1InternalTimeR1,,xxIndexTeam)</f>
        <v>0.1</v>
      </c>
      <c r="Z40" s="331">
        <f>INDEX(calcReg1Seg3Rep1InternalTimeR1,,xxIndexTeam)</f>
        <v>0.1</v>
      </c>
    </row>
    <row r="41" spans="3:26" s="168" customFormat="1" ht="21.95" customHeight="1"/>
    <row r="42" spans="3:26" s="168" customFormat="1" ht="21.95" customHeight="1"/>
    <row r="43" spans="3:26" s="168" customFormat="1" ht="21.95" customHeight="1"/>
    <row r="44" spans="3:26" s="167" customFormat="1" ht="15" customHeight="1"/>
    <row r="45" spans="3:26" s="167" customFormat="1" ht="15" customHeight="1"/>
    <row r="46" spans="3:26" ht="21.95" customHeight="1"/>
  </sheetData>
  <sheetProtection selectLockedCells="1"/>
  <conditionalFormatting sqref="I19">
    <cfRule type="expression" dxfId="100" priority="8">
      <formula>I19&gt;#REF!</formula>
    </cfRule>
  </conditionalFormatting>
  <conditionalFormatting sqref="K19">
    <cfRule type="expression" dxfId="99" priority="7">
      <formula>K19&gt;#REF!</formula>
    </cfRule>
  </conditionalFormatting>
  <conditionalFormatting sqref="I24 I26">
    <cfRule type="expression" dxfId="98" priority="3">
      <formula>I24&gt;#REF!</formula>
    </cfRule>
  </conditionalFormatting>
  <conditionalFormatting sqref="K24 K26">
    <cfRule type="expression" dxfId="97" priority="2">
      <formula>K24&gt;#REF!</formula>
    </cfRule>
  </conditionalFormatting>
  <conditionalFormatting sqref="I22">
    <cfRule type="expression" dxfId="96" priority="1">
      <formula>I22&gt;#REF!</formula>
    </cfRule>
  </conditionalFormatting>
  <dataValidations count="1">
    <dataValidation type="list" allowBlank="1" showInputMessage="1" showErrorMessage="1" sqref="E29 E37 E34">
      <formula1>"0,1,2,3,4,5"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/>
  </sheetPr>
  <dimension ref="C1:Z46"/>
  <sheetViews>
    <sheetView topLeftCell="A30" zoomScaleNormal="100" workbookViewId="0">
      <selection activeCell="G34" sqref="G34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DB_Dashboard5</f>
        <v>TRx Share  0.34% NRx Share  0.36% TRx Volume  1,219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DB_Dashboard6Reg1</f>
        <v xml:space="preserve">Market Execution  60.0 Employee Engagement  60.0 </v>
      </c>
    </row>
    <row r="4" spans="3:26" s="342" customFormat="1" ht="22.15" customHeight="1">
      <c r="C4" s="344"/>
      <c r="T4" s="343" t="str">
        <f>DB_Dashboard7Reg1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nmReg1</f>
        <v>The Region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nmReg1Seg3</f>
        <v>Harrenhal</v>
      </c>
    </row>
    <row r="9" spans="3:26" s="168" customFormat="1" ht="17.45" customHeight="1">
      <c r="C9" s="287" t="s">
        <v>634</v>
      </c>
      <c r="Y9" s="168" t="s">
        <v>586</v>
      </c>
      <c r="Z9" s="331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I10" s="360"/>
      <c r="L10" s="346"/>
      <c r="M10" s="346"/>
      <c r="N10" s="346"/>
      <c r="X10" s="168" t="s">
        <v>549</v>
      </c>
      <c r="Y10" s="349">
        <f>INDEX(obalReg1Seg3TotalShare,,xxIndexTeam)</f>
        <v>3.1884057971014496E-3</v>
      </c>
      <c r="Z10" s="349">
        <f>INDEX(calcReg1Seg3ShareTotalCustR1,,xxIndexTeam)</f>
        <v>3.1898366237869029E-3</v>
      </c>
    </row>
    <row r="11" spans="3:26" s="168" customFormat="1" ht="9.9499999999999993" customHeight="1">
      <c r="X11" s="168" t="s">
        <v>550</v>
      </c>
      <c r="Y11" s="349">
        <f>INDEX(obalReg1Seg3NewShare,,xxIndexTeam)</f>
        <v>3.1884057971014496E-3</v>
      </c>
      <c r="Z11" s="349">
        <f>INDEX(calcReg1Seg3ShareNewCustR1,,xxIndexTeam)</f>
        <v>3.3809804815067971E-3</v>
      </c>
    </row>
    <row r="12" spans="3:26" s="168" customFormat="1" ht="15" customHeight="1">
      <c r="C12" s="168" t="str">
        <f>nmPayer1</f>
        <v>Blue Sword/Blue Shield</v>
      </c>
      <c r="E12" s="345">
        <f>INDEX(calcReg1Seg3Payer1VolumeR1,,xxIndexTeam)</f>
        <v>239.5613569823158</v>
      </c>
      <c r="G12" s="548">
        <f>tlOutputReg1Seg3Payer1Volume_R1-V12</f>
        <v>57.450812982315796</v>
      </c>
      <c r="I12" s="345"/>
      <c r="V12" s="168">
        <f>INDEX(obalReg1Seg3Payer1Volume,,xxIndexTeam)</f>
        <v>182.110544</v>
      </c>
    </row>
    <row r="13" spans="3:26" s="168" customFormat="1" ht="12.6" customHeight="1">
      <c r="C13" s="287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INDEX(calcReg1Seg3Payer3VolumeR1,,xxIndexTeam)</f>
        <v>206.42857501466671</v>
      </c>
      <c r="G14" s="548">
        <f>tlOutputReg1Seg3Payer3Volume_R1-V14</f>
        <v>44.934319014666698</v>
      </c>
      <c r="I14" s="345"/>
      <c r="V14" s="168">
        <f>INDEX(obalReg1Seg3Payer3Volume,,xxIndexTeam)</f>
        <v>161.49425600000001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2.6" customHeight="1">
      <c r="C16" s="168" t="str">
        <f>nmPayer2</f>
        <v>WesterAid</v>
      </c>
      <c r="E16" s="345">
        <f>INDEX(calcReg1Seg3Payer2VolumeR1,,xxIndexTeam)</f>
        <v>0</v>
      </c>
      <c r="G16" s="548">
        <f>tlOutputReg1Seg3Payer2Volume_R1-V16</f>
        <v>0</v>
      </c>
      <c r="V16" s="168">
        <f>INDEX(obalReg1Seg3Payer2Volume,,xxIndexTeam)</f>
        <v>0</v>
      </c>
      <c r="Y16" s="349"/>
      <c r="Z16" s="349"/>
    </row>
    <row r="17" spans="3:26" s="168" customFormat="1" ht="21.95" customHeight="1">
      <c r="C17" s="287"/>
      <c r="X17" s="168" t="s">
        <v>586</v>
      </c>
      <c r="Y17" s="331" t="s">
        <v>587</v>
      </c>
      <c r="Z17" s="331"/>
    </row>
    <row r="18" spans="3:26" s="168" customFormat="1" ht="21.95" customHeight="1">
      <c r="C18" s="531" t="s">
        <v>3184</v>
      </c>
      <c r="E18" s="368"/>
      <c r="G18" s="350" t="s">
        <v>516</v>
      </c>
      <c r="I18" s="370" t="s">
        <v>587</v>
      </c>
      <c r="J18" s="530"/>
      <c r="K18" s="371" t="s">
        <v>586</v>
      </c>
      <c r="W18" s="168" t="s">
        <v>590</v>
      </c>
      <c r="X18" s="351">
        <v>1337969.7959909476</v>
      </c>
      <c r="Y18" s="351">
        <f>INDEX(calcReg1Seg3GrossRevenueR1,,xxIndexTeam)</f>
        <v>1337969.7959909476</v>
      </c>
    </row>
    <row r="19" spans="3:26" s="168" customFormat="1" ht="13.9" customHeight="1">
      <c r="C19" s="354" t="s">
        <v>2904</v>
      </c>
      <c r="E19" s="348">
        <v>0.33</v>
      </c>
      <c r="G19" s="533">
        <f>I19/70</f>
        <v>707.14285714285711</v>
      </c>
      <c r="I19" s="359">
        <f>INDEX(calcReg1Seg3SampleAllocR1,,xxIndexTeam)</f>
        <v>49500</v>
      </c>
      <c r="K19" s="359">
        <f>INDEX(obalReg1Seg3SampleAlloc,,xxIndexTeam)</f>
        <v>49500</v>
      </c>
      <c r="W19" s="168" t="s">
        <v>3825</v>
      </c>
      <c r="X19" s="351">
        <v>678924.73258576856</v>
      </c>
      <c r="Y19" s="351">
        <f>INDEX(calcReg1Seg3Reimbursement,,xxIndexTeam)</f>
        <v>678924.73258576856</v>
      </c>
    </row>
    <row r="20" spans="3:26" s="168" customFormat="1" ht="21.95" customHeight="1">
      <c r="G20" s="361"/>
      <c r="W20" s="168" t="s">
        <v>593</v>
      </c>
      <c r="X20" s="351">
        <v>659045.06340517907</v>
      </c>
      <c r="Y20" s="351">
        <f>INDEX(calcReg1Seg3NetRevenueR1,,xxIndexTeam)</f>
        <v>659045.06340517907</v>
      </c>
    </row>
    <row r="21" spans="3:26" s="168" customFormat="1" ht="19.149999999999999" customHeight="1">
      <c r="C21" s="168" t="s">
        <v>3190</v>
      </c>
      <c r="E21" s="532">
        <v>0.33</v>
      </c>
      <c r="I21" s="370" t="s">
        <v>587</v>
      </c>
      <c r="J21" s="530"/>
      <c r="K21" s="371" t="s">
        <v>586</v>
      </c>
      <c r="W21" s="168" t="s">
        <v>516</v>
      </c>
      <c r="X21" s="351">
        <v>49500</v>
      </c>
      <c r="Y21" s="351">
        <f>INDEX(calcReg1Seg3SampleAllocR2,,xxIndexTeam)</f>
        <v>49500</v>
      </c>
    </row>
    <row r="22" spans="3:26" s="168" customFormat="1" ht="13.9" customHeight="1">
      <c r="I22" s="359">
        <f>INDEX(calcReg1Seg3PromotionAllocationR1,,xxIndexTeam)</f>
        <v>198000</v>
      </c>
      <c r="K22" s="536">
        <f>INDEX(obalReg1Seg3TotalPromotionAllocation,,xxIndexTeam)</f>
        <v>198000</v>
      </c>
      <c r="W22" s="168" t="s">
        <v>3251</v>
      </c>
      <c r="X22" s="351">
        <v>99000</v>
      </c>
      <c r="Y22" s="351">
        <f>INDEX(calcReg1Seg3SpeakerAllocR1,,xxIndexTeam)</f>
        <v>99000</v>
      </c>
    </row>
    <row r="23" spans="3:26" s="168" customFormat="1" ht="6.6" customHeight="1">
      <c r="C23" s="368"/>
      <c r="E23" s="352"/>
      <c r="I23" s="358"/>
      <c r="J23" s="530"/>
      <c r="K23" s="535"/>
      <c r="W23" s="168" t="s">
        <v>2333</v>
      </c>
      <c r="X23" s="351">
        <v>99000</v>
      </c>
      <c r="Y23" s="351">
        <f>INDEX(calcReg1Seg3PromotionAllocR1,,xxIndexTeam)</f>
        <v>99000</v>
      </c>
    </row>
    <row r="24" spans="3:26" s="168" customFormat="1" ht="13.9" customHeight="1">
      <c r="C24" s="534" t="s">
        <v>2900</v>
      </c>
      <c r="E24" s="348">
        <v>0.5</v>
      </c>
      <c r="I24" s="359">
        <f>INDEX(calcReg1Seg3SpeakerAllocR1,,xxIndexTeam)</f>
        <v>99000</v>
      </c>
      <c r="J24" s="530"/>
      <c r="K24" s="536">
        <f>INDEX(obalReg1Seg3SpeakerAlloc,,xxIndexTeam)</f>
        <v>99000</v>
      </c>
      <c r="W24" s="168" t="s">
        <v>594</v>
      </c>
      <c r="X24" s="351">
        <v>30000</v>
      </c>
      <c r="Y24" s="573">
        <f>INDEX(calcReg1Seg3InternalCostR1,,xxIndexTeam)</f>
        <v>0</v>
      </c>
    </row>
    <row r="25" spans="3:26" s="168" customFormat="1" ht="6.6" customHeight="1">
      <c r="C25" s="534"/>
      <c r="E25" s="352"/>
      <c r="I25" s="358"/>
      <c r="J25" s="530"/>
      <c r="K25" s="535"/>
      <c r="W25" s="168" t="s">
        <v>595</v>
      </c>
      <c r="X25" s="351">
        <v>381545.06340517907</v>
      </c>
      <c r="Y25" s="351">
        <f>Y20-SUM(Y21:Y24)</f>
        <v>411545.06340517907</v>
      </c>
    </row>
    <row r="26" spans="3:26" s="168" customFormat="1" ht="13.9" customHeight="1">
      <c r="C26" s="534" t="s">
        <v>2901</v>
      </c>
      <c r="E26" s="539">
        <f>1-tlInputReg1Seg3SpeakersPerc_R1</f>
        <v>0.5</v>
      </c>
      <c r="I26" s="359">
        <f>INDEX(calcReg1Seg3PromotionAllocR1,,xxIndexTeam)</f>
        <v>99000</v>
      </c>
      <c r="J26" s="530"/>
      <c r="K26" s="536">
        <f>INDEX(obalReg1Seg3PromotionAlloc,,xxIndexTeam)</f>
        <v>99000</v>
      </c>
    </row>
    <row r="27" spans="3:26" s="168" customFormat="1" ht="21.95" customHeight="1">
      <c r="E27" s="331"/>
    </row>
    <row r="28" spans="3:26" s="168" customFormat="1" ht="21.95" customHeight="1">
      <c r="C28" s="287"/>
      <c r="G28" s="527"/>
      <c r="I28" s="356"/>
      <c r="K28" s="356"/>
    </row>
    <row r="29" spans="3:26" s="168" customFormat="1" ht="14.45" customHeight="1">
      <c r="C29" s="340"/>
      <c r="E29" s="355"/>
      <c r="G29" s="358"/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1455</v>
      </c>
      <c r="E33" s="354" t="s">
        <v>771</v>
      </c>
      <c r="F33" s="363"/>
      <c r="G33" s="534" t="s">
        <v>2666</v>
      </c>
      <c r="H33" s="460"/>
      <c r="I33" s="354"/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4">
        <f>INDEX(calcReg1Seg3FTEsRep1R1,,xxIndexTeam)</f>
        <v>0</v>
      </c>
      <c r="I34" s="355"/>
      <c r="K34" s="355"/>
      <c r="W34" s="168" t="s">
        <v>592</v>
      </c>
      <c r="X34" s="496">
        <f>INDEX(obalESATReg1,,xxIndexTeam)</f>
        <v>60</v>
      </c>
      <c r="Y34" s="496">
        <f>INDEX(cbalESATReg1,,xxIndexTeam)</f>
        <v>60</v>
      </c>
    </row>
    <row r="35" spans="3:26" s="168" customFormat="1" ht="9" customHeight="1">
      <c r="E35" s="355"/>
      <c r="F35" s="336"/>
      <c r="G35" s="355"/>
      <c r="I35" s="355"/>
      <c r="K35" s="355"/>
      <c r="W35" s="168" t="s">
        <v>2644</v>
      </c>
      <c r="X35" s="496">
        <f>INDEX(obalOpEffReg1,,xxIndexTeam)</f>
        <v>60</v>
      </c>
      <c r="Y35" s="496">
        <f>INDEX(cbalOpEffReg1,,xxIndexTeam)</f>
        <v>60</v>
      </c>
    </row>
    <row r="36" spans="3:26" s="168" customFormat="1" ht="21.95" customHeight="1">
      <c r="F36" s="364"/>
      <c r="H36" s="354"/>
      <c r="I36" s="354"/>
      <c r="J36" s="354"/>
      <c r="K36" s="354"/>
    </row>
    <row r="37" spans="3:26" s="168" customFormat="1" ht="21.95" customHeight="1">
      <c r="C37" s="340" t="s">
        <v>3211</v>
      </c>
      <c r="E37" s="353">
        <v>0</v>
      </c>
      <c r="G37" s="358">
        <f>INDEX(calcReg1Seg3FTEsRegTrainR1,,xxIndexTeam)</f>
        <v>0</v>
      </c>
      <c r="X37" s="168" t="str">
        <f>nmReg1Seg1</f>
        <v>Riverrun</v>
      </c>
      <c r="Y37" s="168" t="str">
        <f>nmReg1Seg2</f>
        <v>Winterfell</v>
      </c>
      <c r="Z37" s="168" t="str">
        <f>nmReg1Seg3</f>
        <v>Harrenhal</v>
      </c>
    </row>
    <row r="38" spans="3:26" s="168" customFormat="1" ht="21.95" customHeight="1">
      <c r="C38" s="368"/>
      <c r="J38" s="368"/>
      <c r="K38" s="356"/>
      <c r="W38" s="168" t="s">
        <v>596</v>
      </c>
      <c r="X38" s="331">
        <f>1-tlOutputReg1Seg3Rep1IntTime_R1</f>
        <v>0.9</v>
      </c>
      <c r="Y38" s="331">
        <f>1-tlOutputReg1Seg3Rep2IntTime_R1</f>
        <v>0.9</v>
      </c>
      <c r="Z38" s="331">
        <f>1-tlOutputReg1Seg3Rep3IntTime_R1</f>
        <v>0.9</v>
      </c>
    </row>
    <row r="39" spans="3:26" s="168" customFormat="1" ht="8.4499999999999993" customHeight="1">
      <c r="C39" s="368"/>
      <c r="J39" s="368"/>
      <c r="K39" s="356"/>
      <c r="X39" s="331"/>
      <c r="Y39" s="331"/>
      <c r="Z39" s="331"/>
    </row>
    <row r="40" spans="3:26" s="168" customFormat="1" ht="21.95" customHeight="1">
      <c r="C40" s="333"/>
      <c r="W40" s="168" t="s">
        <v>597</v>
      </c>
      <c r="X40" s="331">
        <f>INDEX(calcReg1Seg1Rep1InternalTimeR1,,xxIndexTeam)</f>
        <v>0.1</v>
      </c>
      <c r="Y40" s="331">
        <f>INDEX(calcReg1Seg2Rep1InternalTimeR1,,xxIndexTeam)</f>
        <v>0.1</v>
      </c>
      <c r="Z40" s="331">
        <f>INDEX(calcReg1Seg3Rep1InternalTimeR1,,xxIndexTeam)</f>
        <v>0.1</v>
      </c>
    </row>
    <row r="41" spans="3:26" s="168" customFormat="1" ht="21.95" customHeight="1"/>
    <row r="42" spans="3:26" s="168" customFormat="1" ht="21.95" customHeight="1"/>
    <row r="43" spans="3:26" s="168" customFormat="1" ht="21.95" customHeight="1"/>
    <row r="44" spans="3:26" s="167" customFormat="1" ht="15" customHeight="1"/>
    <row r="45" spans="3:26" s="167" customFormat="1" ht="15" customHeight="1"/>
    <row r="46" spans="3:26" ht="21.95" customHeight="1"/>
  </sheetData>
  <sheetProtection selectLockedCells="1"/>
  <conditionalFormatting sqref="I19">
    <cfRule type="expression" dxfId="95" priority="8">
      <formula>I19&gt;#REF!</formula>
    </cfRule>
  </conditionalFormatting>
  <conditionalFormatting sqref="K19">
    <cfRule type="expression" dxfId="94" priority="7">
      <formula>K19&gt;#REF!</formula>
    </cfRule>
  </conditionalFormatting>
  <conditionalFormatting sqref="I24 I26">
    <cfRule type="expression" dxfId="93" priority="3">
      <formula>I24&gt;#REF!</formula>
    </cfRule>
  </conditionalFormatting>
  <conditionalFormatting sqref="K24 K26">
    <cfRule type="expression" dxfId="92" priority="2">
      <formula>K24&gt;#REF!</formula>
    </cfRule>
  </conditionalFormatting>
  <conditionalFormatting sqref="I22">
    <cfRule type="expression" dxfId="91" priority="1">
      <formula>I22&gt;#REF!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5"/>
  </sheetPr>
  <dimension ref="C1:Z47"/>
  <sheetViews>
    <sheetView topLeftCell="L15" zoomScaleNormal="100" workbookViewId="0">
      <selection activeCell="Y19" sqref="Y19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DB_Dashboard5</f>
        <v>TRx Share  0.34% NRx Share  0.36% TRx Volume  1,219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DB_Dashboard6Reg1</f>
        <v xml:space="preserve">Market Execution  60.0 Employee Engagement  60.0 </v>
      </c>
    </row>
    <row r="4" spans="3:26" s="342" customFormat="1" ht="22.15" customHeight="1">
      <c r="C4" s="344"/>
      <c r="T4" s="343" t="str">
        <f>DB_Dashboard8Reg1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nmReg1</f>
        <v>The Region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nmReg1Seg1</f>
        <v>Riverrun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I10" s="360"/>
      <c r="L10" s="346"/>
      <c r="M10" s="346"/>
      <c r="N10" s="346"/>
      <c r="X10" s="168" t="s">
        <v>549</v>
      </c>
      <c r="Y10" s="349">
        <f>INDEX(calcReg1Seg1ShareTotalCustR1,,xxIndexTeam)</f>
        <v>3.2059896302079754E-3</v>
      </c>
      <c r="Z10" s="349">
        <f>INDEX(calcReg1Seg1ShareTotalCustR2,,xxIndexTeam)</f>
        <v>3.0963025034194173E-3</v>
      </c>
    </row>
    <row r="11" spans="3:26" s="168" customFormat="1" ht="9.9499999999999993" customHeight="1">
      <c r="X11" s="168" t="s">
        <v>550</v>
      </c>
      <c r="Y11" s="349">
        <f>INDEX(calcReg1Seg1ShareNewCustR1,,xxIndexTeam)</f>
        <v>3.3717095238095245E-3</v>
      </c>
      <c r="Z11" s="349">
        <f>INDEX(calcReg1Seg1ShareNewCustR2,,xxIndexTeam)</f>
        <v>3.2511495238095232E-3</v>
      </c>
    </row>
    <row r="12" spans="3:26" s="168" customFormat="1" ht="15" customHeight="1">
      <c r="C12" s="168" t="str">
        <f>nmPayer1</f>
        <v>Blue Sword/Blue Shield</v>
      </c>
      <c r="E12" s="345">
        <f>INDEX(calcReg1Seg1Payer1VolumeR2,,xxIndexTeam)</f>
        <v>182.07928210457996</v>
      </c>
      <c r="G12" s="548">
        <f>tlOutputReg1Seg1Payer1Volume_R2-V12</f>
        <v>14.846660009580006</v>
      </c>
      <c r="I12" s="345"/>
      <c r="V12" s="168">
        <f>INDEX(calcReg1Seg1Payer1VolumeR1,,xxIndexTeam)</f>
        <v>167.23262209499995</v>
      </c>
    </row>
    <row r="13" spans="3:26" s="168" customFormat="1" ht="12.6" customHeight="1">
      <c r="C13" s="287"/>
      <c r="Y13" s="349"/>
      <c r="Z13" s="349"/>
    </row>
    <row r="14" spans="3:26" s="168" customFormat="1" ht="15" customHeight="1">
      <c r="C14" s="168" t="str">
        <f>nmPayer3</f>
        <v>Dragon Health</v>
      </c>
      <c r="E14" s="345">
        <f>INDEX(calcReg1Seg1Payer3VolumeR2,,xxIndexTeam)</f>
        <v>227.51951887929002</v>
      </c>
      <c r="G14" s="548">
        <f>tlOutputReg1Seg1Payer3Volume_R2-V14</f>
        <v>21.476630575290045</v>
      </c>
      <c r="I14" s="345"/>
      <c r="V14" s="168">
        <f>INDEX(calcReg1Seg1Payer3VolumeR1,,xxIndexTeam)</f>
        <v>206.04288830399997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2.6" customHeight="1">
      <c r="C16" s="168" t="str">
        <f>nmPayer2</f>
        <v>WesterAid</v>
      </c>
      <c r="E16" s="345">
        <f>INDEX(calcReg1Seg1Payer2VolumeR2,,xxIndexTeam)</f>
        <v>0</v>
      </c>
      <c r="G16" s="548">
        <f>tlOutputReg1Seg1Payer2Volume_R2-V16</f>
        <v>0</v>
      </c>
      <c r="V16" s="168">
        <f>INDEX(calcReg1Seg1Payer2VolumeR1,,xxIndexTeam)</f>
        <v>0</v>
      </c>
      <c r="Y16" s="349"/>
      <c r="Z16" s="349"/>
    </row>
    <row r="17" spans="3:26" s="168" customFormat="1" ht="21.95" customHeight="1">
      <c r="C17" s="287"/>
      <c r="X17" s="168" t="s">
        <v>586</v>
      </c>
      <c r="Y17" s="331" t="s">
        <v>587</v>
      </c>
      <c r="Z17" s="331"/>
    </row>
    <row r="18" spans="3:26" s="168" customFormat="1" ht="21.95" customHeight="1">
      <c r="C18" s="531" t="s">
        <v>3184</v>
      </c>
      <c r="G18" s="350" t="s">
        <v>516</v>
      </c>
      <c r="I18" s="370" t="s">
        <v>587</v>
      </c>
      <c r="J18" s="530"/>
      <c r="K18" s="371" t="s">
        <v>586</v>
      </c>
      <c r="W18" s="168" t="s">
        <v>590</v>
      </c>
      <c r="X18" s="351">
        <f>INDEX(calcReg1Seg1GrossRevenueR1,,xxIndexTeam)</f>
        <v>1119826.5311969998</v>
      </c>
      <c r="Y18" s="351">
        <f>INDEX(calcReg1Seg1GrossRevenueR2,,xxIndexTeam)</f>
        <v>1228796.4029516098</v>
      </c>
    </row>
    <row r="19" spans="3:26" s="168" customFormat="1" ht="13.9" customHeight="1">
      <c r="C19" s="354" t="s">
        <v>2904</v>
      </c>
      <c r="E19" s="348">
        <v>0.33</v>
      </c>
      <c r="G19" s="533">
        <f>I19/70</f>
        <v>707.14285714285711</v>
      </c>
      <c r="I19" s="359">
        <f>INDEX(calcReg1Seg1SampleAllocR2,,xxIndexTeam)</f>
        <v>49500</v>
      </c>
      <c r="K19" s="359">
        <f>INDEX(calcReg1Seg1SampleAllocR1,,xxIndexTeam)</f>
        <v>49500</v>
      </c>
      <c r="W19" s="168" t="s">
        <v>3825</v>
      </c>
      <c r="X19" s="351">
        <f>INDEX(calcReg1Seg1Reimbursement,,xxIndexTeam)</f>
        <v>548270.18573579995</v>
      </c>
      <c r="Y19" s="351">
        <f>INDEX(calcReg1Seg1ReimbursementR2,,xxIndexTeam)</f>
        <v>600766.13044339186</v>
      </c>
    </row>
    <row r="20" spans="3:26" s="168" customFormat="1" ht="21.95" customHeight="1">
      <c r="G20" s="361"/>
      <c r="W20" s="168" t="s">
        <v>593</v>
      </c>
      <c r="X20" s="351">
        <f>INDEX(calcReg1Seg1NetRevenueR1,,xxIndexTeam)</f>
        <v>571556.34546119987</v>
      </c>
      <c r="Y20" s="351">
        <f>INDEX(calcReg1Seg1NetRevenueR2,,xxIndexTeam)</f>
        <v>628030.27250821795</v>
      </c>
    </row>
    <row r="21" spans="3:26" s="168" customFormat="1" ht="19.149999999999999" customHeight="1">
      <c r="C21" s="168" t="s">
        <v>3190</v>
      </c>
      <c r="E21" s="532">
        <v>0.33</v>
      </c>
      <c r="I21" s="370" t="s">
        <v>587</v>
      </c>
      <c r="J21" s="368"/>
      <c r="K21" s="371" t="s">
        <v>586</v>
      </c>
      <c r="W21" s="168" t="s">
        <v>516</v>
      </c>
      <c r="X21" s="351">
        <f>INDEX(calcReg1Seg1SampleAllocR1,,xxIndexTeam)</f>
        <v>49500</v>
      </c>
      <c r="Y21" s="351">
        <f>INDEX(calcReg1Seg1SampleAllocR2,,xxIndexTeam)</f>
        <v>49500</v>
      </c>
    </row>
    <row r="22" spans="3:26" s="168" customFormat="1" ht="13.9" customHeight="1">
      <c r="I22" s="359">
        <f>INDEX(calcReg1Seg1PromotionAllocationR2,,xxIndexTeam)</f>
        <v>188100</v>
      </c>
      <c r="K22" s="536">
        <f>INDEX(calcReg1Seg1PromotionAllocationR1,,xxIndexTeam)</f>
        <v>198000</v>
      </c>
      <c r="W22" s="168" t="s">
        <v>3251</v>
      </c>
      <c r="X22" s="351">
        <f>INDEX(calcReg1Seg1SpeakerAllocR1,,xxIndexTeam)</f>
        <v>99000</v>
      </c>
      <c r="Y22" s="351">
        <f>INDEX(calcReg1Seg1SpeakerAllocR2,,xxIndexTeam)</f>
        <v>94050</v>
      </c>
    </row>
    <row r="23" spans="3:26" s="168" customFormat="1" ht="6.6" customHeight="1">
      <c r="C23" s="368"/>
      <c r="E23" s="352"/>
      <c r="I23" s="358"/>
      <c r="J23" s="530"/>
      <c r="K23" s="535"/>
      <c r="W23" s="168" t="s">
        <v>2333</v>
      </c>
      <c r="X23" s="351">
        <f>INDEX(calcReg1Seg1PromotionAllocR1,,xxIndexTeam)</f>
        <v>99000</v>
      </c>
      <c r="Y23" s="351">
        <f>INDEX(calcReg1Seg1PromotionAllocR2,,xxIndexTeam)</f>
        <v>94050</v>
      </c>
    </row>
    <row r="24" spans="3:26" s="168" customFormat="1" ht="13.9" customHeight="1">
      <c r="C24" s="534" t="s">
        <v>2900</v>
      </c>
      <c r="E24" s="348">
        <v>0.5</v>
      </c>
      <c r="I24" s="359">
        <f>INDEX(calcReg1Seg1SpeakerAllocR2,,xxIndexTeam)</f>
        <v>94050</v>
      </c>
      <c r="J24" s="530"/>
      <c r="K24" s="536">
        <f>INDEX(calcReg1Seg1SpeakerAllocR1,,xxIndexTeam)</f>
        <v>99000</v>
      </c>
      <c r="W24" s="168" t="s">
        <v>594</v>
      </c>
      <c r="X24" s="351">
        <f>INDEX(calcReg1Seg1InternalCostR1,,xxIndexTeam)</f>
        <v>0</v>
      </c>
      <c r="Y24" s="351">
        <f>INDEX(calcReg1Seg1InternalCostR2,,xxIndexTeam)</f>
        <v>0</v>
      </c>
    </row>
    <row r="25" spans="3:26" s="168" customFormat="1" ht="6.6" customHeight="1">
      <c r="C25" s="534"/>
      <c r="E25" s="352"/>
      <c r="I25" s="358"/>
      <c r="J25" s="530"/>
      <c r="K25" s="535"/>
      <c r="W25" s="168" t="s">
        <v>595</v>
      </c>
      <c r="X25" s="351">
        <f>X20-SUM(X21:X24)</f>
        <v>324056.34546119987</v>
      </c>
      <c r="Y25" s="351">
        <f>Y20-SUM(Y21:Y24)</f>
        <v>390430.27250821795</v>
      </c>
    </row>
    <row r="26" spans="3:26" s="168" customFormat="1" ht="13.9" customHeight="1">
      <c r="C26" s="534" t="s">
        <v>2901</v>
      </c>
      <c r="E26" s="539">
        <f>1-tlInputReg1Seg1SpeakersPerc_R2</f>
        <v>0.5</v>
      </c>
      <c r="I26" s="359">
        <f>INDEX(calcReg1Seg1PromotionAllocR2,,xxIndexTeam)</f>
        <v>94050</v>
      </c>
      <c r="J26" s="530"/>
      <c r="K26" s="536">
        <f>INDEX(calcReg1Seg1PromotionAllocR1,,xxIndexTeam)</f>
        <v>99000</v>
      </c>
    </row>
    <row r="27" spans="3:26" s="168" customFormat="1" ht="21.95" customHeight="1">
      <c r="E27" s="331"/>
    </row>
    <row r="28" spans="3:26" s="168" customFormat="1" ht="21.95" customHeight="1">
      <c r="C28" s="287" t="s">
        <v>591</v>
      </c>
      <c r="G28" s="368" t="s">
        <v>2666</v>
      </c>
      <c r="I28" s="356"/>
      <c r="K28" s="356"/>
    </row>
    <row r="29" spans="3:26" s="168" customFormat="1" ht="14.45" customHeight="1">
      <c r="C29" s="340" t="s">
        <v>556</v>
      </c>
      <c r="E29" s="353">
        <v>0</v>
      </c>
      <c r="G29" s="358">
        <f>INDEX(calcReg1Seg1FTEsCFCollabR2,,xxIndexTeam)</f>
        <v>0</v>
      </c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1455</v>
      </c>
      <c r="E33" s="354" t="s">
        <v>771</v>
      </c>
      <c r="F33" s="363"/>
      <c r="G33" s="534" t="s">
        <v>2666</v>
      </c>
      <c r="H33" s="460"/>
      <c r="I33" s="354"/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8">
        <f>INDEX(calcReg1Seg1FTEsCFCollabR2,,xxIndexTeam)</f>
        <v>0</v>
      </c>
      <c r="I34" s="355"/>
      <c r="K34" s="355"/>
      <c r="W34" s="168" t="s">
        <v>592</v>
      </c>
      <c r="X34" s="496">
        <f>INDEX(calcESATReg1R1,,xxIndexTeam)</f>
        <v>60</v>
      </c>
      <c r="Y34" s="496">
        <f>INDEX(cbalESATReg1,,xxIndexTeam)</f>
        <v>60</v>
      </c>
    </row>
    <row r="35" spans="3:26" s="168" customFormat="1" ht="9" customHeight="1">
      <c r="E35" s="355"/>
      <c r="F35" s="336"/>
      <c r="G35" s="355"/>
      <c r="I35" s="355"/>
      <c r="K35" s="355"/>
      <c r="W35" s="168" t="s">
        <v>2644</v>
      </c>
      <c r="X35" s="496">
        <f>INDEX(calcOpEffReg1R1,,xxIndexTeam)</f>
        <v>60</v>
      </c>
      <c r="Y35" s="496">
        <f>INDEX(cbalOpEffReg1,,xxIndexTeam)</f>
        <v>60</v>
      </c>
    </row>
    <row r="36" spans="3:26" s="168" customFormat="1" ht="21.95" customHeight="1">
      <c r="C36" s="333"/>
      <c r="F36" s="364"/>
      <c r="G36" s="354"/>
      <c r="H36" s="354"/>
      <c r="I36" s="354"/>
      <c r="J36" s="354"/>
      <c r="K36" s="354"/>
    </row>
    <row r="37" spans="3:26" s="168" customFormat="1" ht="21.95" customHeight="1">
      <c r="C37" s="340" t="s">
        <v>3211</v>
      </c>
      <c r="E37" s="353">
        <v>0</v>
      </c>
      <c r="G37" s="358">
        <f>INDEX(calcReg1Seg1FTEsRegTrainR2,,xxIndexTeam)</f>
        <v>0</v>
      </c>
      <c r="X37" s="168" t="str">
        <f>nmReg1Seg1</f>
        <v>Riverrun</v>
      </c>
      <c r="Y37" s="168" t="str">
        <f>nmReg1Seg2</f>
        <v>Winterfell</v>
      </c>
      <c r="Z37" s="168" t="str">
        <f>nmReg1Seg3</f>
        <v>Harrenhal</v>
      </c>
    </row>
    <row r="38" spans="3:26" s="168" customFormat="1" ht="21.95" customHeight="1">
      <c r="C38" s="368"/>
      <c r="J38" s="368"/>
      <c r="K38" s="356"/>
      <c r="W38" s="168" t="s">
        <v>596</v>
      </c>
      <c r="X38" s="331">
        <f>1-tlOutputReg1Seg1Rep1IntTime_R2</f>
        <v>0.9</v>
      </c>
      <c r="Y38" s="331">
        <f>1-tlOutputReg1Seg1Rep2IntTime_R2</f>
        <v>0.9</v>
      </c>
      <c r="Z38" s="331">
        <f>1-tlOutputReg1Seg1Rep3IntTime_R2</f>
        <v>0.9</v>
      </c>
    </row>
    <row r="39" spans="3:26" s="168" customFormat="1" ht="8.4499999999999993" customHeight="1">
      <c r="C39" s="368"/>
      <c r="J39" s="368"/>
      <c r="K39" s="356"/>
      <c r="X39" s="331"/>
      <c r="Y39" s="331"/>
      <c r="Z39" s="331"/>
    </row>
    <row r="40" spans="3:26" s="168" customFormat="1" ht="21.95" customHeight="1">
      <c r="C40" s="333"/>
      <c r="W40" s="168" t="s">
        <v>597</v>
      </c>
      <c r="X40" s="331">
        <f>INDEX(calcReg1Seg1Rep1InternalTimeR2,,xxIndexTeam)</f>
        <v>0.1</v>
      </c>
      <c r="Y40" s="331">
        <f>INDEX(calcReg1Seg2Rep1InternalTimeR2,,xxIndexTeam)</f>
        <v>0.1</v>
      </c>
      <c r="Z40" s="331">
        <f>INDEX(calcReg1Seg3Rep1InternalTimeR2,,xxIndexTeam)</f>
        <v>0.1</v>
      </c>
    </row>
    <row r="41" spans="3:26" s="168" customFormat="1" ht="21.95" customHeight="1"/>
    <row r="42" spans="3:26" s="168" customFormat="1" ht="21.95" customHeight="1"/>
    <row r="43" spans="3:26" s="168" customFormat="1" ht="21.95" customHeight="1"/>
    <row r="44" spans="3:26" s="167" customFormat="1" ht="15" customHeight="1"/>
    <row r="45" spans="3:26" s="167" customFormat="1" ht="15" customHeight="1"/>
    <row r="46" spans="3:26" ht="21.95" customHeight="1"/>
    <row r="47" spans="3:26">
      <c r="E47" s="168"/>
      <c r="F47" s="168"/>
      <c r="G47" s="168"/>
      <c r="H47" s="168"/>
      <c r="I47" s="168"/>
    </row>
  </sheetData>
  <sheetProtection selectLockedCells="1"/>
  <conditionalFormatting sqref="I19">
    <cfRule type="expression" dxfId="90" priority="7">
      <formula>I19&gt;#REF!</formula>
    </cfRule>
  </conditionalFormatting>
  <conditionalFormatting sqref="K19">
    <cfRule type="expression" dxfId="89" priority="6">
      <formula>K19&gt;#REF!</formula>
    </cfRule>
  </conditionalFormatting>
  <conditionalFormatting sqref="I24 I26">
    <cfRule type="expression" dxfId="88" priority="3">
      <formula>I24&gt;#REF!</formula>
    </cfRule>
  </conditionalFormatting>
  <conditionalFormatting sqref="K24 K26">
    <cfRule type="expression" dxfId="87" priority="2">
      <formula>K24&gt;#REF!</formula>
    </cfRule>
  </conditionalFormatting>
  <conditionalFormatting sqref="I22">
    <cfRule type="expression" dxfId="86" priority="1">
      <formula>I22&gt;#REF!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5"/>
  </sheetPr>
  <dimension ref="C1:Z46"/>
  <sheetViews>
    <sheetView topLeftCell="N14" zoomScaleNormal="100" workbookViewId="0">
      <selection activeCell="X19" sqref="X19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DB_Dashboard5</f>
        <v>TRx Share  0.34% NRx Share  0.36% TRx Volume  1,219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DB_Dashboard6Reg1</f>
        <v xml:space="preserve">Market Execution  60.0 Employee Engagement  60.0 </v>
      </c>
    </row>
    <row r="4" spans="3:26" s="342" customFormat="1" ht="22.15" customHeight="1">
      <c r="C4" s="344"/>
      <c r="T4" s="343" t="str">
        <f>DB_Dashboard8Reg1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nmReg1</f>
        <v>The Region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nmReg1Seg2</f>
        <v>Winterfell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I10" s="360"/>
      <c r="L10" s="346"/>
      <c r="M10" s="346"/>
      <c r="N10" s="346"/>
      <c r="X10" s="168" t="s">
        <v>549</v>
      </c>
      <c r="Y10" s="349">
        <f>INDEX(calcReg1Seg2ShareTotalCustR1,,xxIndexTeam)</f>
        <v>3.889465148981453E-3</v>
      </c>
      <c r="Z10" s="349">
        <f>INDEX(calcReg1Seg2ShareTotalCustR2,,xxIndexTeam)</f>
        <v>3.6651635185466708E-3</v>
      </c>
    </row>
    <row r="11" spans="3:26" s="168" customFormat="1" ht="9.9499999999999993" customHeight="1">
      <c r="X11" s="168" t="s">
        <v>550</v>
      </c>
      <c r="Y11" s="349">
        <f>INDEX(calcReg1Seg2ShareNewCustR1,,xxIndexTeam)</f>
        <v>4.2522382478632475E-3</v>
      </c>
      <c r="Z11" s="349">
        <f>INDEX(calcReg1Seg2ShareNewCustR2,,xxIndexTeam)</f>
        <v>4.020703525641026E-3</v>
      </c>
    </row>
    <row r="12" spans="3:26" s="168" customFormat="1" ht="19.149999999999999" customHeight="1">
      <c r="C12" s="168" t="str">
        <f>nmPayer1</f>
        <v>Blue Sword/Blue Shield</v>
      </c>
      <c r="E12" s="345">
        <f>INDEX(calcReg1Seg2Payer1VolumeR2,,xxIndexTeam)</f>
        <v>220.55969863356006</v>
      </c>
      <c r="G12" s="548">
        <f>tlOutputReg1Seg2Payer1Volume_R2-V12</f>
        <v>11.038460993560022</v>
      </c>
      <c r="I12" s="345"/>
      <c r="V12" s="168">
        <f>INDEX(calcReg1Seg2Payer1VolumeR1,,xxIndexTeam)</f>
        <v>209.52123764000004</v>
      </c>
    </row>
    <row r="13" spans="3:26" s="168" customFormat="1" ht="12.6" customHeight="1">
      <c r="C13" s="287"/>
      <c r="Y13" s="349"/>
      <c r="Z13" s="349"/>
    </row>
    <row r="14" spans="3:26" s="168" customFormat="1" ht="19.149999999999999" customHeight="1">
      <c r="C14" s="168" t="str">
        <f>nmPayer3</f>
        <v>Dragon Health</v>
      </c>
      <c r="E14" s="345">
        <f>INDEX(calcReg1Seg2Payer3VolumeR2,,xxIndexTeam)</f>
        <v>204.72242824828905</v>
      </c>
      <c r="G14" s="548">
        <f>tlOutputReg1Seg2Payer3Volume_R2-V14</f>
        <v>14.85547729332751</v>
      </c>
      <c r="I14" s="345"/>
      <c r="V14" s="168">
        <f>INDEX(calcReg1Seg2Payer3VolumeR1,,xxIndexTeam)</f>
        <v>189.86695095496154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9.149999999999999" customHeight="1">
      <c r="C16" s="168" t="str">
        <f>nmPayer2</f>
        <v>WesterAid</v>
      </c>
      <c r="E16" s="345">
        <f>INDEX(calcReg1Seg2Payer2VolumeR2,,xxIndexTeam)</f>
        <v>0</v>
      </c>
      <c r="G16" s="548">
        <f>tlOutputReg1Seg2Payer2Volume_R2-V16</f>
        <v>0</v>
      </c>
      <c r="V16" s="168">
        <f>INDEX(calcReg1Seg2Payer2VolumeR1,,xxIndexTeam)</f>
        <v>0</v>
      </c>
      <c r="Y16" s="349"/>
      <c r="Z16" s="349"/>
    </row>
    <row r="17" spans="3:26" s="168" customFormat="1" ht="21.95" customHeight="1">
      <c r="C17" s="287"/>
      <c r="X17" s="168" t="s">
        <v>586</v>
      </c>
      <c r="Y17" s="331" t="s">
        <v>587</v>
      </c>
      <c r="Z17" s="331"/>
    </row>
    <row r="18" spans="3:26" s="168" customFormat="1" ht="21.95" customHeight="1">
      <c r="C18" s="531" t="s">
        <v>3184</v>
      </c>
      <c r="E18" s="368"/>
      <c r="G18" s="350" t="s">
        <v>516</v>
      </c>
      <c r="I18" s="370" t="s">
        <v>587</v>
      </c>
      <c r="J18" s="530"/>
      <c r="K18" s="371" t="s">
        <v>586</v>
      </c>
      <c r="W18" s="168" t="s">
        <v>590</v>
      </c>
      <c r="X18" s="351">
        <f>INDEX(calcReg1Seg2GrossRevenueR1,,xxIndexTeam)</f>
        <v>1198164.5657848846</v>
      </c>
      <c r="Y18" s="351">
        <f>INDEX(calcReg1Seg2GrossRevenueR2,,xxIndexTeam)</f>
        <v>1275846.3806455473</v>
      </c>
    </row>
    <row r="19" spans="3:26" s="168" customFormat="1" ht="13.9" customHeight="1">
      <c r="C19" s="354" t="s">
        <v>2904</v>
      </c>
      <c r="E19" s="348">
        <v>0.33</v>
      </c>
      <c r="G19" s="533">
        <f>I19/70</f>
        <v>707.14285714285711</v>
      </c>
      <c r="I19" s="359">
        <f>INDEX(calcReg1Seg2SampleAllocR2,,xxIndexTeam)</f>
        <v>49500</v>
      </c>
      <c r="K19" s="359">
        <f>INDEX(calcReg1Seg2SampleAllocR1,,xxIndexTeam)</f>
        <v>49500</v>
      </c>
      <c r="W19" s="168" t="s">
        <v>3825</v>
      </c>
      <c r="X19" s="351">
        <f>INDEX(calcReg1Seg2Reimbursement,,xxIndexTeam)</f>
        <v>604978.56889795372</v>
      </c>
      <c r="Y19" s="351">
        <f>INDEX(calcReg1Seg2ReimbursementR2,,xxIndexTeam)</f>
        <v>642674.37143835495</v>
      </c>
    </row>
    <row r="20" spans="3:26" s="168" customFormat="1" ht="21.95" customHeight="1">
      <c r="G20" s="361"/>
      <c r="W20" s="168" t="s">
        <v>593</v>
      </c>
      <c r="X20" s="351">
        <f>INDEX(calcReg1Seg2NetRevenueR1,,xxIndexTeam)</f>
        <v>593185.99688693089</v>
      </c>
      <c r="Y20" s="351">
        <f>INDEX(calcReg1Seg2NetRevenueR2,,xxIndexTeam)</f>
        <v>633172.00920719234</v>
      </c>
    </row>
    <row r="21" spans="3:26" s="168" customFormat="1" ht="19.149999999999999" customHeight="1">
      <c r="C21" s="168" t="s">
        <v>3190</v>
      </c>
      <c r="E21" s="532">
        <v>0.33</v>
      </c>
      <c r="I21" s="370" t="s">
        <v>587</v>
      </c>
      <c r="J21" s="368"/>
      <c r="K21" s="371" t="s">
        <v>586</v>
      </c>
      <c r="W21" s="168" t="s">
        <v>516</v>
      </c>
      <c r="X21" s="351">
        <f>INDEX(calcReg1Seg2SampleAllocR1,,xxIndexTeam)</f>
        <v>49500</v>
      </c>
      <c r="Y21" s="351">
        <f>INDEX(calcReg1Seg2SampleAllocR2,,xxIndexTeam)</f>
        <v>49500</v>
      </c>
    </row>
    <row r="22" spans="3:26" s="168" customFormat="1" ht="13.9" customHeight="1">
      <c r="I22" s="359">
        <f>INDEX(calcReg1Seg2PromotionAllocationR2,,xxIndexTeam)</f>
        <v>188100</v>
      </c>
      <c r="K22" s="536">
        <f>INDEX(calcReg1Seg2PromotionAllocationR1,,xxIndexTeam)</f>
        <v>198000</v>
      </c>
      <c r="W22" s="168" t="s">
        <v>3251</v>
      </c>
      <c r="X22" s="351">
        <f>INDEX(calcReg1Seg2SpeakerAllocR1,,xxIndexTeam)</f>
        <v>99000</v>
      </c>
      <c r="Y22" s="351">
        <f>INDEX(calcReg1Seg2SpeakerAllocR2,,xxIndexTeam)</f>
        <v>94050</v>
      </c>
    </row>
    <row r="23" spans="3:26" s="168" customFormat="1" ht="6.6" customHeight="1">
      <c r="C23" s="368"/>
      <c r="E23" s="352"/>
      <c r="I23" s="358"/>
      <c r="J23" s="530"/>
      <c r="K23" s="535"/>
      <c r="W23" s="168" t="s">
        <v>2333</v>
      </c>
      <c r="X23" s="351">
        <f>INDEX(calcReg1Seg2PromotionAllocR1,,xxIndexTeam)</f>
        <v>99000</v>
      </c>
      <c r="Y23" s="351">
        <f>INDEX(calcReg1Seg2PromotionAllocR2,,xxIndexTeam)</f>
        <v>94050</v>
      </c>
    </row>
    <row r="24" spans="3:26" s="168" customFormat="1" ht="13.9" customHeight="1">
      <c r="C24" s="534" t="s">
        <v>2900</v>
      </c>
      <c r="E24" s="348">
        <v>0.5</v>
      </c>
      <c r="I24" s="359">
        <f>INDEX(calcReg1Seg2SpeakerAllocR2,,xxIndexTeam)</f>
        <v>94050</v>
      </c>
      <c r="J24" s="530"/>
      <c r="K24" s="536">
        <f>INDEX(calcReg1Seg2SpeakerAllocR1,,xxIndexTeam)</f>
        <v>99000</v>
      </c>
      <c r="W24" s="168" t="s">
        <v>594</v>
      </c>
      <c r="X24" s="351">
        <f>INDEX(calcReg1Seg2InternalCostR1,,xxIndexTeam)</f>
        <v>0</v>
      </c>
      <c r="Y24" s="351">
        <f>INDEX(calcReg1Seg2InternalCostR2,,xxIndexTeam)</f>
        <v>0</v>
      </c>
    </row>
    <row r="25" spans="3:26" s="168" customFormat="1" ht="6.6" customHeight="1">
      <c r="C25" s="534"/>
      <c r="E25" s="352"/>
      <c r="I25" s="358"/>
      <c r="J25" s="530"/>
      <c r="K25" s="535"/>
      <c r="W25" s="168" t="s">
        <v>595</v>
      </c>
      <c r="X25" s="351">
        <f>X20-SUM(X21:X24)</f>
        <v>345685.99688693089</v>
      </c>
      <c r="Y25" s="351">
        <f>Y20-SUM(Y21:Y24)</f>
        <v>395572.00920719234</v>
      </c>
    </row>
    <row r="26" spans="3:26" s="168" customFormat="1" ht="13.9" customHeight="1">
      <c r="C26" s="534" t="s">
        <v>2901</v>
      </c>
      <c r="E26" s="539">
        <f>1-tlInputReg1Seg2SpeakersPerc_R2</f>
        <v>0.5</v>
      </c>
      <c r="I26" s="359">
        <f>INDEX(calcReg1Seg2PromotionAllocR2,,xxIndexTeam)</f>
        <v>94050</v>
      </c>
      <c r="J26" s="530"/>
      <c r="K26" s="536">
        <f>INDEX(calcReg1Seg2PromotionAllocR1,,xxIndexTeam)</f>
        <v>99000</v>
      </c>
    </row>
    <row r="27" spans="3:26" s="168" customFormat="1" ht="21.95" customHeight="1">
      <c r="E27" s="331"/>
    </row>
    <row r="28" spans="3:26" s="168" customFormat="1" ht="21.95" customHeight="1">
      <c r="C28" s="287"/>
      <c r="G28" s="527"/>
      <c r="I28" s="356"/>
      <c r="K28" s="356"/>
    </row>
    <row r="29" spans="3:26" s="168" customFormat="1" ht="14.45" customHeight="1">
      <c r="C29" s="340"/>
      <c r="E29" s="355"/>
      <c r="G29" s="358"/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1455</v>
      </c>
      <c r="E33" s="354" t="s">
        <v>771</v>
      </c>
      <c r="F33" s="363"/>
      <c r="G33" s="534" t="s">
        <v>2666</v>
      </c>
      <c r="H33" s="460"/>
      <c r="I33" s="354"/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8">
        <f>INDEX(calcReg1Seg2FTEsCFCollabR2,,xxIndexTeam)</f>
        <v>0</v>
      </c>
      <c r="I34" s="355"/>
      <c r="K34" s="355"/>
      <c r="W34" s="168" t="s">
        <v>592</v>
      </c>
      <c r="X34" s="496">
        <f>INDEX(calcESATReg1R1,,xxIndexTeam)</f>
        <v>60</v>
      </c>
      <c r="Y34" s="496">
        <f>INDEX(cbalESATReg1,,xxIndexTeam)</f>
        <v>60</v>
      </c>
    </row>
    <row r="35" spans="3:26" s="168" customFormat="1" ht="9" customHeight="1">
      <c r="E35" s="355"/>
      <c r="F35" s="336"/>
      <c r="G35" s="355"/>
      <c r="I35" s="355"/>
      <c r="K35" s="355"/>
      <c r="W35" s="168" t="s">
        <v>2644</v>
      </c>
      <c r="X35" s="496">
        <f>INDEX(calcOpEffReg1R1,,xxIndexTeam)</f>
        <v>60</v>
      </c>
      <c r="Y35" s="496">
        <f>INDEX(cbalOpEffReg1,,xxIndexTeam)</f>
        <v>60</v>
      </c>
    </row>
    <row r="36" spans="3:26" s="168" customFormat="1" ht="21.95" customHeight="1">
      <c r="C36" s="333"/>
      <c r="F36" s="364"/>
      <c r="G36" s="354"/>
      <c r="H36" s="354"/>
      <c r="I36" s="354"/>
      <c r="J36" s="354"/>
      <c r="K36" s="354"/>
    </row>
    <row r="37" spans="3:26" s="168" customFormat="1" ht="21.95" customHeight="1">
      <c r="C37" s="340" t="s">
        <v>3211</v>
      </c>
      <c r="E37" s="353">
        <v>0</v>
      </c>
      <c r="G37" s="358">
        <f>INDEX(calcReg1Seg2FTEsRegTrainR2,,xxIndexTeam)</f>
        <v>0</v>
      </c>
      <c r="X37" s="168" t="str">
        <f>nmReg1Seg1</f>
        <v>Riverrun</v>
      </c>
      <c r="Y37" s="168" t="str">
        <f>nmReg1Seg2</f>
        <v>Winterfell</v>
      </c>
      <c r="Z37" s="168" t="str">
        <f>nmReg1Seg3</f>
        <v>Harrenhal</v>
      </c>
    </row>
    <row r="38" spans="3:26" s="168" customFormat="1" ht="21.95" customHeight="1">
      <c r="C38" s="368"/>
      <c r="J38" s="368"/>
      <c r="K38" s="356"/>
      <c r="W38" s="168" t="s">
        <v>596</v>
      </c>
      <c r="X38" s="331">
        <f>1-tlOutputReg1Seg2Rep1IntTime_R2</f>
        <v>0.9</v>
      </c>
      <c r="Y38" s="331">
        <f>1-tlOutputReg1Seg2Rep2IntTime_R2</f>
        <v>0.9</v>
      </c>
      <c r="Z38" s="331">
        <f>1-tlOutputReg1Seg2Rep3IntTime_R2</f>
        <v>0.9</v>
      </c>
    </row>
    <row r="39" spans="3:26" s="168" customFormat="1" ht="8.4499999999999993" customHeight="1">
      <c r="C39" s="368"/>
      <c r="J39" s="368"/>
      <c r="K39" s="356"/>
      <c r="X39" s="331"/>
      <c r="Y39" s="331"/>
      <c r="Z39" s="331"/>
    </row>
    <row r="40" spans="3:26" s="168" customFormat="1" ht="21.95" customHeight="1">
      <c r="C40" s="333"/>
      <c r="W40" s="168" t="s">
        <v>597</v>
      </c>
      <c r="X40" s="331">
        <f>INDEX(calcReg1Seg1Rep1InternalTimeR2,,xxIndexTeam)</f>
        <v>0.1</v>
      </c>
      <c r="Y40" s="331">
        <f>INDEX(calcReg1Seg2Rep1InternalTimeR2,,xxIndexTeam)</f>
        <v>0.1</v>
      </c>
      <c r="Z40" s="331">
        <f>INDEX(calcReg1Seg3Rep1InternalTimeR2,,xxIndexTeam)</f>
        <v>0.1</v>
      </c>
    </row>
    <row r="41" spans="3:26" s="168" customFormat="1" ht="21.95" customHeight="1"/>
    <row r="42" spans="3:26" s="168" customFormat="1" ht="21.95" customHeight="1"/>
    <row r="43" spans="3:26" s="168" customFormat="1" ht="21.95" customHeight="1"/>
    <row r="44" spans="3:26" s="167" customFormat="1" ht="15" customHeight="1"/>
    <row r="45" spans="3:26" s="167" customFormat="1" ht="15" customHeight="1"/>
    <row r="46" spans="3:26" ht="21.95" customHeight="1"/>
  </sheetData>
  <sheetProtection selectLockedCells="1"/>
  <conditionalFormatting sqref="I19">
    <cfRule type="expression" dxfId="85" priority="5">
      <formula>I19&gt;#REF!</formula>
    </cfRule>
  </conditionalFormatting>
  <conditionalFormatting sqref="K19">
    <cfRule type="expression" dxfId="84" priority="4">
      <formula>K19&gt;#REF!</formula>
    </cfRule>
  </conditionalFormatting>
  <conditionalFormatting sqref="I24 I26">
    <cfRule type="expression" dxfId="83" priority="3">
      <formula>I24&gt;#REF!</formula>
    </cfRule>
  </conditionalFormatting>
  <conditionalFormatting sqref="K24 K26">
    <cfRule type="expression" dxfId="82" priority="2">
      <formula>K24&gt;#REF!</formula>
    </cfRule>
  </conditionalFormatting>
  <conditionalFormatting sqref="I22">
    <cfRule type="expression" dxfId="81" priority="1">
      <formula>I22&gt;#REF!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5"/>
  </sheetPr>
  <dimension ref="C1:Z46"/>
  <sheetViews>
    <sheetView topLeftCell="J17" zoomScaleNormal="100" workbookViewId="0">
      <selection activeCell="Z40" sqref="Z40"/>
    </sheetView>
  </sheetViews>
  <sheetFormatPr defaultColWidth="8.796875" defaultRowHeight="15"/>
  <cols>
    <col min="1" max="2" width="1.69921875" style="166" customWidth="1"/>
    <col min="3" max="3" width="24.69921875" style="166" customWidth="1"/>
    <col min="4" max="4" width="1.69921875" style="166" customWidth="1"/>
    <col min="5" max="5" width="10.69921875" style="166" customWidth="1"/>
    <col min="6" max="6" width="1.69921875" style="166" customWidth="1"/>
    <col min="7" max="7" width="10.69921875" style="166" customWidth="1"/>
    <col min="8" max="8" width="1.69921875" style="166" customWidth="1"/>
    <col min="9" max="9" width="10.69921875" style="166" customWidth="1"/>
    <col min="10" max="10" width="1.69921875" style="166" customWidth="1"/>
    <col min="11" max="11" width="10.69921875" style="166" customWidth="1"/>
    <col min="12" max="12" width="1.69921875" style="166" customWidth="1"/>
    <col min="13" max="13" width="10.69921875" style="166" customWidth="1"/>
    <col min="14" max="14" width="1.69921875" style="166" customWidth="1"/>
    <col min="15" max="15" width="10.69921875" style="166" customWidth="1"/>
    <col min="16" max="16" width="1.69921875" style="166" customWidth="1"/>
    <col min="17" max="17" width="10.69921875" style="166" customWidth="1"/>
    <col min="18" max="19" width="1.69921875" style="166" customWidth="1"/>
    <col min="20" max="20" width="20.69921875" style="166" customWidth="1"/>
    <col min="21" max="23" width="8.796875" style="166"/>
    <col min="24" max="24" width="13.69921875" style="166" bestFit="1" customWidth="1"/>
    <col min="25" max="25" width="11.69921875" style="166" bestFit="1" customWidth="1"/>
    <col min="26" max="16384" width="8.796875" style="166"/>
  </cols>
  <sheetData>
    <row r="1" spans="3:26" s="168" customFormat="1" ht="6" customHeight="1"/>
    <row r="2" spans="3:26" s="342" customFormat="1" ht="22.15" customHeight="1">
      <c r="C2" s="337"/>
      <c r="T2" s="343" t="str">
        <f>DB_Dashboard5</f>
        <v>TRx Share  0.34% NRx Share  0.36% TRx Volume  1,219</v>
      </c>
      <c r="V2" s="170" t="s">
        <v>600</v>
      </c>
      <c r="W2" s="168" t="s">
        <v>212</v>
      </c>
    </row>
    <row r="3" spans="3:26" s="347" customFormat="1" ht="22.15" customHeight="1">
      <c r="C3" s="332" t="str">
        <f>nmProgramSubtitle</f>
        <v>Resourcing for Results</v>
      </c>
      <c r="T3" s="362" t="str">
        <f>DB_Dashboard6Reg1</f>
        <v xml:space="preserve">Market Execution  60.0 Employee Engagement  60.0 </v>
      </c>
    </row>
    <row r="4" spans="3:26" s="342" customFormat="1" ht="22.15" customHeight="1">
      <c r="C4" s="344"/>
      <c r="T4" s="343" t="str">
        <f>DB_Dashboard8Reg1</f>
        <v>MTUs Remaining  150 Samples Remaining  1% Promotional $ Remaining  1%</v>
      </c>
    </row>
    <row r="5" spans="3:26" s="168" customFormat="1" ht="20.100000000000001" customHeight="1"/>
    <row r="6" spans="3:26" s="168" customFormat="1" ht="21.95" customHeight="1">
      <c r="C6" s="357" t="str">
        <f>nmReg1</f>
        <v>The Region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</row>
    <row r="7" spans="3:26" s="168" customFormat="1" ht="9.6" customHeight="1"/>
    <row r="8" spans="3:26" s="168" customFormat="1" ht="21.95" customHeight="1">
      <c r="C8" s="365" t="str">
        <f>nmReg1Seg3</f>
        <v>Harrenhal</v>
      </c>
    </row>
    <row r="9" spans="3:26" s="168" customFormat="1" ht="17.45" customHeight="1">
      <c r="C9" s="287" t="s">
        <v>634</v>
      </c>
      <c r="Y9" s="168" t="s">
        <v>586</v>
      </c>
      <c r="Z9" s="168" t="s">
        <v>587</v>
      </c>
    </row>
    <row r="10" spans="3:26" s="168" customFormat="1" ht="16.149999999999999" customHeight="1">
      <c r="E10" s="360" t="s">
        <v>548</v>
      </c>
      <c r="G10" s="338" t="s">
        <v>3188</v>
      </c>
      <c r="I10" s="360"/>
      <c r="L10" s="346"/>
      <c r="M10" s="346"/>
      <c r="N10" s="346"/>
      <c r="X10" s="168" t="s">
        <v>549</v>
      </c>
      <c r="Y10" s="349">
        <f>INDEX(calcReg1Seg3ShareTotalCustR1,,xxIndexTeam)</f>
        <v>3.1898366237869029E-3</v>
      </c>
      <c r="Z10" s="349">
        <f>INDEX(calcReg1Seg3ShareTotalCustR2,,xxIndexTeam)</f>
        <v>3.1056509110970014E-3</v>
      </c>
    </row>
    <row r="11" spans="3:26" s="168" customFormat="1" ht="9.9499999999999993" customHeight="1">
      <c r="X11" s="168" t="s">
        <v>550</v>
      </c>
      <c r="Y11" s="349">
        <f>INDEX(calcReg1Seg3ShareNewCustR1,,xxIndexTeam)</f>
        <v>3.3809804815067971E-3</v>
      </c>
      <c r="Z11" s="349">
        <f>INDEX(calcReg1Seg3ShareNewCustR2,,xxIndexTeam)</f>
        <v>3.2921168451431611E-3</v>
      </c>
    </row>
    <row r="12" spans="3:26" s="168" customFormat="1" ht="18" customHeight="1">
      <c r="C12" s="168" t="str">
        <f>nmPayer1</f>
        <v>Blue Sword/Blue Shield</v>
      </c>
      <c r="E12" s="345">
        <f>INDEX(calcReg1Seg3Payer1VolumeR2,,xxIndexTeam)</f>
        <v>263.84975436272089</v>
      </c>
      <c r="G12" s="548">
        <f>tlOutputReg1Seg3Payer1Volume_R2-V12</f>
        <v>24.288397380405087</v>
      </c>
      <c r="I12" s="345"/>
      <c r="V12" s="168">
        <f>INDEX(calcReg1Seg3Payer1VolumeR1,,xxIndexTeam)</f>
        <v>239.5613569823158</v>
      </c>
    </row>
    <row r="13" spans="3:26" s="168" customFormat="1" ht="12.6" customHeight="1">
      <c r="C13" s="287"/>
      <c r="Y13" s="349"/>
      <c r="Z13" s="349"/>
    </row>
    <row r="14" spans="3:26" s="168" customFormat="1" ht="18" customHeight="1">
      <c r="C14" s="168" t="str">
        <f>nmPayer3</f>
        <v>Dragon Health</v>
      </c>
      <c r="E14" s="345">
        <f>INDEX(calcReg1Seg3Payer3VolumeR2,,xxIndexTeam)</f>
        <v>226.81820085451341</v>
      </c>
      <c r="G14" s="548">
        <f>tlOutputReg1Seg3Payer3Volume_R2-V14</f>
        <v>20.389625839846701</v>
      </c>
      <c r="I14" s="345"/>
      <c r="V14" s="168">
        <f>INDEX(calcReg1Seg3Payer3VolumeR1,,xxIndexTeam)</f>
        <v>206.42857501466671</v>
      </c>
      <c r="Y14" s="331"/>
      <c r="Z14" s="331"/>
    </row>
    <row r="15" spans="3:26" s="168" customFormat="1" ht="12.6" customHeight="1">
      <c r="E15" s="339"/>
      <c r="G15" s="339"/>
    </row>
    <row r="16" spans="3:26" s="168" customFormat="1" ht="18" customHeight="1">
      <c r="C16" s="168" t="str">
        <f>nmPayer2</f>
        <v>WesterAid</v>
      </c>
      <c r="E16" s="345">
        <f>INDEX(calcReg1Seg3Payer2VolumeR2,,xxIndexTeam)</f>
        <v>0</v>
      </c>
      <c r="G16" s="548">
        <f>tlOutputReg1Seg3Payer2Volume_R2-V16</f>
        <v>0</v>
      </c>
      <c r="V16" s="168">
        <f>INDEX(calcReg1Seg3Payer2VolumeR1,,xxIndexTeam)</f>
        <v>0</v>
      </c>
      <c r="Y16" s="349"/>
      <c r="Z16" s="349"/>
    </row>
    <row r="17" spans="3:26" s="168" customFormat="1" ht="21.95" customHeight="1">
      <c r="C17" s="287"/>
      <c r="Y17" s="331"/>
      <c r="Z17" s="331"/>
    </row>
    <row r="18" spans="3:26" s="168" customFormat="1" ht="21.95" customHeight="1">
      <c r="C18" s="531" t="s">
        <v>3184</v>
      </c>
      <c r="E18" s="368"/>
      <c r="G18" s="350" t="s">
        <v>516</v>
      </c>
      <c r="I18" s="370" t="s">
        <v>587</v>
      </c>
      <c r="J18" s="530"/>
      <c r="K18" s="371" t="s">
        <v>586</v>
      </c>
      <c r="W18" s="168" t="s">
        <v>590</v>
      </c>
      <c r="X18" s="351">
        <f>INDEX(calcReg1Seg3GrossRevenueR1,,xxIndexTeam)</f>
        <v>1337969.7959909476</v>
      </c>
      <c r="Y18" s="351">
        <f>INDEX(calcReg1Seg3GrossRevenueR2,,xxIndexTeam)</f>
        <v>1472003.865651703</v>
      </c>
    </row>
    <row r="19" spans="3:26" s="168" customFormat="1" ht="13.9" customHeight="1">
      <c r="C19" s="354" t="s">
        <v>2904</v>
      </c>
      <c r="E19" s="348">
        <v>0.33</v>
      </c>
      <c r="G19" s="533">
        <f>I19/70</f>
        <v>707.14285714285711</v>
      </c>
      <c r="I19" s="359">
        <f>INDEX(calcReg1Seg3SampleAllocR2,,xxIndexTeam)</f>
        <v>49500</v>
      </c>
      <c r="K19" s="359">
        <f>INDEX(calcReg1Seg3SampleAllocR1,,xxIndexTeam)</f>
        <v>49500</v>
      </c>
      <c r="W19" s="168" t="s">
        <v>3825</v>
      </c>
      <c r="X19" s="351">
        <f>INDEX(calcReg1Seg3Reimbursement,,xxIndexTeam)</f>
        <v>678924.73258576856</v>
      </c>
      <c r="Y19" s="351">
        <f>INDEX(calcReg1Seg3ReimbursementR2,,xxIndexTeam)</f>
        <v>747111.39887831383</v>
      </c>
    </row>
    <row r="20" spans="3:26" s="168" customFormat="1" ht="21.95" customHeight="1">
      <c r="G20" s="361"/>
      <c r="W20" s="168" t="s">
        <v>593</v>
      </c>
      <c r="X20" s="351">
        <f>INDEX(calcReg1Seg3NetRevenueR1,,xxIndexTeam)</f>
        <v>659045.06340517907</v>
      </c>
      <c r="Y20" s="351">
        <f>INDEX(calcReg1Seg3NetRevenueR2,,xxIndexTeam)</f>
        <v>724892.46677338914</v>
      </c>
    </row>
    <row r="21" spans="3:26" s="168" customFormat="1" ht="19.149999999999999" customHeight="1">
      <c r="C21" s="168" t="s">
        <v>3190</v>
      </c>
      <c r="E21" s="532">
        <v>0.33</v>
      </c>
      <c r="I21" s="370" t="s">
        <v>587</v>
      </c>
      <c r="J21" s="368"/>
      <c r="K21" s="371" t="s">
        <v>586</v>
      </c>
      <c r="W21" s="168" t="s">
        <v>516</v>
      </c>
      <c r="X21" s="351">
        <f>INDEX(calcReg1Seg3SampleAllocR1,,xxIndexTeam)</f>
        <v>49500</v>
      </c>
      <c r="Y21" s="351">
        <f>INDEX(calcReg1Seg3SampleAllocR2,,xxIndexTeam)</f>
        <v>49500</v>
      </c>
    </row>
    <row r="22" spans="3:26" s="168" customFormat="1" ht="13.9" customHeight="1">
      <c r="I22" s="359">
        <f>INDEX(calcReg1Seg3PromotionAllocationR2,,xxIndexTeam)</f>
        <v>188100</v>
      </c>
      <c r="K22" s="536">
        <f>INDEX(calcReg1Seg3PromotionAllocationR1,,xxIndexTeam)</f>
        <v>198000</v>
      </c>
      <c r="W22" s="168" t="s">
        <v>3251</v>
      </c>
      <c r="X22" s="351">
        <f>INDEX(calcReg1Seg3SpeakerAllocR1,,xxIndexTeam)</f>
        <v>99000</v>
      </c>
      <c r="Y22" s="351">
        <f>INDEX(calcReg1Seg3SpeakerAllocR2,,xxIndexTeam)</f>
        <v>94050</v>
      </c>
    </row>
    <row r="23" spans="3:26" s="168" customFormat="1" ht="6.6" customHeight="1">
      <c r="C23" s="368"/>
      <c r="E23" s="352"/>
      <c r="I23" s="358"/>
      <c r="J23" s="530"/>
      <c r="K23" s="535"/>
      <c r="W23" s="168" t="s">
        <v>2333</v>
      </c>
      <c r="X23" s="351">
        <f>INDEX(calcReg1Seg3PromotionAllocR1,,xxIndexTeam)</f>
        <v>99000</v>
      </c>
      <c r="Y23" s="351">
        <f>INDEX(calcReg1Seg3PromotionAllocR2,,xxIndexTeam)</f>
        <v>94050</v>
      </c>
    </row>
    <row r="24" spans="3:26" s="168" customFormat="1" ht="13.9" customHeight="1">
      <c r="C24" s="534" t="s">
        <v>2900</v>
      </c>
      <c r="E24" s="348">
        <v>0.5</v>
      </c>
      <c r="I24" s="359">
        <f>INDEX(calcReg1Seg3SpeakerAllocR2,,xxIndexTeam)</f>
        <v>94050</v>
      </c>
      <c r="J24" s="530"/>
      <c r="K24" s="536">
        <f>INDEX(calcReg1Seg3SpeakerAllocR1,,xxIndexTeam)</f>
        <v>99000</v>
      </c>
      <c r="W24" s="168" t="s">
        <v>594</v>
      </c>
      <c r="X24" s="351">
        <f>INDEX(calcReg1Seg3InternalCostR1,,xxIndexTeam)</f>
        <v>0</v>
      </c>
      <c r="Y24" s="351">
        <f>INDEX(calcReg1Seg3InternalCostR2,,xxIndexTeam)</f>
        <v>0</v>
      </c>
    </row>
    <row r="25" spans="3:26" s="168" customFormat="1" ht="6.6" customHeight="1">
      <c r="C25" s="534"/>
      <c r="E25" s="352"/>
      <c r="I25" s="358"/>
      <c r="J25" s="530"/>
      <c r="K25" s="535"/>
      <c r="W25" s="168" t="s">
        <v>595</v>
      </c>
      <c r="X25" s="351">
        <f>X20-SUM(X21:X24)</f>
        <v>411545.06340517907</v>
      </c>
      <c r="Y25" s="351">
        <f>Y20-SUM(Y21:Y24)</f>
        <v>487292.46677338914</v>
      </c>
    </row>
    <row r="26" spans="3:26" s="168" customFormat="1" ht="13.9" customHeight="1">
      <c r="C26" s="534" t="s">
        <v>2901</v>
      </c>
      <c r="E26" s="539">
        <f>1-tlInputReg1Seg3SpeakersPerc_R2</f>
        <v>0.5</v>
      </c>
      <c r="I26" s="359">
        <f>INDEX(calcReg1Seg3PromotionAllocR2,,xxIndexTeam)</f>
        <v>94050</v>
      </c>
      <c r="J26" s="530"/>
      <c r="K26" s="536">
        <f>INDEX(calcReg1Seg3PromotionAllocR1,,xxIndexTeam)</f>
        <v>99000</v>
      </c>
    </row>
    <row r="27" spans="3:26" s="168" customFormat="1" ht="21.95" customHeight="1">
      <c r="E27" s="331"/>
    </row>
    <row r="28" spans="3:26" s="168" customFormat="1" ht="21.95" customHeight="1">
      <c r="C28" s="287"/>
      <c r="G28" s="527"/>
      <c r="I28" s="356"/>
      <c r="K28" s="356"/>
    </row>
    <row r="29" spans="3:26" s="168" customFormat="1" ht="14.45" customHeight="1">
      <c r="C29" s="340"/>
      <c r="E29" s="355"/>
      <c r="G29" s="358"/>
      <c r="I29" s="359"/>
      <c r="K29" s="372"/>
    </row>
    <row r="30" spans="3:26" s="168" customFormat="1" ht="8.4499999999999993" customHeight="1"/>
    <row r="31" spans="3:26" s="168" customFormat="1" ht="14.45" customHeight="1">
      <c r="I31" s="359"/>
      <c r="K31" s="372"/>
    </row>
    <row r="32" spans="3:26" s="168" customFormat="1" ht="21.95" customHeight="1"/>
    <row r="33" spans="3:26" s="168" customFormat="1" ht="21.95" customHeight="1">
      <c r="C33" s="287" t="s">
        <v>599</v>
      </c>
      <c r="E33" s="354" t="s">
        <v>771</v>
      </c>
      <c r="F33" s="363"/>
      <c r="G33" s="534" t="s">
        <v>2666</v>
      </c>
      <c r="H33" s="460"/>
      <c r="I33" s="354"/>
      <c r="J33" s="368"/>
      <c r="K33" s="368"/>
      <c r="O33" s="287"/>
      <c r="X33" s="168" t="s">
        <v>586</v>
      </c>
      <c r="Y33" s="168" t="s">
        <v>587</v>
      </c>
    </row>
    <row r="34" spans="3:26" s="168" customFormat="1" ht="15" customHeight="1">
      <c r="C34" s="168" t="s">
        <v>585</v>
      </c>
      <c r="E34" s="353">
        <v>0</v>
      </c>
      <c r="F34" s="336"/>
      <c r="G34" s="358">
        <f>INDEX(calcReg1Seg3FTEsCFCollabR2,,xxIndexTeam)</f>
        <v>0</v>
      </c>
      <c r="I34" s="355"/>
      <c r="K34" s="355"/>
      <c r="W34" s="168" t="s">
        <v>592</v>
      </c>
      <c r="X34" s="496">
        <f>INDEX(calcESATReg1R1,,xxIndexTeam)</f>
        <v>60</v>
      </c>
      <c r="Y34" s="496">
        <f>INDEX(cbalESATReg1,,xxIndexTeam)</f>
        <v>60</v>
      </c>
    </row>
    <row r="35" spans="3:26" s="168" customFormat="1" ht="9" customHeight="1">
      <c r="E35" s="355"/>
      <c r="F35" s="336"/>
      <c r="G35" s="355"/>
      <c r="I35" s="355"/>
      <c r="K35" s="355"/>
      <c r="W35" s="168" t="s">
        <v>2644</v>
      </c>
      <c r="X35" s="496">
        <f>INDEX(calcOpEffReg1R1,,xxIndexTeam)</f>
        <v>60</v>
      </c>
      <c r="Y35" s="496">
        <f>INDEX(cbalOpEffReg1,,xxIndexTeam)</f>
        <v>60</v>
      </c>
    </row>
    <row r="36" spans="3:26" s="168" customFormat="1" ht="21.95" customHeight="1">
      <c r="C36" s="333"/>
      <c r="F36" s="364"/>
      <c r="G36" s="354"/>
      <c r="H36" s="354"/>
      <c r="I36" s="354"/>
      <c r="J36" s="354"/>
      <c r="K36" s="354"/>
    </row>
    <row r="37" spans="3:26" s="168" customFormat="1" ht="21.95" customHeight="1">
      <c r="C37" s="340" t="s">
        <v>3211</v>
      </c>
      <c r="E37" s="353">
        <v>0</v>
      </c>
      <c r="G37" s="358">
        <f>INDEX(calcReg1Seg3FTEsRegTrainR2,,xxIndexTeam)</f>
        <v>0</v>
      </c>
      <c r="X37" s="168" t="str">
        <f>nmReg1Seg1</f>
        <v>Riverrun</v>
      </c>
      <c r="Y37" s="168" t="str">
        <f>nmReg1Seg2</f>
        <v>Winterfell</v>
      </c>
      <c r="Z37" s="168" t="str">
        <f>nmReg1Seg3</f>
        <v>Harrenhal</v>
      </c>
    </row>
    <row r="38" spans="3:26" s="168" customFormat="1" ht="21.95" customHeight="1">
      <c r="C38" s="368"/>
      <c r="J38" s="368"/>
      <c r="K38" s="356"/>
      <c r="W38" s="168" t="s">
        <v>596</v>
      </c>
      <c r="X38" s="331">
        <f>1-tlOutputReg1Seg3Rep1IntTime_R2</f>
        <v>0.9</v>
      </c>
      <c r="Y38" s="331">
        <f>1-tlOutputReg1Seg3Rep2IntTime_R2</f>
        <v>0.9</v>
      </c>
      <c r="Z38" s="331">
        <f>1-tlOutputReg1Seg3Rep3IntTime_R2</f>
        <v>0.9</v>
      </c>
    </row>
    <row r="39" spans="3:26" s="168" customFormat="1" ht="8.4499999999999993" customHeight="1">
      <c r="C39" s="368"/>
      <c r="J39" s="368"/>
      <c r="K39" s="356"/>
      <c r="X39" s="331"/>
      <c r="Y39" s="331"/>
      <c r="Z39" s="331"/>
    </row>
    <row r="40" spans="3:26" s="168" customFormat="1" ht="21.95" customHeight="1">
      <c r="C40" s="333"/>
      <c r="W40" s="168" t="s">
        <v>597</v>
      </c>
      <c r="X40" s="331">
        <f>INDEX(calcReg1Seg1Rep1InternalTimeR2,,xxIndexTeam)</f>
        <v>0.1</v>
      </c>
      <c r="Y40" s="331">
        <f>INDEX(calcReg1Seg2Rep1InternalTimeR2,,xxIndexTeam)</f>
        <v>0.1</v>
      </c>
      <c r="Z40" s="331">
        <f>INDEX(calcReg1Seg3Rep1InternalTimeR2,,xxIndexTeam)</f>
        <v>0.1</v>
      </c>
    </row>
    <row r="41" spans="3:26" s="168" customFormat="1" ht="21.95" customHeight="1"/>
    <row r="42" spans="3:26" s="168" customFormat="1" ht="21.95" customHeight="1"/>
    <row r="43" spans="3:26" s="168" customFormat="1" ht="21.95" customHeight="1"/>
    <row r="44" spans="3:26" s="167" customFormat="1" ht="15" customHeight="1"/>
    <row r="45" spans="3:26" s="167" customFormat="1" ht="15" customHeight="1"/>
    <row r="46" spans="3:26" ht="21.95" customHeight="1"/>
  </sheetData>
  <sheetProtection selectLockedCells="1"/>
  <conditionalFormatting sqref="I19">
    <cfRule type="expression" dxfId="80" priority="5">
      <formula>I19&gt;#REF!</formula>
    </cfRule>
  </conditionalFormatting>
  <conditionalFormatting sqref="K19">
    <cfRule type="expression" dxfId="79" priority="4">
      <formula>K19&gt;#REF!</formula>
    </cfRule>
  </conditionalFormatting>
  <conditionalFormatting sqref="I24 I26">
    <cfRule type="expression" dxfId="78" priority="3">
      <formula>I24&gt;#REF!</formula>
    </cfRule>
  </conditionalFormatting>
  <conditionalFormatting sqref="K24 K26">
    <cfRule type="expression" dxfId="77" priority="2">
      <formula>K24&gt;#REF!</formula>
    </cfRule>
  </conditionalFormatting>
  <conditionalFormatting sqref="I22">
    <cfRule type="expression" dxfId="76" priority="1">
      <formula>I22&gt;#REF!</formula>
    </cfRule>
  </conditionalFormatting>
  <pageMargins left="0.7" right="0.7" top="0.75" bottom="0.75" header="0.3" footer="0.3"/>
  <pageSetup paperSize="9" orientation="portrait" r:id="rId1"/>
  <ignoredErrors>
    <ignoredError sqref="E2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1"/>
  </sheetPr>
  <dimension ref="A1:L285"/>
  <sheetViews>
    <sheetView topLeftCell="A7" workbookViewId="0">
      <selection activeCell="A5" sqref="A5"/>
    </sheetView>
  </sheetViews>
  <sheetFormatPr defaultRowHeight="14.25"/>
  <cols>
    <col min="1" max="1" width="4.69921875" style="83" customWidth="1"/>
    <col min="2" max="2" width="4.69921875" style="84" customWidth="1"/>
    <col min="3" max="3" width="20.3984375" style="83" customWidth="1"/>
    <col min="4" max="4" width="63.09765625" style="83" customWidth="1"/>
    <col min="5" max="5" width="27.69921875" style="83" customWidth="1"/>
    <col min="6" max="6" width="19.796875" style="83" customWidth="1"/>
    <col min="7" max="7" width="23" style="83" customWidth="1"/>
    <col min="8" max="8" width="40.09765625" style="83" customWidth="1"/>
  </cols>
  <sheetData>
    <row r="1" spans="1:8" s="1" customFormat="1" ht="67.900000000000006" customHeight="1">
      <c r="A1" s="182" t="s">
        <v>254</v>
      </c>
      <c r="B1" s="96"/>
      <c r="C1" s="87"/>
      <c r="D1" s="87"/>
      <c r="E1" s="87"/>
      <c r="F1" s="87"/>
      <c r="G1" s="87"/>
      <c r="H1" s="87"/>
    </row>
    <row r="2" spans="1:8" ht="13.15" customHeight="1"/>
    <row r="3" spans="1:8" s="179" customFormat="1">
      <c r="A3" s="181" t="s">
        <v>253</v>
      </c>
      <c r="B3" s="181"/>
      <c r="C3" s="180"/>
      <c r="E3" s="180"/>
      <c r="F3" s="180"/>
      <c r="G3" s="180"/>
      <c r="H3" s="180"/>
    </row>
    <row r="4" spans="1:8" s="179" customFormat="1">
      <c r="A4" s="181"/>
      <c r="B4" s="181"/>
      <c r="C4" s="180"/>
      <c r="E4" s="180"/>
      <c r="F4" s="180"/>
      <c r="G4" s="180"/>
      <c r="H4" s="180"/>
    </row>
    <row r="5" spans="1:8" s="179" customFormat="1">
      <c r="A5" s="181"/>
      <c r="B5" s="181"/>
      <c r="C5" s="180"/>
      <c r="E5" s="180"/>
      <c r="F5" s="180"/>
      <c r="G5" s="180"/>
      <c r="H5" s="180"/>
    </row>
    <row r="6" spans="1:8" s="179" customFormat="1">
      <c r="A6" s="181"/>
      <c r="B6" s="181"/>
      <c r="C6" s="180"/>
      <c r="E6" s="180"/>
      <c r="F6" s="180"/>
      <c r="G6" s="180"/>
      <c r="H6" s="180"/>
    </row>
    <row r="7" spans="1:8" s="179" customFormat="1">
      <c r="A7" s="181"/>
      <c r="B7" s="181"/>
      <c r="C7" s="180"/>
      <c r="E7" s="180"/>
      <c r="F7" s="180"/>
      <c r="G7" s="180"/>
      <c r="H7" s="180"/>
    </row>
    <row r="8" spans="1:8" s="179" customFormat="1">
      <c r="A8" s="181"/>
      <c r="B8" s="181"/>
      <c r="C8" s="180" t="s">
        <v>252</v>
      </c>
      <c r="D8" s="88">
        <v>1</v>
      </c>
      <c r="E8" s="180" t="s">
        <v>251</v>
      </c>
      <c r="F8" s="180"/>
      <c r="G8" s="180"/>
      <c r="H8" s="180"/>
    </row>
    <row r="9" spans="1:8" s="179" customFormat="1">
      <c r="A9" s="181"/>
      <c r="B9" s="181"/>
      <c r="C9" s="180"/>
      <c r="E9" s="180"/>
      <c r="F9" s="180"/>
      <c r="G9" s="180"/>
      <c r="H9" s="180"/>
    </row>
    <row r="10" spans="1:8">
      <c r="C10" s="83" t="s">
        <v>250</v>
      </c>
      <c r="D10" s="164"/>
      <c r="E10" s="83" t="s">
        <v>249</v>
      </c>
    </row>
    <row r="12" spans="1:8">
      <c r="C12" s="83" t="s">
        <v>248</v>
      </c>
    </row>
    <row r="14" spans="1:8">
      <c r="C14" s="83" t="s">
        <v>247</v>
      </c>
      <c r="D14" s="164"/>
    </row>
    <row r="15" spans="1:8">
      <c r="C15" s="83" t="s">
        <v>246</v>
      </c>
      <c r="D15" s="164"/>
    </row>
    <row r="16" spans="1:8">
      <c r="C16" s="83" t="s">
        <v>245</v>
      </c>
      <c r="D16" s="164"/>
    </row>
    <row r="17" spans="3:4">
      <c r="C17" s="83" t="s">
        <v>244</v>
      </c>
      <c r="D17" s="164"/>
    </row>
    <row r="18" spans="3:4">
      <c r="C18" s="83" t="s">
        <v>243</v>
      </c>
      <c r="D18" s="164"/>
    </row>
    <row r="19" spans="3:4">
      <c r="C19" s="83" t="s">
        <v>242</v>
      </c>
      <c r="D19" s="164"/>
    </row>
    <row r="20" spans="3:4">
      <c r="C20" s="83" t="s">
        <v>241</v>
      </c>
      <c r="D20" s="164"/>
    </row>
    <row r="21" spans="3:4">
      <c r="C21" s="83" t="s">
        <v>240</v>
      </c>
      <c r="D21" s="164"/>
    </row>
    <row r="22" spans="3:4">
      <c r="C22" s="83" t="s">
        <v>239</v>
      </c>
      <c r="D22" s="164"/>
    </row>
    <row r="23" spans="3:4">
      <c r="C23" s="83" t="s">
        <v>238</v>
      </c>
      <c r="D23" s="164"/>
    </row>
    <row r="24" spans="3:4">
      <c r="C24" s="83" t="s">
        <v>237</v>
      </c>
      <c r="D24" s="164"/>
    </row>
    <row r="25" spans="3:4">
      <c r="C25" s="83" t="s">
        <v>236</v>
      </c>
      <c r="D25" s="164"/>
    </row>
    <row r="26" spans="3:4">
      <c r="C26" s="83" t="s">
        <v>235</v>
      </c>
      <c r="D26" s="164"/>
    </row>
    <row r="27" spans="3:4">
      <c r="C27" s="83" t="s">
        <v>234</v>
      </c>
      <c r="D27" s="164"/>
    </row>
    <row r="28" spans="3:4">
      <c r="C28" s="83" t="s">
        <v>233</v>
      </c>
      <c r="D28" s="164"/>
    </row>
    <row r="29" spans="3:4">
      <c r="C29" s="83" t="s">
        <v>232</v>
      </c>
      <c r="D29" s="164"/>
    </row>
    <row r="30" spans="3:4">
      <c r="C30" s="83" t="s">
        <v>231</v>
      </c>
      <c r="D30" s="164"/>
    </row>
    <row r="31" spans="3:4">
      <c r="C31" s="83" t="s">
        <v>230</v>
      </c>
      <c r="D31" s="164"/>
    </row>
    <row r="32" spans="3:4">
      <c r="C32" s="83" t="s">
        <v>229</v>
      </c>
      <c r="D32" s="164"/>
    </row>
    <row r="33" spans="1:12">
      <c r="C33" s="83" t="s">
        <v>228</v>
      </c>
      <c r="D33" s="164"/>
    </row>
    <row r="34" spans="1:12">
      <c r="D34" s="83" t="s">
        <v>227</v>
      </c>
    </row>
    <row r="36" spans="1:12" ht="18">
      <c r="A36" s="178" t="s">
        <v>226</v>
      </c>
      <c r="B36" s="178"/>
      <c r="C36" s="177"/>
      <c r="D36" s="177"/>
      <c r="E36" s="177" t="s">
        <v>225</v>
      </c>
      <c r="F36" s="177" t="s">
        <v>224</v>
      </c>
      <c r="G36" s="177"/>
      <c r="H36" s="177"/>
      <c r="L36" t="s">
        <v>223</v>
      </c>
    </row>
    <row r="37" spans="1:12" ht="18">
      <c r="A37" s="175"/>
      <c r="B37" s="176" t="s">
        <v>222</v>
      </c>
      <c r="C37" s="175"/>
      <c r="D37" s="175"/>
      <c r="E37" s="175"/>
      <c r="F37" s="175"/>
      <c r="G37" s="174" t="s">
        <v>221</v>
      </c>
      <c r="H37" s="174" t="s">
        <v>220</v>
      </c>
      <c r="L37" t="s">
        <v>219</v>
      </c>
    </row>
    <row r="38" spans="1:12">
      <c r="E38" s="112"/>
      <c r="F38" s="112"/>
      <c r="G38" s="172"/>
      <c r="H38" s="88" t="str">
        <f t="shared" ref="H38:H101" ca="1" si="0">IF(OR($E38="",$F38=""),"",IF($F38="Range",INDEX(INDIRECT($E38),xxResetTeam),IF(F38="Number",$E38,IF(F38="Text",$E38,""))))</f>
        <v/>
      </c>
      <c r="L38" t="s">
        <v>218</v>
      </c>
    </row>
    <row r="39" spans="1:12">
      <c r="E39" s="112"/>
      <c r="F39" s="112"/>
      <c r="G39" s="172"/>
      <c r="H39" s="88" t="str">
        <f t="shared" ca="1" si="0"/>
        <v/>
      </c>
    </row>
    <row r="40" spans="1:12">
      <c r="E40" s="112"/>
      <c r="F40" s="112"/>
      <c r="G40" s="172"/>
      <c r="H40" s="88" t="str">
        <f t="shared" ca="1" si="0"/>
        <v/>
      </c>
    </row>
    <row r="41" spans="1:12">
      <c r="E41" s="112"/>
      <c r="F41" s="112"/>
      <c r="G41" s="172"/>
      <c r="H41" s="88" t="str">
        <f t="shared" ca="1" si="0"/>
        <v/>
      </c>
    </row>
    <row r="42" spans="1:12">
      <c r="E42" s="112"/>
      <c r="F42" s="112"/>
      <c r="G42" s="172"/>
      <c r="H42" s="88" t="str">
        <f t="shared" ca="1" si="0"/>
        <v/>
      </c>
    </row>
    <row r="43" spans="1:12">
      <c r="E43" s="112"/>
      <c r="F43" s="112"/>
      <c r="G43" s="172"/>
      <c r="H43" s="88" t="str">
        <f t="shared" ca="1" si="0"/>
        <v/>
      </c>
    </row>
    <row r="44" spans="1:12">
      <c r="C44" s="113"/>
      <c r="E44" s="112"/>
      <c r="F44" s="112"/>
      <c r="G44" s="172"/>
      <c r="H44" s="88" t="str">
        <f t="shared" ca="1" si="0"/>
        <v/>
      </c>
    </row>
    <row r="45" spans="1:12">
      <c r="C45" s="113"/>
      <c r="E45" s="112"/>
      <c r="F45" s="112"/>
      <c r="G45" s="172"/>
      <c r="H45" s="88" t="str">
        <f t="shared" ca="1" si="0"/>
        <v/>
      </c>
    </row>
    <row r="46" spans="1:12">
      <c r="C46" s="113"/>
      <c r="E46" s="112"/>
      <c r="F46" s="112"/>
      <c r="G46" s="172"/>
      <c r="H46" s="88" t="str">
        <f t="shared" ca="1" si="0"/>
        <v/>
      </c>
    </row>
    <row r="47" spans="1:12">
      <c r="C47" s="113"/>
      <c r="E47" s="112"/>
      <c r="F47" s="112"/>
      <c r="G47" s="172"/>
      <c r="H47" s="88" t="str">
        <f t="shared" ca="1" si="0"/>
        <v/>
      </c>
    </row>
    <row r="48" spans="1:12">
      <c r="C48" s="113"/>
      <c r="E48" s="112"/>
      <c r="F48" s="112"/>
      <c r="G48" s="172"/>
      <c r="H48" s="88" t="str">
        <f t="shared" ca="1" si="0"/>
        <v/>
      </c>
    </row>
    <row r="49" spans="3:8">
      <c r="C49" s="113"/>
      <c r="E49" s="112"/>
      <c r="F49" s="112"/>
      <c r="G49" s="172"/>
      <c r="H49" s="88" t="str">
        <f t="shared" ca="1" si="0"/>
        <v/>
      </c>
    </row>
    <row r="50" spans="3:8">
      <c r="C50" s="113"/>
      <c r="E50" s="112"/>
      <c r="F50" s="112"/>
      <c r="G50" s="172"/>
      <c r="H50" s="88" t="str">
        <f t="shared" ca="1" si="0"/>
        <v/>
      </c>
    </row>
    <row r="51" spans="3:8">
      <c r="C51" s="113"/>
      <c r="E51" s="112"/>
      <c r="F51" s="112"/>
      <c r="G51" s="172"/>
      <c r="H51" s="88" t="str">
        <f t="shared" ca="1" si="0"/>
        <v/>
      </c>
    </row>
    <row r="52" spans="3:8">
      <c r="C52" s="113"/>
      <c r="E52" s="112"/>
      <c r="F52" s="112"/>
      <c r="G52" s="172"/>
      <c r="H52" s="88" t="str">
        <f t="shared" ca="1" si="0"/>
        <v/>
      </c>
    </row>
    <row r="53" spans="3:8">
      <c r="C53" s="113"/>
      <c r="E53" s="112"/>
      <c r="F53" s="112"/>
      <c r="G53" s="172"/>
      <c r="H53" s="88" t="str">
        <f t="shared" ca="1" si="0"/>
        <v/>
      </c>
    </row>
    <row r="54" spans="3:8">
      <c r="C54" s="113"/>
      <c r="E54" s="112"/>
      <c r="F54" s="112"/>
      <c r="G54" s="172"/>
      <c r="H54" s="88" t="str">
        <f t="shared" ca="1" si="0"/>
        <v/>
      </c>
    </row>
    <row r="55" spans="3:8">
      <c r="C55" s="113"/>
      <c r="E55" s="112"/>
      <c r="F55" s="112"/>
      <c r="G55" s="172"/>
      <c r="H55" s="88" t="str">
        <f t="shared" ca="1" si="0"/>
        <v/>
      </c>
    </row>
    <row r="56" spans="3:8">
      <c r="C56" s="113"/>
      <c r="E56" s="112"/>
      <c r="F56" s="112"/>
      <c r="G56" s="172"/>
      <c r="H56" s="88" t="str">
        <f t="shared" ca="1" si="0"/>
        <v/>
      </c>
    </row>
    <row r="57" spans="3:8">
      <c r="C57" s="113"/>
      <c r="E57" s="112"/>
      <c r="F57" s="112"/>
      <c r="G57" s="172"/>
      <c r="H57" s="88" t="str">
        <f t="shared" ca="1" si="0"/>
        <v/>
      </c>
    </row>
    <row r="58" spans="3:8">
      <c r="C58" s="113"/>
      <c r="E58" s="112"/>
      <c r="F58" s="112"/>
      <c r="G58" s="172"/>
      <c r="H58" s="88" t="str">
        <f t="shared" ca="1" si="0"/>
        <v/>
      </c>
    </row>
    <row r="59" spans="3:8">
      <c r="C59" s="113"/>
      <c r="E59" s="112"/>
      <c r="F59" s="112"/>
      <c r="G59" s="172"/>
      <c r="H59" s="88" t="str">
        <f t="shared" ca="1" si="0"/>
        <v/>
      </c>
    </row>
    <row r="60" spans="3:8">
      <c r="C60" s="113"/>
      <c r="E60" s="112"/>
      <c r="F60" s="112"/>
      <c r="G60" s="172"/>
      <c r="H60" s="88" t="str">
        <f t="shared" ca="1" si="0"/>
        <v/>
      </c>
    </row>
    <row r="61" spans="3:8">
      <c r="C61" s="113"/>
      <c r="E61" s="112"/>
      <c r="F61" s="112"/>
      <c r="G61" s="172"/>
      <c r="H61" s="88" t="str">
        <f t="shared" ca="1" si="0"/>
        <v/>
      </c>
    </row>
    <row r="62" spans="3:8">
      <c r="C62" s="113"/>
      <c r="E62" s="112"/>
      <c r="F62" s="112"/>
      <c r="G62" s="172"/>
      <c r="H62" s="88" t="str">
        <f t="shared" ca="1" si="0"/>
        <v/>
      </c>
    </row>
    <row r="63" spans="3:8">
      <c r="C63" s="113"/>
      <c r="E63" s="112"/>
      <c r="F63" s="112"/>
      <c r="G63" s="172"/>
      <c r="H63" s="88" t="str">
        <f t="shared" ca="1" si="0"/>
        <v/>
      </c>
    </row>
    <row r="64" spans="3:8">
      <c r="C64" s="113"/>
      <c r="E64" s="112"/>
      <c r="F64" s="112"/>
      <c r="G64" s="172"/>
      <c r="H64" s="88" t="str">
        <f t="shared" ca="1" si="0"/>
        <v/>
      </c>
    </row>
    <row r="65" spans="3:8">
      <c r="C65" s="113"/>
      <c r="E65" s="112"/>
      <c r="F65" s="112"/>
      <c r="G65" s="172"/>
      <c r="H65" s="88" t="str">
        <f t="shared" ca="1" si="0"/>
        <v/>
      </c>
    </row>
    <row r="66" spans="3:8">
      <c r="C66" s="113"/>
      <c r="E66" s="112"/>
      <c r="F66" s="112"/>
      <c r="G66" s="172"/>
      <c r="H66" s="88" t="str">
        <f t="shared" ca="1" si="0"/>
        <v/>
      </c>
    </row>
    <row r="67" spans="3:8">
      <c r="C67" s="84"/>
      <c r="E67" s="112"/>
      <c r="F67" s="112"/>
      <c r="G67" s="172"/>
      <c r="H67" s="88" t="str">
        <f t="shared" ca="1" si="0"/>
        <v/>
      </c>
    </row>
    <row r="68" spans="3:8">
      <c r="C68" s="84"/>
      <c r="E68" s="112"/>
      <c r="F68" s="112"/>
      <c r="G68" s="172"/>
      <c r="H68" s="88" t="str">
        <f t="shared" ca="1" si="0"/>
        <v/>
      </c>
    </row>
    <row r="69" spans="3:8">
      <c r="C69" s="84"/>
      <c r="E69" s="112"/>
      <c r="F69" s="112"/>
      <c r="G69" s="172"/>
      <c r="H69" s="88" t="str">
        <f t="shared" ca="1" si="0"/>
        <v/>
      </c>
    </row>
    <row r="70" spans="3:8">
      <c r="C70" s="84"/>
      <c r="E70" s="112"/>
      <c r="F70" s="112"/>
      <c r="G70" s="172"/>
      <c r="H70" s="88" t="str">
        <f t="shared" ca="1" si="0"/>
        <v/>
      </c>
    </row>
    <row r="71" spans="3:8">
      <c r="C71" s="84"/>
      <c r="E71" s="112"/>
      <c r="F71" s="112"/>
      <c r="G71" s="172"/>
      <c r="H71" s="88" t="str">
        <f t="shared" ca="1" si="0"/>
        <v/>
      </c>
    </row>
    <row r="72" spans="3:8">
      <c r="C72" s="84"/>
      <c r="E72" s="112"/>
      <c r="F72" s="112"/>
      <c r="G72" s="172"/>
      <c r="H72" s="88" t="str">
        <f t="shared" ca="1" si="0"/>
        <v/>
      </c>
    </row>
    <row r="73" spans="3:8">
      <c r="C73" s="113"/>
      <c r="E73" s="112"/>
      <c r="F73" s="112"/>
      <c r="G73" s="172"/>
      <c r="H73" s="88" t="str">
        <f t="shared" ca="1" si="0"/>
        <v/>
      </c>
    </row>
    <row r="74" spans="3:8">
      <c r="E74" s="112"/>
      <c r="F74" s="112"/>
      <c r="G74" s="172"/>
      <c r="H74" s="88" t="str">
        <f t="shared" ca="1" si="0"/>
        <v/>
      </c>
    </row>
    <row r="75" spans="3:8">
      <c r="C75" s="84"/>
      <c r="E75" s="112"/>
      <c r="F75" s="112"/>
      <c r="G75" s="172"/>
      <c r="H75" s="88" t="str">
        <f t="shared" ca="1" si="0"/>
        <v/>
      </c>
    </row>
    <row r="76" spans="3:8">
      <c r="C76" s="84"/>
      <c r="E76" s="112"/>
      <c r="F76" s="112"/>
      <c r="G76" s="172"/>
      <c r="H76" s="88" t="str">
        <f t="shared" ca="1" si="0"/>
        <v/>
      </c>
    </row>
    <row r="77" spans="3:8">
      <c r="C77" s="84"/>
      <c r="E77" s="112"/>
      <c r="F77" s="112"/>
      <c r="G77" s="172"/>
      <c r="H77" s="88" t="str">
        <f t="shared" ca="1" si="0"/>
        <v/>
      </c>
    </row>
    <row r="78" spans="3:8">
      <c r="C78" s="84"/>
      <c r="E78" s="112"/>
      <c r="F78" s="112"/>
      <c r="G78" s="172"/>
      <c r="H78" s="88" t="str">
        <f t="shared" ca="1" si="0"/>
        <v/>
      </c>
    </row>
    <row r="79" spans="3:8">
      <c r="C79" s="84"/>
      <c r="E79" s="112"/>
      <c r="F79" s="112"/>
      <c r="G79" s="172"/>
      <c r="H79" s="88" t="str">
        <f t="shared" ca="1" si="0"/>
        <v/>
      </c>
    </row>
    <row r="80" spans="3:8">
      <c r="C80" s="84"/>
      <c r="E80" s="112"/>
      <c r="F80" s="112"/>
      <c r="G80" s="172"/>
      <c r="H80" s="88" t="str">
        <f t="shared" ca="1" si="0"/>
        <v/>
      </c>
    </row>
    <row r="81" spans="3:8">
      <c r="C81" s="84"/>
      <c r="E81" s="112"/>
      <c r="F81" s="112"/>
      <c r="G81" s="172"/>
      <c r="H81" s="88" t="str">
        <f t="shared" ca="1" si="0"/>
        <v/>
      </c>
    </row>
    <row r="82" spans="3:8">
      <c r="C82" s="84"/>
      <c r="E82" s="112"/>
      <c r="F82" s="112"/>
      <c r="G82" s="172"/>
      <c r="H82" s="88" t="str">
        <f t="shared" ca="1" si="0"/>
        <v/>
      </c>
    </row>
    <row r="83" spans="3:8">
      <c r="C83" s="84"/>
      <c r="E83" s="112"/>
      <c r="F83" s="112"/>
      <c r="G83" s="172"/>
      <c r="H83" s="88" t="str">
        <f t="shared" ca="1" si="0"/>
        <v/>
      </c>
    </row>
    <row r="84" spans="3:8">
      <c r="C84" s="84"/>
      <c r="E84" s="112"/>
      <c r="F84" s="112"/>
      <c r="G84" s="172"/>
      <c r="H84" s="88" t="str">
        <f t="shared" ca="1" si="0"/>
        <v/>
      </c>
    </row>
    <row r="85" spans="3:8">
      <c r="C85" s="84"/>
      <c r="E85" s="112"/>
      <c r="F85" s="112"/>
      <c r="G85" s="172"/>
      <c r="H85" s="88" t="str">
        <f t="shared" ca="1" si="0"/>
        <v/>
      </c>
    </row>
    <row r="86" spans="3:8">
      <c r="C86" s="84"/>
      <c r="E86" s="112"/>
      <c r="F86" s="112"/>
      <c r="G86" s="172"/>
      <c r="H86" s="88" t="str">
        <f t="shared" ca="1" si="0"/>
        <v/>
      </c>
    </row>
    <row r="87" spans="3:8">
      <c r="C87" s="84"/>
      <c r="E87" s="112"/>
      <c r="F87" s="112"/>
      <c r="G87" s="172"/>
      <c r="H87" s="88" t="str">
        <f t="shared" ca="1" si="0"/>
        <v/>
      </c>
    </row>
    <row r="88" spans="3:8">
      <c r="C88" s="84"/>
      <c r="E88" s="112"/>
      <c r="F88" s="112"/>
      <c r="G88" s="172"/>
      <c r="H88" s="88" t="str">
        <f t="shared" ca="1" si="0"/>
        <v/>
      </c>
    </row>
    <row r="89" spans="3:8">
      <c r="C89" s="84"/>
      <c r="E89" s="112"/>
      <c r="F89" s="112"/>
      <c r="G89" s="172"/>
      <c r="H89" s="88" t="str">
        <f t="shared" ca="1" si="0"/>
        <v/>
      </c>
    </row>
    <row r="90" spans="3:8">
      <c r="C90" s="84"/>
      <c r="E90" s="112"/>
      <c r="F90" s="112"/>
      <c r="G90" s="172"/>
      <c r="H90" s="88" t="str">
        <f t="shared" ca="1" si="0"/>
        <v/>
      </c>
    </row>
    <row r="91" spans="3:8">
      <c r="C91" s="84"/>
      <c r="E91" s="112"/>
      <c r="F91" s="112"/>
      <c r="G91" s="172"/>
      <c r="H91" s="88" t="str">
        <f t="shared" ca="1" si="0"/>
        <v/>
      </c>
    </row>
    <row r="92" spans="3:8">
      <c r="E92" s="112"/>
      <c r="F92" s="112"/>
      <c r="G92" s="172"/>
      <c r="H92" s="88" t="str">
        <f t="shared" ca="1" si="0"/>
        <v/>
      </c>
    </row>
    <row r="93" spans="3:8">
      <c r="C93" s="84"/>
      <c r="E93" s="112"/>
      <c r="F93" s="112"/>
      <c r="G93" s="172"/>
      <c r="H93" s="88" t="str">
        <f t="shared" ca="1" si="0"/>
        <v/>
      </c>
    </row>
    <row r="94" spans="3:8">
      <c r="C94" s="84"/>
      <c r="E94" s="112"/>
      <c r="F94" s="112"/>
      <c r="G94" s="172"/>
      <c r="H94" s="88" t="str">
        <f t="shared" ca="1" si="0"/>
        <v/>
      </c>
    </row>
    <row r="95" spans="3:8">
      <c r="C95" s="84"/>
      <c r="E95" s="112"/>
      <c r="F95" s="112"/>
      <c r="G95" s="172"/>
      <c r="H95" s="88" t="str">
        <f t="shared" ca="1" si="0"/>
        <v/>
      </c>
    </row>
    <row r="96" spans="3:8">
      <c r="C96" s="84"/>
      <c r="E96" s="112"/>
      <c r="F96" s="112"/>
      <c r="G96" s="172"/>
      <c r="H96" s="88" t="str">
        <f t="shared" ca="1" si="0"/>
        <v/>
      </c>
    </row>
    <row r="97" spans="3:8">
      <c r="C97" s="84"/>
      <c r="E97" s="112"/>
      <c r="F97" s="112"/>
      <c r="G97" s="172"/>
      <c r="H97" s="88" t="str">
        <f t="shared" ca="1" si="0"/>
        <v/>
      </c>
    </row>
    <row r="98" spans="3:8">
      <c r="C98" s="84"/>
      <c r="E98" s="112"/>
      <c r="F98" s="112"/>
      <c r="G98" s="172"/>
      <c r="H98" s="88" t="str">
        <f t="shared" ca="1" si="0"/>
        <v/>
      </c>
    </row>
    <row r="99" spans="3:8">
      <c r="C99" s="84"/>
      <c r="E99" s="112"/>
      <c r="F99" s="112"/>
      <c r="G99" s="172"/>
      <c r="H99" s="88" t="str">
        <f t="shared" ca="1" si="0"/>
        <v/>
      </c>
    </row>
    <row r="100" spans="3:8">
      <c r="C100" s="84"/>
      <c r="E100" s="112"/>
      <c r="F100" s="112"/>
      <c r="G100" s="172"/>
      <c r="H100" s="88" t="str">
        <f t="shared" ca="1" si="0"/>
        <v/>
      </c>
    </row>
    <row r="101" spans="3:8">
      <c r="C101" s="84"/>
      <c r="E101" s="112"/>
      <c r="F101" s="112"/>
      <c r="G101" s="172"/>
      <c r="H101" s="88" t="str">
        <f t="shared" ca="1" si="0"/>
        <v/>
      </c>
    </row>
    <row r="102" spans="3:8">
      <c r="C102" s="84"/>
      <c r="E102" s="112"/>
      <c r="F102" s="112"/>
      <c r="G102" s="172"/>
      <c r="H102" s="88" t="str">
        <f t="shared" ref="H102:H165" ca="1" si="1">IF(OR($E102="",$F102=""),"",IF($F102="Range",INDEX(INDIRECT($E102),xxResetTeam),IF(F102="Number",$E102,IF(F102="Text",$E102,""))))</f>
        <v/>
      </c>
    </row>
    <row r="103" spans="3:8">
      <c r="C103" s="84"/>
      <c r="E103" s="112"/>
      <c r="F103" s="112"/>
      <c r="G103" s="172"/>
      <c r="H103" s="88" t="str">
        <f t="shared" ca="1" si="1"/>
        <v/>
      </c>
    </row>
    <row r="104" spans="3:8">
      <c r="C104" s="84"/>
      <c r="E104" s="112"/>
      <c r="F104" s="112"/>
      <c r="G104" s="172"/>
      <c r="H104" s="88" t="str">
        <f t="shared" ca="1" si="1"/>
        <v/>
      </c>
    </row>
    <row r="105" spans="3:8">
      <c r="C105" s="84"/>
      <c r="E105" s="112"/>
      <c r="F105" s="112"/>
      <c r="G105" s="172"/>
      <c r="H105" s="88" t="str">
        <f t="shared" ca="1" si="1"/>
        <v/>
      </c>
    </row>
    <row r="106" spans="3:8">
      <c r="E106" s="112"/>
      <c r="F106" s="112"/>
      <c r="G106" s="172"/>
      <c r="H106" s="88" t="str">
        <f t="shared" ca="1" si="1"/>
        <v/>
      </c>
    </row>
    <row r="107" spans="3:8">
      <c r="C107" s="84"/>
      <c r="E107" s="112"/>
      <c r="F107" s="112"/>
      <c r="G107" s="172"/>
      <c r="H107" s="88" t="str">
        <f t="shared" ca="1" si="1"/>
        <v/>
      </c>
    </row>
    <row r="108" spans="3:8">
      <c r="C108" s="84"/>
      <c r="E108" s="112"/>
      <c r="F108" s="112"/>
      <c r="G108" s="172"/>
      <c r="H108" s="88" t="str">
        <f t="shared" ca="1" si="1"/>
        <v/>
      </c>
    </row>
    <row r="109" spans="3:8">
      <c r="C109" s="84"/>
      <c r="E109" s="112"/>
      <c r="F109" s="112"/>
      <c r="G109" s="172"/>
      <c r="H109" s="88" t="str">
        <f t="shared" ca="1" si="1"/>
        <v/>
      </c>
    </row>
    <row r="110" spans="3:8">
      <c r="C110" s="84"/>
      <c r="E110" s="112"/>
      <c r="F110" s="112"/>
      <c r="G110" s="172"/>
      <c r="H110" s="88" t="str">
        <f t="shared" ca="1" si="1"/>
        <v/>
      </c>
    </row>
    <row r="111" spans="3:8">
      <c r="C111" s="84"/>
      <c r="E111" s="112"/>
      <c r="F111" s="112"/>
      <c r="G111" s="172"/>
      <c r="H111" s="88" t="str">
        <f t="shared" ca="1" si="1"/>
        <v/>
      </c>
    </row>
    <row r="112" spans="3:8">
      <c r="C112" s="84"/>
      <c r="E112" s="112"/>
      <c r="F112" s="112"/>
      <c r="G112" s="172"/>
      <c r="H112" s="88" t="str">
        <f t="shared" ca="1" si="1"/>
        <v/>
      </c>
    </row>
    <row r="113" spans="3:8">
      <c r="C113" s="84"/>
      <c r="E113" s="112"/>
      <c r="F113" s="112"/>
      <c r="G113" s="172"/>
      <c r="H113" s="88" t="str">
        <f t="shared" ca="1" si="1"/>
        <v/>
      </c>
    </row>
    <row r="114" spans="3:8">
      <c r="C114" s="84"/>
      <c r="E114" s="112"/>
      <c r="F114" s="112"/>
      <c r="G114" s="172"/>
      <c r="H114" s="88" t="str">
        <f t="shared" ca="1" si="1"/>
        <v/>
      </c>
    </row>
    <row r="115" spans="3:8">
      <c r="C115" s="84"/>
      <c r="E115" s="112"/>
      <c r="F115" s="112"/>
      <c r="G115" s="172"/>
      <c r="H115" s="88" t="str">
        <f t="shared" ca="1" si="1"/>
        <v/>
      </c>
    </row>
    <row r="116" spans="3:8">
      <c r="C116" s="84"/>
      <c r="E116" s="112"/>
      <c r="F116" s="112"/>
      <c r="G116" s="172"/>
      <c r="H116" s="88" t="str">
        <f t="shared" ca="1" si="1"/>
        <v/>
      </c>
    </row>
    <row r="117" spans="3:8">
      <c r="C117" s="84"/>
      <c r="E117" s="112"/>
      <c r="F117" s="112"/>
      <c r="G117" s="172"/>
      <c r="H117" s="88" t="str">
        <f t="shared" ca="1" si="1"/>
        <v/>
      </c>
    </row>
    <row r="118" spans="3:8">
      <c r="E118" s="112"/>
      <c r="F118" s="112"/>
      <c r="G118" s="172"/>
      <c r="H118" s="88" t="str">
        <f t="shared" ca="1" si="1"/>
        <v/>
      </c>
    </row>
    <row r="119" spans="3:8">
      <c r="C119" s="84"/>
      <c r="E119" s="112"/>
      <c r="F119" s="112"/>
      <c r="G119" s="172"/>
      <c r="H119" s="88" t="str">
        <f t="shared" ca="1" si="1"/>
        <v/>
      </c>
    </row>
    <row r="120" spans="3:8">
      <c r="C120" s="84"/>
      <c r="E120" s="112"/>
      <c r="F120" s="112"/>
      <c r="G120" s="172"/>
      <c r="H120" s="88" t="str">
        <f t="shared" ca="1" si="1"/>
        <v/>
      </c>
    </row>
    <row r="121" spans="3:8">
      <c r="C121" s="84"/>
      <c r="E121" s="112"/>
      <c r="F121" s="112"/>
      <c r="G121" s="172"/>
      <c r="H121" s="88" t="str">
        <f t="shared" ca="1" si="1"/>
        <v/>
      </c>
    </row>
    <row r="122" spans="3:8">
      <c r="C122" s="84"/>
      <c r="E122" s="112"/>
      <c r="F122" s="112"/>
      <c r="G122" s="172"/>
      <c r="H122" s="88" t="str">
        <f t="shared" ca="1" si="1"/>
        <v/>
      </c>
    </row>
    <row r="123" spans="3:8">
      <c r="C123" s="84"/>
      <c r="E123" s="112"/>
      <c r="F123" s="112"/>
      <c r="G123" s="172"/>
      <c r="H123" s="88" t="str">
        <f t="shared" ca="1" si="1"/>
        <v/>
      </c>
    </row>
    <row r="124" spans="3:8">
      <c r="C124" s="84"/>
      <c r="E124" s="112"/>
      <c r="F124" s="112"/>
      <c r="G124" s="172"/>
      <c r="H124" s="88" t="str">
        <f t="shared" ca="1" si="1"/>
        <v/>
      </c>
    </row>
    <row r="125" spans="3:8">
      <c r="E125" s="112"/>
      <c r="F125" s="112"/>
      <c r="G125" s="172"/>
      <c r="H125" s="88" t="str">
        <f t="shared" ca="1" si="1"/>
        <v/>
      </c>
    </row>
    <row r="126" spans="3:8">
      <c r="E126" s="112"/>
      <c r="F126" s="112"/>
      <c r="G126" s="172"/>
      <c r="H126" s="88" t="str">
        <f t="shared" ca="1" si="1"/>
        <v/>
      </c>
    </row>
    <row r="127" spans="3:8">
      <c r="C127" s="84"/>
      <c r="E127" s="112"/>
      <c r="F127" s="112"/>
      <c r="G127" s="172"/>
      <c r="H127" s="88" t="str">
        <f t="shared" ca="1" si="1"/>
        <v/>
      </c>
    </row>
    <row r="128" spans="3:8">
      <c r="C128" s="84"/>
      <c r="E128" s="112"/>
      <c r="F128" s="112"/>
      <c r="G128" s="172"/>
      <c r="H128" s="88" t="str">
        <f t="shared" ca="1" si="1"/>
        <v/>
      </c>
    </row>
    <row r="129" spans="3:8">
      <c r="C129" s="84"/>
      <c r="E129" s="112"/>
      <c r="F129" s="112"/>
      <c r="G129" s="172"/>
      <c r="H129" s="88" t="str">
        <f t="shared" ca="1" si="1"/>
        <v/>
      </c>
    </row>
    <row r="130" spans="3:8">
      <c r="C130" s="84"/>
      <c r="E130" s="112"/>
      <c r="F130" s="112"/>
      <c r="G130" s="172"/>
      <c r="H130" s="88" t="str">
        <f t="shared" ca="1" si="1"/>
        <v/>
      </c>
    </row>
    <row r="131" spans="3:8">
      <c r="C131" s="84"/>
      <c r="E131" s="112"/>
      <c r="F131" s="112"/>
      <c r="G131" s="172"/>
      <c r="H131" s="88" t="str">
        <f t="shared" ca="1" si="1"/>
        <v/>
      </c>
    </row>
    <row r="132" spans="3:8">
      <c r="C132" s="84"/>
      <c r="E132" s="112"/>
      <c r="F132" s="112"/>
      <c r="G132" s="172"/>
      <c r="H132" s="88" t="str">
        <f t="shared" ca="1" si="1"/>
        <v/>
      </c>
    </row>
    <row r="133" spans="3:8">
      <c r="C133" s="84"/>
      <c r="E133" s="112"/>
      <c r="F133" s="112"/>
      <c r="G133" s="172"/>
      <c r="H133" s="88" t="str">
        <f t="shared" ca="1" si="1"/>
        <v/>
      </c>
    </row>
    <row r="134" spans="3:8">
      <c r="C134" s="84"/>
      <c r="E134" s="112"/>
      <c r="F134" s="112"/>
      <c r="G134" s="172"/>
      <c r="H134" s="88" t="str">
        <f t="shared" ca="1" si="1"/>
        <v/>
      </c>
    </row>
    <row r="135" spans="3:8">
      <c r="C135" s="84"/>
      <c r="E135" s="112"/>
      <c r="F135" s="112"/>
      <c r="G135" s="172"/>
      <c r="H135" s="88" t="str">
        <f t="shared" ca="1" si="1"/>
        <v/>
      </c>
    </row>
    <row r="136" spans="3:8">
      <c r="C136" s="84"/>
      <c r="E136" s="112"/>
      <c r="F136" s="112"/>
      <c r="G136" s="172"/>
      <c r="H136" s="88" t="str">
        <f t="shared" ca="1" si="1"/>
        <v/>
      </c>
    </row>
    <row r="137" spans="3:8">
      <c r="C137" s="84"/>
      <c r="E137" s="112"/>
      <c r="F137" s="112"/>
      <c r="G137" s="172"/>
      <c r="H137" s="88" t="str">
        <f t="shared" ca="1" si="1"/>
        <v/>
      </c>
    </row>
    <row r="138" spans="3:8">
      <c r="C138" s="84"/>
      <c r="E138" s="112"/>
      <c r="F138" s="112"/>
      <c r="G138" s="172"/>
      <c r="H138" s="88" t="str">
        <f t="shared" ca="1" si="1"/>
        <v/>
      </c>
    </row>
    <row r="139" spans="3:8">
      <c r="C139" s="84"/>
      <c r="E139" s="112"/>
      <c r="F139" s="112"/>
      <c r="G139" s="172"/>
      <c r="H139" s="88" t="str">
        <f t="shared" ca="1" si="1"/>
        <v/>
      </c>
    </row>
    <row r="140" spans="3:8">
      <c r="C140" s="84"/>
      <c r="E140" s="112"/>
      <c r="F140" s="112"/>
      <c r="G140" s="172"/>
      <c r="H140" s="88" t="str">
        <f t="shared" ca="1" si="1"/>
        <v/>
      </c>
    </row>
    <row r="141" spans="3:8">
      <c r="C141" s="84"/>
      <c r="E141" s="112"/>
      <c r="F141" s="112"/>
      <c r="G141" s="172"/>
      <c r="H141" s="88" t="str">
        <f t="shared" ca="1" si="1"/>
        <v/>
      </c>
    </row>
    <row r="142" spans="3:8">
      <c r="C142" s="84"/>
      <c r="E142" s="112"/>
      <c r="F142" s="112"/>
      <c r="G142" s="172"/>
      <c r="H142" s="88" t="str">
        <f t="shared" ca="1" si="1"/>
        <v/>
      </c>
    </row>
    <row r="143" spans="3:8">
      <c r="C143" s="84"/>
      <c r="E143" s="112"/>
      <c r="F143" s="112"/>
      <c r="G143" s="172"/>
      <c r="H143" s="88" t="str">
        <f t="shared" ca="1" si="1"/>
        <v/>
      </c>
    </row>
    <row r="144" spans="3:8">
      <c r="C144" s="84"/>
      <c r="E144" s="112"/>
      <c r="F144" s="112"/>
      <c r="G144" s="172"/>
      <c r="H144" s="88" t="str">
        <f t="shared" ca="1" si="1"/>
        <v/>
      </c>
    </row>
    <row r="145" spans="3:8">
      <c r="C145" s="84"/>
      <c r="E145" s="112"/>
      <c r="F145" s="112"/>
      <c r="G145" s="172"/>
      <c r="H145" s="88" t="str">
        <f t="shared" ca="1" si="1"/>
        <v/>
      </c>
    </row>
    <row r="146" spans="3:8">
      <c r="C146" s="84"/>
      <c r="E146" s="112"/>
      <c r="F146" s="112"/>
      <c r="G146" s="172"/>
      <c r="H146" s="88" t="str">
        <f t="shared" ca="1" si="1"/>
        <v/>
      </c>
    </row>
    <row r="147" spans="3:8">
      <c r="C147" s="84"/>
      <c r="E147" s="112"/>
      <c r="F147" s="112"/>
      <c r="G147" s="172"/>
      <c r="H147" s="88" t="str">
        <f t="shared" ca="1" si="1"/>
        <v/>
      </c>
    </row>
    <row r="148" spans="3:8">
      <c r="C148" s="84"/>
      <c r="E148" s="112"/>
      <c r="F148" s="112"/>
      <c r="G148" s="172"/>
      <c r="H148" s="88" t="str">
        <f t="shared" ca="1" si="1"/>
        <v/>
      </c>
    </row>
    <row r="149" spans="3:8">
      <c r="C149" s="84"/>
      <c r="E149" s="112"/>
      <c r="F149" s="112"/>
      <c r="G149" s="172"/>
      <c r="H149" s="88" t="str">
        <f t="shared" ca="1" si="1"/>
        <v/>
      </c>
    </row>
    <row r="150" spans="3:8">
      <c r="C150" s="84"/>
      <c r="E150" s="112"/>
      <c r="F150" s="112"/>
      <c r="G150" s="172"/>
      <c r="H150" s="88" t="str">
        <f t="shared" ca="1" si="1"/>
        <v/>
      </c>
    </row>
    <row r="151" spans="3:8">
      <c r="C151" s="84"/>
      <c r="E151" s="112"/>
      <c r="F151" s="112"/>
      <c r="G151" s="172"/>
      <c r="H151" s="88" t="str">
        <f t="shared" ca="1" si="1"/>
        <v/>
      </c>
    </row>
    <row r="152" spans="3:8">
      <c r="C152" s="84"/>
      <c r="E152" s="112"/>
      <c r="F152" s="112"/>
      <c r="G152" s="172"/>
      <c r="H152" s="88" t="str">
        <f t="shared" ca="1" si="1"/>
        <v/>
      </c>
    </row>
    <row r="153" spans="3:8">
      <c r="C153" s="84"/>
      <c r="E153" s="112"/>
      <c r="F153" s="112"/>
      <c r="G153" s="172"/>
      <c r="H153" s="88" t="str">
        <f t="shared" ca="1" si="1"/>
        <v/>
      </c>
    </row>
    <row r="154" spans="3:8">
      <c r="C154" s="84"/>
      <c r="E154" s="112"/>
      <c r="F154" s="112"/>
      <c r="G154" s="172"/>
      <c r="H154" s="88" t="str">
        <f t="shared" ca="1" si="1"/>
        <v/>
      </c>
    </row>
    <row r="155" spans="3:8">
      <c r="C155" s="84"/>
      <c r="E155" s="112"/>
      <c r="F155" s="112"/>
      <c r="G155" s="172"/>
      <c r="H155" s="88" t="str">
        <f t="shared" ca="1" si="1"/>
        <v/>
      </c>
    </row>
    <row r="156" spans="3:8">
      <c r="C156" s="84"/>
      <c r="E156" s="112"/>
      <c r="F156" s="112"/>
      <c r="G156" s="172"/>
      <c r="H156" s="88" t="str">
        <f t="shared" ca="1" si="1"/>
        <v/>
      </c>
    </row>
    <row r="157" spans="3:8">
      <c r="C157" s="84"/>
      <c r="E157" s="112"/>
      <c r="F157" s="112"/>
      <c r="G157" s="172"/>
      <c r="H157" s="88" t="str">
        <f t="shared" ca="1" si="1"/>
        <v/>
      </c>
    </row>
    <row r="158" spans="3:8">
      <c r="C158" s="84"/>
      <c r="E158" s="112"/>
      <c r="F158" s="112"/>
      <c r="G158" s="172"/>
      <c r="H158" s="88" t="str">
        <f t="shared" ca="1" si="1"/>
        <v/>
      </c>
    </row>
    <row r="159" spans="3:8">
      <c r="C159" s="84"/>
      <c r="E159" s="112"/>
      <c r="F159" s="112"/>
      <c r="G159" s="172"/>
      <c r="H159" s="88" t="str">
        <f t="shared" ca="1" si="1"/>
        <v/>
      </c>
    </row>
    <row r="160" spans="3:8">
      <c r="C160" s="84"/>
      <c r="E160" s="112"/>
      <c r="F160" s="112"/>
      <c r="G160" s="172"/>
      <c r="H160" s="88" t="str">
        <f t="shared" ca="1" si="1"/>
        <v/>
      </c>
    </row>
    <row r="161" spans="2:8">
      <c r="C161" s="84"/>
      <c r="E161" s="112"/>
      <c r="F161" s="112"/>
      <c r="G161" s="172"/>
      <c r="H161" s="88" t="str">
        <f t="shared" ca="1" si="1"/>
        <v/>
      </c>
    </row>
    <row r="162" spans="2:8">
      <c r="C162" s="84"/>
      <c r="E162" s="112"/>
      <c r="F162" s="112"/>
      <c r="G162" s="172"/>
      <c r="H162" s="88" t="str">
        <f t="shared" ca="1" si="1"/>
        <v/>
      </c>
    </row>
    <row r="163" spans="2:8">
      <c r="C163" s="84"/>
      <c r="E163" s="112"/>
      <c r="F163" s="112"/>
      <c r="G163" s="172"/>
      <c r="H163" s="88" t="str">
        <f t="shared" ca="1" si="1"/>
        <v/>
      </c>
    </row>
    <row r="164" spans="2:8">
      <c r="C164" s="84"/>
      <c r="E164" s="112"/>
      <c r="F164" s="112"/>
      <c r="G164" s="172"/>
      <c r="H164" s="88" t="str">
        <f t="shared" ca="1" si="1"/>
        <v/>
      </c>
    </row>
    <row r="165" spans="2:8">
      <c r="C165" s="84"/>
      <c r="E165" s="112"/>
      <c r="F165" s="112"/>
      <c r="G165" s="172"/>
      <c r="H165" s="88" t="str">
        <f t="shared" ca="1" si="1"/>
        <v/>
      </c>
    </row>
    <row r="166" spans="2:8">
      <c r="C166" s="84"/>
      <c r="E166" s="112"/>
      <c r="F166" s="112"/>
      <c r="G166" s="172"/>
      <c r="H166" s="88" t="str">
        <f t="shared" ref="H166:H229" ca="1" si="2">IF(OR($E166="",$F166=""),"",IF($F166="Range",INDEX(INDIRECT($E166),xxResetTeam),IF(F166="Number",$E166,IF(F166="Text",$E166,""))))</f>
        <v/>
      </c>
    </row>
    <row r="167" spans="2:8">
      <c r="E167" s="112"/>
      <c r="F167" s="112"/>
      <c r="G167" s="172"/>
      <c r="H167" s="88" t="str">
        <f t="shared" ca="1" si="2"/>
        <v/>
      </c>
    </row>
    <row r="168" spans="2:8">
      <c r="E168" s="112"/>
      <c r="F168" s="112"/>
      <c r="G168" s="172"/>
      <c r="H168" s="88" t="str">
        <f t="shared" ca="1" si="2"/>
        <v/>
      </c>
    </row>
    <row r="169" spans="2:8">
      <c r="B169" s="173"/>
      <c r="C169" s="84"/>
      <c r="E169" s="112"/>
      <c r="F169" s="112"/>
      <c r="G169" s="172"/>
      <c r="H169" s="88" t="str">
        <f t="shared" ca="1" si="2"/>
        <v/>
      </c>
    </row>
    <row r="170" spans="2:8">
      <c r="B170" s="173"/>
      <c r="C170" s="84"/>
      <c r="E170" s="112"/>
      <c r="F170" s="112"/>
      <c r="G170" s="172"/>
      <c r="H170" s="88" t="str">
        <f t="shared" ca="1" si="2"/>
        <v/>
      </c>
    </row>
    <row r="171" spans="2:8">
      <c r="C171" s="84"/>
      <c r="E171" s="112"/>
      <c r="F171" s="112"/>
      <c r="G171" s="88"/>
      <c r="H171" s="88" t="str">
        <f t="shared" ca="1" si="2"/>
        <v/>
      </c>
    </row>
    <row r="172" spans="2:8">
      <c r="C172" s="84"/>
      <c r="E172" s="112"/>
      <c r="F172" s="112"/>
      <c r="G172" s="88"/>
      <c r="H172" s="88" t="str">
        <f t="shared" ca="1" si="2"/>
        <v/>
      </c>
    </row>
    <row r="173" spans="2:8">
      <c r="C173" s="84"/>
      <c r="E173" s="112"/>
      <c r="F173" s="112"/>
      <c r="G173" s="88"/>
      <c r="H173" s="88" t="str">
        <f t="shared" ca="1" si="2"/>
        <v/>
      </c>
    </row>
    <row r="174" spans="2:8">
      <c r="C174" s="84"/>
      <c r="E174" s="112"/>
      <c r="F174" s="112"/>
      <c r="G174" s="88"/>
      <c r="H174" s="88" t="str">
        <f t="shared" ca="1" si="2"/>
        <v/>
      </c>
    </row>
    <row r="175" spans="2:8">
      <c r="C175" s="84"/>
      <c r="E175" s="112"/>
      <c r="F175" s="112"/>
      <c r="G175" s="88"/>
      <c r="H175" s="88" t="str">
        <f t="shared" ca="1" si="2"/>
        <v/>
      </c>
    </row>
    <row r="176" spans="2:8">
      <c r="C176" s="84"/>
      <c r="E176" s="112"/>
      <c r="F176" s="112"/>
      <c r="G176" s="88"/>
      <c r="H176" s="88" t="str">
        <f t="shared" ca="1" si="2"/>
        <v/>
      </c>
    </row>
    <row r="177" spans="3:8">
      <c r="C177" s="84"/>
      <c r="E177" s="112"/>
      <c r="F177" s="112"/>
      <c r="G177" s="88"/>
      <c r="H177" s="88" t="str">
        <f t="shared" ca="1" si="2"/>
        <v/>
      </c>
    </row>
    <row r="178" spans="3:8">
      <c r="C178" s="84"/>
      <c r="E178" s="112"/>
      <c r="F178" s="112"/>
      <c r="G178" s="88"/>
      <c r="H178" s="88" t="str">
        <f t="shared" ca="1" si="2"/>
        <v/>
      </c>
    </row>
    <row r="179" spans="3:8">
      <c r="C179" s="84"/>
      <c r="E179" s="112"/>
      <c r="F179" s="112"/>
      <c r="G179" s="88"/>
      <c r="H179" s="88" t="str">
        <f t="shared" ca="1" si="2"/>
        <v/>
      </c>
    </row>
    <row r="180" spans="3:8">
      <c r="C180" s="84"/>
      <c r="E180" s="112"/>
      <c r="F180" s="112"/>
      <c r="G180" s="88"/>
      <c r="H180" s="88" t="str">
        <f t="shared" ca="1" si="2"/>
        <v/>
      </c>
    </row>
    <row r="181" spans="3:8">
      <c r="C181" s="84"/>
      <c r="E181" s="112"/>
      <c r="F181" s="112"/>
      <c r="G181" s="88"/>
      <c r="H181" s="88" t="str">
        <f t="shared" ca="1" si="2"/>
        <v/>
      </c>
    </row>
    <row r="182" spans="3:8">
      <c r="C182" s="84"/>
      <c r="E182" s="112"/>
      <c r="F182" s="112"/>
      <c r="G182" s="88"/>
      <c r="H182" s="88" t="str">
        <f t="shared" ca="1" si="2"/>
        <v/>
      </c>
    </row>
    <row r="183" spans="3:8">
      <c r="C183" s="84"/>
      <c r="E183" s="112"/>
      <c r="F183" s="112"/>
      <c r="G183" s="88"/>
      <c r="H183" s="88" t="str">
        <f t="shared" ca="1" si="2"/>
        <v/>
      </c>
    </row>
    <row r="184" spans="3:8">
      <c r="C184" s="84"/>
      <c r="E184" s="112"/>
      <c r="F184" s="112"/>
      <c r="G184" s="88"/>
      <c r="H184" s="88" t="str">
        <f t="shared" ca="1" si="2"/>
        <v/>
      </c>
    </row>
    <row r="185" spans="3:8">
      <c r="C185" s="84"/>
      <c r="E185" s="112"/>
      <c r="F185" s="112"/>
      <c r="G185" s="88"/>
      <c r="H185" s="88" t="str">
        <f t="shared" ca="1" si="2"/>
        <v/>
      </c>
    </row>
    <row r="186" spans="3:8">
      <c r="C186" s="84"/>
      <c r="E186" s="112"/>
      <c r="F186" s="112"/>
      <c r="G186" s="88"/>
      <c r="H186" s="88" t="str">
        <f t="shared" ca="1" si="2"/>
        <v/>
      </c>
    </row>
    <row r="187" spans="3:8">
      <c r="C187" s="84"/>
      <c r="E187" s="112"/>
      <c r="F187" s="112"/>
      <c r="G187" s="88"/>
      <c r="H187" s="88" t="str">
        <f t="shared" ca="1" si="2"/>
        <v/>
      </c>
    </row>
    <row r="188" spans="3:8">
      <c r="C188" s="84"/>
      <c r="E188" s="112"/>
      <c r="F188" s="112"/>
      <c r="G188" s="88"/>
      <c r="H188" s="88" t="str">
        <f t="shared" ca="1" si="2"/>
        <v/>
      </c>
    </row>
    <row r="189" spans="3:8">
      <c r="C189" s="84"/>
      <c r="E189" s="112"/>
      <c r="F189" s="112"/>
      <c r="G189" s="88"/>
      <c r="H189" s="88" t="str">
        <f t="shared" ca="1" si="2"/>
        <v/>
      </c>
    </row>
    <row r="190" spans="3:8">
      <c r="C190" s="84"/>
      <c r="E190" s="112"/>
      <c r="F190" s="112"/>
      <c r="G190" s="88"/>
      <c r="H190" s="88" t="str">
        <f t="shared" ca="1" si="2"/>
        <v/>
      </c>
    </row>
    <row r="191" spans="3:8">
      <c r="C191" s="84"/>
      <c r="E191" s="112"/>
      <c r="F191" s="112"/>
      <c r="G191" s="88"/>
      <c r="H191" s="88" t="str">
        <f t="shared" ca="1" si="2"/>
        <v/>
      </c>
    </row>
    <row r="192" spans="3:8">
      <c r="C192" s="84"/>
      <c r="E192" s="112"/>
      <c r="F192" s="112"/>
      <c r="G192" s="88"/>
      <c r="H192" s="88" t="str">
        <f t="shared" ca="1" si="2"/>
        <v/>
      </c>
    </row>
    <row r="193" spans="3:8">
      <c r="C193" s="84"/>
      <c r="E193" s="112"/>
      <c r="F193" s="112"/>
      <c r="G193" s="88"/>
      <c r="H193" s="88" t="str">
        <f t="shared" ca="1" si="2"/>
        <v/>
      </c>
    </row>
    <row r="194" spans="3:8">
      <c r="C194" s="84"/>
      <c r="E194" s="112"/>
      <c r="F194" s="112"/>
      <c r="G194" s="88"/>
      <c r="H194" s="88" t="str">
        <f t="shared" ca="1" si="2"/>
        <v/>
      </c>
    </row>
    <row r="195" spans="3:8">
      <c r="C195" s="84"/>
      <c r="E195" s="112"/>
      <c r="F195" s="112"/>
      <c r="G195" s="88"/>
      <c r="H195" s="88" t="str">
        <f t="shared" ca="1" si="2"/>
        <v/>
      </c>
    </row>
    <row r="196" spans="3:8">
      <c r="C196" s="84"/>
      <c r="E196" s="112"/>
      <c r="F196" s="112"/>
      <c r="G196" s="88"/>
      <c r="H196" s="88" t="str">
        <f t="shared" ca="1" si="2"/>
        <v/>
      </c>
    </row>
    <row r="197" spans="3:8">
      <c r="C197" s="84"/>
      <c r="E197" s="112"/>
      <c r="F197" s="112"/>
      <c r="G197" s="88"/>
      <c r="H197" s="88" t="str">
        <f t="shared" ca="1" si="2"/>
        <v/>
      </c>
    </row>
    <row r="198" spans="3:8">
      <c r="C198" s="84"/>
      <c r="E198" s="112"/>
      <c r="F198" s="112"/>
      <c r="G198" s="88"/>
      <c r="H198" s="88" t="str">
        <f t="shared" ca="1" si="2"/>
        <v/>
      </c>
    </row>
    <row r="199" spans="3:8">
      <c r="C199" s="84"/>
      <c r="E199" s="112"/>
      <c r="F199" s="112"/>
      <c r="G199" s="88"/>
      <c r="H199" s="88" t="str">
        <f t="shared" ca="1" si="2"/>
        <v/>
      </c>
    </row>
    <row r="200" spans="3:8">
      <c r="C200" s="84"/>
      <c r="E200" s="112"/>
      <c r="F200" s="112"/>
      <c r="G200" s="88"/>
      <c r="H200" s="88" t="str">
        <f t="shared" ca="1" si="2"/>
        <v/>
      </c>
    </row>
    <row r="201" spans="3:8">
      <c r="C201" s="84"/>
      <c r="E201" s="112"/>
      <c r="F201" s="112"/>
      <c r="G201" s="88"/>
      <c r="H201" s="88" t="str">
        <f t="shared" ca="1" si="2"/>
        <v/>
      </c>
    </row>
    <row r="202" spans="3:8">
      <c r="C202" s="84"/>
      <c r="E202" s="112"/>
      <c r="F202" s="112"/>
      <c r="G202" s="88"/>
      <c r="H202" s="88" t="str">
        <f t="shared" ca="1" si="2"/>
        <v/>
      </c>
    </row>
    <row r="203" spans="3:8">
      <c r="C203" s="84"/>
      <c r="E203" s="112"/>
      <c r="F203" s="112"/>
      <c r="G203" s="88"/>
      <c r="H203" s="88" t="str">
        <f t="shared" ca="1" si="2"/>
        <v/>
      </c>
    </row>
    <row r="204" spans="3:8">
      <c r="C204" s="84"/>
      <c r="E204" s="112"/>
      <c r="F204" s="112"/>
      <c r="G204" s="88"/>
      <c r="H204" s="88" t="str">
        <f t="shared" ca="1" si="2"/>
        <v/>
      </c>
    </row>
    <row r="205" spans="3:8">
      <c r="C205" s="84"/>
      <c r="E205" s="112"/>
      <c r="F205" s="112"/>
      <c r="G205" s="88"/>
      <c r="H205" s="88" t="str">
        <f t="shared" ca="1" si="2"/>
        <v/>
      </c>
    </row>
    <row r="206" spans="3:8">
      <c r="C206" s="84"/>
      <c r="E206" s="112"/>
      <c r="F206" s="112"/>
      <c r="G206" s="88"/>
      <c r="H206" s="88" t="str">
        <f t="shared" ca="1" si="2"/>
        <v/>
      </c>
    </row>
    <row r="207" spans="3:8">
      <c r="C207" s="84"/>
      <c r="E207" s="112"/>
      <c r="F207" s="112"/>
      <c r="G207" s="88"/>
      <c r="H207" s="88" t="str">
        <f t="shared" ca="1" si="2"/>
        <v/>
      </c>
    </row>
    <row r="208" spans="3:8">
      <c r="C208" s="84"/>
      <c r="E208" s="112"/>
      <c r="F208" s="112"/>
      <c r="G208" s="88"/>
      <c r="H208" s="88" t="str">
        <f t="shared" ca="1" si="2"/>
        <v/>
      </c>
    </row>
    <row r="209" spans="3:8">
      <c r="C209" s="84"/>
      <c r="E209" s="112"/>
      <c r="F209" s="112"/>
      <c r="G209" s="88"/>
      <c r="H209" s="88" t="str">
        <f t="shared" ca="1" si="2"/>
        <v/>
      </c>
    </row>
    <row r="210" spans="3:8">
      <c r="C210" s="84"/>
      <c r="E210" s="112"/>
      <c r="F210" s="112"/>
      <c r="G210" s="88"/>
      <c r="H210" s="88" t="str">
        <f t="shared" ca="1" si="2"/>
        <v/>
      </c>
    </row>
    <row r="211" spans="3:8">
      <c r="C211" s="84"/>
      <c r="E211" s="112"/>
      <c r="F211" s="112"/>
      <c r="G211" s="88"/>
      <c r="H211" s="88" t="str">
        <f t="shared" ca="1" si="2"/>
        <v/>
      </c>
    </row>
    <row r="212" spans="3:8">
      <c r="C212" s="84"/>
      <c r="E212" s="112"/>
      <c r="F212" s="112"/>
      <c r="G212" s="88"/>
      <c r="H212" s="88" t="str">
        <f t="shared" ca="1" si="2"/>
        <v/>
      </c>
    </row>
    <row r="213" spans="3:8">
      <c r="C213" s="84"/>
      <c r="E213" s="112"/>
      <c r="F213" s="112"/>
      <c r="G213" s="88"/>
      <c r="H213" s="88" t="str">
        <f t="shared" ca="1" si="2"/>
        <v/>
      </c>
    </row>
    <row r="214" spans="3:8">
      <c r="C214" s="84"/>
      <c r="E214" s="112"/>
      <c r="F214" s="112"/>
      <c r="G214" s="88"/>
      <c r="H214" s="88" t="str">
        <f t="shared" ca="1" si="2"/>
        <v/>
      </c>
    </row>
    <row r="215" spans="3:8">
      <c r="C215" s="84"/>
      <c r="E215" s="112"/>
      <c r="F215" s="112"/>
      <c r="G215" s="88"/>
      <c r="H215" s="88" t="str">
        <f t="shared" ca="1" si="2"/>
        <v/>
      </c>
    </row>
    <row r="216" spans="3:8">
      <c r="C216" s="84"/>
      <c r="E216" s="112"/>
      <c r="F216" s="112"/>
      <c r="G216" s="88"/>
      <c r="H216" s="88" t="str">
        <f t="shared" ca="1" si="2"/>
        <v/>
      </c>
    </row>
    <row r="217" spans="3:8">
      <c r="C217" s="84"/>
      <c r="E217" s="112"/>
      <c r="F217" s="112"/>
      <c r="G217" s="88"/>
      <c r="H217" s="88" t="str">
        <f t="shared" ca="1" si="2"/>
        <v/>
      </c>
    </row>
    <row r="218" spans="3:8">
      <c r="C218" s="84"/>
      <c r="E218" s="112"/>
      <c r="F218" s="112"/>
      <c r="G218" s="88"/>
      <c r="H218" s="88" t="str">
        <f t="shared" ca="1" si="2"/>
        <v/>
      </c>
    </row>
    <row r="219" spans="3:8">
      <c r="C219" s="84"/>
      <c r="E219" s="112"/>
      <c r="F219" s="112"/>
      <c r="G219" s="88"/>
      <c r="H219" s="88" t="str">
        <f t="shared" ca="1" si="2"/>
        <v/>
      </c>
    </row>
    <row r="220" spans="3:8">
      <c r="C220" s="84"/>
      <c r="E220" s="112"/>
      <c r="F220" s="112"/>
      <c r="G220" s="88"/>
      <c r="H220" s="88" t="str">
        <f t="shared" ca="1" si="2"/>
        <v/>
      </c>
    </row>
    <row r="221" spans="3:8">
      <c r="C221" s="84"/>
      <c r="E221" s="112"/>
      <c r="F221" s="112"/>
      <c r="G221" s="88"/>
      <c r="H221" s="88" t="str">
        <f t="shared" ca="1" si="2"/>
        <v/>
      </c>
    </row>
    <row r="222" spans="3:8">
      <c r="C222" s="84"/>
      <c r="E222" s="112"/>
      <c r="F222" s="112"/>
      <c r="G222" s="88"/>
      <c r="H222" s="88" t="str">
        <f t="shared" ca="1" si="2"/>
        <v/>
      </c>
    </row>
    <row r="223" spans="3:8">
      <c r="C223" s="84"/>
      <c r="E223" s="112"/>
      <c r="F223" s="112"/>
      <c r="G223" s="88"/>
      <c r="H223" s="88" t="str">
        <f t="shared" ca="1" si="2"/>
        <v/>
      </c>
    </row>
    <row r="224" spans="3:8">
      <c r="C224" s="84"/>
      <c r="E224" s="112"/>
      <c r="F224" s="112"/>
      <c r="G224" s="88"/>
      <c r="H224" s="88" t="str">
        <f t="shared" ca="1" si="2"/>
        <v/>
      </c>
    </row>
    <row r="225" spans="3:8">
      <c r="C225" s="84"/>
      <c r="E225" s="112"/>
      <c r="F225" s="112"/>
      <c r="G225" s="88"/>
      <c r="H225" s="88" t="str">
        <f t="shared" ca="1" si="2"/>
        <v/>
      </c>
    </row>
    <row r="226" spans="3:8">
      <c r="C226" s="84"/>
      <c r="E226" s="112"/>
      <c r="F226" s="112"/>
      <c r="G226" s="88"/>
      <c r="H226" s="88" t="str">
        <f t="shared" ca="1" si="2"/>
        <v/>
      </c>
    </row>
    <row r="227" spans="3:8">
      <c r="C227" s="84"/>
      <c r="E227" s="112"/>
      <c r="F227" s="112"/>
      <c r="G227" s="88"/>
      <c r="H227" s="88" t="str">
        <f t="shared" ca="1" si="2"/>
        <v/>
      </c>
    </row>
    <row r="228" spans="3:8">
      <c r="C228" s="84"/>
      <c r="E228" s="112"/>
      <c r="F228" s="112"/>
      <c r="G228" s="88"/>
      <c r="H228" s="88" t="str">
        <f t="shared" ca="1" si="2"/>
        <v/>
      </c>
    </row>
    <row r="229" spans="3:8">
      <c r="C229" s="84"/>
      <c r="E229" s="112"/>
      <c r="F229" s="112"/>
      <c r="G229" s="88"/>
      <c r="H229" s="88" t="str">
        <f t="shared" ca="1" si="2"/>
        <v/>
      </c>
    </row>
    <row r="230" spans="3:8">
      <c r="C230" s="84"/>
      <c r="E230" s="112"/>
      <c r="F230" s="112"/>
      <c r="G230" s="88"/>
      <c r="H230" s="88" t="str">
        <f t="shared" ref="H230:H284" ca="1" si="3">IF(OR($E230="",$F230=""),"",IF($F230="Range",INDEX(INDIRECT($E230),xxResetTeam),IF(F230="Number",$E230,IF(F230="Text",$E230,""))))</f>
        <v/>
      </c>
    </row>
    <row r="231" spans="3:8">
      <c r="C231" s="84"/>
      <c r="E231" s="112"/>
      <c r="F231" s="112"/>
      <c r="G231" s="88"/>
      <c r="H231" s="88" t="str">
        <f t="shared" ca="1" si="3"/>
        <v/>
      </c>
    </row>
    <row r="232" spans="3:8">
      <c r="C232" s="84"/>
      <c r="E232" s="112"/>
      <c r="F232" s="112"/>
      <c r="G232" s="88"/>
      <c r="H232" s="88" t="str">
        <f t="shared" ca="1" si="3"/>
        <v/>
      </c>
    </row>
    <row r="233" spans="3:8">
      <c r="C233" s="84"/>
      <c r="E233" s="112"/>
      <c r="F233" s="112"/>
      <c r="G233" s="88"/>
      <c r="H233" s="88" t="str">
        <f t="shared" ca="1" si="3"/>
        <v/>
      </c>
    </row>
    <row r="234" spans="3:8">
      <c r="C234" s="84"/>
      <c r="E234" s="112"/>
      <c r="F234" s="112"/>
      <c r="G234" s="88"/>
      <c r="H234" s="88" t="str">
        <f t="shared" ca="1" si="3"/>
        <v/>
      </c>
    </row>
    <row r="235" spans="3:8">
      <c r="C235" s="84"/>
      <c r="E235" s="112"/>
      <c r="F235" s="112"/>
      <c r="G235" s="88"/>
      <c r="H235" s="88" t="str">
        <f t="shared" ca="1" si="3"/>
        <v/>
      </c>
    </row>
    <row r="236" spans="3:8">
      <c r="C236" s="84"/>
      <c r="E236" s="112"/>
      <c r="F236" s="112"/>
      <c r="G236" s="88"/>
      <c r="H236" s="88" t="str">
        <f t="shared" ca="1" si="3"/>
        <v/>
      </c>
    </row>
    <row r="237" spans="3:8">
      <c r="C237" s="84"/>
      <c r="E237" s="112"/>
      <c r="F237" s="112"/>
      <c r="G237" s="88"/>
      <c r="H237" s="88" t="str">
        <f t="shared" ca="1" si="3"/>
        <v/>
      </c>
    </row>
    <row r="238" spans="3:8">
      <c r="C238" s="84"/>
      <c r="E238" s="112"/>
      <c r="F238" s="112"/>
      <c r="G238" s="88"/>
      <c r="H238" s="88" t="str">
        <f t="shared" ca="1" si="3"/>
        <v/>
      </c>
    </row>
    <row r="239" spans="3:8">
      <c r="C239" s="84"/>
      <c r="E239" s="112"/>
      <c r="F239" s="112"/>
      <c r="G239" s="88"/>
      <c r="H239" s="88" t="str">
        <f t="shared" ca="1" si="3"/>
        <v/>
      </c>
    </row>
    <row r="240" spans="3:8">
      <c r="C240" s="84"/>
      <c r="E240" s="112"/>
      <c r="F240" s="112"/>
      <c r="G240" s="88"/>
      <c r="H240" s="88" t="str">
        <f t="shared" ca="1" si="3"/>
        <v/>
      </c>
    </row>
    <row r="241" spans="3:8">
      <c r="C241" s="84"/>
      <c r="E241" s="112"/>
      <c r="F241" s="112"/>
      <c r="G241" s="88"/>
      <c r="H241" s="88" t="str">
        <f t="shared" ca="1" si="3"/>
        <v/>
      </c>
    </row>
    <row r="242" spans="3:8">
      <c r="C242" s="84"/>
      <c r="E242" s="112"/>
      <c r="F242" s="112"/>
      <c r="G242" s="88"/>
      <c r="H242" s="88" t="str">
        <f t="shared" ca="1" si="3"/>
        <v/>
      </c>
    </row>
    <row r="243" spans="3:8">
      <c r="C243" s="84"/>
      <c r="E243" s="112"/>
      <c r="F243" s="112"/>
      <c r="G243" s="88"/>
      <c r="H243" s="88" t="str">
        <f t="shared" ca="1" si="3"/>
        <v/>
      </c>
    </row>
    <row r="244" spans="3:8">
      <c r="C244" s="84"/>
      <c r="E244" s="112"/>
      <c r="F244" s="112"/>
      <c r="G244" s="88"/>
      <c r="H244" s="88" t="str">
        <f t="shared" ca="1" si="3"/>
        <v/>
      </c>
    </row>
    <row r="245" spans="3:8">
      <c r="C245" s="84"/>
      <c r="E245" s="112"/>
      <c r="F245" s="112"/>
      <c r="G245" s="88"/>
      <c r="H245" s="88" t="str">
        <f t="shared" ca="1" si="3"/>
        <v/>
      </c>
    </row>
    <row r="246" spans="3:8">
      <c r="C246" s="84"/>
      <c r="E246" s="112"/>
      <c r="F246" s="112"/>
      <c r="G246" s="88"/>
      <c r="H246" s="88" t="str">
        <f t="shared" ca="1" si="3"/>
        <v/>
      </c>
    </row>
    <row r="247" spans="3:8">
      <c r="C247" s="84"/>
      <c r="E247" s="112"/>
      <c r="F247" s="112"/>
      <c r="G247" s="88"/>
      <c r="H247" s="88" t="str">
        <f t="shared" ca="1" si="3"/>
        <v/>
      </c>
    </row>
    <row r="248" spans="3:8">
      <c r="C248" s="84"/>
      <c r="E248" s="112"/>
      <c r="F248" s="112"/>
      <c r="G248" s="88"/>
      <c r="H248" s="88" t="str">
        <f t="shared" ca="1" si="3"/>
        <v/>
      </c>
    </row>
    <row r="249" spans="3:8">
      <c r="C249" s="84"/>
      <c r="E249" s="112"/>
      <c r="F249" s="112"/>
      <c r="G249" s="88"/>
      <c r="H249" s="88" t="str">
        <f t="shared" ca="1" si="3"/>
        <v/>
      </c>
    </row>
    <row r="250" spans="3:8">
      <c r="C250" s="84"/>
      <c r="E250" s="112"/>
      <c r="F250" s="112"/>
      <c r="G250" s="88"/>
      <c r="H250" s="88" t="str">
        <f t="shared" ca="1" si="3"/>
        <v/>
      </c>
    </row>
    <row r="251" spans="3:8">
      <c r="C251" s="84"/>
      <c r="E251" s="112"/>
      <c r="F251" s="112"/>
      <c r="G251" s="88"/>
      <c r="H251" s="88" t="str">
        <f t="shared" ca="1" si="3"/>
        <v/>
      </c>
    </row>
    <row r="252" spans="3:8">
      <c r="C252" s="84"/>
      <c r="E252" s="112"/>
      <c r="F252" s="112"/>
      <c r="G252" s="88"/>
      <c r="H252" s="88" t="str">
        <f t="shared" ca="1" si="3"/>
        <v/>
      </c>
    </row>
    <row r="253" spans="3:8">
      <c r="C253" s="84"/>
      <c r="E253" s="112"/>
      <c r="F253" s="112"/>
      <c r="G253" s="88"/>
      <c r="H253" s="88" t="str">
        <f t="shared" ca="1" si="3"/>
        <v/>
      </c>
    </row>
    <row r="254" spans="3:8">
      <c r="C254" s="84"/>
      <c r="E254" s="112"/>
      <c r="F254" s="112"/>
      <c r="G254" s="88"/>
      <c r="H254" s="88" t="str">
        <f t="shared" ca="1" si="3"/>
        <v/>
      </c>
    </row>
    <row r="255" spans="3:8">
      <c r="C255" s="84"/>
      <c r="E255" s="112"/>
      <c r="F255" s="112"/>
      <c r="G255" s="88"/>
      <c r="H255" s="88" t="str">
        <f t="shared" ca="1" si="3"/>
        <v/>
      </c>
    </row>
    <row r="256" spans="3:8">
      <c r="C256" s="84"/>
      <c r="E256" s="112"/>
      <c r="F256" s="112"/>
      <c r="G256" s="88"/>
      <c r="H256" s="88" t="str">
        <f t="shared" ca="1" si="3"/>
        <v/>
      </c>
    </row>
    <row r="257" spans="3:8">
      <c r="C257" s="84"/>
      <c r="E257" s="112"/>
      <c r="F257" s="112"/>
      <c r="G257" s="88"/>
      <c r="H257" s="88" t="str">
        <f t="shared" ca="1" si="3"/>
        <v/>
      </c>
    </row>
    <row r="258" spans="3:8">
      <c r="C258" s="84"/>
      <c r="E258" s="112"/>
      <c r="F258" s="112"/>
      <c r="G258" s="88"/>
      <c r="H258" s="88" t="str">
        <f t="shared" ca="1" si="3"/>
        <v/>
      </c>
    </row>
    <row r="259" spans="3:8">
      <c r="C259" s="84"/>
      <c r="E259" s="112"/>
      <c r="F259" s="112"/>
      <c r="G259" s="88"/>
      <c r="H259" s="88" t="str">
        <f t="shared" ca="1" si="3"/>
        <v/>
      </c>
    </row>
    <row r="260" spans="3:8">
      <c r="C260" s="84"/>
      <c r="E260" s="112"/>
      <c r="F260" s="112"/>
      <c r="G260" s="88"/>
      <c r="H260" s="88" t="str">
        <f t="shared" ca="1" si="3"/>
        <v/>
      </c>
    </row>
    <row r="261" spans="3:8">
      <c r="C261" s="84"/>
      <c r="E261" s="112"/>
      <c r="F261" s="112"/>
      <c r="G261" s="88"/>
      <c r="H261" s="88" t="str">
        <f t="shared" ca="1" si="3"/>
        <v/>
      </c>
    </row>
    <row r="262" spans="3:8">
      <c r="C262" s="84"/>
      <c r="E262" s="112"/>
      <c r="F262" s="112"/>
      <c r="G262" s="88"/>
      <c r="H262" s="88" t="str">
        <f t="shared" ca="1" si="3"/>
        <v/>
      </c>
    </row>
    <row r="263" spans="3:8">
      <c r="C263" s="84"/>
      <c r="E263" s="112"/>
      <c r="F263" s="112"/>
      <c r="G263" s="88"/>
      <c r="H263" s="88" t="str">
        <f t="shared" ca="1" si="3"/>
        <v/>
      </c>
    </row>
    <row r="264" spans="3:8">
      <c r="C264" s="84"/>
      <c r="E264" s="112"/>
      <c r="F264" s="112"/>
      <c r="G264" s="88"/>
      <c r="H264" s="88" t="str">
        <f t="shared" ca="1" si="3"/>
        <v/>
      </c>
    </row>
    <row r="265" spans="3:8">
      <c r="C265" s="84"/>
      <c r="E265" s="112"/>
      <c r="F265" s="112"/>
      <c r="G265" s="88"/>
      <c r="H265" s="88" t="str">
        <f t="shared" ca="1" si="3"/>
        <v/>
      </c>
    </row>
    <row r="266" spans="3:8">
      <c r="C266" s="84"/>
      <c r="E266" s="112"/>
      <c r="F266" s="112"/>
      <c r="G266" s="88"/>
      <c r="H266" s="88" t="str">
        <f t="shared" ca="1" si="3"/>
        <v/>
      </c>
    </row>
    <row r="267" spans="3:8">
      <c r="C267" s="84"/>
      <c r="E267" s="112"/>
      <c r="F267" s="112"/>
      <c r="G267" s="88"/>
      <c r="H267" s="88" t="str">
        <f t="shared" ca="1" si="3"/>
        <v/>
      </c>
    </row>
    <row r="268" spans="3:8">
      <c r="C268" s="84"/>
      <c r="E268" s="112"/>
      <c r="F268" s="112"/>
      <c r="G268" s="88"/>
      <c r="H268" s="88" t="str">
        <f t="shared" ca="1" si="3"/>
        <v/>
      </c>
    </row>
    <row r="269" spans="3:8">
      <c r="C269" s="84"/>
      <c r="E269" s="112"/>
      <c r="F269" s="112"/>
      <c r="G269" s="88"/>
      <c r="H269" s="88" t="str">
        <f t="shared" ca="1" si="3"/>
        <v/>
      </c>
    </row>
    <row r="270" spans="3:8">
      <c r="C270" s="84"/>
      <c r="E270" s="112"/>
      <c r="F270" s="112"/>
      <c r="G270" s="88"/>
      <c r="H270" s="88" t="str">
        <f t="shared" ca="1" si="3"/>
        <v/>
      </c>
    </row>
    <row r="271" spans="3:8">
      <c r="C271" s="84"/>
      <c r="E271" s="112"/>
      <c r="F271" s="112"/>
      <c r="G271" s="88"/>
      <c r="H271" s="88" t="str">
        <f t="shared" ca="1" si="3"/>
        <v/>
      </c>
    </row>
    <row r="272" spans="3:8">
      <c r="C272" s="84"/>
      <c r="E272" s="112"/>
      <c r="F272" s="112"/>
      <c r="G272" s="88"/>
      <c r="H272" s="88" t="str">
        <f t="shared" ca="1" si="3"/>
        <v/>
      </c>
    </row>
    <row r="273" spans="1:8">
      <c r="C273" s="84"/>
      <c r="E273" s="112"/>
      <c r="F273" s="112"/>
      <c r="G273" s="88"/>
      <c r="H273" s="88" t="str">
        <f t="shared" ca="1" si="3"/>
        <v/>
      </c>
    </row>
    <row r="274" spans="1:8">
      <c r="C274" s="84"/>
      <c r="E274" s="112"/>
      <c r="F274" s="112"/>
      <c r="G274" s="88"/>
      <c r="H274" s="88" t="str">
        <f t="shared" ca="1" si="3"/>
        <v/>
      </c>
    </row>
    <row r="275" spans="1:8">
      <c r="C275" s="84"/>
      <c r="E275" s="112"/>
      <c r="F275" s="112"/>
      <c r="G275" s="88"/>
      <c r="H275" s="88" t="str">
        <f t="shared" ca="1" si="3"/>
        <v/>
      </c>
    </row>
    <row r="276" spans="1:8">
      <c r="C276" s="84"/>
      <c r="E276" s="112"/>
      <c r="F276" s="112"/>
      <c r="G276" s="88"/>
      <c r="H276" s="88" t="str">
        <f t="shared" ca="1" si="3"/>
        <v/>
      </c>
    </row>
    <row r="277" spans="1:8">
      <c r="C277" s="84"/>
      <c r="E277" s="112"/>
      <c r="F277" s="112"/>
      <c r="G277" s="88"/>
      <c r="H277" s="88" t="str">
        <f t="shared" ca="1" si="3"/>
        <v/>
      </c>
    </row>
    <row r="278" spans="1:8">
      <c r="C278" s="84"/>
      <c r="E278" s="112"/>
      <c r="F278" s="112"/>
      <c r="G278" s="88"/>
      <c r="H278" s="88" t="str">
        <f t="shared" ca="1" si="3"/>
        <v/>
      </c>
    </row>
    <row r="279" spans="1:8">
      <c r="C279" s="84"/>
      <c r="E279" s="112"/>
      <c r="F279" s="112"/>
      <c r="G279" s="88"/>
      <c r="H279" s="88" t="str">
        <f t="shared" ca="1" si="3"/>
        <v/>
      </c>
    </row>
    <row r="280" spans="1:8">
      <c r="C280" s="84"/>
      <c r="E280" s="112"/>
      <c r="F280" s="112"/>
      <c r="G280" s="88"/>
      <c r="H280" s="88" t="str">
        <f t="shared" ca="1" si="3"/>
        <v/>
      </c>
    </row>
    <row r="281" spans="1:8">
      <c r="C281" s="84"/>
      <c r="E281" s="112"/>
      <c r="F281" s="112"/>
      <c r="G281" s="88"/>
      <c r="H281" s="88" t="str">
        <f t="shared" ca="1" si="3"/>
        <v/>
      </c>
    </row>
    <row r="282" spans="1:8">
      <c r="C282" s="84"/>
      <c r="E282" s="112"/>
      <c r="F282" s="112"/>
      <c r="G282" s="88"/>
      <c r="H282" s="88" t="str">
        <f t="shared" ca="1" si="3"/>
        <v/>
      </c>
    </row>
    <row r="283" spans="1:8">
      <c r="C283" s="84"/>
      <c r="E283" s="112"/>
      <c r="F283" s="112"/>
      <c r="G283" s="88"/>
      <c r="H283" s="88" t="str">
        <f t="shared" ca="1" si="3"/>
        <v/>
      </c>
    </row>
    <row r="284" spans="1:8">
      <c r="C284" s="84"/>
      <c r="E284" s="112"/>
      <c r="F284" s="112"/>
      <c r="G284" s="88"/>
      <c r="H284" s="88" t="str">
        <f t="shared" ca="1" si="3"/>
        <v/>
      </c>
    </row>
    <row r="285" spans="1:8">
      <c r="A285" s="96" t="s">
        <v>217</v>
      </c>
      <c r="B285" s="96"/>
      <c r="C285" s="87"/>
      <c r="D285" s="87"/>
      <c r="E285" s="87"/>
      <c r="F285" s="87"/>
      <c r="G285" s="87"/>
      <c r="H285" s="87"/>
    </row>
  </sheetData>
  <dataValidations count="1">
    <dataValidation type="list" allowBlank="1" showInputMessage="1" showErrorMessage="1" sqref="F93:F102 F39:F41 F107:F115 F75:F88 F44:F72">
      <formula1>$L$36:$L$38</formula1>
    </dataValidation>
  </dataValidation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A1:A523"/>
  <sheetViews>
    <sheetView topLeftCell="A505" workbookViewId="0">
      <selection activeCell="A519" sqref="A519"/>
    </sheetView>
  </sheetViews>
  <sheetFormatPr defaultRowHeight="14.25"/>
  <cols>
    <col min="1" max="1" width="14.5" customWidth="1"/>
  </cols>
  <sheetData>
    <row r="1" spans="1:1">
      <c r="A1" s="4" t="s">
        <v>3436</v>
      </c>
    </row>
    <row r="2" spans="1:1">
      <c r="A2" s="84">
        <f>tlInputProd1Seg1PromotionAllocation_R1</f>
        <v>0.33</v>
      </c>
    </row>
    <row r="3" spans="1:1">
      <c r="A3" s="84">
        <f>tlInputProd1Seg1SamplesPerc_R1</f>
        <v>0.33</v>
      </c>
    </row>
    <row r="4" spans="1:1">
      <c r="A4" s="84">
        <f>tlInputProd1Seg1SpeakersPerc_R1</f>
        <v>0.5</v>
      </c>
    </row>
    <row r="5" spans="1:1">
      <c r="A5" s="84">
        <f>tlInputProd1Seg1PromotionPerc_R1</f>
        <v>0.5</v>
      </c>
    </row>
    <row r="6" spans="1:1">
      <c r="A6" s="84">
        <f>tlInputProd1Seg1CfCollab_R1</f>
        <v>0</v>
      </c>
    </row>
    <row r="7" spans="1:1">
      <c r="A7" s="84">
        <f>tlInputProd1Seg1RegTrainer_R1</f>
        <v>0</v>
      </c>
    </row>
    <row r="8" spans="1:1">
      <c r="A8" s="84">
        <f>tlInputProd1Seg1Rep1Coaching_R1</f>
        <v>0</v>
      </c>
    </row>
    <row r="9" spans="1:1">
      <c r="A9" s="84">
        <f>tlInputProd1Seg1Rep2Coaching_R1</f>
        <v>0</v>
      </c>
    </row>
    <row r="10" spans="1:1">
      <c r="A10" s="84">
        <f>tlInputProd1Seg1Rep3Coaching_R1</f>
        <v>0</v>
      </c>
    </row>
    <row r="11" spans="1:1">
      <c r="A11" s="84">
        <f>tlInputProd1Seg1Therapy1Rep1Weight_R1</f>
        <v>0.4</v>
      </c>
    </row>
    <row r="12" spans="1:1">
      <c r="A12" s="84">
        <f>tlInputProd1Seg1Therapy1Rep2Weight_R1</f>
        <v>0.4</v>
      </c>
    </row>
    <row r="13" spans="1:1">
      <c r="A13" s="84">
        <f>tlInputProd1Seg1Therapy1Rep3Weight_R1</f>
        <v>0.6</v>
      </c>
    </row>
    <row r="14" spans="1:1">
      <c r="A14" s="84">
        <f>tlInputProd1Seg1PromotionAllocation_R2</f>
        <v>0.33</v>
      </c>
    </row>
    <row r="15" spans="1:1">
      <c r="A15" s="84">
        <f>tlInputProd1Seg1SamplesPerc_R2</f>
        <v>0.33</v>
      </c>
    </row>
    <row r="16" spans="1:1">
      <c r="A16" s="84">
        <f>tlInputProd1Seg1SpeakersPerc_R2</f>
        <v>0.5</v>
      </c>
    </row>
    <row r="17" spans="1:1">
      <c r="A17" s="84">
        <f>tlInputProd1Seg1PromotionPerc_R2</f>
        <v>0.5</v>
      </c>
    </row>
    <row r="18" spans="1:1">
      <c r="A18" s="84">
        <f>tlInputProd1Seg1CfCollab_R2</f>
        <v>0</v>
      </c>
    </row>
    <row r="19" spans="1:1">
      <c r="A19" s="84">
        <f>tlInputProd1Seg1RegTrainer_R2</f>
        <v>0</v>
      </c>
    </row>
    <row r="20" spans="1:1">
      <c r="A20" s="84">
        <f>tlInputProd1Seg1Rep1Coaching_R2</f>
        <v>0</v>
      </c>
    </row>
    <row r="21" spans="1:1">
      <c r="A21" s="84">
        <f>tlInputProd1Seg1Rep2Coaching_R2</f>
        <v>0</v>
      </c>
    </row>
    <row r="22" spans="1:1">
      <c r="A22" s="84">
        <f>tlInputProd1Seg1Rep3Coaching_R2</f>
        <v>0</v>
      </c>
    </row>
    <row r="23" spans="1:1">
      <c r="A23" s="84">
        <f>tlInputProd1Seg1Therapy1Rep1Weight_R2</f>
        <v>0.4</v>
      </c>
    </row>
    <row r="24" spans="1:1">
      <c r="A24" s="84">
        <f>tlInputProd1Seg1Therapy1Rep2Weight_R2</f>
        <v>0.4</v>
      </c>
    </row>
    <row r="25" spans="1:1">
      <c r="A25" s="84">
        <f>tlInputProd1Seg1Therapy1Rep3Weight_R2</f>
        <v>0.6</v>
      </c>
    </row>
    <row r="26" spans="1:1">
      <c r="A26" s="84">
        <f>tlInputProd1Seg2PromotionAllocation_R1</f>
        <v>0.33</v>
      </c>
    </row>
    <row r="27" spans="1:1">
      <c r="A27" s="84">
        <f>tlInputProd1Seg2SamplesPerc_R1</f>
        <v>0.33</v>
      </c>
    </row>
    <row r="28" spans="1:1">
      <c r="A28" s="84">
        <f>tlInputProd1Seg2SpeakersPerc_R1</f>
        <v>0.5</v>
      </c>
    </row>
    <row r="29" spans="1:1">
      <c r="A29" s="84">
        <f>tlInputProd1Seg2PromotionPerc_R1</f>
        <v>0.5</v>
      </c>
    </row>
    <row r="30" spans="1:1">
      <c r="A30" s="84">
        <f>tlInputProd1Seg2RegTrainer_R1</f>
        <v>0</v>
      </c>
    </row>
    <row r="31" spans="1:1">
      <c r="A31" s="84">
        <f>tlInputProd1Seg2Rep1Coaching_R1</f>
        <v>0</v>
      </c>
    </row>
    <row r="32" spans="1:1">
      <c r="A32" s="84">
        <f>tlInputProd1Seg2Rep2Coaching_R1</f>
        <v>0</v>
      </c>
    </row>
    <row r="33" spans="1:1">
      <c r="A33" s="84">
        <f>tlInputProd1Seg2Rep3Coaching_R1</f>
        <v>0</v>
      </c>
    </row>
    <row r="34" spans="1:1">
      <c r="A34" s="84">
        <f>tlInputProd1Seg2Therapy1Rep1Weight_R1</f>
        <v>0.6</v>
      </c>
    </row>
    <row r="35" spans="1:1">
      <c r="A35" s="84">
        <f>tlInputProd1Seg2Therapy1Rep2Weight_R1</f>
        <v>0.5</v>
      </c>
    </row>
    <row r="36" spans="1:1">
      <c r="A36" s="84">
        <f>tlInputProd1Seg2Therapy1Rep3Weight_R1</f>
        <v>0.4</v>
      </c>
    </row>
    <row r="37" spans="1:1">
      <c r="A37" s="84">
        <f>tlInputProd1Seg2PromotionAllocation_R2</f>
        <v>0.33</v>
      </c>
    </row>
    <row r="38" spans="1:1">
      <c r="A38" s="84">
        <f>tlInputProd1Seg2SamplesPerc_R2</f>
        <v>0.33</v>
      </c>
    </row>
    <row r="39" spans="1:1">
      <c r="A39" s="84">
        <f>tlInputProd1Seg2SpeakersPerc_R2</f>
        <v>0.5</v>
      </c>
    </row>
    <row r="40" spans="1:1">
      <c r="A40" s="84">
        <f>tlInputProd1Seg2PromotionPerc_R2</f>
        <v>0.5</v>
      </c>
    </row>
    <row r="41" spans="1:1">
      <c r="A41" s="84">
        <f>tlInputProd1Seg2RegTrainer_R2</f>
        <v>0</v>
      </c>
    </row>
    <row r="42" spans="1:1">
      <c r="A42" s="84">
        <f>tlInputProd1Seg2Rep1Coaching_R2</f>
        <v>0</v>
      </c>
    </row>
    <row r="43" spans="1:1">
      <c r="A43" s="84">
        <f>tlInputProd1Seg2Rep2Coaching_R2</f>
        <v>0</v>
      </c>
    </row>
    <row r="44" spans="1:1">
      <c r="A44" s="84">
        <f>tlInputProd1Seg2Rep3Coaching_R2</f>
        <v>0</v>
      </c>
    </row>
    <row r="45" spans="1:1">
      <c r="A45" s="84">
        <f>tlInputProd1Seg2Therapy1Rep1Weight_R2</f>
        <v>0.6</v>
      </c>
    </row>
    <row r="46" spans="1:1">
      <c r="A46" s="84">
        <f>tlInputProd1Seg2Therapy1Rep2Weight_R2</f>
        <v>0.6</v>
      </c>
    </row>
    <row r="47" spans="1:1">
      <c r="A47" s="84">
        <f>tlInputProd1Seg2Therapy1Rep3Weight_R2</f>
        <v>0.4</v>
      </c>
    </row>
    <row r="48" spans="1:1">
      <c r="A48" s="84">
        <f>tlInputProd1Seg3PromotionAllocation_R1</f>
        <v>0.33</v>
      </c>
    </row>
    <row r="49" spans="1:1">
      <c r="A49" s="84">
        <f>tlInputProd1Seg3SamplesPerc_R1</f>
        <v>0.33</v>
      </c>
    </row>
    <row r="50" spans="1:1">
      <c r="A50" s="84">
        <f>tlInputProd1Seg3SpeakersPerc_R1</f>
        <v>0.5</v>
      </c>
    </row>
    <row r="51" spans="1:1">
      <c r="A51" s="84">
        <f>tlInputProd1Seg3PromotionPerc_R1</f>
        <v>0.5</v>
      </c>
    </row>
    <row r="52" spans="1:1">
      <c r="A52" s="84">
        <f>tlInputProd1Seg3RegTrainer_R1</f>
        <v>0</v>
      </c>
    </row>
    <row r="53" spans="1:1">
      <c r="A53" s="84">
        <f>tlInputProd1Seg3Rep1Coaching_R1</f>
        <v>0</v>
      </c>
    </row>
    <row r="54" spans="1:1">
      <c r="A54" s="84">
        <f>tlInputProd1Seg3Rep2Coaching_R1</f>
        <v>0</v>
      </c>
    </row>
    <row r="55" spans="1:1">
      <c r="A55" s="84">
        <f>tlInputProd1Seg3Rep3Coaching_R1</f>
        <v>0</v>
      </c>
    </row>
    <row r="56" spans="1:1">
      <c r="A56" s="84">
        <f>tlInputProd1Seg3Therapy1Rep1Weight_R1</f>
        <v>0.5</v>
      </c>
    </row>
    <row r="57" spans="1:1">
      <c r="A57" s="84">
        <f>tlInputProd1Seg3Therapy1Rep2Weight_R1</f>
        <v>0.5</v>
      </c>
    </row>
    <row r="58" spans="1:1">
      <c r="A58" s="84">
        <f>tlInputProd1Seg3Therapy1Rep3Weight_R1</f>
        <v>0.5</v>
      </c>
    </row>
    <row r="59" spans="1:1">
      <c r="A59" s="84">
        <f>tlInputProd1Seg3PromotionAllocation_R2</f>
        <v>0.33</v>
      </c>
    </row>
    <row r="60" spans="1:1">
      <c r="A60" s="84">
        <f>tlInputProd1Seg3SamplesPerc_R2</f>
        <v>0.33</v>
      </c>
    </row>
    <row r="61" spans="1:1">
      <c r="A61" s="84">
        <f>tlInputProd1Seg3SpeakersPerc_R2</f>
        <v>0.5</v>
      </c>
    </row>
    <row r="62" spans="1:1">
      <c r="A62" s="84">
        <f>tlInputProd1Seg3PromotionPerc_R2</f>
        <v>0.5</v>
      </c>
    </row>
    <row r="63" spans="1:1">
      <c r="A63" s="84">
        <f>tlInputProd1Seg3RegTrainer_R2</f>
        <v>0</v>
      </c>
    </row>
    <row r="64" spans="1:1">
      <c r="A64" s="84">
        <f>tlInputProd1Seg3Rep1Coaching_R2</f>
        <v>0</v>
      </c>
    </row>
    <row r="65" spans="1:1">
      <c r="A65" s="84">
        <f>tlInputProd1Seg3Rep2Coaching_R2</f>
        <v>0</v>
      </c>
    </row>
    <row r="66" spans="1:1">
      <c r="A66" s="84">
        <f>tlInputProd1Seg3Rep3Coaching_R2</f>
        <v>0</v>
      </c>
    </row>
    <row r="67" spans="1:1">
      <c r="A67" s="84">
        <f>tlInputProd1Seg3Therapy1Rep1Weight_R2</f>
        <v>0.5</v>
      </c>
    </row>
    <row r="68" spans="1:1">
      <c r="A68" s="84">
        <f>tlInputProd1Seg3Therapy1Rep2Weight_R2</f>
        <v>0.5</v>
      </c>
    </row>
    <row r="69" spans="1:1">
      <c r="A69" s="84">
        <f>tlInputProd1Seg3Therapy1Rep3Weight_R2</f>
        <v>0.5</v>
      </c>
    </row>
    <row r="70" spans="1:1">
      <c r="A70" s="84" t="str">
        <f>tlInputProd1R2RolePlayScore</f>
        <v>Green</v>
      </c>
    </row>
    <row r="71" spans="1:1">
      <c r="A71" s="84">
        <f>tlInputReg1Seg1PromotionAllocation_R1</f>
        <v>0.33</v>
      </c>
    </row>
    <row r="72" spans="1:1">
      <c r="A72" s="84">
        <f>tlInputReg1Seg1SamplesPerc_R1</f>
        <v>0.33</v>
      </c>
    </row>
    <row r="73" spans="1:1">
      <c r="A73" s="84">
        <f>tlInputReg1Seg1SpeakersPerc_R1</f>
        <v>0.5</v>
      </c>
    </row>
    <row r="74" spans="1:1">
      <c r="A74" s="84">
        <f>tlInputReg1Seg1PromotionPerc_R1</f>
        <v>0.5</v>
      </c>
    </row>
    <row r="75" spans="1:1">
      <c r="A75" s="84">
        <f>tlInputReg1Seg1CfCollab_R1</f>
        <v>0</v>
      </c>
    </row>
    <row r="76" spans="1:1">
      <c r="A76" s="84">
        <f>tlInputReg1Seg1RegTrainer_R1</f>
        <v>0</v>
      </c>
    </row>
    <row r="77" spans="1:1">
      <c r="A77" s="84">
        <f>tlInputReg1Seg1Rep1Coaching_R1</f>
        <v>0</v>
      </c>
    </row>
    <row r="78" spans="1:1">
      <c r="A78" s="84">
        <f>tlInputReg1Seg1PromotionAllocation_R2</f>
        <v>0.33</v>
      </c>
    </row>
    <row r="79" spans="1:1">
      <c r="A79" s="84">
        <f>tlInputReg1Seg1SamplesPerc_R2</f>
        <v>0.33</v>
      </c>
    </row>
    <row r="80" spans="1:1">
      <c r="A80" s="84">
        <f>tlInputReg1Seg1SpeakersPerc_R2</f>
        <v>0.5</v>
      </c>
    </row>
    <row r="81" spans="1:1">
      <c r="A81" s="84">
        <f>tlInputReg1Seg1PromotionPerc_R2</f>
        <v>0.5</v>
      </c>
    </row>
    <row r="82" spans="1:1">
      <c r="A82" s="84">
        <f>tlInputReg1Seg1CfCollab_R2</f>
        <v>0</v>
      </c>
    </row>
    <row r="83" spans="1:1">
      <c r="A83" s="84">
        <f>tlInputReg1Seg1RegTrainer_R2</f>
        <v>0</v>
      </c>
    </row>
    <row r="84" spans="1:1">
      <c r="A84" s="84">
        <f>tlInputReg1Seg1Rep1Coaching_R2</f>
        <v>0</v>
      </c>
    </row>
    <row r="85" spans="1:1">
      <c r="A85" s="84">
        <f>tlInputReg1Seg2PromotionAllocation_R1</f>
        <v>0.33</v>
      </c>
    </row>
    <row r="86" spans="1:1">
      <c r="A86" s="84">
        <f>tlInputReg1Seg2SamplesPerc_R1</f>
        <v>0.33</v>
      </c>
    </row>
    <row r="87" spans="1:1">
      <c r="A87" s="84">
        <f>tlInputReg1Seg2SpeakersPerc_R1</f>
        <v>0.5</v>
      </c>
    </row>
    <row r="88" spans="1:1">
      <c r="A88" s="84">
        <f>tlInputReg1Seg2PromotionPerc_R1</f>
        <v>0.5</v>
      </c>
    </row>
    <row r="89" spans="1:1">
      <c r="A89" s="84">
        <f>tlInputReg1Seg2RegTrainer_R1</f>
        <v>0</v>
      </c>
    </row>
    <row r="90" spans="1:1">
      <c r="A90" s="84">
        <f>tlInputReg1Seg2Rep1Coaching_R1</f>
        <v>0</v>
      </c>
    </row>
    <row r="91" spans="1:1">
      <c r="A91" s="84">
        <f>tlInputReg1Seg2PromotionAllocation_R2</f>
        <v>0.33</v>
      </c>
    </row>
    <row r="92" spans="1:1">
      <c r="A92" s="84">
        <f>tlInputReg1Seg2SamplesPerc_R2</f>
        <v>0.33</v>
      </c>
    </row>
    <row r="93" spans="1:1">
      <c r="A93" s="84">
        <f>tlInputReg1Seg2SpeakersPerc_R2</f>
        <v>0.5</v>
      </c>
    </row>
    <row r="94" spans="1:1">
      <c r="A94" s="84">
        <f>tlInputReg1Seg2PromotionPerc_R2</f>
        <v>0.5</v>
      </c>
    </row>
    <row r="95" spans="1:1">
      <c r="A95" s="84">
        <f>tlInputReg1Seg2RegTrainer_R2</f>
        <v>0</v>
      </c>
    </row>
    <row r="96" spans="1:1">
      <c r="A96" s="84">
        <f>tlInputReg1Seg2Rep1Coaching_R2</f>
        <v>0</v>
      </c>
    </row>
    <row r="97" spans="1:1">
      <c r="A97" s="84">
        <f>tlInputReg1Seg3PromotionAllocation_R1</f>
        <v>0.33</v>
      </c>
    </row>
    <row r="98" spans="1:1">
      <c r="A98" s="84">
        <f>tlInputReg1Seg3SamplesPerc_R1</f>
        <v>0.33</v>
      </c>
    </row>
    <row r="99" spans="1:1">
      <c r="A99" s="84">
        <f>tlInputReg1Seg3SpeakersPerc_R1</f>
        <v>0.5</v>
      </c>
    </row>
    <row r="100" spans="1:1">
      <c r="A100" s="84">
        <f>tlInputReg1Seg3PromotionPerc_R1</f>
        <v>0.5</v>
      </c>
    </row>
    <row r="101" spans="1:1">
      <c r="A101" s="84">
        <f>tlInputReg1Seg3RegTrainer_R1</f>
        <v>0</v>
      </c>
    </row>
    <row r="102" spans="1:1">
      <c r="A102" s="84">
        <f>tlInputReg1Seg3Rep1Coaching_R1</f>
        <v>0</v>
      </c>
    </row>
    <row r="103" spans="1:1">
      <c r="A103" s="84">
        <f>tlInputReg1Seg3PromotionAllocation_R2</f>
        <v>0.33</v>
      </c>
    </row>
    <row r="104" spans="1:1">
      <c r="A104" s="84">
        <f>tlInputReg1Seg3SamplesPerc_R2</f>
        <v>0.33</v>
      </c>
    </row>
    <row r="105" spans="1:1">
      <c r="A105" s="84">
        <f>tlInputReg1Seg3SpeakersPerc_R2</f>
        <v>0.5</v>
      </c>
    </row>
    <row r="106" spans="1:1">
      <c r="A106" s="84">
        <f>tlInputReg1Seg3PromotionPerc_R2</f>
        <v>0.5</v>
      </c>
    </row>
    <row r="107" spans="1:1">
      <c r="A107" s="84">
        <f>tlInputReg1Seg3RegTrainer_R2</f>
        <v>0</v>
      </c>
    </row>
    <row r="108" spans="1:1">
      <c r="A108" s="84">
        <f>tlInputReg1Seg3Rep1Coaching_R2</f>
        <v>0</v>
      </c>
    </row>
    <row r="109" spans="1:1">
      <c r="A109">
        <f>tlOutputProd1Seg1Payer1Volume_R1</f>
        <v>110.2551725184</v>
      </c>
    </row>
    <row r="110" spans="1:1">
      <c r="A110">
        <f>tlOutputProd1Seg2Payer1Volume_R1</f>
        <v>97.785038567999976</v>
      </c>
    </row>
    <row r="111" spans="1:1">
      <c r="A111">
        <f>tlOutputProd1Seg3Payer1Volume_R1</f>
        <v>54.989451999999972</v>
      </c>
    </row>
    <row r="112" spans="1:1">
      <c r="A112">
        <f>tlOutputProd1Seg2Payer1Volume_R1</f>
        <v>97.785038567999976</v>
      </c>
    </row>
    <row r="113" spans="1:1">
      <c r="A113">
        <f>tlOutputProd1Seg2Payer1Volume_R1</f>
        <v>97.785038567999976</v>
      </c>
    </row>
    <row r="114" spans="1:1">
      <c r="A114">
        <f>tlOutputProd1Seg3Payer1Volume_R1</f>
        <v>54.989451999999972</v>
      </c>
    </row>
    <row r="115" spans="1:1">
      <c r="A115">
        <f>tlOutputProd1Seg3Payer1Volume_R1</f>
        <v>54.989451999999972</v>
      </c>
    </row>
    <row r="116" spans="1:1">
      <c r="A116">
        <f>tlOutputProd1Seg2Payer1Volume_R1</f>
        <v>97.785038567999976</v>
      </c>
    </row>
    <row r="117" spans="1:1">
      <c r="A117">
        <f>tlOutputProd1Seg3Payer1Volume_R1</f>
        <v>54.989451999999972</v>
      </c>
    </row>
    <row r="118" spans="1:1">
      <c r="A118">
        <f>tlOutputReg1Seg1Payer1Volume_R1</f>
        <v>167.23262209499995</v>
      </c>
    </row>
    <row r="119" spans="1:1">
      <c r="A119">
        <f>tlOutputReg1Seg2Payer1Volume_R1</f>
        <v>209.52123764000004</v>
      </c>
    </row>
    <row r="120" spans="1:1">
      <c r="A120">
        <f>tlOutputReg1Seg3Payer1Volume_R1</f>
        <v>239.5613569823158</v>
      </c>
    </row>
    <row r="121" spans="1:1">
      <c r="A121">
        <f>tlOutputReg1Seg2Payer1Volume_R1</f>
        <v>209.52123764000004</v>
      </c>
    </row>
    <row r="122" spans="1:1">
      <c r="A122">
        <f>tlOutputReg1Seg2Payer1Volume_R1</f>
        <v>209.52123764000004</v>
      </c>
    </row>
    <row r="123" spans="1:1">
      <c r="A123">
        <f>tlOutputReg1Seg3Payer1Volume_R1</f>
        <v>239.5613569823158</v>
      </c>
    </row>
    <row r="124" spans="1:1">
      <c r="A124">
        <f>tlOutputReg1Seg3Payer1Volume_R1</f>
        <v>239.5613569823158</v>
      </c>
    </row>
    <row r="125" spans="1:1">
      <c r="A125">
        <f>tlOutputReg1Seg2Payer1Volume_R1</f>
        <v>209.52123764000004</v>
      </c>
    </row>
    <row r="126" spans="1:1">
      <c r="A126">
        <f>tlOutputReg1Seg3Payer1Volume_R1</f>
        <v>239.5613569823158</v>
      </c>
    </row>
    <row r="127" spans="1:1">
      <c r="A127">
        <f>tlOutputProd1Seg1CurrentPromotionAllocation_R1</f>
        <v>66000</v>
      </c>
    </row>
    <row r="128" spans="1:1">
      <c r="A128">
        <f>tlOutputProd1Seg1SpeakerCost_R1</f>
        <v>33000</v>
      </c>
    </row>
    <row r="129" spans="1:1">
      <c r="A129">
        <f>tlOutputProd1Seg1PromotionCost_R1</f>
        <v>33000</v>
      </c>
    </row>
    <row r="130" spans="1:1">
      <c r="A130">
        <f>tlOutputProd1Seg1SampleCost_R1</f>
        <v>16500</v>
      </c>
    </row>
    <row r="131" spans="1:1">
      <c r="A131">
        <f>tlOutputProd1Seg1Samples_R1</f>
        <v>235.71428571428572</v>
      </c>
    </row>
    <row r="132" spans="1:1">
      <c r="A132">
        <f>tlOutputProd1Seg1CfCollabFTEs_R1</f>
        <v>0</v>
      </c>
    </row>
    <row r="133" spans="1:1">
      <c r="A133">
        <f>tlOutputProd1Seg1Rep1CoachingFTEs_R1</f>
        <v>0</v>
      </c>
    </row>
    <row r="134" spans="1:1">
      <c r="A134">
        <f>tlOutputProd1Seg1Rep2CoachingFTEs_R1</f>
        <v>0</v>
      </c>
    </row>
    <row r="135" spans="1:1">
      <c r="A135">
        <f>tlOutputProd1Seg1Rep3CoachingFTEs_R1</f>
        <v>0</v>
      </c>
    </row>
    <row r="136" spans="1:1">
      <c r="A136">
        <f>tlOutputProd1Seg1RegTrainerFTEs_R1</f>
        <v>0</v>
      </c>
    </row>
    <row r="137" spans="1:1">
      <c r="A137">
        <f>tlOutputProd1Seg1Payer1Forecast_R1</f>
        <v>19.562052518400009</v>
      </c>
    </row>
    <row r="138" spans="1:1">
      <c r="A138">
        <f>tlOutputProd1Seg1Payer2Forecast_R1</f>
        <v>1.5383820480000034</v>
      </c>
    </row>
    <row r="139" spans="1:1">
      <c r="A139">
        <f>tlOutputProd1Seg1Payer3Forecast_R1</f>
        <v>8.3206726848000159</v>
      </c>
    </row>
    <row r="140" spans="1:1">
      <c r="A140">
        <f>tlOutputProd1Seg2CurrentPromotionAllocation_R1</f>
        <v>66000</v>
      </c>
    </row>
    <row r="141" spans="1:1">
      <c r="A141">
        <f>tlOutputProd1Seg2SpeakerCost_R1</f>
        <v>33000</v>
      </c>
    </row>
    <row r="142" spans="1:1">
      <c r="A142">
        <f>tlOutputProd1Seg2PromotionCost_R1</f>
        <v>33000</v>
      </c>
    </row>
    <row r="143" spans="1:1">
      <c r="A143">
        <f>tlOutputProd1Seg2SampleCost_R1</f>
        <v>16500</v>
      </c>
    </row>
    <row r="144" spans="1:1">
      <c r="A144">
        <f>tlOutputProd1Seg2Samples_R1</f>
        <v>235.71428571428572</v>
      </c>
    </row>
    <row r="145" spans="1:1">
      <c r="A145">
        <f>tlOutputProd1Seg2Rep1CoachingFTEs_R1</f>
        <v>0</v>
      </c>
    </row>
    <row r="146" spans="1:1">
      <c r="A146">
        <f>tlOutputProd1Seg2Rep2CoachingFTEs_R1</f>
        <v>0</v>
      </c>
    </row>
    <row r="147" spans="1:1">
      <c r="A147">
        <f>tlOutputProd1Seg2Rep3CoachingFTEs_R1</f>
        <v>0</v>
      </c>
    </row>
    <row r="148" spans="1:1">
      <c r="A148">
        <f>tlOutputProd1Seg2RegTrainerFTEs_R1</f>
        <v>0</v>
      </c>
    </row>
    <row r="149" spans="1:1">
      <c r="A149">
        <f>tlOutputProd1Seg2Payer1Forecast_R1</f>
        <v>18.428558567999985</v>
      </c>
    </row>
    <row r="150" spans="1:1">
      <c r="A150">
        <f>tlOutputProd1Seg2Payer2Forecast_R1</f>
        <v>2.9235777480000023</v>
      </c>
    </row>
    <row r="151" spans="1:1">
      <c r="A151">
        <f>tlOutputProd1Seg2Payer3Forecast_R1</f>
        <v>9.5504106599999972</v>
      </c>
    </row>
    <row r="152" spans="1:1">
      <c r="A152">
        <f>tlOutputProd1Seg3CurrentPromotionAllocation_R1</f>
        <v>66000</v>
      </c>
    </row>
    <row r="153" spans="1:1">
      <c r="A153">
        <f>tlOutputProd1Seg3SpeakerCost_R1</f>
        <v>33000</v>
      </c>
    </row>
    <row r="154" spans="1:1">
      <c r="A154">
        <f>tlOutputProd1Seg3PromotionCost_R1</f>
        <v>33000</v>
      </c>
    </row>
    <row r="155" spans="1:1">
      <c r="A155">
        <f>tlOutputProd1Seg3SampleCost_R1</f>
        <v>16500</v>
      </c>
    </row>
    <row r="156" spans="1:1">
      <c r="A156">
        <f>tlOutputProd1Seg3Samples_R1</f>
        <v>235.71428571428572</v>
      </c>
    </row>
    <row r="157" spans="1:1">
      <c r="A157">
        <f>tlOutputProd1Seg3Rep1CoachingFTEs_R1</f>
        <v>0</v>
      </c>
    </row>
    <row r="158" spans="1:1">
      <c r="A158">
        <f>tlOutputProd1Seg3Rep2CoachingFTEs_R1</f>
        <v>0</v>
      </c>
    </row>
    <row r="159" spans="1:1">
      <c r="A159">
        <f>tlOutputProd1Seg3Rep3CoachingFTEs_R1</f>
        <v>0</v>
      </c>
    </row>
    <row r="160" spans="1:1">
      <c r="A160">
        <f>tlOutputProd1Seg3RegTrainerFTEs_R1</f>
        <v>0</v>
      </c>
    </row>
    <row r="161" spans="1:1">
      <c r="A161">
        <f>tlOutputProd1Seg3Payer1Forecast_R1</f>
        <v>-1.6937480000000136</v>
      </c>
    </row>
    <row r="162" spans="1:1">
      <c r="A162">
        <f>tlOutputProd1Seg3Payer2Forecast_R1</f>
        <v>0</v>
      </c>
    </row>
    <row r="163" spans="1:1">
      <c r="A163">
        <f>tlOutputProd1Seg3Payer3Forecast_R1</f>
        <v>0.32363763157894354</v>
      </c>
    </row>
    <row r="164" spans="1:1">
      <c r="A164">
        <f>tlOutputProd1Seg1CurrentPromotionAllocation_R2</f>
        <v>62700</v>
      </c>
    </row>
    <row r="165" spans="1:1">
      <c r="A165">
        <f>tlOutputProd1Seg1SpeakerCost_R2</f>
        <v>31350</v>
      </c>
    </row>
    <row r="166" spans="1:1">
      <c r="A166">
        <f>tlOutputProd1Seg1PromotionCost_R2</f>
        <v>31350</v>
      </c>
    </row>
    <row r="167" spans="1:1">
      <c r="A167">
        <f>tlOutputProd1Seg1SampleCost_R2</f>
        <v>16500</v>
      </c>
    </row>
    <row r="168" spans="1:1">
      <c r="A168">
        <f>tlOutputProd1Seg1Samples_R2</f>
        <v>235.71428571428572</v>
      </c>
    </row>
    <row r="169" spans="1:1">
      <c r="A169">
        <f>tlOutputProd1Seg1CfCollabFTEs_R2</f>
        <v>0</v>
      </c>
    </row>
    <row r="170" spans="1:1">
      <c r="A170">
        <f>tlOutputProd1Seg1Rep1CoachingFTEs_R2</f>
        <v>0</v>
      </c>
    </row>
    <row r="171" spans="1:1">
      <c r="A171">
        <f>tlOutputProd1Seg1Rep2CoachingFTEs_R2</f>
        <v>0</v>
      </c>
    </row>
    <row r="172" spans="1:1">
      <c r="A172">
        <f>tlOutputProd1Seg1Rep3CoachingFTEs_R2</f>
        <v>0</v>
      </c>
    </row>
    <row r="173" spans="1:1">
      <c r="A173">
        <f>tlOutputProd1Seg1RegTrainerFTEs_R2</f>
        <v>0</v>
      </c>
    </row>
    <row r="174" spans="1:1">
      <c r="A174">
        <f>tlOutputProd1Seg1Payer1Forecast_R2</f>
        <v>20.320233527193608</v>
      </c>
    </row>
    <row r="175" spans="1:1">
      <c r="A175">
        <f>tlOutputProd1Seg1Payer2Forecast_R2</f>
        <v>0.77880125568000347</v>
      </c>
    </row>
    <row r="176" spans="1:1">
      <c r="A176">
        <f>tlOutputProd1Seg1Payer3Forecast_R2</f>
        <v>8.5374266503680118</v>
      </c>
    </row>
    <row r="177" spans="1:1">
      <c r="A177">
        <f>tlOutputProd1Seg2CurrentPromotionAllocation_R2</f>
        <v>62700</v>
      </c>
    </row>
    <row r="178" spans="1:1">
      <c r="A178">
        <f>tlOutputProd1Seg2SpeakerCost_R2</f>
        <v>31350</v>
      </c>
    </row>
    <row r="179" spans="1:1">
      <c r="A179">
        <f>tlOutputProd1Seg2PromotionCost_R2</f>
        <v>31350</v>
      </c>
    </row>
    <row r="180" spans="1:1">
      <c r="A180">
        <f>tlOutputProd1Seg2SampleCost_R2</f>
        <v>16500</v>
      </c>
    </row>
    <row r="181" spans="1:1">
      <c r="A181">
        <f>tlOutputProd1Seg2Samples_R2</f>
        <v>235.71428571428572</v>
      </c>
    </row>
    <row r="182" spans="1:1">
      <c r="A182">
        <f>tlOutputProd1Seg2Rep1CoachingFTEs_R2</f>
        <v>0</v>
      </c>
    </row>
    <row r="183" spans="1:1">
      <c r="A183">
        <f>tlOutputProd1Seg2Rep2CoachingFTEs_R2</f>
        <v>0</v>
      </c>
    </row>
    <row r="184" spans="1:1">
      <c r="A184">
        <f>tlOutputProd1Seg2Rep3CoachingFTEs_R2</f>
        <v>0</v>
      </c>
    </row>
    <row r="185" spans="1:1">
      <c r="A185">
        <f>tlOutputProd1Seg2RegTrainerFTEs_R2</f>
        <v>0</v>
      </c>
    </row>
    <row r="186" spans="1:1">
      <c r="A186">
        <f>tlOutputProd1Seg2Payer1Forecast_R2</f>
        <v>10.074801113999996</v>
      </c>
    </row>
    <row r="187" spans="1:1">
      <c r="A187">
        <f>tlOutputProd1Seg2Payer2Forecast_R2</f>
        <v>-1.0948138661249975</v>
      </c>
    </row>
    <row r="188" spans="1:1">
      <c r="A188">
        <f>tlOutputProd1Seg2Payer3Forecast_R2</f>
        <v>1.1753350087499967</v>
      </c>
    </row>
    <row r="189" spans="1:1">
      <c r="A189">
        <f>tlOutputProd1Seg3CurrentPromotionAllocation_R2</f>
        <v>62700</v>
      </c>
    </row>
    <row r="190" spans="1:1">
      <c r="A190">
        <f>tlOutputProd1Seg3SpeakerCost_R2</f>
        <v>31350</v>
      </c>
    </row>
    <row r="191" spans="1:1">
      <c r="A191">
        <f>tlOutputProd1Seg3PromotionCost_R2</f>
        <v>31350</v>
      </c>
    </row>
    <row r="192" spans="1:1">
      <c r="A192">
        <f>tlOutputProd1Seg3SampleCost_R2</f>
        <v>16500</v>
      </c>
    </row>
    <row r="193" spans="1:1">
      <c r="A193">
        <f>tlOutputProd1Seg3Samples_R2</f>
        <v>235.71428571428572</v>
      </c>
    </row>
    <row r="194" spans="1:1">
      <c r="A194">
        <f>tlOutputProd1Seg3Rep1CoachingFTEs_R2</f>
        <v>0</v>
      </c>
    </row>
    <row r="195" spans="1:1">
      <c r="A195" t="e">
        <f>tlOutputProd1Seg3Rep2CoachingFTEs_R2</f>
        <v>#NAME?</v>
      </c>
    </row>
    <row r="196" spans="1:1">
      <c r="A196">
        <f>tlOutputProd1Seg3Rep3CoachingFTEs_R2</f>
        <v>0</v>
      </c>
    </row>
    <row r="197" spans="1:1">
      <c r="A197">
        <f>tlOutputProd1Seg3RegTrainerFTEs_R2</f>
        <v>0</v>
      </c>
    </row>
    <row r="198" spans="1:1">
      <c r="A198">
        <f>tlOutputProd1Seg3Payer1Forecast_R2</f>
        <v>-6.0549061719999955</v>
      </c>
    </row>
    <row r="199" spans="1:1">
      <c r="A199">
        <f>tlOutputProd1Seg3Payer2Forecast_R2</f>
        <v>0</v>
      </c>
    </row>
    <row r="200" spans="1:1">
      <c r="A200">
        <f>tlOutputProd1Seg3Payer3Forecast_R2</f>
        <v>-7.0962934695394715</v>
      </c>
    </row>
    <row r="201" spans="1:1">
      <c r="A201">
        <f>tlOutputProd1Seg1CurrentESAT_R1</f>
        <v>60</v>
      </c>
    </row>
    <row r="202" spans="1:1">
      <c r="A202">
        <f>tlOutputProd1Seg1CurrentOE_R1</f>
        <v>60</v>
      </c>
    </row>
    <row r="203" spans="1:1">
      <c r="A203">
        <f>tlOutputProd1Seg2ESAT_R2</f>
        <v>60</v>
      </c>
    </row>
    <row r="204" spans="1:1">
      <c r="A204">
        <f>tlOutputProd1Seg2PrevOE_R2</f>
        <v>60</v>
      </c>
    </row>
    <row r="205" spans="1:1">
      <c r="A205">
        <f>tlOutputProd1Seg2CurrentESAT_R2</f>
        <v>60</v>
      </c>
    </row>
    <row r="206" spans="1:1">
      <c r="A206">
        <f>tlOutputProd1Seg2CurrentOE_R2</f>
        <v>60</v>
      </c>
    </row>
    <row r="207" spans="1:1">
      <c r="A207">
        <f>tlOutputReg1Seg1Payer1Volume_R1</f>
        <v>167.23262209499995</v>
      </c>
    </row>
    <row r="208" spans="1:1">
      <c r="A208">
        <f>tlOutputReg1Seg1Payer2Volume_R1</f>
        <v>0</v>
      </c>
    </row>
    <row r="209" spans="1:1">
      <c r="A209">
        <f>tlOutputReg1Seg1Payer3Volume_R1</f>
        <v>206.04288830399997</v>
      </c>
    </row>
    <row r="210" spans="1:1">
      <c r="A210">
        <f>tlOutputReg1Seg1Payer1Forecast_R1</f>
        <v>21.475822094999984</v>
      </c>
    </row>
    <row r="211" spans="1:1">
      <c r="A211">
        <f>tlOutputReg1Seg1Payer2Forecast_R1</f>
        <v>0</v>
      </c>
    </row>
    <row r="212" spans="1:1">
      <c r="A212">
        <f>tlOutputReg1Seg1Payer3Forecast_R1</f>
        <v>27.895688304000004</v>
      </c>
    </row>
    <row r="213" spans="1:1">
      <c r="A213">
        <f>tlOutputReg1Seg1SampleCost_R1</f>
        <v>49500</v>
      </c>
    </row>
    <row r="214" spans="1:1">
      <c r="A214">
        <f>tlOutputReg1Seg1Samples_R1</f>
        <v>707.14285714285711</v>
      </c>
    </row>
    <row r="215" spans="1:1">
      <c r="A215">
        <f>tlOutputReg1Seg1CurrentPromotionAllocation_R1</f>
        <v>198000</v>
      </c>
    </row>
    <row r="216" spans="1:1">
      <c r="A216">
        <f>tlOutputReg1Seg1SpeakerCost_R1</f>
        <v>99000</v>
      </c>
    </row>
    <row r="217" spans="1:1">
      <c r="A217">
        <f>tlOutputReg1Seg1PromotionCost_R1</f>
        <v>99000</v>
      </c>
    </row>
    <row r="218" spans="1:1">
      <c r="A218" s="225">
        <f>tlOutputReg1Seg2SampleCost_R1</f>
        <v>49500</v>
      </c>
    </row>
    <row r="219" spans="1:1">
      <c r="A219" s="225">
        <f>tlOutputReg1Seg2Samples_R1</f>
        <v>707.14285714285711</v>
      </c>
    </row>
    <row r="220" spans="1:1">
      <c r="A220" s="225">
        <f>tlOutputReg1Seg2CurrentPromotionAllocation_R1</f>
        <v>198000</v>
      </c>
    </row>
    <row r="221" spans="1:1">
      <c r="A221" s="225">
        <f>tlOutputReg1Seg2SpeakerCost_R1</f>
        <v>99000</v>
      </c>
    </row>
    <row r="222" spans="1:1">
      <c r="A222" s="225">
        <f>tlOutputReg1Seg2PromotionCost_R1</f>
        <v>99000</v>
      </c>
    </row>
    <row r="223" spans="1:1">
      <c r="A223" s="225">
        <f>tlOutputReg1Seg3SampleCost_R1</f>
        <v>49500</v>
      </c>
    </row>
    <row r="224" spans="1:1">
      <c r="A224" s="225">
        <f>tlOutputReg1Seg3Samples_R1</f>
        <v>707.14285714285711</v>
      </c>
    </row>
    <row r="225" spans="1:1">
      <c r="A225" s="225">
        <f>tlOutputReg1Seg3CurrentPromotionAllocation_R1</f>
        <v>198000</v>
      </c>
    </row>
    <row r="226" spans="1:1">
      <c r="A226" s="225">
        <f>tlOutputReg1Seg3SpeakerCost_R1</f>
        <v>99000</v>
      </c>
    </row>
    <row r="227" spans="1:1">
      <c r="A227" s="225">
        <f>tlOutputReg1Seg3PromotionCost_R1</f>
        <v>99000</v>
      </c>
    </row>
    <row r="228" spans="1:1">
      <c r="A228">
        <f>tlOutputReg1Seg1CfCollabFTEs_R1</f>
        <v>0</v>
      </c>
    </row>
    <row r="229" spans="1:1">
      <c r="A229">
        <f>tlOutputReg1Seg1Rep1CoachingFTEs_R1</f>
        <v>0</v>
      </c>
    </row>
    <row r="230" spans="1:1">
      <c r="A230">
        <f>tlOutputReg1Seg1RegTrainerFTEs_R1</f>
        <v>0</v>
      </c>
    </row>
    <row r="231" spans="1:1">
      <c r="A231">
        <f>tlOutputReg1Seg1CurrentESAT_R1</f>
        <v>60</v>
      </c>
    </row>
    <row r="232" spans="1:1">
      <c r="A232">
        <f>tlOutputReg1Seg1CurrentOE_R1</f>
        <v>60</v>
      </c>
    </row>
    <row r="233" spans="1:1">
      <c r="A233">
        <f>tlOutputReg1Seg2ESAT_R2</f>
        <v>60</v>
      </c>
    </row>
    <row r="234" spans="1:1">
      <c r="A234">
        <f>tlOutputReg1Seg2PrevOE_R2</f>
        <v>60</v>
      </c>
    </row>
    <row r="235" spans="1:1">
      <c r="A235">
        <f>tlOutputReg1Seg2CurrentESAT_R2</f>
        <v>60</v>
      </c>
    </row>
    <row r="236" spans="1:1">
      <c r="A236">
        <f>tlOutputReg1Seg2CurrentOE_R2</f>
        <v>60</v>
      </c>
    </row>
    <row r="237" spans="1:1">
      <c r="A237">
        <f>tlOutputProd1TRxShare_R1</f>
        <v>3.2219226512005335E-3</v>
      </c>
    </row>
    <row r="238" spans="1:1">
      <c r="A238">
        <f>tlOutputProd1Seg1TRxShare_R1</f>
        <v>3.32768E-3</v>
      </c>
    </row>
    <row r="239" spans="1:1">
      <c r="A239">
        <f>tlOutputProd1Seg2TRxShare_R1</f>
        <v>3.6886666666666669E-3</v>
      </c>
    </row>
    <row r="240" spans="1:1">
      <c r="A240">
        <f>tlOutputProd1Seg3TRxShare_R1</f>
        <v>2.4922278496494741E-3</v>
      </c>
    </row>
    <row r="241" spans="1:1">
      <c r="A241">
        <f>tlOutputProd1TRxVolume_R1</f>
        <v>382.85754385877897</v>
      </c>
    </row>
    <row r="242" spans="1:1">
      <c r="A242">
        <f>tlOutputProd1Seg1TRxVolume_R1</f>
        <v>158.98270725120003</v>
      </c>
    </row>
    <row r="243" spans="1:1">
      <c r="A243">
        <f>tlOutputProd1Seg2TRxVolume_R1</f>
        <v>144.268946976</v>
      </c>
    </row>
    <row r="244" spans="1:1">
      <c r="A244">
        <f>tlOutputProd1Seg3TRxVolume_R1</f>
        <v>79.605889631578918</v>
      </c>
    </row>
    <row r="245" spans="1:1">
      <c r="A245">
        <f>tlOutputProd1Seg1Comp1TRxShare_R1</f>
        <v>9.0978559999999979E-3</v>
      </c>
    </row>
    <row r="246" spans="1:1">
      <c r="A246">
        <f>tlOutputProd1Seg2Comp1TRxShare_R1</f>
        <v>9.2990666666666662E-3</v>
      </c>
    </row>
    <row r="247" spans="1:1">
      <c r="A247">
        <f>tlOutputProd1Seg3Comp1TRxShare_R1</f>
        <v>8.9960365975387674E-3</v>
      </c>
    </row>
    <row r="248" spans="1:1">
      <c r="A248">
        <f>tlOutputProd1Comp1TRxVolume_R1</f>
        <v>1085.7056273723069</v>
      </c>
    </row>
    <row r="249" spans="1:1">
      <c r="A249">
        <f>tlOutputProd1Seg1Comp1TRxVolume_R1</f>
        <v>434.65771259904</v>
      </c>
    </row>
    <row r="250" spans="1:1">
      <c r="A250">
        <f>tlOutputProd1Seg2Comp1TRxVolume_R1</f>
        <v>363.69959041919992</v>
      </c>
    </row>
    <row r="251" spans="1:1">
      <c r="A251">
        <f>tlOutputProd1Seg3Comp1TRxVolume_R1</f>
        <v>287.3483243540669</v>
      </c>
    </row>
    <row r="252" spans="1:1">
      <c r="A252">
        <f>tlOutputProd1Seg1Comp2TRxShare_R1</f>
        <v>2.4507797333333328E-2</v>
      </c>
    </row>
    <row r="253" spans="1:1">
      <c r="A253">
        <f>tlOutputProd1Seg2Comp2TRxShare_R1</f>
        <v>2.5484488888888889E-2</v>
      </c>
    </row>
    <row r="254" spans="1:1">
      <c r="A254">
        <f>tlOutputProd1Seg3Comp2TRxShare_R1</f>
        <v>2.4143298748325624E-2</v>
      </c>
    </row>
    <row r="255" spans="1:1">
      <c r="A255">
        <f>tlOutputProd1Comp2TRxVolume_R1</f>
        <v>2938.7918383654051</v>
      </c>
    </row>
    <row r="256" spans="1:1">
      <c r="A256">
        <f>tlOutputProd1Seg1Comp2TRxVolume_R1</f>
        <v>1170.8806041497601</v>
      </c>
    </row>
    <row r="257" spans="1:1">
      <c r="A257">
        <f>tlOutputProd1Seg2Comp2TRxVolume_R1</f>
        <v>996.73424260479987</v>
      </c>
    </row>
    <row r="258" spans="1:1">
      <c r="A258">
        <f>tlOutputProd1Seg3Comp2TRxVolume_R1</f>
        <v>771.17699161084511</v>
      </c>
    </row>
    <row r="259" spans="1:1">
      <c r="A259">
        <f>tlOutputProd1Payer1TRxShare_R1</f>
        <v>5.7160527334584686E-3</v>
      </c>
    </row>
    <row r="260" spans="1:1">
      <c r="A260">
        <f>tlOutputProd1Payer2TRxShare_R1</f>
        <v>1.4270573000971207E-4</v>
      </c>
    </row>
    <row r="261" spans="1:1">
      <c r="A261">
        <f>tlOutputProd1Payer3TRxShare_R1</f>
        <v>2.7768180103813337E-3</v>
      </c>
    </row>
    <row r="262" spans="1:1">
      <c r="A262">
        <f>tlOutputProd1Payer1TRxVolume_R1</f>
        <v>263.02966308639992</v>
      </c>
    </row>
    <row r="263" spans="1:1">
      <c r="A263">
        <f>tlOutputProd1Payer2TRxVolume_R1</f>
        <v>4.4619597960000057</v>
      </c>
    </row>
    <row r="264" spans="1:1">
      <c r="A264">
        <f>tlOutputProd1Payer3TRxVolume_R1</f>
        <v>115.36592097637897</v>
      </c>
    </row>
    <row r="265" spans="1:1">
      <c r="A265">
        <f>tlOutputProd1Comp1Payer1TRxShare_R1</f>
        <v>1.1660038503050208E-2</v>
      </c>
    </row>
    <row r="266" spans="1:1">
      <c r="A266">
        <f>tlOutputProd1Comp1Payer2TRxShare_R1</f>
        <v>8.6771526020973724E-3</v>
      </c>
    </row>
    <row r="267" spans="1:1">
      <c r="A267">
        <f>tlOutputProd1Comp1Payer3TRxShare_R1</f>
        <v>6.6877645810537257E-3</v>
      </c>
    </row>
    <row r="268" spans="1:1">
      <c r="A268">
        <f>tlOutputProd1Comp1Payer1TRxVolume_R1</f>
        <v>536.5478840108799</v>
      </c>
    </row>
    <row r="269" spans="1:1">
      <c r="A269">
        <f>tlOutputProd1Comp1Payer2TRxVolume_R1</f>
        <v>271.30729825410907</v>
      </c>
    </row>
    <row r="270" spans="1:1">
      <c r="A270">
        <f>tlOutputProd1Comp1Payer3TRxVolume_R1</f>
        <v>277.85044510731785</v>
      </c>
    </row>
    <row r="271" spans="1:1">
      <c r="A271">
        <f>tlOutputProd1Comp2Payer1TRxShare_R1</f>
        <v>3.1565969415767239E-2</v>
      </c>
    </row>
    <row r="272" spans="1:1">
      <c r="A272">
        <f>tlOutputProd1Comp2Payer2TRxShare_R1</f>
        <v>2.3414971350278441E-2</v>
      </c>
    </row>
    <row r="273" spans="1:1">
      <c r="A273">
        <f>tlOutputProd1Comp2Payer3TRxShare_R1</f>
        <v>1.8151909913215341E-2</v>
      </c>
    </row>
    <row r="274" spans="1:1">
      <c r="A274">
        <f>tlOutputProd1Comp2Payer1TRxVolume_R1</f>
        <v>1452.5384365027198</v>
      </c>
    </row>
    <row r="275" spans="1:1">
      <c r="A275">
        <f>tlOutputProd1Comp2Payer2TRxVolume_R1</f>
        <v>732.11258428322424</v>
      </c>
    </row>
    <row r="276" spans="1:1">
      <c r="A276">
        <f>tlOutputProd1Comp2Payer3TRxVolume_R1</f>
        <v>754.14081757946087</v>
      </c>
    </row>
    <row r="277" spans="1:1">
      <c r="A277">
        <f>tlOutputProd1TRxShare_R2</f>
        <v>3.0208158887858241E-3</v>
      </c>
    </row>
    <row r="278" spans="1:1">
      <c r="A278">
        <f>tlOutputProd1Seg1TRxShare_R2</f>
        <v>3.369968000000001E-3</v>
      </c>
    </row>
    <row r="279" spans="1:1">
      <c r="A279">
        <f>tlOutputProd1Seg2TRxShare_R2</f>
        <v>3.4594784722222216E-3</v>
      </c>
    </row>
    <row r="280" spans="1:1">
      <c r="A280">
        <f>tlOutputProd1Seg3TRxShare_R2</f>
        <v>1.9014134441309345E-3</v>
      </c>
    </row>
    <row r="281" spans="1:1">
      <c r="A281">
        <f>tlOutputProd1TRxVolume_R2</f>
        <v>409.49812790710604</v>
      </c>
    </row>
    <row r="282" spans="1:1">
      <c r="A282">
        <f>tlOutputProd1Seg1TRxVolume_R2</f>
        <v>188.61916868444166</v>
      </c>
    </row>
    <row r="283" spans="1:1">
      <c r="A283">
        <f>tlOutputProd1Seg2TRxVolume_R2</f>
        <v>154.42426923262497</v>
      </c>
    </row>
    <row r="284" spans="1:1">
      <c r="A284">
        <f>tlOutputProd1Seg3TRxVolume_R2</f>
        <v>66.454689990039455</v>
      </c>
    </row>
    <row r="285" spans="1:1">
      <c r="A285">
        <f>tlOutputProd1Seg1Comp1TRxShare_R2</f>
        <v>9.0978559999999997E-3</v>
      </c>
    </row>
    <row r="286" spans="1:1">
      <c r="A286">
        <f>tlOutputProd1Seg2Comp1TRxShare_R2</f>
        <v>9.2990666666666662E-3</v>
      </c>
    </row>
    <row r="287" spans="1:1">
      <c r="A287">
        <f>tlOutputProd1Seg3Comp1TRxShare_R2</f>
        <v>8.9127274901906681E-3</v>
      </c>
    </row>
    <row r="288" spans="1:1">
      <c r="A288">
        <f>tlOutputProd1Comp1TRxVolume_R2</f>
        <v>1235.8056704637113</v>
      </c>
    </row>
    <row r="289" spans="1:1">
      <c r="A289">
        <f>tlOutputProd1Seg1Comp1TRxVolume_R2</f>
        <v>509.21256092958714</v>
      </c>
    </row>
    <row r="290" spans="1:1">
      <c r="A290">
        <f>tlOutputProd1Seg2Comp1TRxVolume_R2</f>
        <v>415.09192384799996</v>
      </c>
    </row>
    <row r="291" spans="1:1">
      <c r="A291">
        <f>tlOutputProd1Seg3Comp1TRxVolume_R2</f>
        <v>311.50118568612424</v>
      </c>
    </row>
    <row r="292" spans="1:1">
      <c r="A292">
        <f>tlOutputProd1Seg1Comp2TRxShare_R2</f>
        <v>2.4507797333333334E-2</v>
      </c>
    </row>
    <row r="293" spans="1:1">
      <c r="A293">
        <f>tlOutputProd1Seg2Comp2TRxShare_R2</f>
        <v>2.5484488888888889E-2</v>
      </c>
    </row>
    <row r="294" spans="1:1">
      <c r="A294">
        <f>tlOutputProd1Seg3Comp2TRxShare_R2</f>
        <v>2.3917739856773989E-2</v>
      </c>
    </row>
    <row r="295" spans="1:1">
      <c r="A295">
        <f>tlOutputProd1Comp2TRxVolume_R2</f>
        <v>3345.2221779873944</v>
      </c>
    </row>
    <row r="296" spans="1:1">
      <c r="A296">
        <f>tlOutputProd1Seg1Comp2TRxVolume_R2</f>
        <v>1371.7163959123968</v>
      </c>
    </row>
    <row r="297" spans="1:1">
      <c r="A297">
        <f>tlOutputProd1Seg2Comp2TRxVolume_R2</f>
        <v>1137.5771247119999</v>
      </c>
    </row>
    <row r="298" spans="1:1">
      <c r="A298">
        <f>tlOutputProd1Seg3Comp2TRxVolume_R2</f>
        <v>835.92865736299814</v>
      </c>
    </row>
    <row r="299" spans="1:1">
      <c r="A299">
        <f>tlOutputProd1Payer1TRxShare_R2</f>
        <v>5.4783203555241779E-3</v>
      </c>
    </row>
    <row r="300" spans="1:1">
      <c r="A300">
        <f>tlOutputProd1Payer2TRxShare_R2</f>
        <v>1.1558201757067571E-4</v>
      </c>
    </row>
    <row r="301" spans="1:1">
      <c r="A301">
        <f>tlOutputProd1Payer3TRxShare_R2</f>
        <v>2.4978917036584058E-3</v>
      </c>
    </row>
    <row r="302" spans="1:1">
      <c r="A302">
        <f>tlOutputProd1Payer1TRxVolume_R2</f>
        <v>287.36979155559357</v>
      </c>
    </row>
    <row r="303" spans="1:1">
      <c r="A303">
        <f>tlOutputProd1Payer2TRxVolume_R2</f>
        <v>4.145947185555011</v>
      </c>
    </row>
    <row r="304" spans="1:1">
      <c r="A304">
        <f>tlOutputProd1Payer3TRxVolume_R2</f>
        <v>117.9823891659575</v>
      </c>
    </row>
    <row r="305" spans="1:1">
      <c r="A305">
        <f>tlOutputProd1Comp1Payer1TRxShare_R2</f>
        <v>1.1612558321566916E-2</v>
      </c>
    </row>
    <row r="306" spans="1:1">
      <c r="A306">
        <f>tlOutputProd1Comp1Payer2TRxShare_R2</f>
        <v>8.6947767997650159E-3</v>
      </c>
    </row>
    <row r="307" spans="1:1">
      <c r="A307">
        <f>tlOutputProd1Comp1Payer3TRxShare_R2</f>
        <v>6.6643583780719639E-3</v>
      </c>
    </row>
    <row r="308" spans="1:1">
      <c r="A308">
        <f>tlOutputProd1Comp1Payer1TRxVolume_R2</f>
        <v>609.14627983207038</v>
      </c>
    </row>
    <row r="309" spans="1:1">
      <c r="A309">
        <f>tlOutputProd1Comp1Payer2TRxVolume_R2</f>
        <v>311.88316452403336</v>
      </c>
    </row>
    <row r="310" spans="1:1">
      <c r="A310">
        <f>tlOutputProd1Comp1Payer3TRxVolume_R2</f>
        <v>314.77622610760773</v>
      </c>
    </row>
    <row r="311" spans="1:1">
      <c r="A311">
        <f>tlOutputProd1Comp2Payer1TRxShare_R2</f>
        <v>3.1439622044742571E-2</v>
      </c>
    </row>
    <row r="312" spans="1:1">
      <c r="A312">
        <f>tlOutputProd1Comp2Payer2TRxShare_R2</f>
        <v>2.3463050739227366E-2</v>
      </c>
    </row>
    <row r="313" spans="1:1">
      <c r="A313">
        <f>tlOutputProd1Comp2Payer3TRxShare_R2</f>
        <v>1.8089282833124384E-2</v>
      </c>
    </row>
    <row r="314" spans="1:1">
      <c r="A314">
        <f>tlOutputProd1Comp2Payer1TRxVolume_R2</f>
        <v>1649.1911840230175</v>
      </c>
    </row>
    <row r="315" spans="1:1">
      <c r="A315">
        <f>tlOutputProd1Comp2Payer2TRxVolume_R2</f>
        <v>841.62373370365992</v>
      </c>
    </row>
    <row r="316" spans="1:1">
      <c r="A316">
        <f>tlOutputProd1Comp2Payer3TRxVolume_R2</f>
        <v>854.40726026071775</v>
      </c>
    </row>
    <row r="317" spans="1:1">
      <c r="A317">
        <f>tlOutputReg1TRxShare_R1</f>
        <v>3.3952291500203534E-3</v>
      </c>
    </row>
    <row r="318" spans="1:1">
      <c r="A318">
        <f>tlOutputReg1Seg1TRxShare_R1</f>
        <v>3.2059896302079754E-3</v>
      </c>
    </row>
    <row r="319" spans="1:1">
      <c r="A319">
        <f>tlOutputReg1Seg2TRxShare_R1</f>
        <v>3.889465148981453E-3</v>
      </c>
    </row>
    <row r="320" spans="1:1">
      <c r="A320">
        <f>tlOutputReg1Seg3TRxShare_R1</f>
        <v>3.1898366237869029E-3</v>
      </c>
    </row>
    <row r="321" spans="1:1">
      <c r="A321">
        <f>tlOutputReg1TRxVolume_R1</f>
        <v>1218.6536309909438</v>
      </c>
    </row>
    <row r="322" spans="1:1">
      <c r="A322">
        <f>tlOutputReg1Seg1TRxVolume_R1</f>
        <v>373.27551039899993</v>
      </c>
    </row>
    <row r="323" spans="1:1">
      <c r="A323">
        <f>tlOutputReg1Seg2TRxVolume_R1</f>
        <v>399.38818859496155</v>
      </c>
    </row>
    <row r="324" spans="1:1">
      <c r="A324">
        <f>tlOutputReg1Seg3TRxVolume_R1</f>
        <v>445.98993199698253</v>
      </c>
    </row>
    <row r="325" spans="1:1">
      <c r="A325">
        <f>tlOutputReg1Seg1Comp1TRxShare_R1</f>
        <v>9.3472113712931171E-3</v>
      </c>
    </row>
    <row r="326" spans="1:1">
      <c r="A326">
        <f>tlOutputReg1Seg2Comp1TRxShare_R1</f>
        <v>8.6017714361725228E-3</v>
      </c>
    </row>
    <row r="327" spans="1:1">
      <c r="A327">
        <f>tlOutputReg1Seg3Comp1TRxShare_R1</f>
        <v>1.0079025123024554E-2</v>
      </c>
    </row>
    <row r="328" spans="1:1">
      <c r="A328">
        <f>tlOutputReg1Comp1TRxVolume_R1</f>
        <v>3380.7796843279975</v>
      </c>
    </row>
    <row r="329" spans="1:1">
      <c r="A329">
        <f>tlOutputReg1Seg1Comp1TRxVolume_R1</f>
        <v>1088.3020526801997</v>
      </c>
    </row>
    <row r="330" spans="1:1">
      <c r="A330">
        <f>tlOutputReg1Seg2Comp1TRxVolume_R1</f>
        <v>883.2694936218868</v>
      </c>
    </row>
    <row r="331" spans="1:1">
      <c r="A331">
        <f>tlOutputReg1Seg3Comp1TRxVolume_R1</f>
        <v>1409.208138025911</v>
      </c>
    </row>
    <row r="332" spans="1:1">
      <c r="A332">
        <f>tlOutputReg1Seg1Comp2TRxShare_R1</f>
        <v>2.4940003098228414E-2</v>
      </c>
    </row>
    <row r="333" spans="1:1">
      <c r="A333">
        <f>tlOutputReg1Seg2Comp2TRxShare_R1</f>
        <v>2.2979013816618162E-2</v>
      </c>
    </row>
    <row r="334" spans="1:1">
      <c r="A334">
        <f>tlOutputReg1Seg3Comp2TRxShare_R1</f>
        <v>2.6884640870216206E-2</v>
      </c>
    </row>
    <row r="335" spans="1:1">
      <c r="A335">
        <f>tlOutputReg1Comp2TRxVolume_R1</f>
        <v>9022.2728358987933</v>
      </c>
    </row>
    <row r="336" spans="1:1">
      <c r="A336">
        <f>tlOutputReg1Seg1Comp2TRxVolume_R1</f>
        <v>2903.7811907207997</v>
      </c>
    </row>
    <row r="337" spans="1:1">
      <c r="A337">
        <f>tlOutputReg1Seg2Comp2TRxVolume_R1</f>
        <v>2359.5909340699645</v>
      </c>
    </row>
    <row r="338" spans="1:1">
      <c r="A338">
        <f>tlOutputReg1Seg3Comp2TRxVolume_R1</f>
        <v>3758.9007111080286</v>
      </c>
    </row>
    <row r="339" spans="1:1">
      <c r="A339">
        <f>tlOutputReg1Payer1TRxShare_R1</f>
        <v>4.4967692434931062E-3</v>
      </c>
    </row>
    <row r="340" spans="1:1">
      <c r="A340">
        <f>tlOutputReg1Payer2TRxShare_R1</f>
        <v>0</v>
      </c>
    </row>
    <row r="341" spans="1:1">
      <c r="A341">
        <f>tlOutputReg1Payer3TRxShare_R1</f>
        <v>5.764419283855105E-3</v>
      </c>
    </row>
    <row r="342" spans="1:1">
      <c r="A342">
        <f>tlOutputReg1Payer1TRxVolume_R1</f>
        <v>616.31521671731582</v>
      </c>
    </row>
    <row r="343" spans="1:1">
      <c r="A343">
        <f>tlOutputReg1Payer2TRxVolume_R1</f>
        <v>0</v>
      </c>
    </row>
    <row r="344" spans="1:1">
      <c r="A344">
        <f>tlOutputReg1Payer3TRxVolume_R1</f>
        <v>602.33841427362836</v>
      </c>
    </row>
    <row r="345" spans="1:1">
      <c r="A345">
        <f>tlOutputReg1Comp1Payer1TRxShare_R1</f>
        <v>1.2386975998500582E-2</v>
      </c>
    </row>
    <row r="346" spans="1:1">
      <c r="A346">
        <f>tlOutputReg1Comp1Payer2TRxShare_R1</f>
        <v>7.0617807255482033E-3</v>
      </c>
    </row>
    <row r="347" spans="1:1">
      <c r="A347">
        <f>tlOutputReg1Comp1Payer3TRxShare_R1</f>
        <v>8.1741025883991757E-3</v>
      </c>
    </row>
    <row r="348" spans="1:1">
      <c r="A348">
        <f>tlOutputReg1Comp1Payer1TRxVolume_R1</f>
        <v>1697.7259413600104</v>
      </c>
    </row>
    <row r="349" spans="1:1">
      <c r="A349">
        <f>tlOutputReg1Comp1Payer2TRxVolume_R1</f>
        <v>828.92156611607129</v>
      </c>
    </row>
    <row r="350" spans="1:1">
      <c r="A350">
        <f>tlOutputReg1Comp1Payer3TRxVolume_R1</f>
        <v>854.13217685191557</v>
      </c>
    </row>
    <row r="351" spans="1:1">
      <c r="A351">
        <f>tlOutputReg1Comp2Payer1TRxShare_R1</f>
        <v>3.3065238189139354E-2</v>
      </c>
    </row>
    <row r="352" spans="1:1">
      <c r="A352">
        <f>tlOutputReg1Comp2Payer2TRxShare_R1</f>
        <v>1.8831415268128544E-2</v>
      </c>
    </row>
    <row r="353" spans="1:1">
      <c r="A353">
        <f>tlOutputReg1Comp2Payer3TRxShare_R1</f>
        <v>2.1819580107133262E-2</v>
      </c>
    </row>
    <row r="354" spans="1:1">
      <c r="A354">
        <f>tlOutputReg1Comp2Payer1TRxVolume_R1</f>
        <v>4531.8334868610946</v>
      </c>
    </row>
    <row r="355" spans="1:1">
      <c r="A355">
        <f>tlOutputReg1Comp2Payer2TRxVolume_R1</f>
        <v>2210.4575096428571</v>
      </c>
    </row>
    <row r="356" spans="1:1">
      <c r="A356">
        <f>tlOutputReg1Comp2Payer3TRxVolume_R1</f>
        <v>2279.9818393948412</v>
      </c>
    </row>
    <row r="357" spans="1:1">
      <c r="A357">
        <f>tlOutputReg1TRxShare_R2</f>
        <v>3.262391527425332E-3</v>
      </c>
    </row>
    <row r="358" spans="1:1">
      <c r="A358">
        <f>tlOutputReg1Seg1TRxShare_R2</f>
        <v>3.0963025034194173E-3</v>
      </c>
    </row>
    <row r="359" spans="1:1">
      <c r="A359">
        <f>tlOutputReg1Seg2TRxShare_R2</f>
        <v>3.6651635185466708E-3</v>
      </c>
    </row>
    <row r="360" spans="1:1">
      <c r="A360">
        <f>tlOutputReg1Seg3TRxShare_R2</f>
        <v>3.1056509110970014E-3</v>
      </c>
    </row>
    <row r="361" spans="1:1">
      <c r="A361">
        <f>tlOutputReg1TRxVolume_R2</f>
        <v>1325.5488830829531</v>
      </c>
    </row>
    <row r="362" spans="1:1">
      <c r="A362">
        <f>tlOutputReg1Seg1TRxVolume_R2</f>
        <v>409.59880098386998</v>
      </c>
    </row>
    <row r="363" spans="1:1">
      <c r="A363">
        <f>tlOutputReg1Seg2TRxVolume_R2</f>
        <v>425.28212688184908</v>
      </c>
    </row>
    <row r="364" spans="1:1">
      <c r="A364">
        <f>tlOutputReg1Seg3TRxVolume_R2</f>
        <v>490.66795521723429</v>
      </c>
    </row>
    <row r="365" spans="1:1">
      <c r="A365">
        <f>tlOutputReg1Seg1Comp1TRxShare_R2</f>
        <v>9.3509201685342477E-3</v>
      </c>
    </row>
    <row r="366" spans="1:1">
      <c r="A366">
        <f>tlOutputReg1Seg2Comp1TRxShare_R2</f>
        <v>8.6017714361725228E-3</v>
      </c>
    </row>
    <row r="367" spans="1:1">
      <c r="A367">
        <f>tlOutputReg1Seg3Comp1TRxShare_R2</f>
        <v>1.0079025123024554E-2</v>
      </c>
    </row>
    <row r="368" spans="1:1">
      <c r="A368">
        <f>tlOutputReg1Comp1TRxVolume_R2</f>
        <v>3827.499559823797</v>
      </c>
    </row>
    <row r="369" spans="1:1">
      <c r="A369">
        <f>tlOutputReg1Seg1Comp1TRxVolume_R2</f>
        <v>1236.9998360617856</v>
      </c>
    </row>
    <row r="370" spans="1:1">
      <c r="A370">
        <f>tlOutputReg1Seg2Comp1TRxVolume_R2</f>
        <v>998.09452779273215</v>
      </c>
    </row>
    <row r="371" spans="1:1">
      <c r="A371">
        <f>tlOutputReg1Seg3Comp1TRxVolume_R2</f>
        <v>1592.4051959692792</v>
      </c>
    </row>
    <row r="372" spans="1:1">
      <c r="A372">
        <f>tlOutputReg1Seg1Comp2TRxShare_R2</f>
        <v>2.4949916940628401E-2</v>
      </c>
    </row>
    <row r="373" spans="1:1">
      <c r="A373">
        <f>tlOutputReg1Seg2Comp2TRxShare_R2</f>
        <v>2.2979013816618162E-2</v>
      </c>
    </row>
    <row r="374" spans="1:1">
      <c r="A374">
        <f>tlOutputReg1Seg3Comp2TRxShare_R2</f>
        <v>2.6884640870216202E-2</v>
      </c>
    </row>
    <row r="375" spans="1:1">
      <c r="A375">
        <f>tlOutputReg1Comp2TRxVolume_R2</f>
        <v>10214.430972578277</v>
      </c>
    </row>
    <row r="376" spans="1:1">
      <c r="A376">
        <f>tlOutputReg1Seg1Comp2TRxVolume_R2</f>
        <v>3300.5354135271441</v>
      </c>
    </row>
    <row r="377" spans="1:1">
      <c r="A377">
        <f>tlOutputReg1Seg2Comp2TRxVolume_R2</f>
        <v>2666.3377554990602</v>
      </c>
    </row>
    <row r="378" spans="1:1">
      <c r="A378">
        <f>tlOutputReg1Seg3Comp2TRxVolume_R2</f>
        <v>4247.5578035520721</v>
      </c>
    </row>
    <row r="379" spans="1:1">
      <c r="A379">
        <f>tlOutputReg1Payer1TRxShare_R2</f>
        <v>4.2920345418578452E-3</v>
      </c>
    </row>
    <row r="380" spans="1:1">
      <c r="A380">
        <f>tlOutputReg1Payer2TRxShare_R2</f>
        <v>0</v>
      </c>
    </row>
    <row r="381" spans="1:1">
      <c r="A381">
        <f>tlOutputReg1Payer3TRxShare_R2</f>
        <v>5.570458458948299E-3</v>
      </c>
    </row>
    <row r="382" spans="1:1">
      <c r="A382">
        <f>tlOutputReg1Payer1TRxVolume_R2</f>
        <v>666.48873510086082</v>
      </c>
    </row>
    <row r="383" spans="1:1">
      <c r="A383">
        <f>tlOutputReg1Payer2TRxVolume_R2</f>
        <v>0</v>
      </c>
    </row>
    <row r="384" spans="1:1">
      <c r="A384">
        <f>tlOutputReg1Payer3TRxVolume_R2</f>
        <v>659.06014798209253</v>
      </c>
    </row>
    <row r="385" spans="1:1">
      <c r="A385">
        <f>tlOutputReg1Comp1Payer1TRxShare_R2</f>
        <v>1.2384676304074253E-2</v>
      </c>
    </row>
    <row r="386" spans="1:1">
      <c r="A386">
        <f>tlOutputReg1Comp1Payer2TRxShare_R2</f>
        <v>7.0620203668940503E-3</v>
      </c>
    </row>
    <row r="387" spans="1:1">
      <c r="A387">
        <f>tlOutputReg1Comp1Payer3TRxShare_R2</f>
        <v>8.1742101039863849E-3</v>
      </c>
    </row>
    <row r="388" spans="1:1">
      <c r="A388">
        <f>tlOutputReg1Comp1Payer1TRxVolume_R2</f>
        <v>1697.410751366484</v>
      </c>
    </row>
    <row r="389" spans="1:1">
      <c r="A389">
        <f>tlOutputReg1Comp1Payer2TRxVolume_R2</f>
        <v>828.94969554792794</v>
      </c>
    </row>
    <row r="390" spans="1:1">
      <c r="A390">
        <f>tlOutputReg1Comp1Payer3TRxVolume_R2</f>
        <v>854.1434114212833</v>
      </c>
    </row>
    <row r="391" spans="1:1">
      <c r="A391">
        <f>tlOutputReg1Comp2Payer1TRxShare_R2</f>
        <v>3.3059075811614325E-2</v>
      </c>
    </row>
    <row r="392" spans="1:1">
      <c r="A392">
        <f>tlOutputReg1Comp2Payer2TRxShare_R2</f>
        <v>1.8832054311717472E-2</v>
      </c>
    </row>
    <row r="393" spans="1:1">
      <c r="A393">
        <f>tlOutputReg1Comp2Payer3TRxShare_R2</f>
        <v>2.1819858857903711E-2</v>
      </c>
    </row>
    <row r="394" spans="1:1">
      <c r="A394">
        <f>tlOutputReg1Comp2Payer1TRxVolume_R2</f>
        <v>4530.9888878091579</v>
      </c>
    </row>
    <row r="395" spans="1:1">
      <c r="A395">
        <f>tlOutputReg1Comp2Payer2TRxVolume_R2</f>
        <v>2210.5325214611416</v>
      </c>
    </row>
    <row r="396" spans="1:1">
      <c r="A396">
        <f>tlOutputReg1Comp2Payer3TRxVolume_R2</f>
        <v>2280.0109667516108</v>
      </c>
    </row>
    <row r="397" spans="1:1">
      <c r="A397">
        <f>tlOutputProd1Seg1Rep1IntTime_R1</f>
        <v>0.1</v>
      </c>
    </row>
    <row r="398" spans="1:1">
      <c r="A398">
        <f>tlOutputProd1Seg1Rep2IntTime_R1</f>
        <v>0.1</v>
      </c>
    </row>
    <row r="399" spans="1:1">
      <c r="A399">
        <f>tlOutputProd1Seg1Rep3IntTime_R1</f>
        <v>0.1</v>
      </c>
    </row>
    <row r="400" spans="1:1">
      <c r="A400">
        <f>tlOutputProd1Seg2Rep1IntTime_R1</f>
        <v>0.1</v>
      </c>
    </row>
    <row r="401" spans="1:1">
      <c r="A401">
        <f>tlOutputProd1Seg2Rep2IntTime_R1</f>
        <v>0.1</v>
      </c>
    </row>
    <row r="402" spans="1:1">
      <c r="A402">
        <f>tlOutputProd1Seg2Rep3IntTime_R1</f>
        <v>0.1</v>
      </c>
    </row>
    <row r="403" spans="1:1">
      <c r="A403">
        <f>tlOutputProd1Seg3Rep1IntTime_R1</f>
        <v>0.1</v>
      </c>
    </row>
    <row r="404" spans="1:1">
      <c r="A404">
        <f>tlOutputProd1Seg3Rep2IntTime_R1</f>
        <v>0.1</v>
      </c>
    </row>
    <row r="405" spans="1:1">
      <c r="A405">
        <f>tlOutputProd1Seg3Rep3IntTime_R1</f>
        <v>0.1</v>
      </c>
    </row>
    <row r="406" spans="1:1">
      <c r="A406">
        <f>tlOutputProd1Seg1Rep1IntTime_R2</f>
        <v>0.1</v>
      </c>
    </row>
    <row r="407" spans="1:1">
      <c r="A407">
        <f>tlOutputProd1Seg1Rep2IntTime_R2</f>
        <v>0.1</v>
      </c>
    </row>
    <row r="408" spans="1:1">
      <c r="A408">
        <f>tlOutputProd1Seg1Rep3IntTime_R2</f>
        <v>0.1</v>
      </c>
    </row>
    <row r="409" spans="1:1">
      <c r="A409">
        <f>tlOutputProd1Seg2Rep1IntTime_R2</f>
        <v>0.1</v>
      </c>
    </row>
    <row r="410" spans="1:1">
      <c r="A410">
        <f>tlOutputProd1Seg2Rep2IntTime_R2</f>
        <v>0.1</v>
      </c>
    </row>
    <row r="411" spans="1:1">
      <c r="A411">
        <f>tlOutputProd1Seg2Rep3IntTime_R2</f>
        <v>0.1</v>
      </c>
    </row>
    <row r="412" spans="1:1">
      <c r="A412">
        <f>tlOutputProd1Seg3Rep1IntTime_R2</f>
        <v>0.1</v>
      </c>
    </row>
    <row r="413" spans="1:1">
      <c r="A413">
        <f>tlOutputProd1Seg3Rep2IntTime_R2</f>
        <v>0.1</v>
      </c>
    </row>
    <row r="414" spans="1:1">
      <c r="A414">
        <f>tlOutputProd1Seg3Rep3IntTime_R2</f>
        <v>0.1</v>
      </c>
    </row>
    <row r="415" spans="1:1">
      <c r="A415">
        <f>tlOutputReg1Seg1Rep1IntTime_R1</f>
        <v>0.1</v>
      </c>
    </row>
    <row r="416" spans="1:1">
      <c r="A416">
        <f>tlOutputReg1Seg1Rep2IntTime_R1</f>
        <v>0.1</v>
      </c>
    </row>
    <row r="417" spans="1:1">
      <c r="A417">
        <f>tlOutputReg1Seg1Rep3IntTime_R1</f>
        <v>0.1</v>
      </c>
    </row>
    <row r="418" spans="1:1">
      <c r="A418">
        <f>tlOutputReg1Seg1Rep1IntTime_R2</f>
        <v>0.1</v>
      </c>
    </row>
    <row r="419" spans="1:1">
      <c r="A419">
        <f>tlOutputReg1Seg1Rep2IntTime_R2</f>
        <v>0.1</v>
      </c>
    </row>
    <row r="420" spans="1:1">
      <c r="A420">
        <f>tlOutputReg1Seg1Rep3IntTime_R2</f>
        <v>0.1</v>
      </c>
    </row>
    <row r="421" spans="1:1">
      <c r="A421">
        <f>tlOutputProd1Seg1CurrentSales_R1</f>
        <v>476948.12175360008</v>
      </c>
    </row>
    <row r="422" spans="1:1">
      <c r="A422">
        <f>tlOutputProd1Seg1CurrentReimb_R1</f>
        <v>258316.89605568006</v>
      </c>
    </row>
    <row r="423" spans="1:1">
      <c r="A423">
        <f>tlOutputProd1Seg1CurrentNetSales_R1</f>
        <v>218631.22569792002</v>
      </c>
    </row>
    <row r="424" spans="1:1">
      <c r="A424">
        <f>tlOutputProd1Seg1CurrentSampleCost_R1</f>
        <v>16500</v>
      </c>
    </row>
    <row r="425" spans="1:1">
      <c r="A425">
        <f>tlOutputProd1Seg1CurrentSpeakerCost_R1</f>
        <v>33000</v>
      </c>
    </row>
    <row r="426" spans="1:1">
      <c r="A426">
        <f>tlOutputProd1Seg1CurrentLunchMoneyCost_R1</f>
        <v>33000</v>
      </c>
    </row>
    <row r="427" spans="1:1">
      <c r="A427">
        <f>tlOutputProd1Seg1CurrentInternalCost_R1</f>
        <v>0</v>
      </c>
    </row>
    <row r="428" spans="1:1">
      <c r="A428">
        <f>tlOutputProd1Seg1CurrentProfit_R1</f>
        <v>136131.22569792002</v>
      </c>
    </row>
    <row r="429" spans="1:1">
      <c r="A429">
        <f>tlOutputProd1Seg2CurrentSales_R1</f>
        <v>432806.84092799993</v>
      </c>
    </row>
    <row r="430" spans="1:1">
      <c r="A430">
        <f>tlOutputProd1Seg2CurrentReimb_R1</f>
        <v>234424.97948519996</v>
      </c>
    </row>
    <row r="431" spans="1:1">
      <c r="A431">
        <f>tlOutputProd1Seg2CurrentNetSales_R1</f>
        <v>198381.86144279997</v>
      </c>
    </row>
    <row r="432" spans="1:1">
      <c r="A432">
        <f>tlOutputProd1Seg2CurrentSampleCost_R1</f>
        <v>16500</v>
      </c>
    </row>
    <row r="433" spans="1:1">
      <c r="A433">
        <f>tlOutputProd1Seg2CurrentSpeakerCost_R1</f>
        <v>33000</v>
      </c>
    </row>
    <row r="434" spans="1:1">
      <c r="A434">
        <f>tlOutputProd1Seg2CurrentLunchMoneyCost_R1</f>
        <v>33000</v>
      </c>
    </row>
    <row r="435" spans="1:1">
      <c r="A435">
        <f>tlOutputProd1Seg2CurrentInternalCost_R1</f>
        <v>0</v>
      </c>
    </row>
    <row r="436" spans="1:1">
      <c r="A436">
        <f>tlOutputProd1Seg2CurrentProfit_R1</f>
        <v>115881.86144279997</v>
      </c>
    </row>
    <row r="437" spans="1:1">
      <c r="A437">
        <f>tlOutputProd1Seg3CurrentSales_R1</f>
        <v>238817.66889473674</v>
      </c>
    </row>
    <row r="438" spans="1:1">
      <c r="A438">
        <f>tlOutputProd1Seg3CurrentReimb_R1</f>
        <v>128520.73875789467</v>
      </c>
    </row>
    <row r="439" spans="1:1">
      <c r="A439">
        <f>tlOutputProd1Seg3CurrentNetSales_R1</f>
        <v>110296.93013684207</v>
      </c>
    </row>
    <row r="440" spans="1:1">
      <c r="A440">
        <f>tlOutputProd1Seg3CurrentSampleCost_R1</f>
        <v>16500</v>
      </c>
    </row>
    <row r="441" spans="1:1">
      <c r="A441">
        <f>tlOutputProd1Seg3CurrentSpeakerCost_R1</f>
        <v>33000</v>
      </c>
    </row>
    <row r="442" spans="1:1">
      <c r="A442">
        <f>tlOutputProd1Seg3CurrentLunchMoneyCost_R1</f>
        <v>33000</v>
      </c>
    </row>
    <row r="443" spans="1:1">
      <c r="A443">
        <f>tlOutputProd1Seg3CurrentInternalCost_R1</f>
        <v>0</v>
      </c>
    </row>
    <row r="444" spans="1:1">
      <c r="A444">
        <f>tlOutputProd1Seg3CurrentProfit_R1</f>
        <v>27796.930136842071</v>
      </c>
    </row>
    <row r="445" spans="1:1">
      <c r="A445">
        <f>tlOutputProd1Seg1CurrentSales_R2</f>
        <v>565857.50605332491</v>
      </c>
    </row>
    <row r="446" spans="1:1">
      <c r="A446">
        <f>tlOutputProd1Seg1CurrentReimb_R2</f>
        <v>306773.71102199808</v>
      </c>
    </row>
    <row r="447" spans="1:1">
      <c r="A447">
        <f>tlOutputProd1Seg1CurrentNetSales_R2</f>
        <v>259083.79503132679</v>
      </c>
    </row>
    <row r="448" spans="1:1">
      <c r="A448">
        <f>tlOutputProd1Seg1CurrentSampleCost_R2</f>
        <v>16500</v>
      </c>
    </row>
    <row r="449" spans="1:1">
      <c r="A449">
        <f>tlOutputProd1Seg1CurrentSpeakerCost_R2</f>
        <v>31350</v>
      </c>
    </row>
    <row r="450" spans="1:1">
      <c r="A450">
        <f>tlOutputProd1Seg1CurrentLunchMoneyCost_R2</f>
        <v>31350</v>
      </c>
    </row>
    <row r="451" spans="1:1">
      <c r="A451">
        <f>tlOutputProd1Seg1CurrentInternalCost_R2</f>
        <v>0</v>
      </c>
    </row>
    <row r="452" spans="1:1">
      <c r="A452">
        <f>tlOutputProd1Seg1CurrentProfit_R2</f>
        <v>179883.79503132679</v>
      </c>
    </row>
    <row r="453" spans="1:1">
      <c r="A453">
        <f>tlOutputProd1Seg2CurrentSales_R2</f>
        <v>463272.80769787496</v>
      </c>
    </row>
    <row r="454" spans="1:1">
      <c r="A454">
        <f>tlOutputProd1Seg2CurrentReimb_R2</f>
        <v>251670.91438203747</v>
      </c>
    </row>
    <row r="455" spans="1:1">
      <c r="A455">
        <f>tlOutputProd1Seg2CurrentNetSales_R2</f>
        <v>211601.89331583749</v>
      </c>
    </row>
    <row r="456" spans="1:1">
      <c r="A456">
        <f>tlOutputProd1Seg2CurrentSampleCost_R2</f>
        <v>16500</v>
      </c>
    </row>
    <row r="457" spans="1:1">
      <c r="A457">
        <f>tlOutputProd1Seg2CurrentSpeakerCost_R2</f>
        <v>31350</v>
      </c>
    </row>
    <row r="458" spans="1:1">
      <c r="A458">
        <f>tlOutputProd1Seg2CurrentLunchMoneyCost_R2</f>
        <v>31350</v>
      </c>
    </row>
    <row r="459" spans="1:1">
      <c r="A459">
        <f>tlOutputProd1Seg2CurrentInternalCost_R2</f>
        <v>0</v>
      </c>
    </row>
    <row r="460" spans="1:1">
      <c r="A460">
        <f>tlOutputProd1Seg2CurrentProfit_R2</f>
        <v>132401.89331583749</v>
      </c>
    </row>
    <row r="461" spans="1:1">
      <c r="A461">
        <f>tlOutputProd1Seg3CurrentSales_R2</f>
        <v>199364.06997011835</v>
      </c>
    </row>
    <row r="462" spans="1:1">
      <c r="A462">
        <f>tlOutputProd1Seg3CurrentReimb_R2</f>
        <v>109106.35548484733</v>
      </c>
    </row>
    <row r="463" spans="1:1">
      <c r="A463">
        <f>tlOutputProd1Seg3CurrentNetSales_R2</f>
        <v>90257.714485271019</v>
      </c>
    </row>
    <row r="464" spans="1:1">
      <c r="A464">
        <f>tlOutputProd1Seg3CurrentSampleCost_R2</f>
        <v>16500</v>
      </c>
    </row>
    <row r="465" spans="1:1">
      <c r="A465">
        <f>tlOutputProd1Seg3CurrentSpeakerCost_R2</f>
        <v>31350</v>
      </c>
    </row>
    <row r="466" spans="1:1">
      <c r="A466">
        <f>tlOutputProd1Seg3CurrentLunchMoneyCost_R2</f>
        <v>31350</v>
      </c>
    </row>
    <row r="467" spans="1:1">
      <c r="A467">
        <f>tlOutputProd1Seg3CurrentInternalCost_R2</f>
        <v>0</v>
      </c>
    </row>
    <row r="468" spans="1:1">
      <c r="A468">
        <f>tlOutputProd1Seg3CurrentProfit_R2</f>
        <v>11057.714485271019</v>
      </c>
    </row>
    <row r="469" spans="1:1">
      <c r="A469">
        <f>tlOutputReg1Seg1CurrentSales_R1</f>
        <v>1119826.5311969998</v>
      </c>
    </row>
    <row r="470" spans="1:1">
      <c r="A470">
        <f>tlOutputReg1Seg1CurrentReimb_R1</f>
        <v>548270.18573579995</v>
      </c>
    </row>
    <row r="471" spans="1:1">
      <c r="A471">
        <f>tlOutputReg1Seg1CurrentNetSales_R1</f>
        <v>571556.34546119987</v>
      </c>
    </row>
    <row r="472" spans="1:1">
      <c r="A472">
        <f>tlOutputReg1Seg1CurrentSampleCost_R1</f>
        <v>49500</v>
      </c>
    </row>
    <row r="473" spans="1:1">
      <c r="A473">
        <f>tlOutputReg1Seg1CurrentSpeakerCost_R1</f>
        <v>99000</v>
      </c>
    </row>
    <row r="474" spans="1:1">
      <c r="A474">
        <f>tlOutputReg1Seg1CurrentLunchMoneyCost_R1</f>
        <v>99000</v>
      </c>
    </row>
    <row r="475" spans="1:1">
      <c r="A475">
        <f>tlOutputReg1Seg1CurrentInternalCost_R1</f>
        <v>0</v>
      </c>
    </row>
    <row r="476" spans="1:1">
      <c r="A476">
        <f>tlOutputReg1Seg1CurrentProfit_R1</f>
        <v>324056.34546119987</v>
      </c>
    </row>
    <row r="477" spans="1:1">
      <c r="A477">
        <f>tlOutputReg1Seg2CurrentSales_R1</f>
        <v>1198164.5657848846</v>
      </c>
    </row>
    <row r="478" spans="1:1">
      <c r="A478">
        <f>tlOutputReg1Seg2CurrentReimb_R1</f>
        <v>604978.56889795372</v>
      </c>
    </row>
    <row r="479" spans="1:1">
      <c r="A479">
        <f>tlOutputReg1Seg2CurrentNetSales_R1</f>
        <v>593185.99688693089</v>
      </c>
    </row>
    <row r="480" spans="1:1">
      <c r="A480">
        <f>tlOutputReg1Seg2CurrentSampleCost_R1</f>
        <v>49500</v>
      </c>
    </row>
    <row r="481" spans="1:1">
      <c r="A481">
        <f>tlOutputReg1Seg2CurrentSpeakerCost_R1</f>
        <v>99000</v>
      </c>
    </row>
    <row r="482" spans="1:1">
      <c r="A482">
        <f>tlOutputReg1Seg2CurrentLunchMoneyCost_R1</f>
        <v>99000</v>
      </c>
    </row>
    <row r="483" spans="1:1">
      <c r="A483">
        <f>tlOutputReg1Seg2CurrentInternalCost_R1</f>
        <v>0</v>
      </c>
    </row>
    <row r="484" spans="1:1">
      <c r="A484">
        <f>tlOutputReg1Seg2CurrentProfit_R1</f>
        <v>345685.99688693089</v>
      </c>
    </row>
    <row r="485" spans="1:1">
      <c r="A485">
        <f>tlOutputReg1Seg3CurrentSales_R1</f>
        <v>1337969.7959909476</v>
      </c>
    </row>
    <row r="486" spans="1:1">
      <c r="A486">
        <f>tlOutputReg1Seg3CurrentReimb_R1</f>
        <v>678924.73258576856</v>
      </c>
    </row>
    <row r="487" spans="1:1">
      <c r="A487">
        <f>tlOutputReg1Seg3CurrentNetSales_R1</f>
        <v>659045.06340517907</v>
      </c>
    </row>
    <row r="488" spans="1:1">
      <c r="A488">
        <f>tlOutputReg1Seg3CurrentSampleCost_R1</f>
        <v>49500</v>
      </c>
    </row>
    <row r="489" spans="1:1">
      <c r="A489">
        <f>tlOutputReg1Seg3CurrentSpeakerCost_R1</f>
        <v>99000</v>
      </c>
    </row>
    <row r="490" spans="1:1">
      <c r="A490">
        <f>tlOutputReg1Seg3CurrentLunchMoneyCost_R1</f>
        <v>99000</v>
      </c>
    </row>
    <row r="491" spans="1:1">
      <c r="A491">
        <f>tlOutputReg1Seg3CurrentInternalCost_R1</f>
        <v>0</v>
      </c>
    </row>
    <row r="492" spans="1:1">
      <c r="A492">
        <f>tlOutputReg1Seg3CurrentProfit_R1</f>
        <v>411545.06340517907</v>
      </c>
    </row>
    <row r="493" spans="1:1">
      <c r="A493">
        <f>tlOutputReg1Seg1CurrentSales_R2</f>
        <v>1228796.4029516098</v>
      </c>
    </row>
    <row r="494" spans="1:1">
      <c r="A494">
        <f>tlOutputReg1Seg1CurrentReimb_R2</f>
        <v>600766.13044339186</v>
      </c>
    </row>
    <row r="495" spans="1:1">
      <c r="A495">
        <f>tlOutputReg1Seg1CurrentNetSales_R2</f>
        <v>628030.27250821795</v>
      </c>
    </row>
    <row r="496" spans="1:1">
      <c r="A496">
        <f>tlOutputReg1Seg1CurrentSampleCost_R2</f>
        <v>49500</v>
      </c>
    </row>
    <row r="497" spans="1:1">
      <c r="A497">
        <f>tlOutputReg1Seg1CurrentSpeakerCost_R2</f>
        <v>94050</v>
      </c>
    </row>
    <row r="498" spans="1:1">
      <c r="A498">
        <f>tlOutputReg1Seg1CurrentLunchMoneyCost_R2</f>
        <v>94050</v>
      </c>
    </row>
    <row r="499" spans="1:1">
      <c r="A499">
        <f>tlOutputReg1Seg1CurrentInternalCost_R2</f>
        <v>0</v>
      </c>
    </row>
    <row r="500" spans="1:1">
      <c r="A500">
        <f>tlOutputReg1Seg1CurrentProfit_R2</f>
        <v>390430.27250821795</v>
      </c>
    </row>
    <row r="501" spans="1:1">
      <c r="A501">
        <f>tlOutputReg1Seg2CurrentSales_R2</f>
        <v>1275846.3806455473</v>
      </c>
    </row>
    <row r="502" spans="1:1">
      <c r="A502">
        <f>tlOutputReg1Seg2CurrentReimb_R2</f>
        <v>642674.37143835495</v>
      </c>
    </row>
    <row r="503" spans="1:1">
      <c r="A503">
        <f>tlOutputReg1Seg2CurrentNetSales_R2</f>
        <v>633172.00920719234</v>
      </c>
    </row>
    <row r="504" spans="1:1">
      <c r="A504">
        <f>tlOutputReg1Seg2CurrentSampleCost_R2</f>
        <v>49500</v>
      </c>
    </row>
    <row r="505" spans="1:1">
      <c r="A505">
        <f>tlOutputReg1Seg2CurrentSpeakerCost_R2</f>
        <v>94050</v>
      </c>
    </row>
    <row r="506" spans="1:1">
      <c r="A506">
        <f>tlOutputReg1Seg2CurrentLunchMoneyCost_R2</f>
        <v>94050</v>
      </c>
    </row>
    <row r="507" spans="1:1">
      <c r="A507">
        <f>tlOutputReg1Seg2CurrentInternalCost_R2</f>
        <v>0</v>
      </c>
    </row>
    <row r="508" spans="1:1">
      <c r="A508">
        <f>tlOutputReg1Seg2CurrentProfit_R2</f>
        <v>395572.00920719234</v>
      </c>
    </row>
    <row r="509" spans="1:1">
      <c r="A509">
        <f>tlOutputReg1Seg3CurrentSales_R2</f>
        <v>1472003.865651703</v>
      </c>
    </row>
    <row r="510" spans="1:1">
      <c r="A510">
        <f>tlOutputReg1Seg3CurrentReimb_R2</f>
        <v>747111.39887831383</v>
      </c>
    </row>
    <row r="511" spans="1:1">
      <c r="A511">
        <f>tlOutputReg1Seg3CurrentNetSales_R2</f>
        <v>724892.46677338914</v>
      </c>
    </row>
    <row r="512" spans="1:1">
      <c r="A512">
        <f>tlOutputReg1Seg3CurrentSampleCost_R2</f>
        <v>49500</v>
      </c>
    </row>
    <row r="513" spans="1:1">
      <c r="A513">
        <f>tlOutputReg1Seg3CurrentSpeakerCost_R2</f>
        <v>94050</v>
      </c>
    </row>
    <row r="514" spans="1:1">
      <c r="A514">
        <f>tlOutputReg1Seg3CurrentLunchMoneyCost_R2</f>
        <v>94050</v>
      </c>
    </row>
    <row r="515" spans="1:1">
      <c r="A515">
        <f>tlOutputReg1Seg3CurrentInternalCost_R2</f>
        <v>0</v>
      </c>
    </row>
    <row r="516" spans="1:1">
      <c r="A516">
        <f>tlOutputReg1Seg3CurrentProfit_R2</f>
        <v>487292.46677338914</v>
      </c>
    </row>
    <row r="518" spans="1:1">
      <c r="A518" s="225">
        <f>tlOutputProd1Seg1PrevTRxShare_R1</f>
        <v>3.2000000000000002E-3</v>
      </c>
    </row>
    <row r="519" spans="1:1">
      <c r="A519" s="225">
        <f>tlOutputProd1Seg2PrevTRxShare_R1</f>
        <v>3.3333333333333335E-3</v>
      </c>
    </row>
    <row r="520" spans="1:1">
      <c r="A520" s="225">
        <f>tlOutputProd1Seg3PrevTRxShare_R1</f>
        <v>3.116883116883116E-3</v>
      </c>
    </row>
    <row r="521" spans="1:1">
      <c r="A521" s="225">
        <f>tlOutputReg1Seg1PrevTRxShare_R1</f>
        <v>3.2432432432432426E-3</v>
      </c>
    </row>
    <row r="522" spans="1:1">
      <c r="A522" s="225">
        <f>tlOutputReg1Seg2PrevTRxShare_R1</f>
        <v>4.0000000000000001E-3</v>
      </c>
    </row>
    <row r="523" spans="1:1">
      <c r="A523" s="225">
        <f>tlOutputReg1Seg3PrevTRxShare_R1</f>
        <v>3.1884057971014496E-3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AG160"/>
  <sheetViews>
    <sheetView topLeftCell="A31" workbookViewId="0">
      <selection activeCell="E29" sqref="E29"/>
    </sheetView>
  </sheetViews>
  <sheetFormatPr defaultColWidth="8.796875" defaultRowHeight="14.25"/>
  <cols>
    <col min="1" max="1" width="4.69921875" style="83" customWidth="1"/>
    <col min="2" max="2" width="4.69921875" style="84" customWidth="1"/>
    <col min="3" max="3" width="4.69921875" style="83" customWidth="1"/>
    <col min="4" max="4" width="18.69921875" style="83" customWidth="1"/>
    <col min="5" max="10" width="12.69921875" style="83" customWidth="1"/>
    <col min="11" max="11" width="15.796875" style="83" customWidth="1"/>
    <col min="12" max="13" width="12.69921875" style="83" customWidth="1"/>
    <col min="14" max="14" width="18.296875" style="83" customWidth="1"/>
    <col min="15" max="20" width="8.796875" style="83"/>
    <col min="21" max="21" width="10.5" style="83" bestFit="1" customWidth="1"/>
    <col min="22" max="26" width="8.796875" style="83"/>
    <col min="27" max="27" width="10.5" style="83" bestFit="1" customWidth="1"/>
    <col min="28" max="32" width="8.796875" style="83"/>
    <col min="33" max="33" width="10.5" style="83" bestFit="1" customWidth="1"/>
    <col min="34" max="16384" width="8.796875" style="83"/>
  </cols>
  <sheetData>
    <row r="1" spans="1:16" s="177" customFormat="1" ht="33" customHeight="1">
      <c r="A1" s="178" t="s">
        <v>226</v>
      </c>
      <c r="B1" s="178"/>
      <c r="K1" s="186"/>
      <c r="L1" s="186"/>
      <c r="M1" s="186"/>
      <c r="N1" s="186"/>
      <c r="P1" s="178"/>
    </row>
    <row r="2" spans="1:16" s="73" customFormat="1">
      <c r="C2" s="76"/>
      <c r="D2" s="76"/>
      <c r="E2" s="76"/>
      <c r="F2" s="76"/>
      <c r="G2" s="76"/>
      <c r="I2" s="76"/>
      <c r="J2" s="76"/>
      <c r="K2" s="76"/>
      <c r="L2" s="76"/>
      <c r="M2" s="76"/>
      <c r="N2" s="76"/>
      <c r="O2" s="76"/>
    </row>
    <row r="3" spans="1:16" s="73" customFormat="1">
      <c r="C3" s="73" t="s">
        <v>138</v>
      </c>
      <c r="E3" s="75" t="s">
        <v>122</v>
      </c>
      <c r="F3" s="75"/>
      <c r="G3" s="74"/>
      <c r="I3" s="74"/>
      <c r="J3" s="74"/>
      <c r="K3" s="74"/>
      <c r="L3" s="74"/>
      <c r="M3" s="74"/>
      <c r="N3" s="74"/>
      <c r="O3" s="74"/>
    </row>
    <row r="4" spans="1:16" s="6" customFormat="1"/>
    <row r="5" spans="1:16" s="2" customFormat="1">
      <c r="A5" s="7"/>
      <c r="C5" s="2" t="s">
        <v>137</v>
      </c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s="6" customFormat="1"/>
    <row r="7" spans="1:16" s="6" customFormat="1">
      <c r="D7" s="4" t="s">
        <v>136</v>
      </c>
      <c r="E7" s="4"/>
      <c r="F7" s="4"/>
      <c r="H7" s="103" t="s">
        <v>135</v>
      </c>
    </row>
    <row r="8" spans="1:16" s="6" customFormat="1">
      <c r="D8" s="8"/>
      <c r="E8" s="9" t="s">
        <v>109</v>
      </c>
      <c r="H8" s="10"/>
      <c r="I8" s="9" t="s">
        <v>110</v>
      </c>
    </row>
    <row r="9" spans="1:16" s="6" customFormat="1">
      <c r="D9" s="11"/>
      <c r="E9" s="9" t="s">
        <v>106</v>
      </c>
    </row>
    <row r="10" spans="1:16" s="6" customFormat="1">
      <c r="D10" s="12"/>
      <c r="E10" s="9" t="s">
        <v>111</v>
      </c>
    </row>
    <row r="11" spans="1:16" s="6" customFormat="1"/>
    <row r="12" spans="1:16" s="2" customFormat="1">
      <c r="A12" s="7"/>
      <c r="C12" s="2" t="s">
        <v>133</v>
      </c>
      <c r="G12" s="3"/>
      <c r="H12" s="3"/>
      <c r="I12" s="3"/>
      <c r="J12" s="3"/>
      <c r="K12" s="3"/>
      <c r="L12" s="3"/>
      <c r="M12" s="3"/>
      <c r="N12" s="3"/>
      <c r="O12" s="3"/>
      <c r="P12" s="3"/>
    </row>
    <row r="14" spans="1:16">
      <c r="D14" s="83" t="s">
        <v>292</v>
      </c>
      <c r="E14" s="117" t="s">
        <v>151</v>
      </c>
      <c r="F14" s="84" t="s">
        <v>291</v>
      </c>
      <c r="H14" s="187" t="s">
        <v>290</v>
      </c>
    </row>
    <row r="15" spans="1:16">
      <c r="F15" s="84"/>
      <c r="G15" s="187"/>
    </row>
    <row r="16" spans="1:16" s="186" customFormat="1" ht="30">
      <c r="K16" s="186" t="s">
        <v>289</v>
      </c>
      <c r="L16" s="186" t="s">
        <v>288</v>
      </c>
      <c r="M16" s="186" t="s">
        <v>287</v>
      </c>
      <c r="N16" s="186" t="s">
        <v>286</v>
      </c>
      <c r="P16" s="186" t="s">
        <v>285</v>
      </c>
    </row>
    <row r="17" spans="2:33" s="175" customFormat="1" ht="18">
      <c r="B17" s="185"/>
      <c r="E17" s="183" t="s">
        <v>172</v>
      </c>
      <c r="F17" s="183" t="s">
        <v>171</v>
      </c>
      <c r="G17" s="183" t="s">
        <v>170</v>
      </c>
      <c r="H17" s="183" t="s">
        <v>169</v>
      </c>
      <c r="I17" s="183" t="s">
        <v>168</v>
      </c>
      <c r="J17" s="184" t="s">
        <v>284</v>
      </c>
      <c r="K17" s="184" t="s">
        <v>283</v>
      </c>
      <c r="L17" s="184" t="s">
        <v>282</v>
      </c>
      <c r="M17" s="184" t="s">
        <v>281</v>
      </c>
      <c r="N17" s="184" t="s">
        <v>280</v>
      </c>
      <c r="P17" s="183" t="s">
        <v>279</v>
      </c>
      <c r="Q17" s="183" t="s">
        <v>278</v>
      </c>
      <c r="R17" s="183" t="s">
        <v>277</v>
      </c>
      <c r="S17" s="183" t="s">
        <v>276</v>
      </c>
      <c r="T17" s="183" t="s">
        <v>275</v>
      </c>
      <c r="V17" s="183" t="s">
        <v>274</v>
      </c>
      <c r="W17" s="183" t="s">
        <v>273</v>
      </c>
      <c r="X17" s="183" t="s">
        <v>272</v>
      </c>
      <c r="Y17" s="183" t="s">
        <v>271</v>
      </c>
      <c r="Z17" s="183" t="s">
        <v>270</v>
      </c>
      <c r="AB17" s="183" t="s">
        <v>269</v>
      </c>
      <c r="AC17" s="183" t="s">
        <v>268</v>
      </c>
      <c r="AD17" s="183" t="s">
        <v>267</v>
      </c>
      <c r="AE17" s="183" t="s">
        <v>266</v>
      </c>
      <c r="AF17" s="183" t="s">
        <v>265</v>
      </c>
    </row>
    <row r="18" spans="2:33">
      <c r="B18" s="84" t="s">
        <v>264</v>
      </c>
      <c r="J18" s="84" t="s">
        <v>263</v>
      </c>
      <c r="K18" s="121"/>
      <c r="L18" s="121"/>
      <c r="M18" s="121"/>
      <c r="N18" s="121"/>
      <c r="P18" s="88"/>
      <c r="Q18" s="88"/>
      <c r="R18" s="88"/>
      <c r="S18" s="88"/>
      <c r="T18" s="88"/>
      <c r="U18" s="83" t="s">
        <v>262</v>
      </c>
      <c r="V18" s="88"/>
      <c r="W18" s="88"/>
      <c r="X18" s="88"/>
      <c r="Y18" s="88"/>
      <c r="Z18" s="88"/>
      <c r="AA18" s="84" t="s">
        <v>261</v>
      </c>
      <c r="AB18" s="88"/>
      <c r="AC18" s="88"/>
      <c r="AD18" s="88"/>
      <c r="AE18" s="88"/>
      <c r="AF18" s="88"/>
      <c r="AG18" s="84" t="s">
        <v>260</v>
      </c>
    </row>
    <row r="19" spans="2:33">
      <c r="B19" s="84" t="s">
        <v>208</v>
      </c>
      <c r="E19" s="117" t="str">
        <f>tlInputTeamName</f>
        <v>BTS</v>
      </c>
      <c r="F19" s="117" t="str">
        <f>tlInputTeamName</f>
        <v>BTS</v>
      </c>
      <c r="G19" s="117" t="str">
        <f>tlInputTeamName</f>
        <v>BTS</v>
      </c>
      <c r="H19" s="117" t="str">
        <f>tlInputTeamName</f>
        <v>BTS</v>
      </c>
      <c r="I19" s="117" t="str">
        <f>tlInputTeamName</f>
        <v>BTS</v>
      </c>
      <c r="J19" s="84" t="s">
        <v>259</v>
      </c>
      <c r="K19" s="117"/>
      <c r="L19" s="88" t="b">
        <v>0</v>
      </c>
      <c r="M19" s="88" t="b">
        <v>1</v>
      </c>
      <c r="N19" s="112" t="s">
        <v>5</v>
      </c>
      <c r="P19" s="88"/>
      <c r="Q19" s="88"/>
      <c r="R19" s="88"/>
      <c r="S19" s="88"/>
      <c r="T19" s="88"/>
      <c r="V19" s="88"/>
      <c r="W19" s="88"/>
      <c r="X19" s="88"/>
      <c r="Y19" s="88"/>
      <c r="Z19" s="88"/>
      <c r="AB19" s="88"/>
      <c r="AC19" s="88"/>
      <c r="AD19" s="88"/>
      <c r="AE19" s="88"/>
      <c r="AF19" s="88"/>
    </row>
    <row r="20" spans="2:33">
      <c r="B20" s="84" t="s">
        <v>207</v>
      </c>
      <c r="E20" s="117">
        <f>tlInputTeamNumber</f>
        <v>1</v>
      </c>
      <c r="F20" s="117">
        <f>tlInputTeamNumber</f>
        <v>1</v>
      </c>
      <c r="G20" s="117">
        <f>tlInputTeamNumber</f>
        <v>1</v>
      </c>
      <c r="H20" s="117">
        <f>tlInputTeamNumber</f>
        <v>1</v>
      </c>
      <c r="I20" s="117">
        <f>tlInputTeamNumber</f>
        <v>1</v>
      </c>
      <c r="J20" s="84" t="s">
        <v>258</v>
      </c>
      <c r="K20" s="117"/>
      <c r="L20" s="88" t="b">
        <v>0</v>
      </c>
      <c r="M20" s="88" t="b">
        <v>1</v>
      </c>
      <c r="N20" s="112">
        <v>1</v>
      </c>
      <c r="P20" s="88"/>
      <c r="Q20" s="88"/>
      <c r="R20" s="88"/>
      <c r="S20" s="88"/>
      <c r="T20" s="88"/>
      <c r="V20" s="88"/>
      <c r="W20" s="88"/>
      <c r="X20" s="88"/>
      <c r="Y20" s="88"/>
      <c r="Z20" s="88"/>
      <c r="AB20" s="88"/>
      <c r="AC20" s="88"/>
      <c r="AD20" s="88"/>
      <c r="AE20" s="88"/>
      <c r="AF20" s="88"/>
    </row>
    <row r="21" spans="2:33">
      <c r="B21" s="84" t="s">
        <v>206</v>
      </c>
      <c r="E21" s="117">
        <f>xxRound</f>
        <v>1</v>
      </c>
      <c r="F21" s="117">
        <f>xxRound</f>
        <v>1</v>
      </c>
      <c r="G21" s="117">
        <f>xxRound</f>
        <v>1</v>
      </c>
      <c r="H21" s="117">
        <f>xxRound</f>
        <v>1</v>
      </c>
      <c r="I21" s="117">
        <f>xxRound</f>
        <v>1</v>
      </c>
      <c r="J21" s="84" t="s">
        <v>257</v>
      </c>
      <c r="K21" s="117"/>
      <c r="L21" s="88" t="b">
        <v>0</v>
      </c>
      <c r="M21" s="88" t="b">
        <v>0</v>
      </c>
      <c r="N21" s="112">
        <v>0</v>
      </c>
      <c r="P21" s="88"/>
      <c r="Q21" s="88"/>
      <c r="R21" s="88"/>
      <c r="S21" s="88"/>
      <c r="T21" s="88"/>
      <c r="V21" s="88"/>
      <c r="W21" s="88"/>
      <c r="X21" s="88"/>
      <c r="Y21" s="88"/>
      <c r="Z21" s="88"/>
      <c r="AB21" s="88"/>
      <c r="AC21" s="88"/>
      <c r="AD21" s="88"/>
      <c r="AE21" s="88"/>
      <c r="AF21" s="88"/>
    </row>
    <row r="22" spans="2:33">
      <c r="B22" s="428" t="s">
        <v>674</v>
      </c>
      <c r="J22" s="84"/>
      <c r="K22" s="121"/>
      <c r="L22" s="121"/>
      <c r="M22" s="121"/>
      <c r="N22" s="121"/>
      <c r="P22" s="88"/>
      <c r="Q22" s="88"/>
      <c r="R22" s="88"/>
      <c r="S22" s="88"/>
      <c r="T22" s="88"/>
      <c r="V22" s="88"/>
      <c r="W22" s="88"/>
      <c r="X22" s="88"/>
      <c r="Y22" s="88"/>
      <c r="Z22" s="88"/>
      <c r="AB22" s="88"/>
      <c r="AC22" s="88"/>
      <c r="AD22" s="88"/>
      <c r="AE22" s="88"/>
      <c r="AF22" s="88"/>
    </row>
    <row r="23" spans="2:33">
      <c r="B23" s="428" t="str">
        <f>nmProd1</f>
        <v>Riverrun</v>
      </c>
      <c r="J23" s="84"/>
      <c r="K23" s="121"/>
      <c r="L23" s="121"/>
      <c r="M23" s="121"/>
      <c r="N23" s="121"/>
      <c r="P23" s="88"/>
      <c r="Q23" s="88"/>
      <c r="R23" s="88"/>
      <c r="S23" s="88"/>
      <c r="T23" s="88"/>
      <c r="V23" s="88"/>
      <c r="W23" s="88"/>
      <c r="X23" s="88"/>
      <c r="Y23" s="88"/>
      <c r="Z23" s="88"/>
      <c r="AB23" s="88"/>
      <c r="AC23" s="88"/>
      <c r="AD23" s="88"/>
      <c r="AE23" s="88"/>
      <c r="AF23" s="88"/>
    </row>
    <row r="24" spans="2:33">
      <c r="B24" s="428" t="str">
        <f>nmProd1Seg1</f>
        <v>Riverrun Central</v>
      </c>
      <c r="J24" s="84"/>
      <c r="K24" s="121"/>
      <c r="L24" s="121"/>
      <c r="M24" s="121"/>
      <c r="N24" s="121"/>
      <c r="P24" s="88"/>
      <c r="Q24" s="88"/>
      <c r="R24" s="88"/>
      <c r="S24" s="88"/>
      <c r="T24" s="88"/>
      <c r="V24" s="88"/>
      <c r="W24" s="88"/>
      <c r="X24" s="88"/>
      <c r="Y24" s="88"/>
      <c r="Z24" s="88"/>
      <c r="AB24" s="88"/>
      <c r="AC24" s="88"/>
      <c r="AD24" s="88"/>
      <c r="AE24" s="88"/>
      <c r="AF24" s="88"/>
    </row>
    <row r="25" spans="2:33">
      <c r="B25" s="428" t="s">
        <v>1488</v>
      </c>
      <c r="D25" s="83" t="s">
        <v>588</v>
      </c>
      <c r="E25" s="83">
        <f>tlInputProd1Seg1PromotionAllocation_R1</f>
        <v>0.33</v>
      </c>
      <c r="F25" s="83">
        <f>tlInputProd1Seg1PromotionAllocation_R1</f>
        <v>0.33</v>
      </c>
      <c r="G25" s="83">
        <f>tlInputProd1Seg1PromotionAllocation_R1</f>
        <v>0.33</v>
      </c>
      <c r="H25" s="83">
        <f>tlInputProd1Seg1PromotionAllocation_R1</f>
        <v>0.33</v>
      </c>
      <c r="I25" s="83">
        <f>tlInputProd1Seg1PromotionAllocation_R1</f>
        <v>0.33</v>
      </c>
      <c r="J25" s="84" t="s">
        <v>2335</v>
      </c>
      <c r="K25" s="121"/>
      <c r="L25" s="121"/>
      <c r="M25" s="121"/>
      <c r="N25" s="121"/>
      <c r="P25" s="88"/>
      <c r="Q25" s="88"/>
      <c r="R25" s="88"/>
      <c r="S25" s="88"/>
      <c r="T25" s="88"/>
      <c r="V25" s="88"/>
      <c r="W25" s="88"/>
      <c r="X25" s="88"/>
      <c r="Y25" s="88"/>
      <c r="Z25" s="88"/>
      <c r="AB25" s="88"/>
      <c r="AC25" s="88"/>
      <c r="AD25" s="88"/>
      <c r="AE25" s="88"/>
      <c r="AF25" s="88"/>
    </row>
    <row r="26" spans="2:33">
      <c r="D26" s="83" t="s">
        <v>516</v>
      </c>
      <c r="E26" s="83">
        <f>tlInputProd1Seg1SamplesPerc_R1</f>
        <v>0.33</v>
      </c>
      <c r="F26" s="83">
        <f>tlInputProd1Seg1SamplesPerc_R1</f>
        <v>0.33</v>
      </c>
      <c r="G26" s="83">
        <f>tlInputProd1Seg1SamplesPerc_R1</f>
        <v>0.33</v>
      </c>
      <c r="H26" s="83">
        <f>tlInputProd1Seg1SamplesPerc_R1</f>
        <v>0.33</v>
      </c>
      <c r="I26" s="83">
        <f>tlInputProd1Seg1SamplesPerc_R1</f>
        <v>0.33</v>
      </c>
      <c r="J26" s="84" t="s">
        <v>2448</v>
      </c>
      <c r="K26" s="121"/>
      <c r="L26" s="121"/>
      <c r="M26" s="121"/>
      <c r="N26" s="121"/>
      <c r="P26" s="88"/>
      <c r="Q26" s="88"/>
      <c r="R26" s="88"/>
      <c r="S26" s="88"/>
      <c r="T26" s="88"/>
      <c r="V26" s="88"/>
      <c r="W26" s="88"/>
      <c r="X26" s="88"/>
      <c r="Y26" s="88"/>
      <c r="Z26" s="88"/>
      <c r="AB26" s="88"/>
      <c r="AC26" s="88"/>
      <c r="AD26" s="88"/>
      <c r="AE26" s="88"/>
      <c r="AF26" s="88"/>
    </row>
    <row r="27" spans="2:33">
      <c r="D27" s="83" t="s">
        <v>517</v>
      </c>
      <c r="E27" s="83">
        <f>tlInputProd1Seg1SpeakersPerc_R1</f>
        <v>0.5</v>
      </c>
      <c r="F27" s="83">
        <f>tlInputProd1Seg1SpeakersPerc_R1</f>
        <v>0.5</v>
      </c>
      <c r="G27" s="83">
        <f>tlInputProd1Seg1SpeakersPerc_R1</f>
        <v>0.5</v>
      </c>
      <c r="H27" s="83">
        <f>tlInputProd1Seg1SpeakersPerc_R1</f>
        <v>0.5</v>
      </c>
      <c r="I27" s="83">
        <f>tlInputProd1Seg1SpeakersPerc_R1</f>
        <v>0.5</v>
      </c>
      <c r="J27" s="84" t="s">
        <v>2336</v>
      </c>
      <c r="K27" s="121"/>
      <c r="L27" s="121"/>
      <c r="M27" s="121"/>
      <c r="N27" s="121"/>
      <c r="P27" s="88"/>
      <c r="Q27" s="88"/>
      <c r="R27" s="88"/>
      <c r="S27" s="88"/>
      <c r="T27" s="88"/>
      <c r="V27" s="88"/>
      <c r="W27" s="88"/>
      <c r="X27" s="88"/>
      <c r="Y27" s="88"/>
      <c r="Z27" s="88"/>
      <c r="AB27" s="88"/>
      <c r="AC27" s="88"/>
      <c r="AD27" s="88"/>
      <c r="AE27" s="88"/>
      <c r="AF27" s="88"/>
    </row>
    <row r="28" spans="2:33">
      <c r="D28" s="83" t="s">
        <v>2333</v>
      </c>
      <c r="E28" s="83">
        <f>tlInputProd1Seg1PromotionPerc_R1</f>
        <v>0.5</v>
      </c>
      <c r="F28" s="83">
        <f>tlInputProd1Seg1PromotionPerc_R1</f>
        <v>0.5</v>
      </c>
      <c r="G28" s="83">
        <f>tlInputProd1Seg1PromotionPerc_R1</f>
        <v>0.5</v>
      </c>
      <c r="H28" s="83">
        <f>tlInputProd1Seg1PromotionPerc_R1</f>
        <v>0.5</v>
      </c>
      <c r="I28" s="83">
        <f>tlInputProd1Seg1PromotionPerc_R1</f>
        <v>0.5</v>
      </c>
      <c r="J28" s="84" t="s">
        <v>2337</v>
      </c>
      <c r="K28" s="121"/>
      <c r="L28" s="121"/>
      <c r="M28" s="121"/>
      <c r="N28" s="121"/>
      <c r="P28" s="88"/>
      <c r="Q28" s="88"/>
      <c r="R28" s="88"/>
      <c r="S28" s="88"/>
      <c r="T28" s="88"/>
      <c r="V28" s="88"/>
      <c r="W28" s="88"/>
      <c r="X28" s="88"/>
      <c r="Y28" s="88"/>
      <c r="Z28" s="88"/>
      <c r="AB28" s="88"/>
      <c r="AC28" s="88"/>
      <c r="AD28" s="88"/>
      <c r="AE28" s="88"/>
      <c r="AF28" s="88"/>
    </row>
    <row r="29" spans="2:33">
      <c r="D29" s="83" t="s">
        <v>556</v>
      </c>
      <c r="E29" s="83">
        <f>tlInputProd1Seg1CfCollab_R1</f>
        <v>0</v>
      </c>
      <c r="F29" s="83">
        <f>tlInputProd1Seg1CfCollab_R1</f>
        <v>0</v>
      </c>
      <c r="G29" s="83">
        <f>tlInputProd1Seg1CfCollab_R1</f>
        <v>0</v>
      </c>
      <c r="H29" s="83">
        <f>tlInputProd1Seg1CfCollab_R1</f>
        <v>0</v>
      </c>
      <c r="I29" s="83">
        <f>tlInputProd1Seg1CfCollab_R1</f>
        <v>0</v>
      </c>
      <c r="J29" s="84" t="s">
        <v>2338</v>
      </c>
      <c r="K29" s="121"/>
      <c r="L29" s="121"/>
      <c r="M29" s="121"/>
      <c r="N29" s="121"/>
      <c r="P29" s="88"/>
      <c r="Q29" s="88"/>
      <c r="R29" s="88"/>
      <c r="S29" s="88"/>
      <c r="T29" s="88"/>
      <c r="V29" s="88"/>
      <c r="W29" s="88"/>
      <c r="X29" s="88"/>
      <c r="Y29" s="88"/>
      <c r="Z29" s="88"/>
      <c r="AB29" s="88"/>
      <c r="AC29" s="88"/>
      <c r="AD29" s="88"/>
      <c r="AE29" s="88"/>
      <c r="AF29" s="88"/>
    </row>
    <row r="30" spans="2:33">
      <c r="D30" s="83" t="s">
        <v>3211</v>
      </c>
      <c r="E30" s="83">
        <f>tlInputProd1Seg1RegTrainer_R1</f>
        <v>0</v>
      </c>
      <c r="F30" s="83">
        <f>tlInputProd1Seg1RegTrainer_R1</f>
        <v>0</v>
      </c>
      <c r="G30" s="83">
        <f>tlInputProd1Seg1RegTrainer_R1</f>
        <v>0</v>
      </c>
      <c r="H30" s="83">
        <f>tlInputProd1Seg1RegTrainer_R1</f>
        <v>0</v>
      </c>
      <c r="I30" s="83">
        <f>tlInputProd1Seg1RegTrainer_R1</f>
        <v>0</v>
      </c>
      <c r="J30" s="84" t="s">
        <v>2339</v>
      </c>
      <c r="K30" s="121"/>
      <c r="L30" s="121"/>
      <c r="M30" s="121"/>
      <c r="N30" s="121"/>
      <c r="P30" s="88"/>
      <c r="Q30" s="88"/>
      <c r="R30" s="88"/>
      <c r="S30" s="88"/>
      <c r="T30" s="88"/>
      <c r="V30" s="88"/>
      <c r="W30" s="88"/>
      <c r="X30" s="88"/>
      <c r="Y30" s="88"/>
      <c r="Z30" s="88"/>
      <c r="AB30" s="88"/>
      <c r="AC30" s="88"/>
      <c r="AD30" s="88"/>
      <c r="AE30" s="88"/>
      <c r="AF30" s="88"/>
    </row>
    <row r="31" spans="2:33">
      <c r="C31" s="83" t="s">
        <v>585</v>
      </c>
      <c r="D31" s="83" t="str">
        <f>nmProd1Rep1</f>
        <v>Rep Allen</v>
      </c>
      <c r="E31" s="83">
        <f>tlInputProd1Seg1Rep1Coaching_R1</f>
        <v>0</v>
      </c>
      <c r="F31" s="83">
        <f>tlInputProd1Seg1Rep1Coaching_R1</f>
        <v>0</v>
      </c>
      <c r="G31" s="83">
        <f>tlInputProd1Seg1Rep1Coaching_R1</f>
        <v>0</v>
      </c>
      <c r="H31" s="83">
        <f>tlInputProd1Seg1Rep1Coaching_R1</f>
        <v>0</v>
      </c>
      <c r="I31" s="83">
        <f>tlInputProd1Seg1Rep1Coaching_R1</f>
        <v>0</v>
      </c>
      <c r="J31" s="84" t="s">
        <v>3437</v>
      </c>
      <c r="K31" s="121"/>
      <c r="L31" s="121"/>
      <c r="M31" s="121"/>
      <c r="N31" s="121"/>
      <c r="P31" s="88"/>
      <c r="Q31" s="88"/>
      <c r="R31" s="88"/>
      <c r="S31" s="88"/>
      <c r="T31" s="88"/>
      <c r="V31" s="88"/>
      <c r="W31" s="88"/>
      <c r="X31" s="88"/>
      <c r="Y31" s="88"/>
      <c r="Z31" s="88"/>
      <c r="AB31" s="88"/>
      <c r="AC31" s="88"/>
      <c r="AD31" s="88"/>
      <c r="AE31" s="88"/>
      <c r="AF31" s="88"/>
    </row>
    <row r="32" spans="2:33">
      <c r="C32" s="83" t="s">
        <v>585</v>
      </c>
      <c r="D32" s="83" t="str">
        <f>nmProd1Rep2</f>
        <v>Rep Betty</v>
      </c>
      <c r="E32" s="83">
        <f>tlInputProd1Seg1Rep2Coaching_R1</f>
        <v>0</v>
      </c>
      <c r="F32" s="83">
        <f>tlInputProd1Seg1Rep2Coaching_R1</f>
        <v>0</v>
      </c>
      <c r="G32" s="83">
        <f>tlInputProd1Seg1Rep2Coaching_R1</f>
        <v>0</v>
      </c>
      <c r="H32" s="83">
        <f>tlInputProd1Seg1Rep2Coaching_R1</f>
        <v>0</v>
      </c>
      <c r="I32" s="83">
        <f>tlInputProd1Seg1Rep2Coaching_R1</f>
        <v>0</v>
      </c>
      <c r="J32" s="84" t="s">
        <v>3455</v>
      </c>
      <c r="K32" s="121"/>
      <c r="L32" s="121"/>
      <c r="M32" s="121"/>
      <c r="N32" s="121"/>
      <c r="P32" s="88"/>
      <c r="Q32" s="88"/>
      <c r="R32" s="88"/>
      <c r="S32" s="88"/>
      <c r="T32" s="88"/>
      <c r="V32" s="88"/>
      <c r="W32" s="88"/>
      <c r="X32" s="88"/>
      <c r="Y32" s="88"/>
      <c r="Z32" s="88"/>
      <c r="AB32" s="88"/>
      <c r="AC32" s="88"/>
      <c r="AD32" s="88"/>
      <c r="AE32" s="88"/>
      <c r="AF32" s="88"/>
    </row>
    <row r="33" spans="2:32">
      <c r="C33" s="83" t="s">
        <v>585</v>
      </c>
      <c r="D33" s="83" t="str">
        <f>nmProd1Rep3</f>
        <v>Rep Chris</v>
      </c>
      <c r="E33" s="83">
        <f>tlInputProd1Seg1Rep3Coaching_R1</f>
        <v>0</v>
      </c>
      <c r="F33" s="83">
        <f>tlInputProd1Seg1Rep3Coaching_R1</f>
        <v>0</v>
      </c>
      <c r="G33" s="83">
        <f>tlInputProd1Seg1Rep3Coaching_R1</f>
        <v>0</v>
      </c>
      <c r="H33" s="83">
        <f>tlInputProd1Seg1Rep3Coaching_R1</f>
        <v>0</v>
      </c>
      <c r="I33" s="83">
        <f>tlInputProd1Seg1Rep3Coaching_R1</f>
        <v>0</v>
      </c>
      <c r="J33" s="84" t="s">
        <v>3467</v>
      </c>
      <c r="K33" s="121"/>
      <c r="L33" s="121"/>
      <c r="M33" s="121"/>
      <c r="N33" s="121"/>
      <c r="P33" s="88"/>
      <c r="Q33" s="88"/>
      <c r="R33" s="88"/>
      <c r="S33" s="88"/>
      <c r="T33" s="88"/>
      <c r="V33" s="88"/>
      <c r="W33" s="88"/>
      <c r="X33" s="88"/>
      <c r="Y33" s="88"/>
      <c r="Z33" s="88"/>
      <c r="AB33" s="88"/>
      <c r="AC33" s="88"/>
      <c r="AD33" s="88"/>
      <c r="AE33" s="88"/>
      <c r="AF33" s="88"/>
    </row>
    <row r="34" spans="2:32">
      <c r="C34" s="83" t="s">
        <v>2334</v>
      </c>
      <c r="D34" s="83" t="str">
        <f>nmProd1Rep1</f>
        <v>Rep Allen</v>
      </c>
      <c r="E34" s="83">
        <f>tlInputProd1Seg1Therapy1Rep1Weight_R1</f>
        <v>0.4</v>
      </c>
      <c r="F34" s="83">
        <f>tlInputProd1Seg1Therapy1Rep1Weight_R1</f>
        <v>0.4</v>
      </c>
      <c r="G34" s="83">
        <f>tlInputProd1Seg1Therapy1Rep1Weight_R1</f>
        <v>0.4</v>
      </c>
      <c r="H34" s="83">
        <f>tlInputProd1Seg1Therapy1Rep1Weight_R1</f>
        <v>0.4</v>
      </c>
      <c r="I34" s="83">
        <f>tlInputProd1Seg1Therapy1Rep1Weight_R1</f>
        <v>0.4</v>
      </c>
      <c r="J34" s="84" t="s">
        <v>3438</v>
      </c>
      <c r="K34" s="121"/>
      <c r="L34" s="121"/>
      <c r="M34" s="121"/>
      <c r="N34" s="121"/>
      <c r="P34" s="88"/>
      <c r="Q34" s="88"/>
      <c r="R34" s="88"/>
      <c r="S34" s="88"/>
      <c r="T34" s="88"/>
      <c r="V34" s="88"/>
      <c r="W34" s="88"/>
      <c r="X34" s="88"/>
      <c r="Y34" s="88"/>
      <c r="Z34" s="88"/>
      <c r="AB34" s="88"/>
      <c r="AC34" s="88"/>
      <c r="AD34" s="88"/>
      <c r="AE34" s="88"/>
      <c r="AF34" s="88"/>
    </row>
    <row r="35" spans="2:32">
      <c r="C35" s="83" t="s">
        <v>2334</v>
      </c>
      <c r="D35" s="83" t="str">
        <f>nmProd1Rep2</f>
        <v>Rep Betty</v>
      </c>
      <c r="E35" s="83">
        <f>tlInputProd1Seg1Therapy1Rep2Weight_R1</f>
        <v>0.4</v>
      </c>
      <c r="F35" s="83">
        <f>tlInputProd1Seg1Therapy1Rep2Weight_R1</f>
        <v>0.4</v>
      </c>
      <c r="G35" s="83">
        <f>tlInputProd1Seg1Therapy1Rep2Weight_R1</f>
        <v>0.4</v>
      </c>
      <c r="H35" s="83">
        <f>tlInputProd1Seg1Therapy1Rep2Weight_R1</f>
        <v>0.4</v>
      </c>
      <c r="I35" s="83">
        <f>tlInputProd1Seg1Therapy1Rep2Weight_R1</f>
        <v>0.4</v>
      </c>
      <c r="J35" s="84" t="s">
        <v>3456</v>
      </c>
      <c r="K35" s="121"/>
      <c r="L35" s="121"/>
      <c r="M35" s="121"/>
      <c r="N35" s="121"/>
      <c r="P35" s="88"/>
      <c r="Q35" s="88"/>
      <c r="R35" s="88"/>
      <c r="S35" s="88"/>
      <c r="T35" s="88"/>
      <c r="V35" s="88"/>
      <c r="W35" s="88"/>
      <c r="X35" s="88"/>
      <c r="Y35" s="88"/>
      <c r="Z35" s="88"/>
      <c r="AB35" s="88"/>
      <c r="AC35" s="88"/>
      <c r="AD35" s="88"/>
      <c r="AE35" s="88"/>
      <c r="AF35" s="88"/>
    </row>
    <row r="36" spans="2:32">
      <c r="C36" s="83" t="s">
        <v>2334</v>
      </c>
      <c r="D36" s="83" t="str">
        <f>nmProd1Rep3</f>
        <v>Rep Chris</v>
      </c>
      <c r="E36" s="83">
        <f>tlInputProd1Seg1Therapy1Rep3Weight_R1</f>
        <v>0.6</v>
      </c>
      <c r="F36" s="83">
        <f>tlInputProd1Seg1Therapy1Rep3Weight_R1</f>
        <v>0.6</v>
      </c>
      <c r="G36" s="83">
        <f>tlInputProd1Seg1Therapy1Rep3Weight_R1</f>
        <v>0.6</v>
      </c>
      <c r="H36" s="83">
        <f>tlInputProd1Seg1Therapy1Rep3Weight_R1</f>
        <v>0.6</v>
      </c>
      <c r="I36" s="83">
        <f>tlInputProd1Seg1Therapy1Rep3Weight_R1</f>
        <v>0.6</v>
      </c>
      <c r="J36" s="84" t="s">
        <v>3468</v>
      </c>
      <c r="K36" s="121"/>
      <c r="L36" s="121"/>
      <c r="M36" s="121"/>
      <c r="N36" s="121"/>
      <c r="P36" s="88"/>
      <c r="Q36" s="88"/>
      <c r="R36" s="88"/>
      <c r="S36" s="88"/>
      <c r="T36" s="88"/>
      <c r="V36" s="88"/>
      <c r="W36" s="88"/>
      <c r="X36" s="88"/>
      <c r="Y36" s="88"/>
      <c r="Z36" s="88"/>
      <c r="AB36" s="88"/>
      <c r="AC36" s="88"/>
      <c r="AD36" s="88"/>
      <c r="AE36" s="88"/>
      <c r="AF36" s="88"/>
    </row>
    <row r="37" spans="2:32">
      <c r="J37" s="84"/>
      <c r="K37" s="121"/>
      <c r="L37" s="121"/>
      <c r="M37" s="121"/>
      <c r="N37" s="121"/>
      <c r="P37" s="88"/>
      <c r="Q37" s="88"/>
      <c r="R37" s="88"/>
      <c r="S37" s="88"/>
      <c r="T37" s="88"/>
      <c r="V37" s="88"/>
      <c r="W37" s="88"/>
      <c r="X37" s="88"/>
      <c r="Y37" s="88"/>
      <c r="Z37" s="88"/>
      <c r="AB37" s="88"/>
      <c r="AC37" s="88"/>
      <c r="AD37" s="88"/>
      <c r="AE37" s="88"/>
      <c r="AF37" s="88"/>
    </row>
    <row r="38" spans="2:32">
      <c r="B38" s="428" t="s">
        <v>1551</v>
      </c>
      <c r="D38" s="83" t="s">
        <v>588</v>
      </c>
      <c r="E38" s="83">
        <f>tlInputProd1Seg1PromotionAllocation_R2</f>
        <v>0.33</v>
      </c>
      <c r="F38" s="83">
        <f>tlInputProd1Seg1PromotionAllocation_R2</f>
        <v>0.33</v>
      </c>
      <c r="G38" s="83">
        <f>tlInputProd1Seg1PromotionAllocation_R2</f>
        <v>0.33</v>
      </c>
      <c r="H38" s="83">
        <f>tlInputProd1Seg1PromotionAllocation_R2</f>
        <v>0.33</v>
      </c>
      <c r="I38" s="83">
        <f>tlInputProd1Seg1PromotionAllocation_R2</f>
        <v>0.33</v>
      </c>
      <c r="J38" s="84" t="s">
        <v>2340</v>
      </c>
      <c r="K38" s="121"/>
      <c r="L38" s="121"/>
      <c r="M38" s="121"/>
      <c r="N38" s="121"/>
      <c r="P38" s="88"/>
      <c r="Q38" s="88"/>
      <c r="R38" s="88"/>
      <c r="S38" s="88"/>
      <c r="T38" s="88"/>
      <c r="V38" s="88"/>
      <c r="W38" s="88"/>
      <c r="X38" s="88"/>
      <c r="Y38" s="88"/>
      <c r="Z38" s="88"/>
      <c r="AB38" s="88"/>
      <c r="AC38" s="88"/>
      <c r="AD38" s="88"/>
      <c r="AE38" s="88"/>
      <c r="AF38" s="88"/>
    </row>
    <row r="39" spans="2:32">
      <c r="D39" s="83" t="s">
        <v>516</v>
      </c>
      <c r="E39" s="83">
        <f>tlInputProd1Seg1SamplesPerc_R2</f>
        <v>0.33</v>
      </c>
      <c r="F39" s="83">
        <f>tlInputProd1Seg1SamplesPerc_R2</f>
        <v>0.33</v>
      </c>
      <c r="G39" s="83">
        <f>tlInputProd1Seg1SamplesPerc_R2</f>
        <v>0.33</v>
      </c>
      <c r="H39" s="83">
        <f>tlInputProd1Seg1SamplesPerc_R2</f>
        <v>0.33</v>
      </c>
      <c r="I39" s="83">
        <f>tlInputProd1Seg1SamplesPerc_R2</f>
        <v>0.33</v>
      </c>
      <c r="J39" s="84" t="s">
        <v>2449</v>
      </c>
      <c r="K39" s="121"/>
      <c r="L39" s="121"/>
      <c r="M39" s="121"/>
      <c r="N39" s="121"/>
      <c r="P39" s="88"/>
      <c r="Q39" s="88"/>
      <c r="R39" s="88"/>
      <c r="S39" s="88"/>
      <c r="T39" s="88"/>
      <c r="V39" s="88"/>
      <c r="W39" s="88"/>
      <c r="X39" s="88"/>
      <c r="Y39" s="88"/>
      <c r="Z39" s="88"/>
      <c r="AB39" s="88"/>
      <c r="AC39" s="88"/>
      <c r="AD39" s="88"/>
      <c r="AE39" s="88"/>
      <c r="AF39" s="88"/>
    </row>
    <row r="40" spans="2:32">
      <c r="D40" s="83" t="s">
        <v>517</v>
      </c>
      <c r="E40" s="83">
        <f>tlInputProd1Seg1SpeakersPerc_R2</f>
        <v>0.5</v>
      </c>
      <c r="F40" s="83">
        <f>tlInputProd1Seg1SpeakersPerc_R2</f>
        <v>0.5</v>
      </c>
      <c r="G40" s="83">
        <f>tlInputProd1Seg1SpeakersPerc_R2</f>
        <v>0.5</v>
      </c>
      <c r="H40" s="83">
        <f>tlInputProd1Seg1SpeakersPerc_R2</f>
        <v>0.5</v>
      </c>
      <c r="I40" s="83">
        <f>tlInputProd1Seg1SpeakersPerc_R2</f>
        <v>0.5</v>
      </c>
      <c r="J40" s="84" t="s">
        <v>2341</v>
      </c>
      <c r="K40" s="121"/>
      <c r="L40" s="121"/>
      <c r="M40" s="121"/>
      <c r="N40" s="121"/>
      <c r="P40" s="88"/>
      <c r="Q40" s="88"/>
      <c r="R40" s="88"/>
      <c r="S40" s="88"/>
      <c r="T40" s="88"/>
      <c r="V40" s="88"/>
      <c r="W40" s="88"/>
      <c r="X40" s="88"/>
      <c r="Y40" s="88"/>
      <c r="Z40" s="88"/>
      <c r="AB40" s="88"/>
      <c r="AC40" s="88"/>
      <c r="AD40" s="88"/>
      <c r="AE40" s="88"/>
      <c r="AF40" s="88"/>
    </row>
    <row r="41" spans="2:32">
      <c r="D41" s="83" t="s">
        <v>2333</v>
      </c>
      <c r="E41" s="83">
        <f>tlInputProd1Seg1PromotionPerc_R2</f>
        <v>0.5</v>
      </c>
      <c r="F41" s="83">
        <f>tlInputProd1Seg1PromotionPerc_R2</f>
        <v>0.5</v>
      </c>
      <c r="G41" s="83">
        <f>tlInputProd1Seg1PromotionPerc_R2</f>
        <v>0.5</v>
      </c>
      <c r="H41" s="83">
        <f>tlInputProd1Seg1PromotionPerc_R2</f>
        <v>0.5</v>
      </c>
      <c r="I41" s="83">
        <f>tlInputProd1Seg1PromotionPerc_R2</f>
        <v>0.5</v>
      </c>
      <c r="J41" s="84" t="s">
        <v>2342</v>
      </c>
      <c r="K41" s="121"/>
      <c r="L41" s="121"/>
      <c r="M41" s="121"/>
      <c r="N41" s="121"/>
      <c r="P41" s="88"/>
      <c r="Q41" s="88"/>
      <c r="R41" s="88"/>
      <c r="S41" s="88"/>
      <c r="T41" s="88"/>
      <c r="V41" s="88"/>
      <c r="W41" s="88"/>
      <c r="X41" s="88"/>
      <c r="Y41" s="88"/>
      <c r="Z41" s="88"/>
      <c r="AB41" s="88"/>
      <c r="AC41" s="88"/>
      <c r="AD41" s="88"/>
      <c r="AE41" s="88"/>
      <c r="AF41" s="88"/>
    </row>
    <row r="42" spans="2:32">
      <c r="D42" s="83" t="s">
        <v>556</v>
      </c>
      <c r="E42" s="83">
        <f>tlInputProd1Seg1CfCollab_R2</f>
        <v>0</v>
      </c>
      <c r="F42" s="83">
        <f>tlInputProd1Seg1CfCollab_R2</f>
        <v>0</v>
      </c>
      <c r="G42" s="83">
        <f>tlInputProd1Seg1CfCollab_R2</f>
        <v>0</v>
      </c>
      <c r="H42" s="83">
        <f>tlInputProd1Seg1CfCollab_R2</f>
        <v>0</v>
      </c>
      <c r="I42" s="83">
        <f>tlInputProd1Seg1CfCollab_R2</f>
        <v>0</v>
      </c>
      <c r="J42" s="84" t="s">
        <v>2343</v>
      </c>
      <c r="K42" s="121"/>
      <c r="L42" s="121"/>
      <c r="M42" s="121"/>
      <c r="N42" s="121"/>
      <c r="P42" s="88"/>
      <c r="Q42" s="88"/>
      <c r="R42" s="88"/>
      <c r="S42" s="88"/>
      <c r="T42" s="88"/>
      <c r="V42" s="88"/>
      <c r="W42" s="88"/>
      <c r="X42" s="88"/>
      <c r="Y42" s="88"/>
      <c r="Z42" s="88"/>
      <c r="AB42" s="88"/>
      <c r="AC42" s="88"/>
      <c r="AD42" s="88"/>
      <c r="AE42" s="88"/>
      <c r="AF42" s="88"/>
    </row>
    <row r="43" spans="2:32">
      <c r="D43" s="83" t="s">
        <v>3211</v>
      </c>
      <c r="E43" s="83">
        <f>tlInputProd1Seg1RegTrainer_R2</f>
        <v>0</v>
      </c>
      <c r="F43" s="83">
        <f>tlInputProd1Seg1RegTrainer_R2</f>
        <v>0</v>
      </c>
      <c r="G43" s="83">
        <f>tlInputProd1Seg1RegTrainer_R2</f>
        <v>0</v>
      </c>
      <c r="H43" s="83">
        <f>tlInputProd1Seg1RegTrainer_R2</f>
        <v>0</v>
      </c>
      <c r="I43" s="83">
        <f>tlInputProd1Seg1RegTrainer_R2</f>
        <v>0</v>
      </c>
      <c r="J43" s="84" t="s">
        <v>2344</v>
      </c>
      <c r="K43" s="121"/>
      <c r="L43" s="121"/>
      <c r="M43" s="121"/>
      <c r="N43" s="121"/>
      <c r="P43" s="88"/>
      <c r="Q43" s="88"/>
      <c r="R43" s="88"/>
      <c r="S43" s="88"/>
      <c r="T43" s="88"/>
      <c r="V43" s="88"/>
      <c r="W43" s="88"/>
      <c r="X43" s="88"/>
      <c r="Y43" s="88"/>
      <c r="Z43" s="88"/>
      <c r="AB43" s="88"/>
      <c r="AC43" s="88"/>
      <c r="AD43" s="88"/>
      <c r="AE43" s="88"/>
      <c r="AF43" s="88"/>
    </row>
    <row r="44" spans="2:32">
      <c r="C44" s="83" t="s">
        <v>585</v>
      </c>
      <c r="D44" s="83" t="str">
        <f>nmProd1Rep1</f>
        <v>Rep Allen</v>
      </c>
      <c r="E44" s="83">
        <f>tlInputProd1Seg1Rep1Coaching_R2</f>
        <v>0</v>
      </c>
      <c r="F44" s="83">
        <f>tlInputProd1Seg1Rep1Coaching_R2</f>
        <v>0</v>
      </c>
      <c r="G44" s="83">
        <f>tlInputProd1Seg1Rep1Coaching_R2</f>
        <v>0</v>
      </c>
      <c r="H44" s="83">
        <f>tlInputProd1Seg1Rep1Coaching_R2</f>
        <v>0</v>
      </c>
      <c r="I44" s="83">
        <f>tlInputProd1Seg1Rep1Coaching_R2</f>
        <v>0</v>
      </c>
      <c r="J44" s="84" t="s">
        <v>3439</v>
      </c>
      <c r="K44" s="121"/>
      <c r="L44" s="121"/>
      <c r="M44" s="121"/>
      <c r="N44" s="121"/>
      <c r="P44" s="88"/>
      <c r="Q44" s="88"/>
      <c r="R44" s="88"/>
      <c r="S44" s="88"/>
      <c r="T44" s="88"/>
      <c r="V44" s="88"/>
      <c r="W44" s="88"/>
      <c r="X44" s="88"/>
      <c r="Y44" s="88"/>
      <c r="Z44" s="88"/>
      <c r="AB44" s="88"/>
      <c r="AC44" s="88"/>
      <c r="AD44" s="88"/>
      <c r="AE44" s="88"/>
      <c r="AF44" s="88"/>
    </row>
    <row r="45" spans="2:32">
      <c r="C45" s="83" t="s">
        <v>585</v>
      </c>
      <c r="D45" s="83" t="str">
        <f>nmProd1Rep2</f>
        <v>Rep Betty</v>
      </c>
      <c r="E45" s="83">
        <f>tlInputProd1Seg1Rep2Coaching_R2</f>
        <v>0</v>
      </c>
      <c r="F45" s="83">
        <f>tlInputProd1Seg1Rep2Coaching_R2</f>
        <v>0</v>
      </c>
      <c r="G45" s="83">
        <f>tlInputProd1Seg1Rep2Coaching_R2</f>
        <v>0</v>
      </c>
      <c r="H45" s="83">
        <f>tlInputProd1Seg1Rep2Coaching_R2</f>
        <v>0</v>
      </c>
      <c r="I45" s="83">
        <f>tlInputProd1Seg1Rep2Coaching_R2</f>
        <v>0</v>
      </c>
      <c r="J45" s="84" t="s">
        <v>3457</v>
      </c>
      <c r="K45" s="121"/>
      <c r="L45" s="121"/>
      <c r="M45" s="121"/>
      <c r="N45" s="121"/>
      <c r="P45" s="88"/>
      <c r="Q45" s="88"/>
      <c r="R45" s="88"/>
      <c r="S45" s="88"/>
      <c r="T45" s="88"/>
      <c r="V45" s="88"/>
      <c r="W45" s="88"/>
      <c r="X45" s="88"/>
      <c r="Y45" s="88"/>
      <c r="Z45" s="88"/>
      <c r="AB45" s="88"/>
      <c r="AC45" s="88"/>
      <c r="AD45" s="88"/>
      <c r="AE45" s="88"/>
      <c r="AF45" s="88"/>
    </row>
    <row r="46" spans="2:32">
      <c r="C46" s="83" t="s">
        <v>585</v>
      </c>
      <c r="D46" s="83" t="str">
        <f>nmProd1Rep3</f>
        <v>Rep Chris</v>
      </c>
      <c r="E46" s="83">
        <f>tlInputProd1Seg1Rep3Coaching_R2</f>
        <v>0</v>
      </c>
      <c r="F46" s="83">
        <f>tlInputProd1Seg1Rep3Coaching_R2</f>
        <v>0</v>
      </c>
      <c r="G46" s="83">
        <f>tlInputProd1Seg1Rep3Coaching_R2</f>
        <v>0</v>
      </c>
      <c r="H46" s="83">
        <f>tlInputProd1Seg1Rep3Coaching_R2</f>
        <v>0</v>
      </c>
      <c r="I46" s="83">
        <f>tlInputProd1Seg1Rep3Coaching_R2</f>
        <v>0</v>
      </c>
      <c r="J46" s="84" t="s">
        <v>3469</v>
      </c>
      <c r="K46" s="121"/>
      <c r="L46" s="121"/>
      <c r="M46" s="121"/>
      <c r="N46" s="121"/>
      <c r="P46" s="88"/>
      <c r="Q46" s="88"/>
      <c r="R46" s="88"/>
      <c r="S46" s="88"/>
      <c r="T46" s="88"/>
      <c r="V46" s="88"/>
      <c r="W46" s="88"/>
      <c r="X46" s="88"/>
      <c r="Y46" s="88"/>
      <c r="Z46" s="88"/>
      <c r="AB46" s="88"/>
      <c r="AC46" s="88"/>
      <c r="AD46" s="88"/>
      <c r="AE46" s="88"/>
      <c r="AF46" s="88"/>
    </row>
    <row r="47" spans="2:32">
      <c r="C47" s="83" t="s">
        <v>2334</v>
      </c>
      <c r="D47" s="83" t="str">
        <f>nmProd1Rep1</f>
        <v>Rep Allen</v>
      </c>
      <c r="E47" s="83">
        <f>tlInputProd1Seg1Therapy1Rep1Weight_R2</f>
        <v>0.4</v>
      </c>
      <c r="F47" s="83">
        <f>tlInputProd1Seg1Therapy1Rep1Weight_R2</f>
        <v>0.4</v>
      </c>
      <c r="G47" s="83">
        <f>tlInputProd1Seg1Therapy1Rep1Weight_R2</f>
        <v>0.4</v>
      </c>
      <c r="H47" s="83">
        <f>tlInputProd1Seg1Therapy1Rep1Weight_R2</f>
        <v>0.4</v>
      </c>
      <c r="I47" s="83">
        <f>tlInputProd1Seg1Therapy1Rep1Weight_R2</f>
        <v>0.4</v>
      </c>
      <c r="J47" s="84" t="s">
        <v>3440</v>
      </c>
      <c r="K47" s="121"/>
      <c r="L47" s="121"/>
      <c r="M47" s="121"/>
      <c r="N47" s="121"/>
      <c r="P47" s="88"/>
      <c r="Q47" s="88"/>
      <c r="R47" s="88"/>
      <c r="S47" s="88"/>
      <c r="T47" s="88"/>
      <c r="V47" s="88"/>
      <c r="W47" s="88"/>
      <c r="X47" s="88"/>
      <c r="Y47" s="88"/>
      <c r="Z47" s="88"/>
      <c r="AB47" s="88"/>
      <c r="AC47" s="88"/>
      <c r="AD47" s="88"/>
      <c r="AE47" s="88"/>
      <c r="AF47" s="88"/>
    </row>
    <row r="48" spans="2:32">
      <c r="C48" s="83" t="s">
        <v>2334</v>
      </c>
      <c r="D48" s="83" t="str">
        <f>nmProd1Rep2</f>
        <v>Rep Betty</v>
      </c>
      <c r="E48" s="83">
        <f>tlInputProd1Seg1Therapy1Rep2Weight_R2</f>
        <v>0.4</v>
      </c>
      <c r="F48" s="83">
        <f>tlInputProd1Seg1Therapy1Rep2Weight_R2</f>
        <v>0.4</v>
      </c>
      <c r="G48" s="83">
        <f>tlInputProd1Seg1Therapy1Rep2Weight_R2</f>
        <v>0.4</v>
      </c>
      <c r="H48" s="83">
        <f>tlInputProd1Seg1Therapy1Rep2Weight_R2</f>
        <v>0.4</v>
      </c>
      <c r="I48" s="83">
        <f>tlInputProd1Seg1Therapy1Rep2Weight_R2</f>
        <v>0.4</v>
      </c>
      <c r="J48" s="84" t="s">
        <v>3458</v>
      </c>
      <c r="K48" s="121"/>
      <c r="L48" s="121"/>
      <c r="M48" s="121"/>
      <c r="N48" s="121"/>
      <c r="P48" s="88"/>
      <c r="Q48" s="88"/>
      <c r="R48" s="88"/>
      <c r="S48" s="88"/>
      <c r="T48" s="88"/>
      <c r="V48" s="88"/>
      <c r="W48" s="88"/>
      <c r="X48" s="88"/>
      <c r="Y48" s="88"/>
      <c r="Z48" s="88"/>
      <c r="AB48" s="88"/>
      <c r="AC48" s="88"/>
      <c r="AD48" s="88"/>
      <c r="AE48" s="88"/>
      <c r="AF48" s="88"/>
    </row>
    <row r="49" spans="2:32">
      <c r="C49" s="83" t="s">
        <v>2334</v>
      </c>
      <c r="D49" s="83" t="str">
        <f>nmProd1Rep3</f>
        <v>Rep Chris</v>
      </c>
      <c r="E49" s="83">
        <f>tlInputProd1Seg1Therapy1Rep3Weight_R2</f>
        <v>0.6</v>
      </c>
      <c r="F49" s="83">
        <f>tlInputProd1Seg1Therapy1Rep3Weight_R2</f>
        <v>0.6</v>
      </c>
      <c r="G49" s="83">
        <f>tlInputProd1Seg1Therapy1Rep3Weight_R2</f>
        <v>0.6</v>
      </c>
      <c r="H49" s="83">
        <f>tlInputProd1Seg1Therapy1Rep3Weight_R2</f>
        <v>0.6</v>
      </c>
      <c r="I49" s="83">
        <f>tlInputProd1Seg1Therapy1Rep3Weight_R2</f>
        <v>0.6</v>
      </c>
      <c r="J49" s="84" t="s">
        <v>3470</v>
      </c>
      <c r="K49" s="121"/>
      <c r="L49" s="121"/>
      <c r="M49" s="121"/>
      <c r="N49" s="121"/>
      <c r="P49" s="88"/>
      <c r="Q49" s="88"/>
      <c r="R49" s="88"/>
      <c r="S49" s="88"/>
      <c r="T49" s="88"/>
      <c r="V49" s="88"/>
      <c r="W49" s="88"/>
      <c r="X49" s="88"/>
      <c r="Y49" s="88"/>
      <c r="Z49" s="88"/>
      <c r="AB49" s="88"/>
      <c r="AC49" s="88"/>
      <c r="AD49" s="88"/>
      <c r="AE49" s="88"/>
      <c r="AF49" s="88"/>
    </row>
    <row r="50" spans="2:32">
      <c r="J50" s="84"/>
      <c r="K50" s="121"/>
      <c r="L50" s="121"/>
      <c r="M50" s="121"/>
      <c r="N50" s="121"/>
      <c r="P50" s="88"/>
      <c r="Q50" s="88"/>
      <c r="R50" s="88"/>
      <c r="S50" s="88"/>
      <c r="T50" s="88"/>
      <c r="V50" s="88"/>
      <c r="W50" s="88"/>
      <c r="X50" s="88"/>
      <c r="Y50" s="88"/>
      <c r="Z50" s="88"/>
      <c r="AB50" s="88"/>
      <c r="AC50" s="88"/>
      <c r="AD50" s="88"/>
      <c r="AE50" s="88"/>
      <c r="AF50" s="88"/>
    </row>
    <row r="51" spans="2:32">
      <c r="B51" s="428" t="str">
        <f>nmProd1Seg2</f>
        <v>Tullyville</v>
      </c>
      <c r="J51" s="84"/>
      <c r="K51" s="121"/>
      <c r="L51" s="121"/>
      <c r="M51" s="121"/>
      <c r="N51" s="121"/>
      <c r="P51" s="88"/>
      <c r="Q51" s="88"/>
      <c r="R51" s="88"/>
      <c r="S51" s="88"/>
      <c r="T51" s="88"/>
      <c r="V51" s="88"/>
      <c r="W51" s="88"/>
      <c r="X51" s="88"/>
      <c r="Y51" s="88"/>
      <c r="Z51" s="88"/>
      <c r="AB51" s="88"/>
      <c r="AC51" s="88"/>
      <c r="AD51" s="88"/>
      <c r="AE51" s="88"/>
      <c r="AF51" s="88"/>
    </row>
    <row r="52" spans="2:32">
      <c r="B52" s="428" t="s">
        <v>1488</v>
      </c>
      <c r="D52" s="83" t="s">
        <v>588</v>
      </c>
      <c r="E52" s="83">
        <f>tlInputProd1Seg2PromotionAllocation_R1</f>
        <v>0.33</v>
      </c>
      <c r="F52" s="83">
        <f>tlInputProd1Seg2PromotionAllocation_R1</f>
        <v>0.33</v>
      </c>
      <c r="G52" s="83">
        <f>tlInputProd1Seg2PromotionAllocation_R1</f>
        <v>0.33</v>
      </c>
      <c r="H52" s="83">
        <f>tlInputProd1Seg2PromotionAllocation_R1</f>
        <v>0.33</v>
      </c>
      <c r="I52" s="83">
        <f>tlInputProd1Seg2PromotionAllocation_R1</f>
        <v>0.33</v>
      </c>
      <c r="J52" s="84" t="s">
        <v>2345</v>
      </c>
      <c r="K52" s="121"/>
      <c r="L52" s="121"/>
      <c r="M52" s="121"/>
      <c r="N52" s="121"/>
      <c r="P52" s="88"/>
      <c r="Q52" s="88"/>
      <c r="R52" s="88"/>
      <c r="S52" s="88"/>
      <c r="T52" s="88"/>
      <c r="V52" s="88"/>
      <c r="W52" s="88"/>
      <c r="X52" s="88"/>
      <c r="Y52" s="88"/>
      <c r="Z52" s="88"/>
      <c r="AB52" s="88"/>
      <c r="AC52" s="88"/>
      <c r="AD52" s="88"/>
      <c r="AE52" s="88"/>
      <c r="AF52" s="88"/>
    </row>
    <row r="53" spans="2:32">
      <c r="D53" s="83" t="s">
        <v>516</v>
      </c>
      <c r="E53" s="83">
        <f>tlInputProd1Seg2SamplesPerc_R1</f>
        <v>0.33</v>
      </c>
      <c r="F53" s="83">
        <f>tlInputProd1Seg2SamplesPerc_R1</f>
        <v>0.33</v>
      </c>
      <c r="G53" s="83">
        <f>tlInputProd1Seg2SamplesPerc_R1</f>
        <v>0.33</v>
      </c>
      <c r="H53" s="83">
        <f>tlInputProd1Seg2SamplesPerc_R1</f>
        <v>0.33</v>
      </c>
      <c r="I53" s="83">
        <f>tlInputProd1Seg2SamplesPerc_R1</f>
        <v>0.33</v>
      </c>
      <c r="J53" s="84" t="s">
        <v>2450</v>
      </c>
      <c r="K53" s="121"/>
      <c r="L53" s="121"/>
      <c r="M53" s="121"/>
      <c r="N53" s="121"/>
      <c r="P53" s="88"/>
      <c r="Q53" s="88"/>
      <c r="R53" s="88"/>
      <c r="S53" s="88"/>
      <c r="T53" s="88"/>
      <c r="V53" s="88"/>
      <c r="W53" s="88"/>
      <c r="X53" s="88"/>
      <c r="Y53" s="88"/>
      <c r="Z53" s="88"/>
      <c r="AB53" s="88"/>
      <c r="AC53" s="88"/>
      <c r="AD53" s="88"/>
      <c r="AE53" s="88"/>
      <c r="AF53" s="88"/>
    </row>
    <row r="54" spans="2:32">
      <c r="D54" s="83" t="s">
        <v>517</v>
      </c>
      <c r="E54" s="83">
        <f>tlInputProd1Seg2SpeakersPerc_R1</f>
        <v>0.5</v>
      </c>
      <c r="F54" s="83">
        <f>tlInputProd1Seg2SpeakersPerc_R1</f>
        <v>0.5</v>
      </c>
      <c r="G54" s="83">
        <f>tlInputProd1Seg2SpeakersPerc_R1</f>
        <v>0.5</v>
      </c>
      <c r="H54" s="83">
        <f>tlInputProd1Seg2SpeakersPerc_R1</f>
        <v>0.5</v>
      </c>
      <c r="I54" s="83">
        <f>tlInputProd1Seg2SpeakersPerc_R1</f>
        <v>0.5</v>
      </c>
      <c r="J54" s="84" t="s">
        <v>2346</v>
      </c>
      <c r="K54" s="121"/>
      <c r="L54" s="121"/>
      <c r="M54" s="121"/>
      <c r="N54" s="121"/>
      <c r="P54" s="88"/>
      <c r="Q54" s="88"/>
      <c r="R54" s="88"/>
      <c r="S54" s="88"/>
      <c r="T54" s="88"/>
      <c r="V54" s="88"/>
      <c r="W54" s="88"/>
      <c r="X54" s="88"/>
      <c r="Y54" s="88"/>
      <c r="Z54" s="88"/>
      <c r="AB54" s="88"/>
      <c r="AC54" s="88"/>
      <c r="AD54" s="88"/>
      <c r="AE54" s="88"/>
      <c r="AF54" s="88"/>
    </row>
    <row r="55" spans="2:32">
      <c r="D55" s="83" t="s">
        <v>2333</v>
      </c>
      <c r="E55" s="83">
        <f>tlInputProd1Seg2PromotionPerc_R1</f>
        <v>0.5</v>
      </c>
      <c r="F55" s="83">
        <f>tlInputProd1Seg2PromotionPerc_R1</f>
        <v>0.5</v>
      </c>
      <c r="G55" s="83">
        <f>tlInputProd1Seg2PromotionPerc_R1</f>
        <v>0.5</v>
      </c>
      <c r="H55" s="83">
        <f>tlInputProd1Seg2PromotionPerc_R1</f>
        <v>0.5</v>
      </c>
      <c r="I55" s="83">
        <f>tlInputProd1Seg2PromotionPerc_R1</f>
        <v>0.5</v>
      </c>
      <c r="J55" s="84" t="s">
        <v>2347</v>
      </c>
      <c r="K55" s="121"/>
      <c r="L55" s="121"/>
      <c r="M55" s="121"/>
      <c r="N55" s="121"/>
      <c r="P55" s="88"/>
      <c r="Q55" s="88"/>
      <c r="R55" s="88"/>
      <c r="S55" s="88"/>
      <c r="T55" s="88"/>
      <c r="V55" s="88"/>
      <c r="W55" s="88"/>
      <c r="X55" s="88"/>
      <c r="Y55" s="88"/>
      <c r="Z55" s="88"/>
      <c r="AB55" s="88"/>
      <c r="AC55" s="88"/>
      <c r="AD55" s="88"/>
      <c r="AE55" s="88"/>
      <c r="AF55" s="88"/>
    </row>
    <row r="56" spans="2:32">
      <c r="D56" s="83" t="s">
        <v>556</v>
      </c>
      <c r="J56" s="84" t="s">
        <v>2348</v>
      </c>
      <c r="K56" s="121"/>
      <c r="L56" s="121"/>
      <c r="M56" s="121"/>
      <c r="N56" s="121"/>
      <c r="P56" s="88"/>
      <c r="Q56" s="88"/>
      <c r="R56" s="88"/>
      <c r="S56" s="88"/>
      <c r="T56" s="88"/>
      <c r="V56" s="88"/>
      <c r="W56" s="88"/>
      <c r="X56" s="88"/>
      <c r="Y56" s="88"/>
      <c r="Z56" s="88"/>
      <c r="AB56" s="88"/>
      <c r="AC56" s="88"/>
      <c r="AD56" s="88"/>
      <c r="AE56" s="88"/>
      <c r="AF56" s="88"/>
    </row>
    <row r="57" spans="2:32">
      <c r="D57" s="83" t="s">
        <v>3211</v>
      </c>
      <c r="E57" s="83">
        <f>tlInputProd1Seg2RegTrainer_R1</f>
        <v>0</v>
      </c>
      <c r="F57" s="83">
        <f>tlInputProd1Seg2RegTrainer_R1</f>
        <v>0</v>
      </c>
      <c r="G57" s="83">
        <f>tlInputProd1Seg2RegTrainer_R1</f>
        <v>0</v>
      </c>
      <c r="H57" s="83">
        <f>tlInputProd1Seg2RegTrainer_R1</f>
        <v>0</v>
      </c>
      <c r="I57" s="83">
        <f>tlInputProd1Seg2RegTrainer_R1</f>
        <v>0</v>
      </c>
      <c r="J57" s="84" t="s">
        <v>2349</v>
      </c>
      <c r="K57" s="121"/>
      <c r="L57" s="121"/>
      <c r="M57" s="121"/>
      <c r="N57" s="121"/>
      <c r="P57" s="88"/>
      <c r="Q57" s="88"/>
      <c r="R57" s="88"/>
      <c r="S57" s="88"/>
      <c r="T57" s="88"/>
      <c r="V57" s="88"/>
      <c r="W57" s="88"/>
      <c r="X57" s="88"/>
      <c r="Y57" s="88"/>
      <c r="Z57" s="88"/>
      <c r="AB57" s="88"/>
      <c r="AC57" s="88"/>
      <c r="AD57" s="88"/>
      <c r="AE57" s="88"/>
      <c r="AF57" s="88"/>
    </row>
    <row r="58" spans="2:32">
      <c r="C58" s="83" t="s">
        <v>585</v>
      </c>
      <c r="D58" s="83" t="str">
        <f>nmProd1Rep1</f>
        <v>Rep Allen</v>
      </c>
      <c r="E58" s="83">
        <f>tlInputProd1Seg2Rep1Coaching_R1</f>
        <v>0</v>
      </c>
      <c r="F58" s="83">
        <f>tlInputProd1Seg2Rep1Coaching_R1</f>
        <v>0</v>
      </c>
      <c r="G58" s="83">
        <f>tlInputProd1Seg2Rep1Coaching_R1</f>
        <v>0</v>
      </c>
      <c r="H58" s="83">
        <f>tlInputProd1Seg2Rep1Coaching_R1</f>
        <v>0</v>
      </c>
      <c r="I58" s="83">
        <f>tlInputProd1Seg2Rep1Coaching_R1</f>
        <v>0</v>
      </c>
      <c r="J58" s="84" t="s">
        <v>3441</v>
      </c>
      <c r="K58" s="121"/>
      <c r="L58" s="121"/>
      <c r="M58" s="121"/>
      <c r="N58" s="121"/>
      <c r="P58" s="88"/>
      <c r="Q58" s="88"/>
      <c r="R58" s="88"/>
      <c r="S58" s="88"/>
      <c r="T58" s="88"/>
      <c r="V58" s="88"/>
      <c r="W58" s="88"/>
      <c r="X58" s="88"/>
      <c r="Y58" s="88"/>
      <c r="Z58" s="88"/>
      <c r="AB58" s="88"/>
      <c r="AC58" s="88"/>
      <c r="AD58" s="88"/>
      <c r="AE58" s="88"/>
      <c r="AF58" s="88"/>
    </row>
    <row r="59" spans="2:32">
      <c r="C59" s="83" t="s">
        <v>585</v>
      </c>
      <c r="D59" s="83" t="str">
        <f>nmProd1Rep2</f>
        <v>Rep Betty</v>
      </c>
      <c r="E59" s="83">
        <f>tlInputProd1Seg2Rep2Coaching_R1</f>
        <v>0</v>
      </c>
      <c r="F59" s="83">
        <f>tlInputProd1Seg2Rep2Coaching_R1</f>
        <v>0</v>
      </c>
      <c r="G59" s="83">
        <f>tlInputProd1Seg2Rep2Coaching_R1</f>
        <v>0</v>
      </c>
      <c r="H59" s="83">
        <f>tlInputProd1Seg2Rep2Coaching_R1</f>
        <v>0</v>
      </c>
      <c r="I59" s="83">
        <f>tlInputProd1Seg2Rep2Coaching_R1</f>
        <v>0</v>
      </c>
      <c r="J59" s="84" t="s">
        <v>3459</v>
      </c>
      <c r="K59" s="121"/>
      <c r="L59" s="121"/>
      <c r="M59" s="121"/>
      <c r="N59" s="121"/>
      <c r="P59" s="88"/>
      <c r="Q59" s="88"/>
      <c r="R59" s="88"/>
      <c r="S59" s="88"/>
      <c r="T59" s="88"/>
      <c r="V59" s="88"/>
      <c r="W59" s="88"/>
      <c r="X59" s="88"/>
      <c r="Y59" s="88"/>
      <c r="Z59" s="88"/>
      <c r="AB59" s="88"/>
      <c r="AC59" s="88"/>
      <c r="AD59" s="88"/>
      <c r="AE59" s="88"/>
      <c r="AF59" s="88"/>
    </row>
    <row r="60" spans="2:32">
      <c r="C60" s="83" t="s">
        <v>585</v>
      </c>
      <c r="D60" s="83" t="str">
        <f>nmProd1Rep3</f>
        <v>Rep Chris</v>
      </c>
      <c r="E60" s="83">
        <f>tlInputProd1Seg2Rep3Coaching_R1</f>
        <v>0</v>
      </c>
      <c r="F60" s="83">
        <f>tlInputProd1Seg2Rep3Coaching_R1</f>
        <v>0</v>
      </c>
      <c r="G60" s="83">
        <f>tlInputProd1Seg2Rep3Coaching_R1</f>
        <v>0</v>
      </c>
      <c r="H60" s="83">
        <f>tlInputProd1Seg2Rep3Coaching_R1</f>
        <v>0</v>
      </c>
      <c r="I60" s="83">
        <f>tlInputProd1Seg2Rep3Coaching_R1</f>
        <v>0</v>
      </c>
      <c r="J60" s="84" t="s">
        <v>3471</v>
      </c>
      <c r="K60" s="121"/>
      <c r="L60" s="121"/>
      <c r="M60" s="121"/>
      <c r="N60" s="121"/>
      <c r="P60" s="88"/>
      <c r="Q60" s="88"/>
      <c r="R60" s="88"/>
      <c r="S60" s="88"/>
      <c r="T60" s="88"/>
      <c r="V60" s="88"/>
      <c r="W60" s="88"/>
      <c r="X60" s="88"/>
      <c r="Y60" s="88"/>
      <c r="Z60" s="88"/>
      <c r="AB60" s="88"/>
      <c r="AC60" s="88"/>
      <c r="AD60" s="88"/>
      <c r="AE60" s="88"/>
      <c r="AF60" s="88"/>
    </row>
    <row r="61" spans="2:32">
      <c r="C61" s="83" t="s">
        <v>2334</v>
      </c>
      <c r="D61" s="83" t="str">
        <f>nmProd1Rep1</f>
        <v>Rep Allen</v>
      </c>
      <c r="E61" s="83">
        <f>tlInputProd1Seg2Therapy1Rep1Weight_R1</f>
        <v>0.6</v>
      </c>
      <c r="F61" s="83">
        <f>tlInputProd1Seg2Therapy1Rep1Weight_R1</f>
        <v>0.6</v>
      </c>
      <c r="G61" s="83">
        <f>tlInputProd1Seg2Therapy1Rep1Weight_R1</f>
        <v>0.6</v>
      </c>
      <c r="H61" s="83">
        <f>tlInputProd1Seg2Therapy1Rep1Weight_R1</f>
        <v>0.6</v>
      </c>
      <c r="I61" s="83">
        <f>tlInputProd1Seg2Therapy1Rep1Weight_R1</f>
        <v>0.6</v>
      </c>
      <c r="J61" s="84" t="s">
        <v>3442</v>
      </c>
      <c r="K61" s="121"/>
      <c r="L61" s="121"/>
      <c r="M61" s="121"/>
      <c r="N61" s="121"/>
      <c r="P61" s="88"/>
      <c r="Q61" s="88"/>
      <c r="R61" s="88"/>
      <c r="S61" s="88"/>
      <c r="T61" s="88"/>
      <c r="V61" s="88"/>
      <c r="W61" s="88"/>
      <c r="X61" s="88"/>
      <c r="Y61" s="88"/>
      <c r="Z61" s="88"/>
      <c r="AB61" s="88"/>
      <c r="AC61" s="88"/>
      <c r="AD61" s="88"/>
      <c r="AE61" s="88"/>
      <c r="AF61" s="88"/>
    </row>
    <row r="62" spans="2:32">
      <c r="C62" s="83" t="s">
        <v>2334</v>
      </c>
      <c r="D62" s="83" t="str">
        <f>nmProd1Rep2</f>
        <v>Rep Betty</v>
      </c>
      <c r="E62" s="83">
        <f>tlInputProd1Seg2Therapy1Rep2Weight_R1</f>
        <v>0.5</v>
      </c>
      <c r="F62" s="83">
        <f>tlInputProd1Seg2Therapy1Rep2Weight_R1</f>
        <v>0.5</v>
      </c>
      <c r="G62" s="83">
        <f>tlInputProd1Seg2Therapy1Rep2Weight_R1</f>
        <v>0.5</v>
      </c>
      <c r="H62" s="83">
        <f>tlInputProd1Seg2Therapy1Rep2Weight_R1</f>
        <v>0.5</v>
      </c>
      <c r="I62" s="83">
        <f>tlInputProd1Seg2Therapy1Rep2Weight_R1</f>
        <v>0.5</v>
      </c>
      <c r="J62" s="84" t="s">
        <v>3460</v>
      </c>
      <c r="K62" s="121"/>
      <c r="L62" s="121"/>
      <c r="M62" s="121"/>
      <c r="N62" s="121"/>
      <c r="P62" s="88"/>
      <c r="Q62" s="88"/>
      <c r="R62" s="88"/>
      <c r="S62" s="88"/>
      <c r="T62" s="88"/>
      <c r="V62" s="88"/>
      <c r="W62" s="88"/>
      <c r="X62" s="88"/>
      <c r="Y62" s="88"/>
      <c r="Z62" s="88"/>
      <c r="AB62" s="88"/>
      <c r="AC62" s="88"/>
      <c r="AD62" s="88"/>
      <c r="AE62" s="88"/>
      <c r="AF62" s="88"/>
    </row>
    <row r="63" spans="2:32">
      <c r="C63" s="83" t="s">
        <v>2334</v>
      </c>
      <c r="D63" s="83" t="str">
        <f>nmProd1Rep3</f>
        <v>Rep Chris</v>
      </c>
      <c r="E63" s="83">
        <f>tlInputProd1Seg2Therapy1Rep3Weight_R1</f>
        <v>0.4</v>
      </c>
      <c r="F63" s="83">
        <f>tlInputProd1Seg2Therapy1Rep3Weight_R1</f>
        <v>0.4</v>
      </c>
      <c r="G63" s="83">
        <f>tlInputProd1Seg2Therapy1Rep3Weight_R1</f>
        <v>0.4</v>
      </c>
      <c r="H63" s="83">
        <f>tlInputProd1Seg2Therapy1Rep3Weight_R1</f>
        <v>0.4</v>
      </c>
      <c r="I63" s="83">
        <f>tlInputProd1Seg2Therapy1Rep3Weight_R1</f>
        <v>0.4</v>
      </c>
      <c r="J63" s="84" t="s">
        <v>3472</v>
      </c>
      <c r="K63" s="121"/>
      <c r="L63" s="121"/>
      <c r="M63" s="121"/>
      <c r="N63" s="121"/>
      <c r="P63" s="88"/>
      <c r="Q63" s="88"/>
      <c r="R63" s="88"/>
      <c r="S63" s="88"/>
      <c r="T63" s="88"/>
      <c r="V63" s="88"/>
      <c r="W63" s="88"/>
      <c r="X63" s="88"/>
      <c r="Y63" s="88"/>
      <c r="Z63" s="88"/>
      <c r="AB63" s="88"/>
      <c r="AC63" s="88"/>
      <c r="AD63" s="88"/>
      <c r="AE63" s="88"/>
      <c r="AF63" s="88"/>
    </row>
    <row r="64" spans="2:32">
      <c r="J64" s="84"/>
      <c r="K64" s="121"/>
      <c r="L64" s="121"/>
      <c r="M64" s="121"/>
      <c r="N64" s="121"/>
      <c r="P64" s="88"/>
      <c r="Q64" s="88"/>
      <c r="R64" s="88"/>
      <c r="S64" s="88"/>
      <c r="T64" s="88"/>
      <c r="V64" s="88"/>
      <c r="W64" s="88"/>
      <c r="X64" s="88"/>
      <c r="Y64" s="88"/>
      <c r="Z64" s="88"/>
      <c r="AB64" s="88"/>
      <c r="AC64" s="88"/>
      <c r="AD64" s="88"/>
      <c r="AE64" s="88"/>
      <c r="AF64" s="88"/>
    </row>
    <row r="65" spans="2:32">
      <c r="B65" s="428" t="s">
        <v>1551</v>
      </c>
      <c r="D65" s="83" t="s">
        <v>588</v>
      </c>
      <c r="E65" s="83">
        <f>tlInputProd1Seg2PromotionAllocation_R2</f>
        <v>0.33</v>
      </c>
      <c r="F65" s="83">
        <f>tlInputProd1Seg2PromotionAllocation_R2</f>
        <v>0.33</v>
      </c>
      <c r="G65" s="83">
        <f>tlInputProd1Seg2PromotionAllocation_R2</f>
        <v>0.33</v>
      </c>
      <c r="H65" s="83">
        <f>tlInputProd1Seg2PromotionAllocation_R2</f>
        <v>0.33</v>
      </c>
      <c r="I65" s="83">
        <f>tlInputProd1Seg2PromotionAllocation_R2</f>
        <v>0.33</v>
      </c>
      <c r="J65" s="84" t="s">
        <v>2350</v>
      </c>
      <c r="K65" s="121"/>
      <c r="L65" s="121"/>
      <c r="M65" s="121"/>
      <c r="N65" s="121"/>
      <c r="P65" s="88"/>
      <c r="Q65" s="88"/>
      <c r="R65" s="88"/>
      <c r="S65" s="88"/>
      <c r="T65" s="88"/>
      <c r="V65" s="88"/>
      <c r="W65" s="88"/>
      <c r="X65" s="88"/>
      <c r="Y65" s="88"/>
      <c r="Z65" s="88"/>
      <c r="AB65" s="88"/>
      <c r="AC65" s="88"/>
      <c r="AD65" s="88"/>
      <c r="AE65" s="88"/>
      <c r="AF65" s="88"/>
    </row>
    <row r="66" spans="2:32">
      <c r="D66" s="83" t="s">
        <v>516</v>
      </c>
      <c r="E66" s="83">
        <f>tlInputProd1Seg2SamplesPerc_R2</f>
        <v>0.33</v>
      </c>
      <c r="F66" s="83">
        <f>tlInputProd1Seg2SamplesPerc_R2</f>
        <v>0.33</v>
      </c>
      <c r="G66" s="83">
        <f>tlInputProd1Seg2SamplesPerc_R2</f>
        <v>0.33</v>
      </c>
      <c r="H66" s="83">
        <f>tlInputProd1Seg2SamplesPerc_R2</f>
        <v>0.33</v>
      </c>
      <c r="I66" s="83">
        <f>tlInputProd1Seg2SamplesPerc_R2</f>
        <v>0.33</v>
      </c>
      <c r="J66" s="84" t="s">
        <v>2451</v>
      </c>
      <c r="K66" s="121"/>
      <c r="L66" s="121"/>
      <c r="M66" s="121"/>
      <c r="N66" s="121"/>
      <c r="P66" s="88"/>
      <c r="Q66" s="88"/>
      <c r="R66" s="88"/>
      <c r="S66" s="88"/>
      <c r="T66" s="88"/>
      <c r="V66" s="88"/>
      <c r="W66" s="88"/>
      <c r="X66" s="88"/>
      <c r="Y66" s="88"/>
      <c r="Z66" s="88"/>
      <c r="AB66" s="88"/>
      <c r="AC66" s="88"/>
      <c r="AD66" s="88"/>
      <c r="AE66" s="88"/>
      <c r="AF66" s="88"/>
    </row>
    <row r="67" spans="2:32">
      <c r="D67" s="83" t="s">
        <v>517</v>
      </c>
      <c r="E67" s="83">
        <f>tlInputProd1Seg2SpeakersPerc_R2</f>
        <v>0.5</v>
      </c>
      <c r="F67" s="83">
        <f>tlInputProd1Seg2SpeakersPerc_R2</f>
        <v>0.5</v>
      </c>
      <c r="G67" s="83">
        <f>tlInputProd1Seg2SpeakersPerc_R2</f>
        <v>0.5</v>
      </c>
      <c r="H67" s="83">
        <f>tlInputProd1Seg2SpeakersPerc_R2</f>
        <v>0.5</v>
      </c>
      <c r="I67" s="83">
        <f>tlInputProd1Seg2SpeakersPerc_R2</f>
        <v>0.5</v>
      </c>
      <c r="J67" s="84" t="s">
        <v>2351</v>
      </c>
      <c r="K67" s="121"/>
      <c r="L67" s="121"/>
      <c r="M67" s="121"/>
      <c r="N67" s="121"/>
      <c r="P67" s="88"/>
      <c r="Q67" s="88"/>
      <c r="R67" s="88"/>
      <c r="S67" s="88"/>
      <c r="T67" s="88"/>
      <c r="V67" s="88"/>
      <c r="W67" s="88"/>
      <c r="X67" s="88"/>
      <c r="Y67" s="88"/>
      <c r="Z67" s="88"/>
      <c r="AB67" s="88"/>
      <c r="AC67" s="88"/>
      <c r="AD67" s="88"/>
      <c r="AE67" s="88"/>
      <c r="AF67" s="88"/>
    </row>
    <row r="68" spans="2:32">
      <c r="D68" s="83" t="s">
        <v>2333</v>
      </c>
      <c r="E68" s="83">
        <f>tlInputProd1Seg2PromotionPerc_R2</f>
        <v>0.5</v>
      </c>
      <c r="F68" s="83">
        <f>tlInputProd1Seg2PromotionPerc_R2</f>
        <v>0.5</v>
      </c>
      <c r="G68" s="83">
        <f>tlInputProd1Seg2PromotionPerc_R2</f>
        <v>0.5</v>
      </c>
      <c r="H68" s="83">
        <f>tlInputProd1Seg2PromotionPerc_R2</f>
        <v>0.5</v>
      </c>
      <c r="I68" s="83">
        <f>tlInputProd1Seg2PromotionPerc_R2</f>
        <v>0.5</v>
      </c>
      <c r="J68" s="84" t="s">
        <v>2352</v>
      </c>
      <c r="K68" s="121"/>
      <c r="L68" s="121"/>
      <c r="M68" s="121"/>
      <c r="N68" s="121"/>
      <c r="P68" s="88"/>
      <c r="Q68" s="88"/>
      <c r="R68" s="88"/>
      <c r="S68" s="88"/>
      <c r="T68" s="88"/>
      <c r="V68" s="88"/>
      <c r="W68" s="88"/>
      <c r="X68" s="88"/>
      <c r="Y68" s="88"/>
      <c r="Z68" s="88"/>
      <c r="AB68" s="88"/>
      <c r="AC68" s="88"/>
      <c r="AD68" s="88"/>
      <c r="AE68" s="88"/>
      <c r="AF68" s="88"/>
    </row>
    <row r="69" spans="2:32">
      <c r="D69" s="83" t="s">
        <v>556</v>
      </c>
      <c r="J69" s="84" t="s">
        <v>2353</v>
      </c>
      <c r="K69" s="121"/>
      <c r="L69" s="121"/>
      <c r="M69" s="121"/>
      <c r="N69" s="121"/>
      <c r="P69" s="88"/>
      <c r="Q69" s="88"/>
      <c r="R69" s="88"/>
      <c r="S69" s="88"/>
      <c r="T69" s="88"/>
      <c r="V69" s="88"/>
      <c r="W69" s="88"/>
      <c r="X69" s="88"/>
      <c r="Y69" s="88"/>
      <c r="Z69" s="88"/>
      <c r="AB69" s="88"/>
      <c r="AC69" s="88"/>
      <c r="AD69" s="88"/>
      <c r="AE69" s="88"/>
      <c r="AF69" s="88"/>
    </row>
    <row r="70" spans="2:32">
      <c r="D70" s="83" t="s">
        <v>3211</v>
      </c>
      <c r="E70" s="83">
        <f>tlInputProd1Seg2RegTrainer_R2</f>
        <v>0</v>
      </c>
      <c r="F70" s="83">
        <f>tlInputProd1Seg2RegTrainer_R2</f>
        <v>0</v>
      </c>
      <c r="G70" s="83">
        <f>tlInputProd1Seg2RegTrainer_R2</f>
        <v>0</v>
      </c>
      <c r="H70" s="83">
        <f>tlInputProd1Seg2RegTrainer_R2</f>
        <v>0</v>
      </c>
      <c r="I70" s="83">
        <f>tlInputProd1Seg2RegTrainer_R2</f>
        <v>0</v>
      </c>
      <c r="J70" s="84" t="s">
        <v>2354</v>
      </c>
      <c r="K70" s="121"/>
      <c r="L70" s="121"/>
      <c r="M70" s="121"/>
      <c r="N70" s="121"/>
      <c r="P70" s="88"/>
      <c r="Q70" s="88"/>
      <c r="R70" s="88"/>
      <c r="S70" s="88"/>
      <c r="T70" s="88"/>
      <c r="V70" s="88"/>
      <c r="W70" s="88"/>
      <c r="X70" s="88"/>
      <c r="Y70" s="88"/>
      <c r="Z70" s="88"/>
      <c r="AB70" s="88"/>
      <c r="AC70" s="88"/>
      <c r="AD70" s="88"/>
      <c r="AE70" s="88"/>
      <c r="AF70" s="88"/>
    </row>
    <row r="71" spans="2:32">
      <c r="C71" s="83" t="s">
        <v>585</v>
      </c>
      <c r="D71" s="83" t="str">
        <f>nmProd1Rep1</f>
        <v>Rep Allen</v>
      </c>
      <c r="E71" s="83">
        <f>tlInputProd1Seg2Rep1Coaching_R2</f>
        <v>0</v>
      </c>
      <c r="F71" s="83">
        <f>tlInputProd1Seg2Rep1Coaching_R2</f>
        <v>0</v>
      </c>
      <c r="G71" s="83">
        <f>tlInputProd1Seg2Rep1Coaching_R2</f>
        <v>0</v>
      </c>
      <c r="H71" s="83">
        <f>tlInputProd1Seg2Rep1Coaching_R2</f>
        <v>0</v>
      </c>
      <c r="I71" s="83">
        <f>tlInputProd1Seg2Rep1Coaching_R2</f>
        <v>0</v>
      </c>
      <c r="J71" s="84" t="s">
        <v>3443</v>
      </c>
      <c r="K71" s="121"/>
      <c r="L71" s="121"/>
      <c r="M71" s="121"/>
      <c r="N71" s="121"/>
      <c r="P71" s="88"/>
      <c r="Q71" s="88"/>
      <c r="R71" s="88"/>
      <c r="S71" s="88"/>
      <c r="T71" s="88"/>
      <c r="V71" s="88"/>
      <c r="W71" s="88"/>
      <c r="X71" s="88"/>
      <c r="Y71" s="88"/>
      <c r="Z71" s="88"/>
      <c r="AB71" s="88"/>
      <c r="AC71" s="88"/>
      <c r="AD71" s="88"/>
      <c r="AE71" s="88"/>
      <c r="AF71" s="88"/>
    </row>
    <row r="72" spans="2:32">
      <c r="C72" s="83" t="s">
        <v>585</v>
      </c>
      <c r="D72" s="83" t="str">
        <f>nmProd1Rep2</f>
        <v>Rep Betty</v>
      </c>
      <c r="E72" s="83">
        <f>tlInputProd1Seg2Rep2Coaching_R2</f>
        <v>0</v>
      </c>
      <c r="F72" s="83">
        <f>tlInputProd1Seg2Rep2Coaching_R2</f>
        <v>0</v>
      </c>
      <c r="G72" s="83">
        <f>tlInputProd1Seg2Rep2Coaching_R2</f>
        <v>0</v>
      </c>
      <c r="H72" s="83">
        <f>tlInputProd1Seg2Rep2Coaching_R2</f>
        <v>0</v>
      </c>
      <c r="I72" s="83">
        <f>tlInputProd1Seg2Rep2Coaching_R2</f>
        <v>0</v>
      </c>
      <c r="J72" s="84" t="s">
        <v>3461</v>
      </c>
      <c r="K72" s="121"/>
      <c r="L72" s="121"/>
      <c r="M72" s="121"/>
      <c r="N72" s="121"/>
      <c r="P72" s="88"/>
      <c r="Q72" s="88"/>
      <c r="R72" s="88"/>
      <c r="S72" s="88"/>
      <c r="T72" s="88"/>
      <c r="V72" s="88"/>
      <c r="W72" s="88"/>
      <c r="X72" s="88"/>
      <c r="Y72" s="88"/>
      <c r="Z72" s="88"/>
      <c r="AB72" s="88"/>
      <c r="AC72" s="88"/>
      <c r="AD72" s="88"/>
      <c r="AE72" s="88"/>
      <c r="AF72" s="88"/>
    </row>
    <row r="73" spans="2:32">
      <c r="C73" s="83" t="s">
        <v>585</v>
      </c>
      <c r="D73" s="83" t="str">
        <f>nmProd1Rep3</f>
        <v>Rep Chris</v>
      </c>
      <c r="E73" s="83">
        <f>tlInputProd1Seg2Rep3Coaching_R2</f>
        <v>0</v>
      </c>
      <c r="F73" s="83">
        <f>tlInputProd1Seg2Rep3Coaching_R2</f>
        <v>0</v>
      </c>
      <c r="G73" s="83">
        <f>tlInputProd1Seg2Rep3Coaching_R2</f>
        <v>0</v>
      </c>
      <c r="H73" s="83">
        <f>tlInputProd1Seg2Rep3Coaching_R2</f>
        <v>0</v>
      </c>
      <c r="I73" s="83">
        <f>tlInputProd1Seg2Rep3Coaching_R2</f>
        <v>0</v>
      </c>
      <c r="J73" s="84" t="s">
        <v>3473</v>
      </c>
      <c r="K73" s="121"/>
      <c r="L73" s="121"/>
      <c r="M73" s="121"/>
      <c r="N73" s="121"/>
      <c r="P73" s="88"/>
      <c r="Q73" s="88"/>
      <c r="R73" s="88"/>
      <c r="S73" s="88"/>
      <c r="T73" s="88"/>
      <c r="V73" s="88"/>
      <c r="W73" s="88"/>
      <c r="X73" s="88"/>
      <c r="Y73" s="88"/>
      <c r="Z73" s="88"/>
      <c r="AB73" s="88"/>
      <c r="AC73" s="88"/>
      <c r="AD73" s="88"/>
      <c r="AE73" s="88"/>
      <c r="AF73" s="88"/>
    </row>
    <row r="74" spans="2:32">
      <c r="C74" s="83" t="s">
        <v>2334</v>
      </c>
      <c r="D74" s="83" t="str">
        <f>nmProd1Rep1</f>
        <v>Rep Allen</v>
      </c>
      <c r="E74" s="83">
        <f>tlInputProd1Seg2Therapy1Rep1Weight_R2</f>
        <v>0.6</v>
      </c>
      <c r="F74" s="83">
        <f>tlInputProd1Seg2Therapy1Rep1Weight_R2</f>
        <v>0.6</v>
      </c>
      <c r="G74" s="83">
        <f>tlInputProd1Seg2Therapy1Rep1Weight_R2</f>
        <v>0.6</v>
      </c>
      <c r="H74" s="83">
        <f>tlInputProd1Seg2Therapy1Rep1Weight_R2</f>
        <v>0.6</v>
      </c>
      <c r="I74" s="83">
        <f>tlInputProd1Seg2Therapy1Rep1Weight_R2</f>
        <v>0.6</v>
      </c>
      <c r="J74" s="84" t="s">
        <v>3444</v>
      </c>
      <c r="K74" s="121"/>
      <c r="L74" s="121"/>
      <c r="M74" s="121"/>
      <c r="N74" s="121"/>
      <c r="P74" s="88"/>
      <c r="Q74" s="88"/>
      <c r="R74" s="88"/>
      <c r="S74" s="88"/>
      <c r="T74" s="88"/>
      <c r="V74" s="88"/>
      <c r="W74" s="88"/>
      <c r="X74" s="88"/>
      <c r="Y74" s="88"/>
      <c r="Z74" s="88"/>
      <c r="AB74" s="88"/>
      <c r="AC74" s="88"/>
      <c r="AD74" s="88"/>
      <c r="AE74" s="88"/>
      <c r="AF74" s="88"/>
    </row>
    <row r="75" spans="2:32">
      <c r="C75" s="83" t="s">
        <v>2334</v>
      </c>
      <c r="D75" s="83" t="str">
        <f>nmProd1Rep2</f>
        <v>Rep Betty</v>
      </c>
      <c r="E75" s="83">
        <f>tlInputProd1Seg2Therapy1Rep2Weight_R2</f>
        <v>0.6</v>
      </c>
      <c r="F75" s="83">
        <f>tlInputProd1Seg2Therapy1Rep2Weight_R2</f>
        <v>0.6</v>
      </c>
      <c r="G75" s="83">
        <f>tlInputProd1Seg2Therapy1Rep2Weight_R2</f>
        <v>0.6</v>
      </c>
      <c r="H75" s="83">
        <f>tlInputProd1Seg2Therapy1Rep2Weight_R2</f>
        <v>0.6</v>
      </c>
      <c r="I75" s="83">
        <f>tlInputProd1Seg2Therapy1Rep2Weight_R2</f>
        <v>0.6</v>
      </c>
      <c r="J75" s="84" t="s">
        <v>3462</v>
      </c>
      <c r="K75" s="121"/>
      <c r="L75" s="121"/>
      <c r="M75" s="121"/>
      <c r="N75" s="121"/>
      <c r="P75" s="88"/>
      <c r="Q75" s="88"/>
      <c r="R75" s="88"/>
      <c r="S75" s="88"/>
      <c r="T75" s="88"/>
      <c r="V75" s="88"/>
      <c r="W75" s="88"/>
      <c r="X75" s="88"/>
      <c r="Y75" s="88"/>
      <c r="Z75" s="88"/>
      <c r="AB75" s="88"/>
      <c r="AC75" s="88"/>
      <c r="AD75" s="88"/>
      <c r="AE75" s="88"/>
      <c r="AF75" s="88"/>
    </row>
    <row r="76" spans="2:32">
      <c r="C76" s="83" t="s">
        <v>2334</v>
      </c>
      <c r="D76" s="83" t="str">
        <f>nmProd1Rep3</f>
        <v>Rep Chris</v>
      </c>
      <c r="E76" s="83">
        <f>tlInputProd1Seg2Therapy1Rep3Weight_R2</f>
        <v>0.4</v>
      </c>
      <c r="F76" s="83">
        <f>tlInputProd1Seg2Therapy1Rep3Weight_R2</f>
        <v>0.4</v>
      </c>
      <c r="G76" s="83">
        <f>tlInputProd1Seg2Therapy1Rep3Weight_R2</f>
        <v>0.4</v>
      </c>
      <c r="H76" s="83">
        <f>tlInputProd1Seg2Therapy1Rep3Weight_R2</f>
        <v>0.4</v>
      </c>
      <c r="I76" s="83">
        <f>tlInputProd1Seg2Therapy1Rep3Weight_R2</f>
        <v>0.4</v>
      </c>
      <c r="J76" s="84" t="s">
        <v>3474</v>
      </c>
      <c r="K76" s="121"/>
      <c r="L76" s="121"/>
      <c r="M76" s="121"/>
      <c r="N76" s="121"/>
      <c r="P76" s="88"/>
      <c r="Q76" s="88"/>
      <c r="R76" s="88"/>
      <c r="S76" s="88"/>
      <c r="T76" s="88"/>
      <c r="V76" s="88"/>
      <c r="W76" s="88"/>
      <c r="X76" s="88"/>
      <c r="Y76" s="88"/>
      <c r="Z76" s="88"/>
      <c r="AB76" s="88"/>
      <c r="AC76" s="88"/>
      <c r="AD76" s="88"/>
      <c r="AE76" s="88"/>
      <c r="AF76" s="88"/>
    </row>
    <row r="77" spans="2:32">
      <c r="J77" s="84"/>
      <c r="K77" s="121"/>
      <c r="L77" s="121"/>
      <c r="M77" s="121"/>
      <c r="N77" s="121"/>
      <c r="P77" s="88"/>
      <c r="Q77" s="88"/>
      <c r="R77" s="88"/>
      <c r="S77" s="88"/>
      <c r="T77" s="88"/>
      <c r="V77" s="88"/>
      <c r="W77" s="88"/>
      <c r="X77" s="88"/>
      <c r="Y77" s="88"/>
      <c r="Z77" s="88"/>
      <c r="AB77" s="88"/>
      <c r="AC77" s="88"/>
      <c r="AD77" s="88"/>
      <c r="AE77" s="88"/>
      <c r="AF77" s="88"/>
    </row>
    <row r="78" spans="2:32">
      <c r="B78" s="428" t="str">
        <f>nmProd1Seg3</f>
        <v>Lordfrey City</v>
      </c>
      <c r="J78" s="84"/>
      <c r="K78" s="121"/>
      <c r="L78" s="121"/>
      <c r="M78" s="121"/>
      <c r="N78" s="121"/>
      <c r="P78" s="88"/>
      <c r="Q78" s="88"/>
      <c r="R78" s="88"/>
      <c r="S78" s="88"/>
      <c r="T78" s="88"/>
      <c r="V78" s="88"/>
      <c r="W78" s="88"/>
      <c r="X78" s="88"/>
      <c r="Y78" s="88"/>
      <c r="Z78" s="88"/>
      <c r="AB78" s="88"/>
      <c r="AC78" s="88"/>
      <c r="AD78" s="88"/>
      <c r="AE78" s="88"/>
      <c r="AF78" s="88"/>
    </row>
    <row r="79" spans="2:32">
      <c r="B79" s="428" t="s">
        <v>1488</v>
      </c>
      <c r="D79" s="83" t="s">
        <v>588</v>
      </c>
      <c r="E79" s="83">
        <f>tlInputProd1Seg3PromotionAllocation_R1</f>
        <v>0.33</v>
      </c>
      <c r="F79" s="83">
        <f>tlInputProd1Seg3PromotionAllocation_R1</f>
        <v>0.33</v>
      </c>
      <c r="G79" s="83">
        <f>tlInputProd1Seg3PromotionAllocation_R1</f>
        <v>0.33</v>
      </c>
      <c r="H79" s="83">
        <f>tlInputProd1Seg3PromotionAllocation_R1</f>
        <v>0.33</v>
      </c>
      <c r="I79" s="83">
        <f>tlInputProd1Seg3PromotionAllocation_R1</f>
        <v>0.33</v>
      </c>
      <c r="J79" s="84" t="s">
        <v>2355</v>
      </c>
      <c r="K79" s="121"/>
      <c r="L79" s="121"/>
      <c r="M79" s="121"/>
      <c r="N79" s="121"/>
      <c r="P79" s="88"/>
      <c r="Q79" s="88"/>
      <c r="R79" s="88"/>
      <c r="S79" s="88"/>
      <c r="T79" s="88"/>
      <c r="V79" s="88"/>
      <c r="W79" s="88"/>
      <c r="X79" s="88"/>
      <c r="Y79" s="88"/>
      <c r="Z79" s="88"/>
      <c r="AB79" s="88"/>
      <c r="AC79" s="88"/>
      <c r="AD79" s="88"/>
      <c r="AE79" s="88"/>
      <c r="AF79" s="88"/>
    </row>
    <row r="80" spans="2:32">
      <c r="D80" s="83" t="s">
        <v>516</v>
      </c>
      <c r="E80" s="83">
        <f>tlInputProd1Seg3SamplesPerc_R1</f>
        <v>0.33</v>
      </c>
      <c r="F80" s="83">
        <f>tlInputProd1Seg3SamplesPerc_R1</f>
        <v>0.33</v>
      </c>
      <c r="G80" s="83">
        <f>tlInputProd1Seg3SamplesPerc_R1</f>
        <v>0.33</v>
      </c>
      <c r="H80" s="83">
        <f>tlInputProd1Seg3SamplesPerc_R1</f>
        <v>0.33</v>
      </c>
      <c r="I80" s="83">
        <f>tlInputProd1Seg3SamplesPerc_R1</f>
        <v>0.33</v>
      </c>
      <c r="J80" s="84" t="s">
        <v>2452</v>
      </c>
      <c r="K80" s="121"/>
      <c r="L80" s="121"/>
      <c r="M80" s="121"/>
      <c r="N80" s="121"/>
      <c r="P80" s="88"/>
      <c r="Q80" s="88"/>
      <c r="R80" s="88"/>
      <c r="S80" s="88"/>
      <c r="T80" s="88"/>
      <c r="V80" s="88"/>
      <c r="W80" s="88"/>
      <c r="X80" s="88"/>
      <c r="Y80" s="88"/>
      <c r="Z80" s="88"/>
      <c r="AB80" s="88"/>
      <c r="AC80" s="88"/>
      <c r="AD80" s="88"/>
      <c r="AE80" s="88"/>
      <c r="AF80" s="88"/>
    </row>
    <row r="81" spans="2:32">
      <c r="D81" s="83" t="s">
        <v>517</v>
      </c>
      <c r="E81" s="83">
        <f>tlInputProd1Seg3SpeakersPerc_R1</f>
        <v>0.5</v>
      </c>
      <c r="F81" s="83">
        <f>tlInputProd1Seg3SpeakersPerc_R1</f>
        <v>0.5</v>
      </c>
      <c r="G81" s="83">
        <f>tlInputProd1Seg3SpeakersPerc_R1</f>
        <v>0.5</v>
      </c>
      <c r="H81" s="83">
        <f>tlInputProd1Seg3SpeakersPerc_R1</f>
        <v>0.5</v>
      </c>
      <c r="I81" s="83">
        <f>tlInputProd1Seg3SpeakersPerc_R1</f>
        <v>0.5</v>
      </c>
      <c r="J81" s="84" t="s">
        <v>2356</v>
      </c>
      <c r="K81" s="121"/>
      <c r="L81" s="121"/>
      <c r="M81" s="121"/>
      <c r="N81" s="121"/>
      <c r="P81" s="88"/>
      <c r="Q81" s="88"/>
      <c r="R81" s="88"/>
      <c r="S81" s="88"/>
      <c r="T81" s="88"/>
      <c r="V81" s="88"/>
      <c r="W81" s="88"/>
      <c r="X81" s="88"/>
      <c r="Y81" s="88"/>
      <c r="Z81" s="88"/>
      <c r="AB81" s="88"/>
      <c r="AC81" s="88"/>
      <c r="AD81" s="88"/>
      <c r="AE81" s="88"/>
      <c r="AF81" s="88"/>
    </row>
    <row r="82" spans="2:32">
      <c r="D82" s="83" t="s">
        <v>2333</v>
      </c>
      <c r="E82" s="83">
        <f>tlInputProd1Seg3PromotionPerc_R1</f>
        <v>0.5</v>
      </c>
      <c r="F82" s="83">
        <f>tlInputProd1Seg3PromotionPerc_R1</f>
        <v>0.5</v>
      </c>
      <c r="G82" s="83">
        <f>tlInputProd1Seg3PromotionPerc_R1</f>
        <v>0.5</v>
      </c>
      <c r="H82" s="83">
        <f>tlInputProd1Seg3PromotionPerc_R1</f>
        <v>0.5</v>
      </c>
      <c r="I82" s="83">
        <f>tlInputProd1Seg3PromotionPerc_R1</f>
        <v>0.5</v>
      </c>
      <c r="J82" s="84" t="s">
        <v>2357</v>
      </c>
      <c r="K82" s="121"/>
      <c r="L82" s="121"/>
      <c r="M82" s="121"/>
      <c r="N82" s="121"/>
      <c r="P82" s="88"/>
      <c r="Q82" s="88"/>
      <c r="R82" s="88"/>
      <c r="S82" s="88"/>
      <c r="T82" s="88"/>
      <c r="V82" s="88"/>
      <c r="W82" s="88"/>
      <c r="X82" s="88"/>
      <c r="Y82" s="88"/>
      <c r="Z82" s="88"/>
      <c r="AB82" s="88"/>
      <c r="AC82" s="88"/>
      <c r="AD82" s="88"/>
      <c r="AE82" s="88"/>
      <c r="AF82" s="88"/>
    </row>
    <row r="83" spans="2:32">
      <c r="D83" s="83" t="s">
        <v>556</v>
      </c>
      <c r="J83" s="84" t="s">
        <v>2358</v>
      </c>
      <c r="K83" s="121"/>
      <c r="L83" s="121"/>
      <c r="M83" s="121"/>
      <c r="N83" s="121"/>
      <c r="P83" s="88"/>
      <c r="Q83" s="88"/>
      <c r="R83" s="88"/>
      <c r="S83" s="88"/>
      <c r="T83" s="88"/>
      <c r="V83" s="88"/>
      <c r="W83" s="88"/>
      <c r="X83" s="88"/>
      <c r="Y83" s="88"/>
      <c r="Z83" s="88"/>
      <c r="AB83" s="88"/>
      <c r="AC83" s="88"/>
      <c r="AD83" s="88"/>
      <c r="AE83" s="88"/>
      <c r="AF83" s="88"/>
    </row>
    <row r="84" spans="2:32">
      <c r="D84" s="83" t="s">
        <v>3211</v>
      </c>
      <c r="E84" s="83">
        <f>tlInputProd1Seg3RegTrainer_R1</f>
        <v>0</v>
      </c>
      <c r="F84" s="83">
        <f>tlInputProd1Seg3RegTrainer_R1</f>
        <v>0</v>
      </c>
      <c r="G84" s="83">
        <f>tlInputProd1Seg3RegTrainer_R1</f>
        <v>0</v>
      </c>
      <c r="H84" s="83">
        <f>tlInputProd1Seg3RegTrainer_R1</f>
        <v>0</v>
      </c>
      <c r="I84" s="83">
        <f>tlInputProd1Seg3RegTrainer_R1</f>
        <v>0</v>
      </c>
      <c r="J84" s="84" t="s">
        <v>2359</v>
      </c>
      <c r="K84" s="121"/>
      <c r="L84" s="121"/>
      <c r="M84" s="121"/>
      <c r="N84" s="121"/>
      <c r="P84" s="88"/>
      <c r="Q84" s="88"/>
      <c r="R84" s="88"/>
      <c r="S84" s="88"/>
      <c r="T84" s="88"/>
      <c r="V84" s="88"/>
      <c r="W84" s="88"/>
      <c r="X84" s="88"/>
      <c r="Y84" s="88"/>
      <c r="Z84" s="88"/>
      <c r="AB84" s="88"/>
      <c r="AC84" s="88"/>
      <c r="AD84" s="88"/>
      <c r="AE84" s="88"/>
      <c r="AF84" s="88"/>
    </row>
    <row r="85" spans="2:32">
      <c r="C85" s="83" t="s">
        <v>585</v>
      </c>
      <c r="D85" s="83" t="str">
        <f>nmProd1Rep1</f>
        <v>Rep Allen</v>
      </c>
      <c r="E85" s="83">
        <f>tlInputProd1Seg3Rep1Coaching_R1</f>
        <v>0</v>
      </c>
      <c r="F85" s="83">
        <f>tlInputProd1Seg3Rep1Coaching_R1</f>
        <v>0</v>
      </c>
      <c r="G85" s="83">
        <f>tlInputProd1Seg3Rep1Coaching_R1</f>
        <v>0</v>
      </c>
      <c r="H85" s="83">
        <f>tlInputProd1Seg3Rep1Coaching_R1</f>
        <v>0</v>
      </c>
      <c r="I85" s="83">
        <f>tlInputProd1Seg3Rep1Coaching_R1</f>
        <v>0</v>
      </c>
      <c r="J85" s="84" t="s">
        <v>3445</v>
      </c>
      <c r="K85" s="121"/>
      <c r="L85" s="121"/>
      <c r="M85" s="121"/>
      <c r="N85" s="121"/>
      <c r="P85" s="88"/>
      <c r="Q85" s="88"/>
      <c r="R85" s="88"/>
      <c r="S85" s="88"/>
      <c r="T85" s="88"/>
      <c r="V85" s="88"/>
      <c r="W85" s="88"/>
      <c r="X85" s="88"/>
      <c r="Y85" s="88"/>
      <c r="Z85" s="88"/>
      <c r="AB85" s="88"/>
      <c r="AC85" s="88"/>
      <c r="AD85" s="88"/>
      <c r="AE85" s="88"/>
      <c r="AF85" s="88"/>
    </row>
    <row r="86" spans="2:32">
      <c r="C86" s="83" t="s">
        <v>585</v>
      </c>
      <c r="D86" s="83" t="str">
        <f>nmProd1Rep2</f>
        <v>Rep Betty</v>
      </c>
      <c r="E86" s="83">
        <f>tlInputProd1Seg3Rep2Coaching_R1</f>
        <v>0</v>
      </c>
      <c r="F86" s="83">
        <f>tlInputProd1Seg3Rep2Coaching_R1</f>
        <v>0</v>
      </c>
      <c r="G86" s="83">
        <f>tlInputProd1Seg3Rep2Coaching_R1</f>
        <v>0</v>
      </c>
      <c r="H86" s="83">
        <f>tlInputProd1Seg3Rep2Coaching_R1</f>
        <v>0</v>
      </c>
      <c r="I86" s="83">
        <f>tlInputProd1Seg3Rep2Coaching_R1</f>
        <v>0</v>
      </c>
      <c r="J86" s="84" t="s">
        <v>3463</v>
      </c>
      <c r="K86" s="121"/>
      <c r="L86" s="121"/>
      <c r="M86" s="121"/>
      <c r="N86" s="121"/>
      <c r="P86" s="88"/>
      <c r="Q86" s="88"/>
      <c r="R86" s="88"/>
      <c r="S86" s="88"/>
      <c r="T86" s="88"/>
      <c r="V86" s="88"/>
      <c r="W86" s="88"/>
      <c r="X86" s="88"/>
      <c r="Y86" s="88"/>
      <c r="Z86" s="88"/>
      <c r="AB86" s="88"/>
      <c r="AC86" s="88"/>
      <c r="AD86" s="88"/>
      <c r="AE86" s="88"/>
      <c r="AF86" s="88"/>
    </row>
    <row r="87" spans="2:32">
      <c r="C87" s="83" t="s">
        <v>585</v>
      </c>
      <c r="D87" s="83" t="str">
        <f>nmProd1Rep3</f>
        <v>Rep Chris</v>
      </c>
      <c r="E87" s="83">
        <f>tlInputProd1Seg3Rep3Coaching_R1</f>
        <v>0</v>
      </c>
      <c r="F87" s="83">
        <f>tlInputProd1Seg3Rep3Coaching_R1</f>
        <v>0</v>
      </c>
      <c r="G87" s="83">
        <f>tlInputProd1Seg3Rep3Coaching_R1</f>
        <v>0</v>
      </c>
      <c r="H87" s="83">
        <f>tlInputProd1Seg3Rep3Coaching_R1</f>
        <v>0</v>
      </c>
      <c r="I87" s="83">
        <f>tlInputProd1Seg3Rep3Coaching_R1</f>
        <v>0</v>
      </c>
      <c r="J87" s="84" t="s">
        <v>3475</v>
      </c>
      <c r="K87" s="121"/>
      <c r="L87" s="121"/>
      <c r="M87" s="121"/>
      <c r="N87" s="121"/>
      <c r="P87" s="88"/>
      <c r="Q87" s="88"/>
      <c r="R87" s="88"/>
      <c r="S87" s="88"/>
      <c r="T87" s="88"/>
      <c r="V87" s="88"/>
      <c r="W87" s="88"/>
      <c r="X87" s="88"/>
      <c r="Y87" s="88"/>
      <c r="Z87" s="88"/>
      <c r="AB87" s="88"/>
      <c r="AC87" s="88"/>
      <c r="AD87" s="88"/>
      <c r="AE87" s="88"/>
      <c r="AF87" s="88"/>
    </row>
    <row r="88" spans="2:32">
      <c r="C88" s="83" t="s">
        <v>2334</v>
      </c>
      <c r="D88" s="83" t="str">
        <f>nmProd1Rep1</f>
        <v>Rep Allen</v>
      </c>
      <c r="E88" s="83">
        <f>tlInputProd1Seg3Therapy1Rep1Weight_R1</f>
        <v>0.5</v>
      </c>
      <c r="F88" s="83">
        <f>tlInputProd1Seg3Therapy1Rep1Weight_R1</f>
        <v>0.5</v>
      </c>
      <c r="G88" s="83">
        <f>tlInputProd1Seg3Therapy1Rep1Weight_R1</f>
        <v>0.5</v>
      </c>
      <c r="H88" s="83">
        <f>tlInputProd1Seg3Therapy1Rep1Weight_R1</f>
        <v>0.5</v>
      </c>
      <c r="I88" s="83">
        <f>tlInputProd1Seg3Therapy1Rep1Weight_R1</f>
        <v>0.5</v>
      </c>
      <c r="J88" s="84" t="s">
        <v>3446</v>
      </c>
      <c r="K88" s="121"/>
      <c r="L88" s="121"/>
      <c r="M88" s="121"/>
      <c r="N88" s="121"/>
      <c r="P88" s="88"/>
      <c r="Q88" s="88"/>
      <c r="R88" s="88"/>
      <c r="S88" s="88"/>
      <c r="T88" s="88"/>
      <c r="V88" s="88"/>
      <c r="W88" s="88"/>
      <c r="X88" s="88"/>
      <c r="Y88" s="88"/>
      <c r="Z88" s="88"/>
      <c r="AB88" s="88"/>
      <c r="AC88" s="88"/>
      <c r="AD88" s="88"/>
      <c r="AE88" s="88"/>
      <c r="AF88" s="88"/>
    </row>
    <row r="89" spans="2:32">
      <c r="C89" s="83" t="s">
        <v>2334</v>
      </c>
      <c r="D89" s="83" t="str">
        <f>nmProd1Rep2</f>
        <v>Rep Betty</v>
      </c>
      <c r="E89" s="83">
        <f>tlInputProd1Seg3Therapy1Rep2Weight_R1</f>
        <v>0.5</v>
      </c>
      <c r="F89" s="83">
        <f>tlInputProd1Seg3Therapy1Rep2Weight_R1</f>
        <v>0.5</v>
      </c>
      <c r="G89" s="83">
        <f>tlInputProd1Seg3Therapy1Rep2Weight_R1</f>
        <v>0.5</v>
      </c>
      <c r="H89" s="83">
        <f>tlInputProd1Seg3Therapy1Rep2Weight_R1</f>
        <v>0.5</v>
      </c>
      <c r="I89" s="83">
        <f>tlInputProd1Seg3Therapy1Rep2Weight_R1</f>
        <v>0.5</v>
      </c>
      <c r="J89" s="84" t="s">
        <v>3464</v>
      </c>
      <c r="K89" s="121"/>
      <c r="L89" s="121"/>
      <c r="M89" s="121"/>
      <c r="N89" s="121"/>
      <c r="P89" s="88"/>
      <c r="Q89" s="88"/>
      <c r="R89" s="88"/>
      <c r="S89" s="88"/>
      <c r="T89" s="88"/>
      <c r="V89" s="88"/>
      <c r="W89" s="88"/>
      <c r="X89" s="88"/>
      <c r="Y89" s="88"/>
      <c r="Z89" s="88"/>
      <c r="AB89" s="88"/>
      <c r="AC89" s="88"/>
      <c r="AD89" s="88"/>
      <c r="AE89" s="88"/>
      <c r="AF89" s="88"/>
    </row>
    <row r="90" spans="2:32">
      <c r="C90" s="83" t="s">
        <v>2334</v>
      </c>
      <c r="D90" s="83" t="str">
        <f>nmProd1Rep3</f>
        <v>Rep Chris</v>
      </c>
      <c r="E90" s="83">
        <f>tlInputProd1Seg3Therapy1Rep3Weight_R1</f>
        <v>0.5</v>
      </c>
      <c r="F90" s="83">
        <f>tlInputProd1Seg3Therapy1Rep3Weight_R1</f>
        <v>0.5</v>
      </c>
      <c r="G90" s="83">
        <f>tlInputProd1Seg3Therapy1Rep3Weight_R1</f>
        <v>0.5</v>
      </c>
      <c r="H90" s="83">
        <f>tlInputProd1Seg3Therapy1Rep3Weight_R1</f>
        <v>0.5</v>
      </c>
      <c r="I90" s="83">
        <f>tlInputProd1Seg3Therapy1Rep3Weight_R1</f>
        <v>0.5</v>
      </c>
      <c r="J90" s="84" t="s">
        <v>3476</v>
      </c>
      <c r="K90" s="121"/>
      <c r="L90" s="121"/>
      <c r="M90" s="121"/>
      <c r="N90" s="121"/>
      <c r="P90" s="88"/>
      <c r="Q90" s="88"/>
      <c r="R90" s="88"/>
      <c r="S90" s="88"/>
      <c r="T90" s="88"/>
      <c r="V90" s="88"/>
      <c r="W90" s="88"/>
      <c r="X90" s="88"/>
      <c r="Y90" s="88"/>
      <c r="Z90" s="88"/>
      <c r="AB90" s="88"/>
      <c r="AC90" s="88"/>
      <c r="AD90" s="88"/>
      <c r="AE90" s="88"/>
      <c r="AF90" s="88"/>
    </row>
    <row r="91" spans="2:32">
      <c r="J91" s="84"/>
      <c r="K91" s="121"/>
      <c r="L91" s="121"/>
      <c r="M91" s="121"/>
      <c r="N91" s="121"/>
      <c r="P91" s="88"/>
      <c r="Q91" s="88"/>
      <c r="R91" s="88"/>
      <c r="S91" s="88"/>
      <c r="T91" s="88"/>
      <c r="V91" s="88"/>
      <c r="W91" s="88"/>
      <c r="X91" s="88"/>
      <c r="Y91" s="88"/>
      <c r="Z91" s="88"/>
      <c r="AB91" s="88"/>
      <c r="AC91" s="88"/>
      <c r="AD91" s="88"/>
      <c r="AE91" s="88"/>
      <c r="AF91" s="88"/>
    </row>
    <row r="92" spans="2:32">
      <c r="B92" s="428" t="s">
        <v>1551</v>
      </c>
      <c r="D92" s="83" t="s">
        <v>588</v>
      </c>
      <c r="E92" s="83">
        <f>tlInputProd1Seg3PromotionAllocation_R2</f>
        <v>0.33</v>
      </c>
      <c r="F92" s="83">
        <f>tlInputProd1Seg3PromotionAllocation_R2</f>
        <v>0.33</v>
      </c>
      <c r="G92" s="83">
        <f>tlInputProd1Seg3PromotionAllocation_R2</f>
        <v>0.33</v>
      </c>
      <c r="H92" s="83">
        <f>tlInputProd1Seg3PromotionAllocation_R2</f>
        <v>0.33</v>
      </c>
      <c r="I92" s="83">
        <f>tlInputProd1Seg3PromotionAllocation_R2</f>
        <v>0.33</v>
      </c>
      <c r="J92" s="84" t="s">
        <v>2360</v>
      </c>
      <c r="K92" s="121"/>
      <c r="L92" s="121"/>
      <c r="M92" s="121"/>
      <c r="N92" s="121"/>
      <c r="P92" s="88"/>
      <c r="Q92" s="88"/>
      <c r="R92" s="88"/>
      <c r="S92" s="88"/>
      <c r="T92" s="88"/>
      <c r="V92" s="88"/>
      <c r="W92" s="88"/>
      <c r="X92" s="88"/>
      <c r="Y92" s="88"/>
      <c r="Z92" s="88"/>
      <c r="AB92" s="88"/>
      <c r="AC92" s="88"/>
      <c r="AD92" s="88"/>
      <c r="AE92" s="88"/>
      <c r="AF92" s="88"/>
    </row>
    <row r="93" spans="2:32">
      <c r="D93" s="83" t="s">
        <v>516</v>
      </c>
      <c r="E93" s="83">
        <f>tlInputProd1Seg3SamplesPerc_R2</f>
        <v>0.33</v>
      </c>
      <c r="F93" s="83">
        <f>tlInputProd1Seg3SamplesPerc_R2</f>
        <v>0.33</v>
      </c>
      <c r="G93" s="83">
        <f>tlInputProd1Seg3SamplesPerc_R2</f>
        <v>0.33</v>
      </c>
      <c r="H93" s="83">
        <f>tlInputProd1Seg3SamplesPerc_R2</f>
        <v>0.33</v>
      </c>
      <c r="I93" s="83">
        <f>tlInputProd1Seg3SamplesPerc_R2</f>
        <v>0.33</v>
      </c>
      <c r="J93" s="84" t="s">
        <v>2453</v>
      </c>
      <c r="K93" s="121"/>
      <c r="L93" s="121"/>
      <c r="M93" s="121"/>
      <c r="N93" s="121"/>
      <c r="P93" s="88"/>
      <c r="Q93" s="88"/>
      <c r="R93" s="88"/>
      <c r="S93" s="88"/>
      <c r="T93" s="88"/>
      <c r="V93" s="88"/>
      <c r="W93" s="88"/>
      <c r="X93" s="88"/>
      <c r="Y93" s="88"/>
      <c r="Z93" s="88"/>
      <c r="AB93" s="88"/>
      <c r="AC93" s="88"/>
      <c r="AD93" s="88"/>
      <c r="AE93" s="88"/>
      <c r="AF93" s="88"/>
    </row>
    <row r="94" spans="2:32">
      <c r="D94" s="83" t="s">
        <v>517</v>
      </c>
      <c r="E94" s="83">
        <f>tlInputProd1Seg3SpeakersPerc_R2</f>
        <v>0.5</v>
      </c>
      <c r="F94" s="83">
        <f>tlInputProd1Seg3SpeakersPerc_R2</f>
        <v>0.5</v>
      </c>
      <c r="G94" s="83">
        <f>tlInputProd1Seg3SpeakersPerc_R2</f>
        <v>0.5</v>
      </c>
      <c r="H94" s="83">
        <f>tlInputProd1Seg3SpeakersPerc_R2</f>
        <v>0.5</v>
      </c>
      <c r="I94" s="83">
        <f>tlInputProd1Seg3SpeakersPerc_R2</f>
        <v>0.5</v>
      </c>
      <c r="J94" s="84" t="s">
        <v>2361</v>
      </c>
      <c r="K94" s="121"/>
      <c r="L94" s="121"/>
      <c r="M94" s="121"/>
      <c r="N94" s="121"/>
      <c r="P94" s="88"/>
      <c r="Q94" s="88"/>
      <c r="R94" s="88"/>
      <c r="S94" s="88"/>
      <c r="T94" s="88"/>
      <c r="V94" s="88"/>
      <c r="W94" s="88"/>
      <c r="X94" s="88"/>
      <c r="Y94" s="88"/>
      <c r="Z94" s="88"/>
      <c r="AB94" s="88"/>
      <c r="AC94" s="88"/>
      <c r="AD94" s="88"/>
      <c r="AE94" s="88"/>
      <c r="AF94" s="88"/>
    </row>
    <row r="95" spans="2:32">
      <c r="D95" s="83" t="s">
        <v>2333</v>
      </c>
      <c r="E95" s="83">
        <f>tlInputProd1Seg3PromotionPerc_R2</f>
        <v>0.5</v>
      </c>
      <c r="F95" s="83">
        <f>tlInputProd1Seg3PromotionPerc_R2</f>
        <v>0.5</v>
      </c>
      <c r="G95" s="83">
        <f>tlInputProd1Seg3PromotionPerc_R2</f>
        <v>0.5</v>
      </c>
      <c r="H95" s="83">
        <f>tlInputProd1Seg3PromotionPerc_R2</f>
        <v>0.5</v>
      </c>
      <c r="I95" s="83">
        <f>tlInputProd1Seg3PromotionPerc_R2</f>
        <v>0.5</v>
      </c>
      <c r="J95" s="84" t="s">
        <v>2362</v>
      </c>
      <c r="K95" s="121"/>
      <c r="L95" s="121"/>
      <c r="M95" s="121"/>
      <c r="N95" s="121"/>
      <c r="P95" s="88"/>
      <c r="Q95" s="88"/>
      <c r="R95" s="88"/>
      <c r="S95" s="88"/>
      <c r="T95" s="88"/>
      <c r="V95" s="88"/>
      <c r="W95" s="88"/>
      <c r="X95" s="88"/>
      <c r="Y95" s="88"/>
      <c r="Z95" s="88"/>
      <c r="AB95" s="88"/>
      <c r="AC95" s="88"/>
      <c r="AD95" s="88"/>
      <c r="AE95" s="88"/>
      <c r="AF95" s="88"/>
    </row>
    <row r="96" spans="2:32">
      <c r="D96" s="83" t="s">
        <v>556</v>
      </c>
      <c r="J96" s="84" t="s">
        <v>2363</v>
      </c>
      <c r="K96" s="121"/>
      <c r="L96" s="121"/>
      <c r="M96" s="121"/>
      <c r="N96" s="121"/>
      <c r="P96" s="88"/>
      <c r="Q96" s="88"/>
      <c r="R96" s="88"/>
      <c r="S96" s="88"/>
      <c r="T96" s="88"/>
      <c r="V96" s="88"/>
      <c r="W96" s="88"/>
      <c r="X96" s="88"/>
      <c r="Y96" s="88"/>
      <c r="Z96" s="88"/>
      <c r="AB96" s="88"/>
      <c r="AC96" s="88"/>
      <c r="AD96" s="88"/>
      <c r="AE96" s="88"/>
      <c r="AF96" s="88"/>
    </row>
    <row r="97" spans="2:32">
      <c r="D97" s="83" t="s">
        <v>3211</v>
      </c>
      <c r="E97" s="83">
        <f>tlInputProd1Seg3RegTrainer_R2</f>
        <v>0</v>
      </c>
      <c r="F97" s="83">
        <f>tlInputProd1Seg3RegTrainer_R2</f>
        <v>0</v>
      </c>
      <c r="G97" s="83">
        <f>tlInputProd1Seg3RegTrainer_R2</f>
        <v>0</v>
      </c>
      <c r="H97" s="83">
        <f>tlInputProd1Seg3RegTrainer_R2</f>
        <v>0</v>
      </c>
      <c r="I97" s="83">
        <f>tlInputProd1Seg3RegTrainer_R2</f>
        <v>0</v>
      </c>
      <c r="J97" s="84" t="s">
        <v>2364</v>
      </c>
      <c r="K97" s="121"/>
      <c r="L97" s="121"/>
      <c r="M97" s="121"/>
      <c r="N97" s="121"/>
      <c r="P97" s="88"/>
      <c r="Q97" s="88"/>
      <c r="R97" s="88"/>
      <c r="S97" s="88"/>
      <c r="T97" s="88"/>
      <c r="V97" s="88"/>
      <c r="W97" s="88"/>
      <c r="X97" s="88"/>
      <c r="Y97" s="88"/>
      <c r="Z97" s="88"/>
      <c r="AB97" s="88"/>
      <c r="AC97" s="88"/>
      <c r="AD97" s="88"/>
      <c r="AE97" s="88"/>
      <c r="AF97" s="88"/>
    </row>
    <row r="98" spans="2:32">
      <c r="C98" s="83" t="s">
        <v>585</v>
      </c>
      <c r="D98" s="83" t="str">
        <f>nmProd1Rep1</f>
        <v>Rep Allen</v>
      </c>
      <c r="E98" s="83">
        <f>tlInputProd1Seg3Rep1Coaching_R2</f>
        <v>0</v>
      </c>
      <c r="F98" s="83">
        <f>tlInputProd1Seg3Rep1Coaching_R2</f>
        <v>0</v>
      </c>
      <c r="G98" s="83">
        <f>tlInputProd1Seg3Rep1Coaching_R2</f>
        <v>0</v>
      </c>
      <c r="H98" s="83">
        <f>tlInputProd1Seg3Rep1Coaching_R2</f>
        <v>0</v>
      </c>
      <c r="I98" s="83">
        <f>tlInputProd1Seg3Rep1Coaching_R2</f>
        <v>0</v>
      </c>
      <c r="J98" s="84" t="s">
        <v>3447</v>
      </c>
      <c r="K98" s="121"/>
      <c r="L98" s="121"/>
      <c r="M98" s="121"/>
      <c r="N98" s="121"/>
      <c r="P98" s="88"/>
      <c r="Q98" s="88"/>
      <c r="R98" s="88"/>
      <c r="S98" s="88"/>
      <c r="T98" s="88"/>
      <c r="V98" s="88"/>
      <c r="W98" s="88"/>
      <c r="X98" s="88"/>
      <c r="Y98" s="88"/>
      <c r="Z98" s="88"/>
      <c r="AB98" s="88"/>
      <c r="AC98" s="88"/>
      <c r="AD98" s="88"/>
      <c r="AE98" s="88"/>
      <c r="AF98" s="88"/>
    </row>
    <row r="99" spans="2:32">
      <c r="C99" s="83" t="s">
        <v>585</v>
      </c>
      <c r="D99" s="83" t="str">
        <f>nmProd1Rep2</f>
        <v>Rep Betty</v>
      </c>
      <c r="E99" s="83">
        <f>tlInputProd1Seg3Rep2Coaching_R2</f>
        <v>0</v>
      </c>
      <c r="F99" s="83">
        <f>tlInputProd1Seg3Rep2Coaching_R2</f>
        <v>0</v>
      </c>
      <c r="G99" s="83">
        <f>tlInputProd1Seg3Rep2Coaching_R2</f>
        <v>0</v>
      </c>
      <c r="H99" s="83">
        <f>tlInputProd1Seg3Rep2Coaching_R2</f>
        <v>0</v>
      </c>
      <c r="I99" s="83">
        <f>tlInputProd1Seg3Rep2Coaching_R2</f>
        <v>0</v>
      </c>
      <c r="J99" s="84" t="s">
        <v>3465</v>
      </c>
      <c r="K99" s="121"/>
      <c r="L99" s="121"/>
      <c r="M99" s="121"/>
      <c r="N99" s="121"/>
      <c r="P99" s="88"/>
      <c r="Q99" s="88"/>
      <c r="R99" s="88"/>
      <c r="S99" s="88"/>
      <c r="T99" s="88"/>
      <c r="V99" s="88"/>
      <c r="W99" s="88"/>
      <c r="X99" s="88"/>
      <c r="Y99" s="88"/>
      <c r="Z99" s="88"/>
      <c r="AB99" s="88"/>
      <c r="AC99" s="88"/>
      <c r="AD99" s="88"/>
      <c r="AE99" s="88"/>
      <c r="AF99" s="88"/>
    </row>
    <row r="100" spans="2:32">
      <c r="C100" s="83" t="s">
        <v>585</v>
      </c>
      <c r="D100" s="83" t="str">
        <f>nmProd1Rep3</f>
        <v>Rep Chris</v>
      </c>
      <c r="E100" s="83">
        <f>tlInputProd1Seg3Rep3Coaching_R2</f>
        <v>0</v>
      </c>
      <c r="F100" s="83">
        <f>tlInputProd1Seg3Rep3Coaching_R2</f>
        <v>0</v>
      </c>
      <c r="G100" s="83">
        <f>tlInputProd1Seg3Rep3Coaching_R2</f>
        <v>0</v>
      </c>
      <c r="H100" s="83">
        <f>tlInputProd1Seg3Rep3Coaching_R2</f>
        <v>0</v>
      </c>
      <c r="I100" s="83">
        <f>tlInputProd1Seg3Rep3Coaching_R2</f>
        <v>0</v>
      </c>
      <c r="J100" s="84" t="s">
        <v>3477</v>
      </c>
      <c r="K100" s="121"/>
      <c r="L100" s="121"/>
      <c r="M100" s="121"/>
      <c r="N100" s="121"/>
      <c r="P100" s="88"/>
      <c r="Q100" s="88"/>
      <c r="R100" s="88"/>
      <c r="S100" s="88"/>
      <c r="T100" s="88"/>
      <c r="V100" s="88"/>
      <c r="W100" s="88"/>
      <c r="X100" s="88"/>
      <c r="Y100" s="88"/>
      <c r="Z100" s="88"/>
      <c r="AB100" s="88"/>
      <c r="AC100" s="88"/>
      <c r="AD100" s="88"/>
      <c r="AE100" s="88"/>
      <c r="AF100" s="88"/>
    </row>
    <row r="101" spans="2:32">
      <c r="C101" s="83" t="s">
        <v>2334</v>
      </c>
      <c r="D101" s="83" t="str">
        <f>nmProd1Rep1</f>
        <v>Rep Allen</v>
      </c>
      <c r="E101" s="83">
        <f>tlInputProd1Seg3Therapy1Rep1Weight_R2</f>
        <v>0.5</v>
      </c>
      <c r="F101" s="83">
        <f>tlInputProd1Seg3Therapy1Rep1Weight_R2</f>
        <v>0.5</v>
      </c>
      <c r="G101" s="83">
        <f>tlInputProd1Seg3Therapy1Rep1Weight_R2</f>
        <v>0.5</v>
      </c>
      <c r="H101" s="83">
        <f>tlInputProd1Seg3Therapy1Rep1Weight_R2</f>
        <v>0.5</v>
      </c>
      <c r="I101" s="83">
        <f>tlInputProd1Seg3Therapy1Rep1Weight_R2</f>
        <v>0.5</v>
      </c>
      <c r="J101" s="84" t="s">
        <v>3448</v>
      </c>
      <c r="K101" s="121"/>
      <c r="L101" s="121"/>
      <c r="M101" s="121"/>
      <c r="N101" s="121"/>
      <c r="P101" s="88"/>
      <c r="Q101" s="88"/>
      <c r="R101" s="88"/>
      <c r="S101" s="88"/>
      <c r="T101" s="88"/>
      <c r="V101" s="88"/>
      <c r="W101" s="88"/>
      <c r="X101" s="88"/>
      <c r="Y101" s="88"/>
      <c r="Z101" s="88"/>
      <c r="AB101" s="88"/>
      <c r="AC101" s="88"/>
      <c r="AD101" s="88"/>
      <c r="AE101" s="88"/>
      <c r="AF101" s="88"/>
    </row>
    <row r="102" spans="2:32">
      <c r="C102" s="83" t="s">
        <v>2334</v>
      </c>
      <c r="D102" s="83" t="str">
        <f>nmProd1Rep2</f>
        <v>Rep Betty</v>
      </c>
      <c r="E102" s="83">
        <f>tlInputProd1Seg3Therapy1Rep2Weight_R2</f>
        <v>0.5</v>
      </c>
      <c r="F102" s="83">
        <f>tlInputProd1Seg3Therapy1Rep2Weight_R2</f>
        <v>0.5</v>
      </c>
      <c r="G102" s="83">
        <f>tlInputProd1Seg3Therapy1Rep2Weight_R2</f>
        <v>0.5</v>
      </c>
      <c r="H102" s="83">
        <f>tlInputProd1Seg3Therapy1Rep2Weight_R2</f>
        <v>0.5</v>
      </c>
      <c r="I102" s="83">
        <f>tlInputProd1Seg3Therapy1Rep2Weight_R2</f>
        <v>0.5</v>
      </c>
      <c r="J102" s="84" t="s">
        <v>3466</v>
      </c>
      <c r="K102" s="121"/>
      <c r="L102" s="121"/>
      <c r="M102" s="121"/>
      <c r="N102" s="121"/>
      <c r="P102" s="88"/>
      <c r="Q102" s="88"/>
      <c r="R102" s="88"/>
      <c r="S102" s="88"/>
      <c r="T102" s="88"/>
      <c r="V102" s="88"/>
      <c r="W102" s="88"/>
      <c r="X102" s="88"/>
      <c r="Y102" s="88"/>
      <c r="Z102" s="88"/>
      <c r="AB102" s="88"/>
      <c r="AC102" s="88"/>
      <c r="AD102" s="88"/>
      <c r="AE102" s="88"/>
      <c r="AF102" s="88"/>
    </row>
    <row r="103" spans="2:32">
      <c r="C103" s="83" t="s">
        <v>2334</v>
      </c>
      <c r="D103" s="83" t="str">
        <f>nmProd1Rep3</f>
        <v>Rep Chris</v>
      </c>
      <c r="E103" s="83">
        <f>tlInputProd1Seg3Therapy1Rep3Weight_R2</f>
        <v>0.5</v>
      </c>
      <c r="F103" s="83">
        <f>tlInputProd1Seg3Therapy1Rep3Weight_R2</f>
        <v>0.5</v>
      </c>
      <c r="G103" s="83">
        <f>tlInputProd1Seg3Therapy1Rep3Weight_R2</f>
        <v>0.5</v>
      </c>
      <c r="H103" s="83">
        <f>tlInputProd1Seg3Therapy1Rep3Weight_R2</f>
        <v>0.5</v>
      </c>
      <c r="I103" s="83">
        <f>tlInputProd1Seg3Therapy1Rep3Weight_R2</f>
        <v>0.5</v>
      </c>
      <c r="J103" s="84" t="s">
        <v>3478</v>
      </c>
      <c r="K103" s="121"/>
      <c r="L103" s="121"/>
      <c r="M103" s="121"/>
      <c r="N103" s="121"/>
      <c r="P103" s="88"/>
      <c r="Q103" s="88"/>
      <c r="R103" s="88"/>
      <c r="S103" s="88"/>
      <c r="T103" s="88"/>
      <c r="V103" s="88"/>
      <c r="W103" s="88"/>
      <c r="X103" s="88"/>
      <c r="Y103" s="88"/>
      <c r="Z103" s="88"/>
      <c r="AB103" s="88"/>
      <c r="AC103" s="88"/>
      <c r="AD103" s="88"/>
      <c r="AE103" s="88"/>
      <c r="AF103" s="88"/>
    </row>
    <row r="104" spans="2:32">
      <c r="D104" s="83" t="s">
        <v>2407</v>
      </c>
      <c r="E104" s="83" t="str">
        <f>tlInputProd1R2RolePlayScore</f>
        <v>Green</v>
      </c>
      <c r="F104" s="83" t="str">
        <f t="shared" ref="F104:I104" si="0">tlInputProd1R2RolePlayScore</f>
        <v>Green</v>
      </c>
      <c r="G104" s="83" t="str">
        <f t="shared" si="0"/>
        <v>Green</v>
      </c>
      <c r="H104" s="83" t="str">
        <f t="shared" si="0"/>
        <v>Green</v>
      </c>
      <c r="I104" s="83" t="str">
        <f t="shared" si="0"/>
        <v>Green</v>
      </c>
      <c r="J104" s="84" t="s">
        <v>2408</v>
      </c>
      <c r="K104" s="121"/>
      <c r="L104" s="121"/>
      <c r="M104" s="121"/>
      <c r="N104" s="121"/>
      <c r="P104" s="88"/>
      <c r="Q104" s="88"/>
      <c r="R104" s="88"/>
      <c r="S104" s="88"/>
      <c r="T104" s="88"/>
      <c r="V104" s="88"/>
      <c r="W104" s="88"/>
      <c r="X104" s="88"/>
      <c r="Y104" s="88"/>
      <c r="Z104" s="88"/>
      <c r="AB104" s="88"/>
      <c r="AC104" s="88"/>
      <c r="AD104" s="88"/>
      <c r="AE104" s="88"/>
      <c r="AF104" s="88"/>
    </row>
    <row r="105" spans="2:32">
      <c r="B105" s="428" t="s">
        <v>626</v>
      </c>
      <c r="J105" s="84"/>
      <c r="K105" s="121"/>
      <c r="L105" s="121"/>
      <c r="M105" s="121"/>
      <c r="N105" s="121"/>
      <c r="P105" s="88"/>
      <c r="Q105" s="88"/>
      <c r="R105" s="88"/>
      <c r="S105" s="88"/>
      <c r="T105" s="88"/>
      <c r="V105" s="88"/>
      <c r="W105" s="88"/>
      <c r="X105" s="88"/>
      <c r="Y105" s="88"/>
      <c r="Z105" s="88"/>
      <c r="AB105" s="88"/>
      <c r="AC105" s="88"/>
      <c r="AD105" s="88"/>
      <c r="AE105" s="88"/>
      <c r="AF105" s="88"/>
    </row>
    <row r="106" spans="2:32">
      <c r="B106" s="428" t="str">
        <f>nmReg1</f>
        <v>The Region</v>
      </c>
      <c r="J106" s="84"/>
      <c r="K106" s="121"/>
      <c r="L106" s="121"/>
      <c r="M106" s="121"/>
      <c r="N106" s="121"/>
      <c r="P106" s="88"/>
      <c r="Q106" s="88"/>
      <c r="R106" s="88"/>
      <c r="S106" s="88"/>
      <c r="T106" s="88"/>
      <c r="V106" s="88"/>
      <c r="W106" s="88"/>
      <c r="X106" s="88"/>
      <c r="Y106" s="88"/>
      <c r="Z106" s="88"/>
      <c r="AB106" s="88"/>
      <c r="AC106" s="88"/>
      <c r="AD106" s="88"/>
      <c r="AE106" s="88"/>
      <c r="AF106" s="88"/>
    </row>
    <row r="107" spans="2:32">
      <c r="B107" s="428" t="str">
        <f>nmReg1Seg1</f>
        <v>Riverrun</v>
      </c>
      <c r="J107" s="84"/>
      <c r="K107" s="121"/>
      <c r="L107" s="121"/>
      <c r="M107" s="121"/>
      <c r="N107" s="121"/>
      <c r="P107" s="88"/>
      <c r="Q107" s="88"/>
      <c r="R107" s="88"/>
      <c r="S107" s="88"/>
      <c r="T107" s="88"/>
      <c r="V107" s="88"/>
      <c r="W107" s="88"/>
      <c r="X107" s="88"/>
      <c r="Y107" s="88"/>
      <c r="Z107" s="88"/>
      <c r="AB107" s="88"/>
      <c r="AC107" s="88"/>
      <c r="AD107" s="88"/>
      <c r="AE107" s="88"/>
      <c r="AF107" s="88"/>
    </row>
    <row r="108" spans="2:32">
      <c r="B108" s="428" t="s">
        <v>1488</v>
      </c>
      <c r="D108" s="83" t="s">
        <v>588</v>
      </c>
      <c r="E108" s="83">
        <f>tlInputReg1Seg1PromotionAllocation_R1</f>
        <v>0.33</v>
      </c>
      <c r="F108" s="83">
        <f>tlInputReg1Seg1PromotionAllocation_R1</f>
        <v>0.33</v>
      </c>
      <c r="G108" s="83">
        <f>tlInputReg1Seg1PromotionAllocation_R1</f>
        <v>0.33</v>
      </c>
      <c r="H108" s="83">
        <f>tlInputReg1Seg1PromotionAllocation_R1</f>
        <v>0.33</v>
      </c>
      <c r="I108" s="83">
        <f>tlInputReg1Seg1PromotionAllocation_R1</f>
        <v>0.33</v>
      </c>
      <c r="J108" s="84" t="s">
        <v>2365</v>
      </c>
      <c r="K108" s="121"/>
      <c r="L108" s="121"/>
      <c r="M108" s="121"/>
      <c r="N108" s="121"/>
      <c r="P108" s="88"/>
      <c r="Q108" s="88"/>
      <c r="R108" s="88"/>
      <c r="S108" s="88"/>
      <c r="T108" s="88"/>
      <c r="V108" s="88"/>
      <c r="W108" s="88"/>
      <c r="X108" s="88"/>
      <c r="Y108" s="88"/>
      <c r="Z108" s="88"/>
      <c r="AB108" s="88"/>
      <c r="AC108" s="88"/>
      <c r="AD108" s="88"/>
      <c r="AE108" s="88"/>
      <c r="AF108" s="88"/>
    </row>
    <row r="109" spans="2:32">
      <c r="D109" s="83" t="s">
        <v>516</v>
      </c>
      <c r="E109" s="83">
        <f>tlInputReg1Seg1SamplesPerc_R1</f>
        <v>0.33</v>
      </c>
      <c r="F109" s="83">
        <f>tlInputReg1Seg1SamplesPerc_R1</f>
        <v>0.33</v>
      </c>
      <c r="G109" s="83">
        <f>tlInputReg1Seg1SamplesPerc_R1</f>
        <v>0.33</v>
      </c>
      <c r="H109" s="83">
        <f>tlInputReg1Seg1SamplesPerc_R1</f>
        <v>0.33</v>
      </c>
      <c r="I109" s="83">
        <f>tlInputReg1Seg1SamplesPerc_R1</f>
        <v>0.33</v>
      </c>
      <c r="J109" s="84" t="s">
        <v>2454</v>
      </c>
      <c r="K109" s="121"/>
      <c r="L109" s="121"/>
      <c r="M109" s="121"/>
      <c r="N109" s="121"/>
      <c r="P109" s="88"/>
      <c r="Q109" s="88"/>
      <c r="R109" s="88"/>
      <c r="S109" s="88"/>
      <c r="T109" s="88"/>
      <c r="V109" s="88"/>
      <c r="W109" s="88"/>
      <c r="X109" s="88"/>
      <c r="Y109" s="88"/>
      <c r="Z109" s="88"/>
      <c r="AB109" s="88"/>
      <c r="AC109" s="88"/>
      <c r="AD109" s="88"/>
      <c r="AE109" s="88"/>
      <c r="AF109" s="88"/>
    </row>
    <row r="110" spans="2:32">
      <c r="D110" s="83" t="s">
        <v>517</v>
      </c>
      <c r="E110" s="83">
        <f>tlInputReg1Seg1SpeakersPerc_R1</f>
        <v>0.5</v>
      </c>
      <c r="F110" s="83">
        <f>tlInputReg1Seg1SpeakersPerc_R1</f>
        <v>0.5</v>
      </c>
      <c r="G110" s="83">
        <f>tlInputReg1Seg1SpeakersPerc_R1</f>
        <v>0.5</v>
      </c>
      <c r="H110" s="83">
        <f>tlInputReg1Seg1SpeakersPerc_R1</f>
        <v>0.5</v>
      </c>
      <c r="I110" s="83">
        <f>tlInputReg1Seg1SpeakersPerc_R1</f>
        <v>0.5</v>
      </c>
      <c r="J110" s="84" t="s">
        <v>2366</v>
      </c>
      <c r="K110" s="121"/>
      <c r="L110" s="121"/>
      <c r="M110" s="121"/>
      <c r="N110" s="121"/>
      <c r="P110" s="88"/>
      <c r="Q110" s="88"/>
      <c r="R110" s="88"/>
      <c r="S110" s="88"/>
      <c r="T110" s="88"/>
      <c r="V110" s="88"/>
      <c r="W110" s="88"/>
      <c r="X110" s="88"/>
      <c r="Y110" s="88"/>
      <c r="Z110" s="88"/>
      <c r="AB110" s="88"/>
      <c r="AC110" s="88"/>
      <c r="AD110" s="88"/>
      <c r="AE110" s="88"/>
      <c r="AF110" s="88"/>
    </row>
    <row r="111" spans="2:32">
      <c r="D111" s="83" t="s">
        <v>2333</v>
      </c>
      <c r="E111" s="83">
        <f>tlInputReg1Seg1PromotionPerc_R1</f>
        <v>0.5</v>
      </c>
      <c r="F111" s="83">
        <f>tlInputReg1Seg1PromotionPerc_R1</f>
        <v>0.5</v>
      </c>
      <c r="G111" s="83">
        <f>tlInputReg1Seg1PromotionPerc_R1</f>
        <v>0.5</v>
      </c>
      <c r="H111" s="83">
        <f>tlInputReg1Seg1PromotionPerc_R1</f>
        <v>0.5</v>
      </c>
      <c r="I111" s="83">
        <f>tlInputReg1Seg1PromotionPerc_R1</f>
        <v>0.5</v>
      </c>
      <c r="J111" s="84" t="s">
        <v>2367</v>
      </c>
      <c r="K111" s="121"/>
      <c r="L111" s="121"/>
      <c r="M111" s="121"/>
      <c r="N111" s="121"/>
      <c r="P111" s="88"/>
      <c r="Q111" s="88"/>
      <c r="R111" s="88"/>
      <c r="S111" s="88"/>
      <c r="T111" s="88"/>
      <c r="V111" s="88"/>
      <c r="W111" s="88"/>
      <c r="X111" s="88"/>
      <c r="Y111" s="88"/>
      <c r="Z111" s="88"/>
      <c r="AB111" s="88"/>
      <c r="AC111" s="88"/>
      <c r="AD111" s="88"/>
      <c r="AE111" s="88"/>
      <c r="AF111" s="88"/>
    </row>
    <row r="112" spans="2:32">
      <c r="D112" s="83" t="s">
        <v>556</v>
      </c>
      <c r="E112" s="83">
        <f>tlInputReg1Seg1CfCollab_R1</f>
        <v>0</v>
      </c>
      <c r="F112" s="83">
        <f>tlInputReg1Seg1CfCollab_R1</f>
        <v>0</v>
      </c>
      <c r="G112" s="83">
        <f>tlInputReg1Seg1CfCollab_R1</f>
        <v>0</v>
      </c>
      <c r="H112" s="83">
        <f>tlInputReg1Seg1CfCollab_R1</f>
        <v>0</v>
      </c>
      <c r="I112" s="83">
        <f>tlInputReg1Seg1CfCollab_R1</f>
        <v>0</v>
      </c>
      <c r="J112" s="84" t="s">
        <v>2368</v>
      </c>
      <c r="K112" s="121"/>
      <c r="L112" s="121"/>
      <c r="M112" s="121"/>
      <c r="N112" s="121"/>
      <c r="P112" s="88"/>
      <c r="Q112" s="88"/>
      <c r="R112" s="88"/>
      <c r="S112" s="88"/>
      <c r="T112" s="88"/>
      <c r="V112" s="88"/>
      <c r="W112" s="88"/>
      <c r="X112" s="88"/>
      <c r="Y112" s="88"/>
      <c r="Z112" s="88"/>
      <c r="AB112" s="88"/>
      <c r="AC112" s="88"/>
      <c r="AD112" s="88"/>
      <c r="AE112" s="88"/>
      <c r="AF112" s="88"/>
    </row>
    <row r="113" spans="2:32">
      <c r="D113" s="83" t="s">
        <v>3211</v>
      </c>
      <c r="E113" s="83">
        <f>tlInputReg1Seg1RegTrainer_R1</f>
        <v>0</v>
      </c>
      <c r="F113" s="83">
        <f>tlInputReg1Seg1RegTrainer_R1</f>
        <v>0</v>
      </c>
      <c r="G113" s="83">
        <f>tlInputReg1Seg1RegTrainer_R1</f>
        <v>0</v>
      </c>
      <c r="H113" s="83">
        <f>tlInputReg1Seg1RegTrainer_R1</f>
        <v>0</v>
      </c>
      <c r="I113" s="83">
        <f>tlInputReg1Seg1RegTrainer_R1</f>
        <v>0</v>
      </c>
      <c r="J113" s="84" t="s">
        <v>2369</v>
      </c>
      <c r="K113" s="121"/>
      <c r="L113" s="121"/>
      <c r="M113" s="121"/>
      <c r="N113" s="121"/>
      <c r="P113" s="88"/>
      <c r="Q113" s="88"/>
      <c r="R113" s="88"/>
      <c r="S113" s="88"/>
      <c r="T113" s="88"/>
      <c r="V113" s="88"/>
      <c r="W113" s="88"/>
      <c r="X113" s="88"/>
      <c r="Y113" s="88"/>
      <c r="Z113" s="88"/>
      <c r="AB113" s="88"/>
      <c r="AC113" s="88"/>
      <c r="AD113" s="88"/>
      <c r="AE113" s="88"/>
      <c r="AF113" s="88"/>
    </row>
    <row r="114" spans="2:32">
      <c r="C114" s="83" t="s">
        <v>585</v>
      </c>
      <c r="D114" s="83" t="s">
        <v>1077</v>
      </c>
      <c r="E114" s="83">
        <f>tlInputReg1Seg1Rep1Coaching_R1</f>
        <v>0</v>
      </c>
      <c r="F114" s="83">
        <f>tlInputReg1Seg1Rep1Coaching_R1</f>
        <v>0</v>
      </c>
      <c r="G114" s="83">
        <f>tlInputReg1Seg1Rep1Coaching_R1</f>
        <v>0</v>
      </c>
      <c r="H114" s="83">
        <f>tlInputReg1Seg1Rep1Coaching_R1</f>
        <v>0</v>
      </c>
      <c r="I114" s="83">
        <f>tlInputReg1Seg1Rep1Coaching_R1</f>
        <v>0</v>
      </c>
      <c r="J114" s="84" t="s">
        <v>3449</v>
      </c>
      <c r="K114" s="121"/>
      <c r="L114" s="121"/>
      <c r="M114" s="121"/>
      <c r="N114" s="121"/>
      <c r="P114" s="88"/>
      <c r="Q114" s="88"/>
      <c r="R114" s="88"/>
      <c r="S114" s="88"/>
      <c r="T114" s="88"/>
      <c r="V114" s="88"/>
      <c r="W114" s="88"/>
      <c r="X114" s="88"/>
      <c r="Y114" s="88"/>
      <c r="Z114" s="88"/>
      <c r="AB114" s="88"/>
      <c r="AC114" s="88"/>
      <c r="AD114" s="88"/>
      <c r="AE114" s="88"/>
      <c r="AF114" s="88"/>
    </row>
    <row r="115" spans="2:32">
      <c r="J115" s="84"/>
      <c r="K115" s="121"/>
      <c r="L115" s="121"/>
      <c r="M115" s="121"/>
      <c r="N115" s="121"/>
      <c r="P115" s="88"/>
      <c r="Q115" s="88"/>
      <c r="R115" s="88"/>
      <c r="S115" s="88"/>
      <c r="T115" s="88"/>
      <c r="V115" s="88"/>
      <c r="W115" s="88"/>
      <c r="X115" s="88"/>
      <c r="Y115" s="88"/>
      <c r="Z115" s="88"/>
      <c r="AB115" s="88"/>
      <c r="AC115" s="88"/>
      <c r="AD115" s="88"/>
      <c r="AE115" s="88"/>
      <c r="AF115" s="88"/>
    </row>
    <row r="116" spans="2:32">
      <c r="B116" s="428" t="s">
        <v>1551</v>
      </c>
      <c r="D116" s="83" t="s">
        <v>588</v>
      </c>
      <c r="E116" s="83">
        <f>tlInputReg1Seg1PromotionAllocation_R2</f>
        <v>0.33</v>
      </c>
      <c r="F116" s="83">
        <f>tlInputReg1Seg1PromotionAllocation_R2</f>
        <v>0.33</v>
      </c>
      <c r="G116" s="83">
        <f>tlInputReg1Seg1PromotionAllocation_R2</f>
        <v>0.33</v>
      </c>
      <c r="H116" s="83">
        <f>tlInputReg1Seg1PromotionAllocation_R2</f>
        <v>0.33</v>
      </c>
      <c r="I116" s="83">
        <f>tlInputReg1Seg1PromotionAllocation_R2</f>
        <v>0.33</v>
      </c>
      <c r="J116" s="84" t="s">
        <v>2370</v>
      </c>
      <c r="K116" s="121"/>
      <c r="L116" s="121"/>
      <c r="M116" s="121"/>
      <c r="N116" s="121"/>
      <c r="P116" s="88"/>
      <c r="Q116" s="88"/>
      <c r="R116" s="88"/>
      <c r="S116" s="88"/>
      <c r="T116" s="88"/>
      <c r="V116" s="88"/>
      <c r="W116" s="88"/>
      <c r="X116" s="88"/>
      <c r="Y116" s="88"/>
      <c r="Z116" s="88"/>
      <c r="AB116" s="88"/>
      <c r="AC116" s="88"/>
      <c r="AD116" s="88"/>
      <c r="AE116" s="88"/>
      <c r="AF116" s="88"/>
    </row>
    <row r="117" spans="2:32">
      <c r="D117" s="83" t="s">
        <v>516</v>
      </c>
      <c r="E117" s="83">
        <f>tlInputReg1Seg1SamplesPerc_R2</f>
        <v>0.33</v>
      </c>
      <c r="F117" s="83">
        <f>tlInputReg1Seg1SamplesPerc_R2</f>
        <v>0.33</v>
      </c>
      <c r="G117" s="83">
        <f>tlInputReg1Seg1SamplesPerc_R2</f>
        <v>0.33</v>
      </c>
      <c r="H117" s="83">
        <f>tlInputReg1Seg1SamplesPerc_R2</f>
        <v>0.33</v>
      </c>
      <c r="I117" s="83">
        <f>tlInputReg1Seg1SamplesPerc_R2</f>
        <v>0.33</v>
      </c>
      <c r="J117" s="84" t="s">
        <v>2455</v>
      </c>
      <c r="K117" s="121"/>
      <c r="L117" s="121"/>
      <c r="M117" s="121"/>
      <c r="N117" s="121"/>
      <c r="P117" s="88"/>
      <c r="Q117" s="88"/>
      <c r="R117" s="88"/>
      <c r="S117" s="88"/>
      <c r="T117" s="88"/>
      <c r="V117" s="88"/>
      <c r="W117" s="88"/>
      <c r="X117" s="88"/>
      <c r="Y117" s="88"/>
      <c r="Z117" s="88"/>
      <c r="AB117" s="88"/>
      <c r="AC117" s="88"/>
      <c r="AD117" s="88"/>
      <c r="AE117" s="88"/>
      <c r="AF117" s="88"/>
    </row>
    <row r="118" spans="2:32">
      <c r="D118" s="83" t="s">
        <v>517</v>
      </c>
      <c r="E118" s="83">
        <f>tlInputReg1Seg1SpeakersPerc_R2</f>
        <v>0.5</v>
      </c>
      <c r="F118" s="83">
        <f>tlInputReg1Seg1SpeakersPerc_R2</f>
        <v>0.5</v>
      </c>
      <c r="G118" s="83">
        <f>tlInputReg1Seg1SpeakersPerc_R2</f>
        <v>0.5</v>
      </c>
      <c r="H118" s="83">
        <f>tlInputReg1Seg1SpeakersPerc_R2</f>
        <v>0.5</v>
      </c>
      <c r="I118" s="83">
        <f>tlInputReg1Seg1SpeakersPerc_R2</f>
        <v>0.5</v>
      </c>
      <c r="J118" s="84" t="s">
        <v>2371</v>
      </c>
      <c r="K118" s="121"/>
      <c r="L118" s="121"/>
      <c r="M118" s="121"/>
      <c r="N118" s="121"/>
      <c r="P118" s="88"/>
      <c r="Q118" s="88"/>
      <c r="R118" s="88"/>
      <c r="S118" s="88"/>
      <c r="T118" s="88"/>
      <c r="V118" s="88"/>
      <c r="W118" s="88"/>
      <c r="X118" s="88"/>
      <c r="Y118" s="88"/>
      <c r="Z118" s="88"/>
      <c r="AB118" s="88"/>
      <c r="AC118" s="88"/>
      <c r="AD118" s="88"/>
      <c r="AE118" s="88"/>
      <c r="AF118" s="88"/>
    </row>
    <row r="119" spans="2:32">
      <c r="D119" s="83" t="s">
        <v>2333</v>
      </c>
      <c r="E119" s="83">
        <f>tlInputReg1Seg1PromotionPerc_R2</f>
        <v>0.5</v>
      </c>
      <c r="F119" s="83">
        <f>tlInputReg1Seg1PromotionPerc_R2</f>
        <v>0.5</v>
      </c>
      <c r="G119" s="83">
        <f>tlInputReg1Seg1PromotionPerc_R2</f>
        <v>0.5</v>
      </c>
      <c r="H119" s="83">
        <f>tlInputReg1Seg1PromotionPerc_R2</f>
        <v>0.5</v>
      </c>
      <c r="I119" s="83">
        <f>tlInputReg1Seg1PromotionPerc_R2</f>
        <v>0.5</v>
      </c>
      <c r="J119" s="84" t="s">
        <v>2372</v>
      </c>
      <c r="K119" s="121"/>
      <c r="L119" s="121"/>
      <c r="M119" s="121"/>
      <c r="N119" s="121"/>
      <c r="P119" s="88"/>
      <c r="Q119" s="88"/>
      <c r="R119" s="88"/>
      <c r="S119" s="88"/>
      <c r="T119" s="88"/>
      <c r="V119" s="88"/>
      <c r="W119" s="88"/>
      <c r="X119" s="88"/>
      <c r="Y119" s="88"/>
      <c r="Z119" s="88"/>
      <c r="AB119" s="88"/>
      <c r="AC119" s="88"/>
      <c r="AD119" s="88"/>
      <c r="AE119" s="88"/>
      <c r="AF119" s="88"/>
    </row>
    <row r="120" spans="2:32">
      <c r="D120" s="83" t="s">
        <v>556</v>
      </c>
      <c r="E120" s="83">
        <f>tlInputReg1Seg1CfCollab_R2</f>
        <v>0</v>
      </c>
      <c r="F120" s="83">
        <f>tlInputReg1Seg1CfCollab_R2</f>
        <v>0</v>
      </c>
      <c r="G120" s="83">
        <f>tlInputReg1Seg1CfCollab_R2</f>
        <v>0</v>
      </c>
      <c r="H120" s="83">
        <f>tlInputReg1Seg1CfCollab_R2</f>
        <v>0</v>
      </c>
      <c r="I120" s="83">
        <f>tlInputReg1Seg1CfCollab_R2</f>
        <v>0</v>
      </c>
      <c r="J120" s="84" t="s">
        <v>2373</v>
      </c>
      <c r="K120" s="121"/>
      <c r="L120" s="121"/>
      <c r="M120" s="121"/>
      <c r="N120" s="121"/>
      <c r="P120" s="88"/>
      <c r="Q120" s="88"/>
      <c r="R120" s="88"/>
      <c r="S120" s="88"/>
      <c r="T120" s="88"/>
      <c r="V120" s="88"/>
      <c r="W120" s="88"/>
      <c r="X120" s="88"/>
      <c r="Y120" s="88"/>
      <c r="Z120" s="88"/>
      <c r="AB120" s="88"/>
      <c r="AC120" s="88"/>
      <c r="AD120" s="88"/>
      <c r="AE120" s="88"/>
      <c r="AF120" s="88"/>
    </row>
    <row r="121" spans="2:32">
      <c r="D121" s="83" t="s">
        <v>3211</v>
      </c>
      <c r="E121" s="83">
        <f>tlInputReg1Seg1RegTrainer_R2</f>
        <v>0</v>
      </c>
      <c r="F121" s="83">
        <f>tlInputReg1Seg1RegTrainer_R2</f>
        <v>0</v>
      </c>
      <c r="G121" s="83">
        <f>tlInputReg1Seg1RegTrainer_R2</f>
        <v>0</v>
      </c>
      <c r="H121" s="83">
        <f>tlInputReg1Seg1RegTrainer_R2</f>
        <v>0</v>
      </c>
      <c r="I121" s="83">
        <f>tlInputReg1Seg1RegTrainer_R2</f>
        <v>0</v>
      </c>
      <c r="J121" s="84" t="s">
        <v>2374</v>
      </c>
      <c r="K121" s="121"/>
      <c r="L121" s="121"/>
      <c r="M121" s="121"/>
      <c r="N121" s="121"/>
      <c r="P121" s="88"/>
      <c r="Q121" s="88"/>
      <c r="R121" s="88"/>
      <c r="S121" s="88"/>
      <c r="T121" s="88"/>
      <c r="V121" s="88"/>
      <c r="W121" s="88"/>
      <c r="X121" s="88"/>
      <c r="Y121" s="88"/>
      <c r="Z121" s="88"/>
      <c r="AB121" s="88"/>
      <c r="AC121" s="88"/>
      <c r="AD121" s="88"/>
      <c r="AE121" s="88"/>
      <c r="AF121" s="88"/>
    </row>
    <row r="122" spans="2:32">
      <c r="C122" s="83" t="s">
        <v>585</v>
      </c>
      <c r="D122" s="83" t="s">
        <v>1077</v>
      </c>
      <c r="E122" s="83">
        <f>tlInputReg1Seg1Rep1Coaching_R2</f>
        <v>0</v>
      </c>
      <c r="F122" s="83">
        <f>tlInputReg1Seg1Rep1Coaching_R2</f>
        <v>0</v>
      </c>
      <c r="G122" s="83">
        <f>tlInputReg1Seg1Rep1Coaching_R2</f>
        <v>0</v>
      </c>
      <c r="H122" s="83">
        <f>tlInputReg1Seg1Rep1Coaching_R2</f>
        <v>0</v>
      </c>
      <c r="I122" s="83">
        <f>tlInputReg1Seg1Rep1Coaching_R2</f>
        <v>0</v>
      </c>
      <c r="J122" s="84" t="s">
        <v>3450</v>
      </c>
      <c r="K122" s="121"/>
      <c r="L122" s="121"/>
      <c r="M122" s="121"/>
      <c r="N122" s="121"/>
      <c r="P122" s="88"/>
      <c r="Q122" s="88"/>
      <c r="R122" s="88"/>
      <c r="S122" s="88"/>
      <c r="T122" s="88"/>
      <c r="V122" s="88"/>
      <c r="W122" s="88"/>
      <c r="X122" s="88"/>
      <c r="Y122" s="88"/>
      <c r="Z122" s="88"/>
      <c r="AB122" s="88"/>
      <c r="AC122" s="88"/>
      <c r="AD122" s="88"/>
      <c r="AE122" s="88"/>
      <c r="AF122" s="88"/>
    </row>
    <row r="123" spans="2:32">
      <c r="J123" s="84"/>
      <c r="K123" s="121"/>
      <c r="L123" s="121"/>
      <c r="M123" s="121"/>
      <c r="N123" s="121"/>
      <c r="P123" s="88"/>
      <c r="Q123" s="88"/>
      <c r="R123" s="88"/>
      <c r="S123" s="88"/>
      <c r="T123" s="88"/>
      <c r="V123" s="88"/>
      <c r="W123" s="88"/>
      <c r="X123" s="88"/>
      <c r="Y123" s="88"/>
      <c r="Z123" s="88"/>
      <c r="AB123" s="88"/>
      <c r="AC123" s="88"/>
      <c r="AD123" s="88"/>
      <c r="AE123" s="88"/>
      <c r="AF123" s="88"/>
    </row>
    <row r="124" spans="2:32">
      <c r="B124" s="428" t="str">
        <f>nmReg1Seg2</f>
        <v>Winterfell</v>
      </c>
      <c r="J124" s="84"/>
      <c r="K124" s="121"/>
      <c r="L124" s="121"/>
      <c r="M124" s="121"/>
      <c r="N124" s="121"/>
      <c r="P124" s="88"/>
      <c r="Q124" s="88"/>
      <c r="R124" s="88"/>
      <c r="S124" s="88"/>
      <c r="T124" s="88"/>
      <c r="V124" s="88"/>
      <c r="W124" s="88"/>
      <c r="X124" s="88"/>
      <c r="Y124" s="88"/>
      <c r="Z124" s="88"/>
      <c r="AB124" s="88"/>
      <c r="AC124" s="88"/>
      <c r="AD124" s="88"/>
      <c r="AE124" s="88"/>
      <c r="AF124" s="88"/>
    </row>
    <row r="125" spans="2:32">
      <c r="B125" s="428" t="s">
        <v>1488</v>
      </c>
      <c r="D125" s="83" t="s">
        <v>588</v>
      </c>
      <c r="E125" s="83">
        <f>tlInputReg1Seg2PromotionAllocation_R1</f>
        <v>0.33</v>
      </c>
      <c r="F125" s="83">
        <f>tlInputReg1Seg2PromotionAllocation_R1</f>
        <v>0.33</v>
      </c>
      <c r="G125" s="83">
        <f>tlInputReg1Seg2PromotionAllocation_R1</f>
        <v>0.33</v>
      </c>
      <c r="H125" s="83">
        <f>tlInputReg1Seg2PromotionAllocation_R1</f>
        <v>0.33</v>
      </c>
      <c r="I125" s="83">
        <f>tlInputReg1Seg2PromotionAllocation_R1</f>
        <v>0.33</v>
      </c>
      <c r="J125" s="84" t="s">
        <v>2375</v>
      </c>
      <c r="K125" s="121"/>
      <c r="L125" s="121"/>
      <c r="M125" s="121"/>
      <c r="N125" s="121"/>
      <c r="P125" s="88"/>
      <c r="Q125" s="88"/>
      <c r="R125" s="88"/>
      <c r="S125" s="88"/>
      <c r="T125" s="88"/>
      <c r="V125" s="88"/>
      <c r="W125" s="88"/>
      <c r="X125" s="88"/>
      <c r="Y125" s="88"/>
      <c r="Z125" s="88"/>
      <c r="AB125" s="88"/>
      <c r="AC125" s="88"/>
      <c r="AD125" s="88"/>
      <c r="AE125" s="88"/>
      <c r="AF125" s="88"/>
    </row>
    <row r="126" spans="2:32">
      <c r="D126" s="83" t="s">
        <v>516</v>
      </c>
      <c r="E126" s="83">
        <f>tlInputReg1Seg2SamplesPerc_R1</f>
        <v>0.33</v>
      </c>
      <c r="F126" s="83">
        <f>tlInputReg1Seg2SamplesPerc_R1</f>
        <v>0.33</v>
      </c>
      <c r="G126" s="83">
        <f>tlInputReg1Seg2SamplesPerc_R1</f>
        <v>0.33</v>
      </c>
      <c r="H126" s="83">
        <f>tlInputReg1Seg2SamplesPerc_R1</f>
        <v>0.33</v>
      </c>
      <c r="I126" s="83">
        <f>tlInputReg1Seg2SamplesPerc_R1</f>
        <v>0.33</v>
      </c>
      <c r="J126" s="84" t="s">
        <v>2456</v>
      </c>
      <c r="K126" s="121"/>
      <c r="L126" s="121"/>
      <c r="M126" s="121"/>
      <c r="N126" s="121"/>
      <c r="P126" s="88"/>
      <c r="Q126" s="88"/>
      <c r="R126" s="88"/>
      <c r="S126" s="88"/>
      <c r="T126" s="88"/>
      <c r="V126" s="88"/>
      <c r="W126" s="88"/>
      <c r="X126" s="88"/>
      <c r="Y126" s="88"/>
      <c r="Z126" s="88"/>
      <c r="AB126" s="88"/>
      <c r="AC126" s="88"/>
      <c r="AD126" s="88"/>
      <c r="AE126" s="88"/>
      <c r="AF126" s="88"/>
    </row>
    <row r="127" spans="2:32">
      <c r="D127" s="83" t="s">
        <v>517</v>
      </c>
      <c r="E127" s="83">
        <f>tlInputReg1Seg2SpeakersPerc_R1</f>
        <v>0.5</v>
      </c>
      <c r="F127" s="83">
        <f>tlInputReg1Seg2SpeakersPerc_R1</f>
        <v>0.5</v>
      </c>
      <c r="G127" s="83">
        <f>tlInputReg1Seg2SpeakersPerc_R1</f>
        <v>0.5</v>
      </c>
      <c r="H127" s="83">
        <f>tlInputReg1Seg2SpeakersPerc_R1</f>
        <v>0.5</v>
      </c>
      <c r="I127" s="83">
        <f>tlInputReg1Seg2SpeakersPerc_R1</f>
        <v>0.5</v>
      </c>
      <c r="J127" s="84" t="s">
        <v>2376</v>
      </c>
      <c r="K127" s="121"/>
      <c r="L127" s="121"/>
      <c r="M127" s="121"/>
      <c r="N127" s="121"/>
      <c r="P127" s="88"/>
      <c r="Q127" s="88"/>
      <c r="R127" s="88"/>
      <c r="S127" s="88"/>
      <c r="T127" s="88"/>
      <c r="V127" s="88"/>
      <c r="W127" s="88"/>
      <c r="X127" s="88"/>
      <c r="Y127" s="88"/>
      <c r="Z127" s="88"/>
      <c r="AB127" s="88"/>
      <c r="AC127" s="88"/>
      <c r="AD127" s="88"/>
      <c r="AE127" s="88"/>
      <c r="AF127" s="88"/>
    </row>
    <row r="128" spans="2:32">
      <c r="D128" s="83" t="s">
        <v>2333</v>
      </c>
      <c r="E128" s="83">
        <f>tlInputReg1Seg2PromotionPerc_R1</f>
        <v>0.5</v>
      </c>
      <c r="F128" s="83">
        <f>tlInputReg1Seg2PromotionPerc_R1</f>
        <v>0.5</v>
      </c>
      <c r="G128" s="83">
        <f>tlInputReg1Seg2PromotionPerc_R1</f>
        <v>0.5</v>
      </c>
      <c r="H128" s="83">
        <f>tlInputReg1Seg2PromotionPerc_R1</f>
        <v>0.5</v>
      </c>
      <c r="I128" s="83">
        <f>tlInputReg1Seg2PromotionPerc_R1</f>
        <v>0.5</v>
      </c>
      <c r="J128" s="84" t="s">
        <v>2377</v>
      </c>
      <c r="K128" s="121"/>
      <c r="L128" s="121"/>
      <c r="M128" s="121"/>
      <c r="N128" s="121"/>
      <c r="P128" s="88"/>
      <c r="Q128" s="88"/>
      <c r="R128" s="88"/>
      <c r="S128" s="88"/>
      <c r="T128" s="88"/>
      <c r="V128" s="88"/>
      <c r="W128" s="88"/>
      <c r="X128" s="88"/>
      <c r="Y128" s="88"/>
      <c r="Z128" s="88"/>
      <c r="AB128" s="88"/>
      <c r="AC128" s="88"/>
      <c r="AD128" s="88"/>
      <c r="AE128" s="88"/>
      <c r="AF128" s="88"/>
    </row>
    <row r="129" spans="2:32">
      <c r="D129" s="83" t="s">
        <v>556</v>
      </c>
      <c r="J129" s="84" t="s">
        <v>2378</v>
      </c>
      <c r="K129" s="121"/>
      <c r="L129" s="121"/>
      <c r="M129" s="121"/>
      <c r="N129" s="121"/>
      <c r="P129" s="88"/>
      <c r="Q129" s="88"/>
      <c r="R129" s="88"/>
      <c r="S129" s="88"/>
      <c r="T129" s="88"/>
      <c r="V129" s="88"/>
      <c r="W129" s="88"/>
      <c r="X129" s="88"/>
      <c r="Y129" s="88"/>
      <c r="Z129" s="88"/>
      <c r="AB129" s="88"/>
      <c r="AC129" s="88"/>
      <c r="AD129" s="88"/>
      <c r="AE129" s="88"/>
      <c r="AF129" s="88"/>
    </row>
    <row r="130" spans="2:32">
      <c r="D130" s="83" t="s">
        <v>3211</v>
      </c>
      <c r="E130" s="83">
        <f>tlInputReg1Seg2RegTrainer_R1</f>
        <v>0</v>
      </c>
      <c r="F130" s="83">
        <f>tlInputReg1Seg2RegTrainer_R1</f>
        <v>0</v>
      </c>
      <c r="G130" s="83">
        <f>tlInputReg1Seg2RegTrainer_R1</f>
        <v>0</v>
      </c>
      <c r="H130" s="83">
        <f>tlInputReg1Seg2RegTrainer_R1</f>
        <v>0</v>
      </c>
      <c r="I130" s="83">
        <f>tlInputReg1Seg2RegTrainer_R1</f>
        <v>0</v>
      </c>
      <c r="J130" s="84" t="s">
        <v>2379</v>
      </c>
      <c r="K130" s="121"/>
      <c r="L130" s="121"/>
      <c r="M130" s="121"/>
      <c r="N130" s="121"/>
      <c r="P130" s="88"/>
      <c r="Q130" s="88"/>
      <c r="R130" s="88"/>
      <c r="S130" s="88"/>
      <c r="T130" s="88"/>
      <c r="V130" s="88"/>
      <c r="W130" s="88"/>
      <c r="X130" s="88"/>
      <c r="Y130" s="88"/>
      <c r="Z130" s="88"/>
      <c r="AB130" s="88"/>
      <c r="AC130" s="88"/>
      <c r="AD130" s="88"/>
      <c r="AE130" s="88"/>
      <c r="AF130" s="88"/>
    </row>
    <row r="131" spans="2:32">
      <c r="C131" s="83" t="s">
        <v>585</v>
      </c>
      <c r="D131" s="83" t="s">
        <v>1077</v>
      </c>
      <c r="E131" s="83">
        <f>tlInputReg1Seg2Rep1Coaching_R1</f>
        <v>0</v>
      </c>
      <c r="F131" s="83">
        <f>tlInputReg1Seg2Rep1Coaching_R1</f>
        <v>0</v>
      </c>
      <c r="G131" s="83">
        <f>tlInputReg1Seg2Rep1Coaching_R1</f>
        <v>0</v>
      </c>
      <c r="H131" s="83">
        <f>tlInputReg1Seg2Rep1Coaching_R1</f>
        <v>0</v>
      </c>
      <c r="I131" s="83">
        <f>tlInputReg1Seg2Rep1Coaching_R1</f>
        <v>0</v>
      </c>
      <c r="J131" s="84" t="s">
        <v>3451</v>
      </c>
      <c r="K131" s="121"/>
      <c r="L131" s="121"/>
      <c r="M131" s="121"/>
      <c r="N131" s="121"/>
      <c r="P131" s="88"/>
      <c r="Q131" s="88"/>
      <c r="R131" s="88"/>
      <c r="S131" s="88"/>
      <c r="T131" s="88"/>
      <c r="V131" s="88"/>
      <c r="W131" s="88"/>
      <c r="X131" s="88"/>
      <c r="Y131" s="88"/>
      <c r="Z131" s="88"/>
      <c r="AB131" s="88"/>
      <c r="AC131" s="88"/>
      <c r="AD131" s="88"/>
      <c r="AE131" s="88"/>
      <c r="AF131" s="88"/>
    </row>
    <row r="132" spans="2:32">
      <c r="J132" s="84"/>
      <c r="K132" s="121"/>
      <c r="L132" s="121"/>
      <c r="M132" s="121"/>
      <c r="N132" s="121"/>
      <c r="P132" s="88"/>
      <c r="Q132" s="88"/>
      <c r="R132" s="88"/>
      <c r="S132" s="88"/>
      <c r="T132" s="88"/>
      <c r="V132" s="88"/>
      <c r="W132" s="88"/>
      <c r="X132" s="88"/>
      <c r="Y132" s="88"/>
      <c r="Z132" s="88"/>
      <c r="AB132" s="88"/>
      <c r="AC132" s="88"/>
      <c r="AD132" s="88"/>
      <c r="AE132" s="88"/>
      <c r="AF132" s="88"/>
    </row>
    <row r="133" spans="2:32">
      <c r="B133" s="428" t="s">
        <v>1551</v>
      </c>
      <c r="D133" s="83" t="s">
        <v>588</v>
      </c>
      <c r="E133" s="83">
        <f>tlInputReg1Seg2PromotionAllocation_R2</f>
        <v>0.33</v>
      </c>
      <c r="F133" s="83">
        <f>tlInputReg1Seg2PromotionAllocation_R2</f>
        <v>0.33</v>
      </c>
      <c r="G133" s="83">
        <f>tlInputReg1Seg2PromotionAllocation_R2</f>
        <v>0.33</v>
      </c>
      <c r="H133" s="83">
        <f>tlInputReg1Seg2PromotionAllocation_R2</f>
        <v>0.33</v>
      </c>
      <c r="I133" s="83">
        <f>tlInputReg1Seg2PromotionAllocation_R2</f>
        <v>0.33</v>
      </c>
      <c r="J133" s="84" t="s">
        <v>2380</v>
      </c>
      <c r="K133" s="121"/>
      <c r="L133" s="121"/>
      <c r="M133" s="121"/>
      <c r="N133" s="121"/>
      <c r="P133" s="88"/>
      <c r="Q133" s="88"/>
      <c r="R133" s="88"/>
      <c r="S133" s="88"/>
      <c r="T133" s="88"/>
      <c r="V133" s="88"/>
      <c r="W133" s="88"/>
      <c r="X133" s="88"/>
      <c r="Y133" s="88"/>
      <c r="Z133" s="88"/>
      <c r="AB133" s="88"/>
      <c r="AC133" s="88"/>
      <c r="AD133" s="88"/>
      <c r="AE133" s="88"/>
      <c r="AF133" s="88"/>
    </row>
    <row r="134" spans="2:32">
      <c r="D134" s="83" t="s">
        <v>516</v>
      </c>
      <c r="E134" s="83">
        <f>tlInputReg1Seg2SamplesPerc_R2</f>
        <v>0.33</v>
      </c>
      <c r="F134" s="83">
        <f>tlInputReg1Seg2SamplesPerc_R2</f>
        <v>0.33</v>
      </c>
      <c r="G134" s="83">
        <f>tlInputReg1Seg2SamplesPerc_R2</f>
        <v>0.33</v>
      </c>
      <c r="H134" s="83">
        <f>tlInputReg1Seg2SamplesPerc_R2</f>
        <v>0.33</v>
      </c>
      <c r="I134" s="83">
        <f>tlInputReg1Seg2SamplesPerc_R2</f>
        <v>0.33</v>
      </c>
      <c r="J134" s="84" t="s">
        <v>2457</v>
      </c>
      <c r="K134" s="121"/>
      <c r="L134" s="121"/>
      <c r="M134" s="121"/>
      <c r="N134" s="121"/>
      <c r="P134" s="88"/>
      <c r="Q134" s="88"/>
      <c r="R134" s="88"/>
      <c r="S134" s="88"/>
      <c r="T134" s="88"/>
      <c r="V134" s="88"/>
      <c r="W134" s="88"/>
      <c r="X134" s="88"/>
      <c r="Y134" s="88"/>
      <c r="Z134" s="88"/>
      <c r="AB134" s="88"/>
      <c r="AC134" s="88"/>
      <c r="AD134" s="88"/>
      <c r="AE134" s="88"/>
      <c r="AF134" s="88"/>
    </row>
    <row r="135" spans="2:32">
      <c r="D135" s="83" t="s">
        <v>517</v>
      </c>
      <c r="E135" s="83">
        <f>tlInputReg1Seg2SpeakersPerc_R2</f>
        <v>0.5</v>
      </c>
      <c r="F135" s="83">
        <f>tlInputReg1Seg2SpeakersPerc_R2</f>
        <v>0.5</v>
      </c>
      <c r="G135" s="83">
        <f>tlInputReg1Seg2SpeakersPerc_R2</f>
        <v>0.5</v>
      </c>
      <c r="H135" s="83">
        <f>tlInputReg1Seg2SpeakersPerc_R2</f>
        <v>0.5</v>
      </c>
      <c r="I135" s="83">
        <f>tlInputReg1Seg2SpeakersPerc_R2</f>
        <v>0.5</v>
      </c>
      <c r="J135" s="84" t="s">
        <v>2381</v>
      </c>
      <c r="K135" s="121"/>
      <c r="L135" s="121"/>
      <c r="M135" s="121"/>
      <c r="N135" s="121"/>
      <c r="P135" s="88"/>
      <c r="Q135" s="88"/>
      <c r="R135" s="88"/>
      <c r="S135" s="88"/>
      <c r="T135" s="88"/>
      <c r="V135" s="88"/>
      <c r="W135" s="88"/>
      <c r="X135" s="88"/>
      <c r="Y135" s="88"/>
      <c r="Z135" s="88"/>
      <c r="AB135" s="88"/>
      <c r="AC135" s="88"/>
      <c r="AD135" s="88"/>
      <c r="AE135" s="88"/>
      <c r="AF135" s="88"/>
    </row>
    <row r="136" spans="2:32">
      <c r="D136" s="83" t="s">
        <v>2333</v>
      </c>
      <c r="E136" s="83">
        <f>tlInputReg1Seg2PromotionPerc_R2</f>
        <v>0.5</v>
      </c>
      <c r="F136" s="83">
        <f>tlInputReg1Seg2PromotionPerc_R2</f>
        <v>0.5</v>
      </c>
      <c r="G136" s="83">
        <f>tlInputReg1Seg2PromotionPerc_R2</f>
        <v>0.5</v>
      </c>
      <c r="H136" s="83">
        <f>tlInputReg1Seg2PromotionPerc_R2</f>
        <v>0.5</v>
      </c>
      <c r="I136" s="83">
        <f>tlInputReg1Seg2PromotionPerc_R2</f>
        <v>0.5</v>
      </c>
      <c r="J136" s="84" t="s">
        <v>2382</v>
      </c>
      <c r="K136" s="121"/>
      <c r="L136" s="121"/>
      <c r="M136" s="121"/>
      <c r="N136" s="121"/>
      <c r="P136" s="88"/>
      <c r="Q136" s="88"/>
      <c r="R136" s="88"/>
      <c r="S136" s="88"/>
      <c r="T136" s="88"/>
      <c r="V136" s="88"/>
      <c r="W136" s="88"/>
      <c r="X136" s="88"/>
      <c r="Y136" s="88"/>
      <c r="Z136" s="88"/>
      <c r="AB136" s="88"/>
      <c r="AC136" s="88"/>
      <c r="AD136" s="88"/>
      <c r="AE136" s="88"/>
      <c r="AF136" s="88"/>
    </row>
    <row r="137" spans="2:32">
      <c r="D137" s="83" t="s">
        <v>556</v>
      </c>
      <c r="J137" s="84" t="s">
        <v>2383</v>
      </c>
      <c r="K137" s="121"/>
      <c r="L137" s="121"/>
      <c r="M137" s="121"/>
      <c r="N137" s="121"/>
      <c r="P137" s="88"/>
      <c r="Q137" s="88"/>
      <c r="R137" s="88"/>
      <c r="S137" s="88"/>
      <c r="T137" s="88"/>
      <c r="V137" s="88"/>
      <c r="W137" s="88"/>
      <c r="X137" s="88"/>
      <c r="Y137" s="88"/>
      <c r="Z137" s="88"/>
      <c r="AB137" s="88"/>
      <c r="AC137" s="88"/>
      <c r="AD137" s="88"/>
      <c r="AE137" s="88"/>
      <c r="AF137" s="88"/>
    </row>
    <row r="138" spans="2:32">
      <c r="D138" s="83" t="s">
        <v>3211</v>
      </c>
      <c r="E138" s="83">
        <f>tlInputReg1Seg2RegTrainer_R2</f>
        <v>0</v>
      </c>
      <c r="F138" s="83">
        <f>tlInputReg1Seg2RegTrainer_R2</f>
        <v>0</v>
      </c>
      <c r="G138" s="83">
        <f>tlInputReg1Seg2RegTrainer_R2</f>
        <v>0</v>
      </c>
      <c r="H138" s="83">
        <f>tlInputReg1Seg2RegTrainer_R2</f>
        <v>0</v>
      </c>
      <c r="I138" s="83">
        <f>tlInputReg1Seg2RegTrainer_R2</f>
        <v>0</v>
      </c>
      <c r="J138" s="84" t="s">
        <v>2384</v>
      </c>
      <c r="K138" s="121"/>
      <c r="L138" s="121"/>
      <c r="M138" s="121"/>
      <c r="N138" s="121"/>
      <c r="P138" s="88"/>
      <c r="Q138" s="88"/>
      <c r="R138" s="88"/>
      <c r="S138" s="88"/>
      <c r="T138" s="88"/>
      <c r="V138" s="88"/>
      <c r="W138" s="88"/>
      <c r="X138" s="88"/>
      <c r="Y138" s="88"/>
      <c r="Z138" s="88"/>
      <c r="AB138" s="88"/>
      <c r="AC138" s="88"/>
      <c r="AD138" s="88"/>
      <c r="AE138" s="88"/>
      <c r="AF138" s="88"/>
    </row>
    <row r="139" spans="2:32">
      <c r="C139" s="83" t="s">
        <v>585</v>
      </c>
      <c r="D139" s="83" t="s">
        <v>1077</v>
      </c>
      <c r="E139" s="83">
        <f>tlInputReg1Seg2Rep1Coaching_R2</f>
        <v>0</v>
      </c>
      <c r="F139" s="83">
        <f>tlInputReg1Seg2Rep1Coaching_R2</f>
        <v>0</v>
      </c>
      <c r="G139" s="83">
        <f>tlInputReg1Seg2Rep1Coaching_R2</f>
        <v>0</v>
      </c>
      <c r="H139" s="83">
        <f>tlInputReg1Seg2Rep1Coaching_R2</f>
        <v>0</v>
      </c>
      <c r="I139" s="83">
        <f>tlInputReg1Seg2Rep1Coaching_R2</f>
        <v>0</v>
      </c>
      <c r="J139" s="84" t="s">
        <v>3452</v>
      </c>
      <c r="K139" s="121"/>
      <c r="L139" s="121"/>
      <c r="M139" s="121"/>
      <c r="N139" s="121"/>
      <c r="P139" s="88"/>
      <c r="Q139" s="88"/>
      <c r="R139" s="88"/>
      <c r="S139" s="88"/>
      <c r="T139" s="88"/>
      <c r="V139" s="88"/>
      <c r="W139" s="88"/>
      <c r="X139" s="88"/>
      <c r="Y139" s="88"/>
      <c r="Z139" s="88"/>
      <c r="AB139" s="88"/>
      <c r="AC139" s="88"/>
      <c r="AD139" s="88"/>
      <c r="AE139" s="88"/>
      <c r="AF139" s="88"/>
    </row>
    <row r="140" spans="2:32">
      <c r="J140" s="84"/>
      <c r="K140" s="121"/>
      <c r="L140" s="121"/>
      <c r="M140" s="121"/>
      <c r="N140" s="121"/>
      <c r="P140" s="88"/>
      <c r="Q140" s="88"/>
      <c r="R140" s="88"/>
      <c r="S140" s="88"/>
      <c r="T140" s="88"/>
      <c r="V140" s="88"/>
      <c r="W140" s="88"/>
      <c r="X140" s="88"/>
      <c r="Y140" s="88"/>
      <c r="Z140" s="88"/>
      <c r="AB140" s="88"/>
      <c r="AC140" s="88"/>
      <c r="AD140" s="88"/>
      <c r="AE140" s="88"/>
      <c r="AF140" s="88"/>
    </row>
    <row r="141" spans="2:32">
      <c r="B141" s="428" t="str">
        <f>nmReg1Seg3</f>
        <v>Harrenhal</v>
      </c>
      <c r="J141" s="84"/>
      <c r="K141" s="121"/>
      <c r="L141" s="121"/>
      <c r="M141" s="121"/>
      <c r="N141" s="121"/>
      <c r="P141" s="88"/>
      <c r="Q141" s="88"/>
      <c r="R141" s="88"/>
      <c r="S141" s="88"/>
      <c r="T141" s="88"/>
      <c r="V141" s="88"/>
      <c r="W141" s="88"/>
      <c r="X141" s="88"/>
      <c r="Y141" s="88"/>
      <c r="Z141" s="88"/>
      <c r="AB141" s="88"/>
      <c r="AC141" s="88"/>
      <c r="AD141" s="88"/>
      <c r="AE141" s="88"/>
      <c r="AF141" s="88"/>
    </row>
    <row r="142" spans="2:32">
      <c r="B142" s="428" t="s">
        <v>1488</v>
      </c>
      <c r="D142" s="83" t="s">
        <v>588</v>
      </c>
      <c r="E142" s="83">
        <f>tlInputReg1Seg3PromotionAllocation_R1</f>
        <v>0.33</v>
      </c>
      <c r="F142" s="83">
        <f>tlInputReg1Seg3PromotionAllocation_R1</f>
        <v>0.33</v>
      </c>
      <c r="G142" s="83">
        <f>tlInputReg1Seg3PromotionAllocation_R1</f>
        <v>0.33</v>
      </c>
      <c r="H142" s="83">
        <f>tlInputReg1Seg3PromotionAllocation_R1</f>
        <v>0.33</v>
      </c>
      <c r="I142" s="83">
        <f>tlInputReg1Seg3PromotionAllocation_R1</f>
        <v>0.33</v>
      </c>
      <c r="J142" s="84" t="s">
        <v>2385</v>
      </c>
      <c r="K142" s="121"/>
      <c r="L142" s="121"/>
      <c r="M142" s="121"/>
      <c r="N142" s="121"/>
      <c r="P142" s="88"/>
      <c r="Q142" s="88"/>
      <c r="R142" s="88"/>
      <c r="S142" s="88"/>
      <c r="T142" s="88"/>
      <c r="V142" s="88"/>
      <c r="W142" s="88"/>
      <c r="X142" s="88"/>
      <c r="Y142" s="88"/>
      <c r="Z142" s="88"/>
      <c r="AB142" s="88"/>
      <c r="AC142" s="88"/>
      <c r="AD142" s="88"/>
      <c r="AE142" s="88"/>
      <c r="AF142" s="88"/>
    </row>
    <row r="143" spans="2:32">
      <c r="D143" s="83" t="s">
        <v>516</v>
      </c>
      <c r="E143" s="83">
        <f>tlInputReg1Seg3SamplesPerc_R1</f>
        <v>0.33</v>
      </c>
      <c r="F143" s="83">
        <f>tlInputReg1Seg3SamplesPerc_R1</f>
        <v>0.33</v>
      </c>
      <c r="G143" s="83">
        <f>tlInputReg1Seg3SamplesPerc_R1</f>
        <v>0.33</v>
      </c>
      <c r="H143" s="83">
        <f>tlInputReg1Seg3SamplesPerc_R1</f>
        <v>0.33</v>
      </c>
      <c r="I143" s="83">
        <f>tlInputReg1Seg3SamplesPerc_R1</f>
        <v>0.33</v>
      </c>
      <c r="J143" s="84" t="s">
        <v>2458</v>
      </c>
      <c r="K143" s="121"/>
      <c r="L143" s="121"/>
      <c r="M143" s="121"/>
      <c r="N143" s="121"/>
      <c r="P143" s="88"/>
      <c r="Q143" s="88"/>
      <c r="R143" s="88"/>
      <c r="S143" s="88"/>
      <c r="T143" s="88"/>
      <c r="V143" s="88"/>
      <c r="W143" s="88"/>
      <c r="X143" s="88"/>
      <c r="Y143" s="88"/>
      <c r="Z143" s="88"/>
      <c r="AB143" s="88"/>
      <c r="AC143" s="88"/>
      <c r="AD143" s="88"/>
      <c r="AE143" s="88"/>
      <c r="AF143" s="88"/>
    </row>
    <row r="144" spans="2:32">
      <c r="D144" s="83" t="s">
        <v>517</v>
      </c>
      <c r="E144" s="83">
        <f>tlInputReg1Seg3SpeakersPerc_R1</f>
        <v>0.5</v>
      </c>
      <c r="F144" s="83">
        <f>tlInputReg1Seg3SpeakersPerc_R1</f>
        <v>0.5</v>
      </c>
      <c r="G144" s="83">
        <f>tlInputReg1Seg3SpeakersPerc_R1</f>
        <v>0.5</v>
      </c>
      <c r="H144" s="83">
        <f>tlInputReg1Seg3SpeakersPerc_R1</f>
        <v>0.5</v>
      </c>
      <c r="I144" s="83">
        <f>tlInputReg1Seg3SpeakersPerc_R1</f>
        <v>0.5</v>
      </c>
      <c r="J144" s="84" t="s">
        <v>2386</v>
      </c>
      <c r="K144" s="121"/>
      <c r="L144" s="121"/>
      <c r="M144" s="121"/>
      <c r="N144" s="121"/>
      <c r="P144" s="88"/>
      <c r="Q144" s="88"/>
      <c r="R144" s="88"/>
      <c r="S144" s="88"/>
      <c r="T144" s="88"/>
      <c r="V144" s="88"/>
      <c r="W144" s="88"/>
      <c r="X144" s="88"/>
      <c r="Y144" s="88"/>
      <c r="Z144" s="88"/>
      <c r="AB144" s="88"/>
      <c r="AC144" s="88"/>
      <c r="AD144" s="88"/>
      <c r="AE144" s="88"/>
      <c r="AF144" s="88"/>
    </row>
    <row r="145" spans="1:32">
      <c r="D145" s="83" t="s">
        <v>2333</v>
      </c>
      <c r="E145" s="83">
        <f>tlInputReg1Seg3PromotionPerc_R1</f>
        <v>0.5</v>
      </c>
      <c r="F145" s="83">
        <f>tlInputReg1Seg3PromotionPerc_R1</f>
        <v>0.5</v>
      </c>
      <c r="G145" s="83">
        <f>tlInputReg1Seg3PromotionPerc_R1</f>
        <v>0.5</v>
      </c>
      <c r="H145" s="83">
        <f>tlInputReg1Seg3PromotionPerc_R1</f>
        <v>0.5</v>
      </c>
      <c r="I145" s="83">
        <f>tlInputReg1Seg3PromotionPerc_R1</f>
        <v>0.5</v>
      </c>
      <c r="J145" s="84" t="s">
        <v>2387</v>
      </c>
      <c r="K145" s="121"/>
      <c r="L145" s="121"/>
      <c r="M145" s="121"/>
      <c r="N145" s="121"/>
      <c r="P145" s="88"/>
      <c r="Q145" s="88"/>
      <c r="R145" s="88"/>
      <c r="S145" s="88"/>
      <c r="T145" s="88"/>
      <c r="V145" s="88"/>
      <c r="W145" s="88"/>
      <c r="X145" s="88"/>
      <c r="Y145" s="88"/>
      <c r="Z145" s="88"/>
      <c r="AB145" s="88"/>
      <c r="AC145" s="88"/>
      <c r="AD145" s="88"/>
      <c r="AE145" s="88"/>
      <c r="AF145" s="88"/>
    </row>
    <row r="146" spans="1:32">
      <c r="D146" s="83" t="s">
        <v>556</v>
      </c>
      <c r="J146" s="84" t="s">
        <v>2388</v>
      </c>
      <c r="K146" s="121"/>
      <c r="L146" s="121"/>
      <c r="M146" s="121"/>
      <c r="N146" s="121"/>
      <c r="P146" s="88"/>
      <c r="Q146" s="88"/>
      <c r="R146" s="88"/>
      <c r="S146" s="88"/>
      <c r="T146" s="88"/>
      <c r="V146" s="88"/>
      <c r="W146" s="88"/>
      <c r="X146" s="88"/>
      <c r="Y146" s="88"/>
      <c r="Z146" s="88"/>
      <c r="AB146" s="88"/>
      <c r="AC146" s="88"/>
      <c r="AD146" s="88"/>
      <c r="AE146" s="88"/>
      <c r="AF146" s="88"/>
    </row>
    <row r="147" spans="1:32">
      <c r="D147" s="83" t="s">
        <v>3211</v>
      </c>
      <c r="E147" s="83">
        <f>tlInputReg1Seg3RegTrainer_R1</f>
        <v>0</v>
      </c>
      <c r="F147" s="83">
        <f>tlInputReg1Seg3RegTrainer_R1</f>
        <v>0</v>
      </c>
      <c r="G147" s="83">
        <f>tlInputReg1Seg3RegTrainer_R1</f>
        <v>0</v>
      </c>
      <c r="H147" s="83">
        <f>tlInputReg1Seg3RegTrainer_R1</f>
        <v>0</v>
      </c>
      <c r="I147" s="83">
        <f>tlInputReg1Seg3RegTrainer_R1</f>
        <v>0</v>
      </c>
      <c r="J147" s="84" t="s">
        <v>2389</v>
      </c>
      <c r="K147" s="121"/>
      <c r="L147" s="121"/>
      <c r="M147" s="121"/>
      <c r="N147" s="121"/>
      <c r="P147" s="88"/>
      <c r="Q147" s="88"/>
      <c r="R147" s="88"/>
      <c r="S147" s="88"/>
      <c r="T147" s="88"/>
      <c r="V147" s="88"/>
      <c r="W147" s="88"/>
      <c r="X147" s="88"/>
      <c r="Y147" s="88"/>
      <c r="Z147" s="88"/>
      <c r="AB147" s="88"/>
      <c r="AC147" s="88"/>
      <c r="AD147" s="88"/>
      <c r="AE147" s="88"/>
      <c r="AF147" s="88"/>
    </row>
    <row r="148" spans="1:32">
      <c r="C148" s="83" t="s">
        <v>585</v>
      </c>
      <c r="D148" s="83" t="s">
        <v>1077</v>
      </c>
      <c r="E148" s="83">
        <f>tlInputReg1Seg3Rep1Coaching_R1</f>
        <v>0</v>
      </c>
      <c r="F148" s="83">
        <f>tlInputReg1Seg3Rep1Coaching_R1</f>
        <v>0</v>
      </c>
      <c r="G148" s="83">
        <f>tlInputReg1Seg3Rep1Coaching_R1</f>
        <v>0</v>
      </c>
      <c r="H148" s="83">
        <f>tlInputReg1Seg3Rep1Coaching_R1</f>
        <v>0</v>
      </c>
      <c r="I148" s="83">
        <f>tlInputReg1Seg3Rep1Coaching_R1</f>
        <v>0</v>
      </c>
      <c r="J148" s="84" t="s">
        <v>3453</v>
      </c>
      <c r="K148" s="121"/>
      <c r="L148" s="121"/>
      <c r="M148" s="121"/>
      <c r="N148" s="121"/>
      <c r="P148" s="88"/>
      <c r="Q148" s="88"/>
      <c r="R148" s="88"/>
      <c r="S148" s="88"/>
      <c r="T148" s="88"/>
      <c r="V148" s="88"/>
      <c r="W148" s="88"/>
      <c r="X148" s="88"/>
      <c r="Y148" s="88"/>
      <c r="Z148" s="88"/>
      <c r="AB148" s="88"/>
      <c r="AC148" s="88"/>
      <c r="AD148" s="88"/>
      <c r="AE148" s="88"/>
      <c r="AF148" s="88"/>
    </row>
    <row r="149" spans="1:32">
      <c r="J149" s="84"/>
      <c r="K149" s="121"/>
      <c r="L149" s="121"/>
      <c r="M149" s="121"/>
      <c r="N149" s="121"/>
      <c r="P149" s="88"/>
      <c r="Q149" s="88"/>
      <c r="R149" s="88"/>
      <c r="S149" s="88"/>
      <c r="T149" s="88"/>
      <c r="V149" s="88"/>
      <c r="W149" s="88"/>
      <c r="X149" s="88"/>
      <c r="Y149" s="88"/>
      <c r="Z149" s="88"/>
      <c r="AB149" s="88"/>
      <c r="AC149" s="88"/>
      <c r="AD149" s="88"/>
      <c r="AE149" s="88"/>
      <c r="AF149" s="88"/>
    </row>
    <row r="150" spans="1:32">
      <c r="B150" s="428" t="s">
        <v>1551</v>
      </c>
      <c r="D150" s="83" t="s">
        <v>588</v>
      </c>
      <c r="E150" s="83">
        <f>tlInputReg1Seg3PromotionAllocation_R2</f>
        <v>0.33</v>
      </c>
      <c r="F150" s="83">
        <f>tlInputReg1Seg3PromotionAllocation_R2</f>
        <v>0.33</v>
      </c>
      <c r="G150" s="83">
        <f>tlInputReg1Seg3PromotionAllocation_R2</f>
        <v>0.33</v>
      </c>
      <c r="H150" s="83">
        <f>tlInputReg1Seg3PromotionAllocation_R2</f>
        <v>0.33</v>
      </c>
      <c r="I150" s="83">
        <f>tlInputReg1Seg3PromotionAllocation_R2</f>
        <v>0.33</v>
      </c>
      <c r="J150" s="84" t="s">
        <v>2390</v>
      </c>
      <c r="K150" s="121"/>
      <c r="L150" s="121"/>
      <c r="M150" s="121"/>
      <c r="N150" s="121"/>
      <c r="P150" s="88"/>
      <c r="Q150" s="88"/>
      <c r="R150" s="88"/>
      <c r="S150" s="88"/>
      <c r="T150" s="88"/>
      <c r="V150" s="88"/>
      <c r="W150" s="88"/>
      <c r="X150" s="88"/>
      <c r="Y150" s="88"/>
      <c r="Z150" s="88"/>
      <c r="AB150" s="88"/>
      <c r="AC150" s="88"/>
      <c r="AD150" s="88"/>
      <c r="AE150" s="88"/>
      <c r="AF150" s="88"/>
    </row>
    <row r="151" spans="1:32">
      <c r="D151" s="83" t="s">
        <v>516</v>
      </c>
      <c r="E151" s="83">
        <f>tlInputReg1Seg3SamplesPerc_R2</f>
        <v>0.33</v>
      </c>
      <c r="F151" s="83">
        <f>tlInputReg1Seg3SamplesPerc_R2</f>
        <v>0.33</v>
      </c>
      <c r="G151" s="83">
        <f>tlInputReg1Seg3SamplesPerc_R2</f>
        <v>0.33</v>
      </c>
      <c r="H151" s="83">
        <f>tlInputReg1Seg3SamplesPerc_R2</f>
        <v>0.33</v>
      </c>
      <c r="I151" s="83">
        <f>tlInputReg1Seg3SamplesPerc_R2</f>
        <v>0.33</v>
      </c>
      <c r="J151" s="84" t="s">
        <v>2459</v>
      </c>
      <c r="K151" s="121"/>
      <c r="L151" s="121"/>
      <c r="M151" s="121"/>
      <c r="N151" s="121"/>
      <c r="P151" s="88"/>
      <c r="Q151" s="88"/>
      <c r="R151" s="88"/>
      <c r="S151" s="88"/>
      <c r="T151" s="88"/>
      <c r="V151" s="88"/>
      <c r="W151" s="88"/>
      <c r="X151" s="88"/>
      <c r="Y151" s="88"/>
      <c r="Z151" s="88"/>
      <c r="AB151" s="88"/>
      <c r="AC151" s="88"/>
      <c r="AD151" s="88"/>
      <c r="AE151" s="88"/>
      <c r="AF151" s="88"/>
    </row>
    <row r="152" spans="1:32">
      <c r="D152" s="83" t="s">
        <v>517</v>
      </c>
      <c r="E152" s="83">
        <f>tlInputReg1Seg3SpeakersPerc_R2</f>
        <v>0.5</v>
      </c>
      <c r="F152" s="83">
        <f>tlInputReg1Seg3SpeakersPerc_R2</f>
        <v>0.5</v>
      </c>
      <c r="G152" s="83">
        <f>tlInputReg1Seg3SpeakersPerc_R2</f>
        <v>0.5</v>
      </c>
      <c r="H152" s="83">
        <f>tlInputReg1Seg3SpeakersPerc_R2</f>
        <v>0.5</v>
      </c>
      <c r="I152" s="83">
        <f>tlInputReg1Seg3SpeakersPerc_R2</f>
        <v>0.5</v>
      </c>
      <c r="J152" s="84" t="s">
        <v>2391</v>
      </c>
      <c r="K152" s="121"/>
      <c r="L152" s="121"/>
      <c r="M152" s="121"/>
      <c r="N152" s="121"/>
      <c r="P152" s="88"/>
      <c r="Q152" s="88"/>
      <c r="R152" s="88"/>
      <c r="S152" s="88"/>
      <c r="T152" s="88"/>
      <c r="V152" s="88"/>
      <c r="W152" s="88"/>
      <c r="X152" s="88"/>
      <c r="Y152" s="88"/>
      <c r="Z152" s="88"/>
      <c r="AB152" s="88"/>
      <c r="AC152" s="88"/>
      <c r="AD152" s="88"/>
      <c r="AE152" s="88"/>
      <c r="AF152" s="88"/>
    </row>
    <row r="153" spans="1:32">
      <c r="D153" s="83" t="s">
        <v>2333</v>
      </c>
      <c r="E153" s="83">
        <f>tlInputReg1Seg3PromotionPerc_R2</f>
        <v>0.5</v>
      </c>
      <c r="F153" s="83">
        <f>tlInputReg1Seg3PromotionPerc_R2</f>
        <v>0.5</v>
      </c>
      <c r="G153" s="83">
        <f>tlInputReg1Seg3PromotionPerc_R2</f>
        <v>0.5</v>
      </c>
      <c r="H153" s="83">
        <f>tlInputReg1Seg3PromotionPerc_R2</f>
        <v>0.5</v>
      </c>
      <c r="I153" s="83">
        <f>tlInputReg1Seg3PromotionPerc_R2</f>
        <v>0.5</v>
      </c>
      <c r="J153" s="84" t="s">
        <v>2392</v>
      </c>
      <c r="K153" s="121"/>
      <c r="L153" s="121"/>
      <c r="M153" s="121"/>
      <c r="N153" s="121"/>
      <c r="P153" s="88"/>
      <c r="Q153" s="88"/>
      <c r="R153" s="88"/>
      <c r="S153" s="88"/>
      <c r="T153" s="88"/>
      <c r="V153" s="88"/>
      <c r="W153" s="88"/>
      <c r="X153" s="88"/>
      <c r="Y153" s="88"/>
      <c r="Z153" s="88"/>
      <c r="AB153" s="88"/>
      <c r="AC153" s="88"/>
      <c r="AD153" s="88"/>
      <c r="AE153" s="88"/>
      <c r="AF153" s="88"/>
    </row>
    <row r="154" spans="1:32">
      <c r="D154" s="83" t="s">
        <v>556</v>
      </c>
      <c r="J154" s="84" t="s">
        <v>2393</v>
      </c>
      <c r="K154" s="121"/>
      <c r="L154" s="121"/>
      <c r="M154" s="121"/>
      <c r="N154" s="121"/>
      <c r="P154" s="88"/>
      <c r="Q154" s="88"/>
      <c r="R154" s="88"/>
      <c r="S154" s="88"/>
      <c r="T154" s="88"/>
      <c r="V154" s="88"/>
      <c r="W154" s="88"/>
      <c r="X154" s="88"/>
      <c r="Y154" s="88"/>
      <c r="Z154" s="88"/>
      <c r="AB154" s="88"/>
      <c r="AC154" s="88"/>
      <c r="AD154" s="88"/>
      <c r="AE154" s="88"/>
      <c r="AF154" s="88"/>
    </row>
    <row r="155" spans="1:32">
      <c r="D155" s="83" t="s">
        <v>3211</v>
      </c>
      <c r="E155" s="83">
        <f>tlInputReg1Seg3RegTrainer_R2</f>
        <v>0</v>
      </c>
      <c r="F155" s="83">
        <f>tlInputReg1Seg3RegTrainer_R2</f>
        <v>0</v>
      </c>
      <c r="G155" s="83">
        <f>tlInputReg1Seg3RegTrainer_R2</f>
        <v>0</v>
      </c>
      <c r="H155" s="83">
        <f>tlInputReg1Seg3RegTrainer_R2</f>
        <v>0</v>
      </c>
      <c r="I155" s="83">
        <f>tlInputReg1Seg3RegTrainer_R2</f>
        <v>0</v>
      </c>
      <c r="J155" s="84" t="s">
        <v>2394</v>
      </c>
      <c r="K155" s="121"/>
      <c r="L155" s="121"/>
      <c r="M155" s="121"/>
      <c r="N155" s="121"/>
      <c r="P155" s="88"/>
      <c r="Q155" s="88"/>
      <c r="R155" s="88"/>
      <c r="S155" s="88"/>
      <c r="T155" s="88"/>
      <c r="V155" s="88"/>
      <c r="W155" s="88"/>
      <c r="X155" s="88"/>
      <c r="Y155" s="88"/>
      <c r="Z155" s="88"/>
      <c r="AB155" s="88"/>
      <c r="AC155" s="88"/>
      <c r="AD155" s="88"/>
      <c r="AE155" s="88"/>
      <c r="AF155" s="88"/>
    </row>
    <row r="156" spans="1:32">
      <c r="C156" s="83" t="s">
        <v>585</v>
      </c>
      <c r="D156" s="83" t="s">
        <v>1077</v>
      </c>
      <c r="E156" s="83">
        <f>tlInputReg1Seg3Rep1Coaching_R2</f>
        <v>0</v>
      </c>
      <c r="F156" s="83">
        <f>tlInputReg1Seg3Rep1Coaching_R2</f>
        <v>0</v>
      </c>
      <c r="G156" s="83">
        <f>tlInputReg1Seg3Rep1Coaching_R2</f>
        <v>0</v>
      </c>
      <c r="H156" s="83">
        <f>tlInputReg1Seg3Rep1Coaching_R2</f>
        <v>0</v>
      </c>
      <c r="I156" s="83">
        <f>tlInputReg1Seg3Rep1Coaching_R2</f>
        <v>0</v>
      </c>
      <c r="J156" s="84" t="s">
        <v>3454</v>
      </c>
      <c r="K156" s="121"/>
      <c r="L156" s="121"/>
      <c r="M156" s="121"/>
      <c r="N156" s="121"/>
      <c r="P156" s="88"/>
      <c r="Q156" s="88"/>
      <c r="R156" s="88"/>
      <c r="S156" s="88"/>
      <c r="T156" s="88"/>
      <c r="V156" s="88"/>
      <c r="W156" s="88"/>
      <c r="X156" s="88"/>
      <c r="Y156" s="88"/>
      <c r="Z156" s="88"/>
      <c r="AB156" s="88"/>
      <c r="AC156" s="88"/>
      <c r="AD156" s="88"/>
      <c r="AE156" s="88"/>
      <c r="AF156" s="88"/>
    </row>
    <row r="157" spans="1:32">
      <c r="J157" s="84"/>
      <c r="K157" s="121"/>
      <c r="L157" s="121"/>
      <c r="M157" s="121"/>
      <c r="N157" s="121"/>
      <c r="P157" s="88"/>
      <c r="Q157" s="88"/>
      <c r="R157" s="88"/>
      <c r="S157" s="88"/>
      <c r="T157" s="88"/>
      <c r="V157" s="88"/>
      <c r="W157" s="88"/>
      <c r="X157" s="88"/>
      <c r="Y157" s="88"/>
      <c r="Z157" s="88"/>
      <c r="AB157" s="88"/>
      <c r="AC157" s="88"/>
      <c r="AD157" s="88"/>
      <c r="AE157" s="88"/>
      <c r="AF157" s="88"/>
    </row>
    <row r="158" spans="1:32">
      <c r="J158" s="84"/>
      <c r="K158" s="121"/>
      <c r="L158" s="121"/>
      <c r="M158" s="121"/>
      <c r="N158" s="121"/>
      <c r="P158" s="88"/>
      <c r="Q158" s="88"/>
      <c r="R158" s="88"/>
      <c r="S158" s="88"/>
      <c r="T158" s="88"/>
      <c r="V158" s="88"/>
      <c r="W158" s="88"/>
      <c r="X158" s="88"/>
      <c r="Y158" s="88"/>
      <c r="Z158" s="88"/>
      <c r="AB158" s="88"/>
      <c r="AC158" s="88"/>
      <c r="AD158" s="88"/>
      <c r="AE158" s="88"/>
      <c r="AF158" s="88"/>
    </row>
    <row r="159" spans="1:32" s="87" customFormat="1">
      <c r="A159" s="96" t="s">
        <v>217</v>
      </c>
      <c r="B159" s="96"/>
      <c r="E159" s="94"/>
    </row>
    <row r="160" spans="1:32">
      <c r="E160" s="83" t="s">
        <v>255</v>
      </c>
    </row>
  </sheetData>
  <conditionalFormatting sqref="L18:L22 L23:M31 L115:M115 L123:M123 L158:M158">
    <cfRule type="cellIs" dxfId="75" priority="33" operator="equal">
      <formula>TRUE</formula>
    </cfRule>
  </conditionalFormatting>
  <conditionalFormatting sqref="M19:M22">
    <cfRule type="cellIs" dxfId="74" priority="32" operator="equal">
      <formula>TRUE</formula>
    </cfRule>
  </conditionalFormatting>
  <conditionalFormatting sqref="M18">
    <cfRule type="cellIs" dxfId="73" priority="31" operator="equal">
      <formula>TRUE</formula>
    </cfRule>
  </conditionalFormatting>
  <conditionalFormatting sqref="K19:K21 E19:I21">
    <cfRule type="expression" dxfId="72" priority="25">
      <formula>decSimulationType="Hybrid"</formula>
    </cfRule>
  </conditionalFormatting>
  <conditionalFormatting sqref="N19:N21">
    <cfRule type="expression" dxfId="71" priority="24">
      <formula>decSimulationType="Hybrid"</formula>
    </cfRule>
  </conditionalFormatting>
  <conditionalFormatting sqref="L32:M37">
    <cfRule type="cellIs" dxfId="70" priority="22" operator="equal">
      <formula>TRUE</formula>
    </cfRule>
  </conditionalFormatting>
  <conditionalFormatting sqref="L38:M44">
    <cfRule type="cellIs" dxfId="69" priority="21" operator="equal">
      <formula>TRUE</formula>
    </cfRule>
  </conditionalFormatting>
  <conditionalFormatting sqref="L45:M50">
    <cfRule type="cellIs" dxfId="68" priority="20" operator="equal">
      <formula>TRUE</formula>
    </cfRule>
  </conditionalFormatting>
  <conditionalFormatting sqref="L51:M58">
    <cfRule type="cellIs" dxfId="67" priority="19" operator="equal">
      <formula>TRUE</formula>
    </cfRule>
  </conditionalFormatting>
  <conditionalFormatting sqref="L59:M64">
    <cfRule type="cellIs" dxfId="66" priority="18" operator="equal">
      <formula>TRUE</formula>
    </cfRule>
  </conditionalFormatting>
  <conditionalFormatting sqref="L65:M71">
    <cfRule type="cellIs" dxfId="65" priority="17" operator="equal">
      <formula>TRUE</formula>
    </cfRule>
  </conditionalFormatting>
  <conditionalFormatting sqref="L72:M77">
    <cfRule type="cellIs" dxfId="64" priority="16" operator="equal">
      <formula>TRUE</formula>
    </cfRule>
  </conditionalFormatting>
  <conditionalFormatting sqref="L78:M85">
    <cfRule type="cellIs" dxfId="63" priority="15" operator="equal">
      <formula>TRUE</formula>
    </cfRule>
  </conditionalFormatting>
  <conditionalFormatting sqref="L86:M91">
    <cfRule type="cellIs" dxfId="62" priority="14" operator="equal">
      <formula>TRUE</formula>
    </cfRule>
  </conditionalFormatting>
  <conditionalFormatting sqref="L92:M98">
    <cfRule type="cellIs" dxfId="61" priority="13" operator="equal">
      <formula>TRUE</formula>
    </cfRule>
  </conditionalFormatting>
  <conditionalFormatting sqref="L99:M104">
    <cfRule type="cellIs" dxfId="60" priority="12" operator="equal">
      <formula>TRUE</formula>
    </cfRule>
  </conditionalFormatting>
  <conditionalFormatting sqref="L105 L106:M114">
    <cfRule type="cellIs" dxfId="59" priority="11" operator="equal">
      <formula>TRUE</formula>
    </cfRule>
  </conditionalFormatting>
  <conditionalFormatting sqref="M105">
    <cfRule type="cellIs" dxfId="58" priority="10" operator="equal">
      <formula>TRUE</formula>
    </cfRule>
  </conditionalFormatting>
  <conditionalFormatting sqref="L116:M122">
    <cfRule type="cellIs" dxfId="57" priority="8" operator="equal">
      <formula>TRUE</formula>
    </cfRule>
  </conditionalFormatting>
  <conditionalFormatting sqref="L132:M132 L140:M140">
    <cfRule type="cellIs" dxfId="56" priority="6" operator="equal">
      <formula>TRUE</formula>
    </cfRule>
  </conditionalFormatting>
  <conditionalFormatting sqref="L124:M131">
    <cfRule type="cellIs" dxfId="55" priority="5" operator="equal">
      <formula>TRUE</formula>
    </cfRule>
  </conditionalFormatting>
  <conditionalFormatting sqref="L133:M139">
    <cfRule type="cellIs" dxfId="54" priority="4" operator="equal">
      <formula>TRUE</formula>
    </cfRule>
  </conditionalFormatting>
  <conditionalFormatting sqref="L149:M149 L157:M157">
    <cfRule type="cellIs" dxfId="53" priority="3" operator="equal">
      <formula>TRUE</formula>
    </cfRule>
  </conditionalFormatting>
  <conditionalFormatting sqref="L141:M148">
    <cfRule type="cellIs" dxfId="52" priority="2" operator="equal">
      <formula>TRUE</formula>
    </cfRule>
  </conditionalFormatting>
  <conditionalFormatting sqref="L150:M156">
    <cfRule type="cellIs" dxfId="51" priority="1" operator="equal">
      <formula>TRUE</formula>
    </cfRule>
  </conditionalFormatting>
  <dataValidations disablePrompts="1" count="1">
    <dataValidation type="list" allowBlank="1" showInputMessage="1" showErrorMessage="1" sqref="E14">
      <formula1>"BA1,BA2,Hybrid"</formula1>
    </dataValidation>
  </dataValidations>
  <hyperlinks>
    <hyperlink ref="E3" r:id="rId1"/>
  </hyperlinks>
  <pageMargins left="0.7" right="0.7" top="0.75" bottom="0.75" header="0.3" footer="0.3"/>
  <pageSetup paperSize="9"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:P3376"/>
  <sheetViews>
    <sheetView topLeftCell="A1906" zoomScale="80" zoomScaleNormal="80" workbookViewId="0">
      <selection activeCell="E1911" sqref="E1911"/>
    </sheetView>
  </sheetViews>
  <sheetFormatPr defaultRowHeight="14.25"/>
  <cols>
    <col min="1" max="1" width="8" customWidth="1"/>
    <col min="2" max="2" width="10.8984375" customWidth="1"/>
    <col min="3" max="3" width="12" customWidth="1"/>
    <col min="5" max="9" width="12.19921875" customWidth="1"/>
  </cols>
  <sheetData>
    <row r="1" spans="1:10" s="499" customFormat="1">
      <c r="A1" s="499" t="s">
        <v>1484</v>
      </c>
      <c r="E1" s="499" t="str">
        <f>decTeamName</f>
        <v>BTS</v>
      </c>
      <c r="F1" s="499" t="str">
        <f>decTeamName</f>
        <v>BTS</v>
      </c>
      <c r="G1" s="499" t="str">
        <f>decTeamName</f>
        <v>BTS</v>
      </c>
      <c r="H1" s="499" t="str">
        <f>decTeamName</f>
        <v>BTS</v>
      </c>
      <c r="I1" s="499" t="str">
        <f>decTeamName</f>
        <v>BTS</v>
      </c>
    </row>
    <row r="3" spans="1:10">
      <c r="A3" t="s">
        <v>674</v>
      </c>
    </row>
    <row r="4" spans="1:10" s="4" customFormat="1">
      <c r="A4" s="4" t="s">
        <v>1485</v>
      </c>
    </row>
    <row r="5" spans="1:10">
      <c r="A5" s="4" t="str">
        <f>nmProd1</f>
        <v>Riverrun</v>
      </c>
    </row>
    <row r="6" spans="1:10">
      <c r="A6" s="4"/>
    </row>
    <row r="7" spans="1:10">
      <c r="A7" s="4" t="str">
        <f>nmTherapy1</f>
        <v>Wintellix</v>
      </c>
    </row>
    <row r="8" spans="1:10" s="502" customFormat="1">
      <c r="A8" s="501" t="str">
        <f>nmProd1Seg1</f>
        <v>Riverrun Central</v>
      </c>
    </row>
    <row r="9" spans="1:10" s="376" customFormat="1">
      <c r="A9" s="376" t="str">
        <f>nmPayer1</f>
        <v>Blue Sword/Blue Shield</v>
      </c>
    </row>
    <row r="10" spans="1:10">
      <c r="A10" s="16" t="s">
        <v>1488</v>
      </c>
      <c r="C10" s="4" t="s">
        <v>803</v>
      </c>
      <c r="E10" s="380">
        <f>INDEX(dataProd1Seg1Payer1TotalVolume,,3)</f>
        <v>19239.8976</v>
      </c>
      <c r="F10" s="380">
        <f>INDEX(dataProd1Seg1Payer1TotalVolume,,3)</f>
        <v>19239.8976</v>
      </c>
      <c r="G10" s="380">
        <f>INDEX(dataProd1Seg1Payer1TotalVolume,,3)</f>
        <v>19239.8976</v>
      </c>
      <c r="H10" s="380">
        <f>INDEX(dataProd1Seg1Payer1TotalVolume,,3)</f>
        <v>19239.8976</v>
      </c>
      <c r="I10" s="380">
        <f>INDEX(dataProd1Seg1Payer1TotalVolume,,3)</f>
        <v>19239.8976</v>
      </c>
      <c r="J10" t="s">
        <v>1530</v>
      </c>
    </row>
    <row r="11" spans="1:10">
      <c r="C11" t="s">
        <v>3253</v>
      </c>
      <c r="E11" t="str">
        <f>obalProd1Payer1Status</f>
        <v>T2 DGSE</v>
      </c>
      <c r="F11" t="str">
        <f>obalProd1Payer1Status</f>
        <v>T2 DGSE</v>
      </c>
      <c r="G11" t="str">
        <f>obalProd1Payer1Status</f>
        <v>T2 DGSE</v>
      </c>
      <c r="H11" t="str">
        <f>obalProd1Payer1Status</f>
        <v>T2 DGSE</v>
      </c>
      <c r="I11" t="str">
        <f>obalProd1Payer1Status</f>
        <v>T2 DGSE</v>
      </c>
    </row>
    <row r="12" spans="1:10">
      <c r="C12" t="s">
        <v>2887</v>
      </c>
      <c r="E12">
        <f>INDEX(dataTierVolumeImpact,MATCH(E11,MarketData!$K$12:$K$17,0),)</f>
        <v>1.1000000000000001</v>
      </c>
      <c r="F12">
        <f>INDEX(dataTierVolumeImpact,MATCH(F11,MarketData!$K$12:$K$17,0),)</f>
        <v>1.1000000000000001</v>
      </c>
      <c r="G12">
        <f>INDEX(dataTierVolumeImpact,MATCH(G11,MarketData!$K$12:$K$17,0),)</f>
        <v>1.1000000000000001</v>
      </c>
      <c r="H12">
        <f>INDEX(dataTierVolumeImpact,MATCH(H11,MarketData!$K$12:$K$17,0),)</f>
        <v>1.1000000000000001</v>
      </c>
      <c r="I12">
        <f>INDEX(dataTierVolumeImpact,MATCH(I11,MarketData!$K$12:$K$17,0),)</f>
        <v>1.1000000000000001</v>
      </c>
      <c r="J12" t="s">
        <v>3254</v>
      </c>
    </row>
    <row r="13" spans="1:10">
      <c r="C13" t="s">
        <v>1487</v>
      </c>
      <c r="E13" s="465">
        <f>obalProd1Seg1Payer1Share</f>
        <v>5.0909090909090904E-3</v>
      </c>
      <c r="F13" s="465">
        <f>obalProd1Seg1Payer1Share</f>
        <v>5.0909090909090904E-3</v>
      </c>
      <c r="G13" s="465">
        <f>obalProd1Seg1Payer1Share</f>
        <v>5.0909090909090904E-3</v>
      </c>
      <c r="H13" s="465">
        <f>obalProd1Seg1Payer1Share</f>
        <v>5.0909090909090904E-3</v>
      </c>
      <c r="I13" s="465">
        <f>obalProd1Seg1Payer1Share</f>
        <v>5.0909090909090904E-3</v>
      </c>
    </row>
    <row r="14" spans="1:10">
      <c r="C14" t="s">
        <v>516</v>
      </c>
      <c r="E14" s="511">
        <f>(calcProd1Seg1SampleAllocR1/obalProd1Seg1SampleAlloc-1)*INDEX(datatblProd1Seg1Payer1,1,)*calcprod1Seg1Payer1TierImpactR1</f>
        <v>0</v>
      </c>
      <c r="F14" s="511">
        <f>(calcProd1Seg1SampleAllocR1/obalProd1Seg1SampleAlloc-1)*INDEX(datatblProd1Seg1Payer1,1,)</f>
        <v>0</v>
      </c>
      <c r="G14" s="511">
        <f>(calcProd1Seg1SampleAllocR1/obalProd1Seg1SampleAlloc-1)*INDEX(datatblProd1Seg1Payer1,1,)</f>
        <v>0</v>
      </c>
      <c r="H14" s="511">
        <f>(calcProd1Seg1SampleAllocR1/obalProd1Seg1SampleAlloc-1)*INDEX(datatblProd1Seg1Payer1,1,)</f>
        <v>0</v>
      </c>
      <c r="I14" s="511">
        <f>(calcProd1Seg1SampleAllocR1/obalProd1Seg1SampleAlloc-1)*INDEX(datatblProd1Seg1Payer1,1,)</f>
        <v>0</v>
      </c>
      <c r="J14" t="s">
        <v>2820</v>
      </c>
    </row>
    <row r="15" spans="1:10">
      <c r="C15" t="s">
        <v>517</v>
      </c>
      <c r="E15" s="511">
        <f>(calcProd1Seg1SpeakerAllocR1/obalProd1Seg1SpeakerAlloc-1)*INDEX(datatblProd1Seg1Payer1,2,)*(calcprod1Seg1Payer1TierImpactR1)</f>
        <v>0</v>
      </c>
      <c r="F15" s="511">
        <f>(calcProd1Seg1SpeakerAllocR1/obalProd1Seg1SpeakerAlloc-1)*INDEX(datatblProd1Seg1Payer1,2,)</f>
        <v>0</v>
      </c>
      <c r="G15" s="511">
        <f>(calcProd1Seg1SpeakerAllocR1/obalProd1Seg1SpeakerAlloc-1)*INDEX(datatblProd1Seg1Payer1,2,)</f>
        <v>0</v>
      </c>
      <c r="H15" s="511">
        <f>(calcProd1Seg1SpeakerAllocR1/obalProd1Seg1SpeakerAlloc-1)*INDEX(datatblProd1Seg1Payer1,2,)</f>
        <v>0</v>
      </c>
      <c r="I15" s="511">
        <f>(calcProd1Seg1SpeakerAllocR1/obalProd1Seg1SpeakerAlloc-1)*INDEX(datatblProd1Seg1Payer1,2,)</f>
        <v>0</v>
      </c>
      <c r="J15" t="s">
        <v>2821</v>
      </c>
    </row>
    <row r="16" spans="1:10">
      <c r="C16" t="s">
        <v>2333</v>
      </c>
      <c r="E16" s="511">
        <f>(calcProd1Seg1PromotionAllocR1/obalProd1Seg1PromotionAlloc-1)*INDEX(datatblProd1Seg1Payer1,3,)*calcprod1Seg1Payer1TierImpactR1</f>
        <v>0</v>
      </c>
      <c r="F16" s="511">
        <f>(calcProd1Seg1PromotionAllocR1/obalProd1Seg1PromotionAlloc-1)*INDEX(datatblProd1Seg1Payer1,3,)</f>
        <v>0</v>
      </c>
      <c r="G16" s="511">
        <f>(calcProd1Seg1PromotionAllocR1/obalProd1Seg1PromotionAlloc-1)*INDEX(datatblProd1Seg1Payer1,3,)</f>
        <v>0</v>
      </c>
      <c r="H16" s="511">
        <f>(calcProd1Seg1PromotionAllocR1/obalProd1Seg1PromotionAlloc-1)*INDEX(datatblProd1Seg1Payer1,3,)</f>
        <v>0</v>
      </c>
      <c r="I16" s="511">
        <f>(calcProd1Seg1PromotionAllocR1/obalProd1Seg1PromotionAlloc-1)*INDEX(datatblProd1Seg1Payer1,3,)</f>
        <v>0</v>
      </c>
      <c r="J16" t="s">
        <v>2822</v>
      </c>
    </row>
    <row r="17" spans="3:10">
      <c r="C17" t="s">
        <v>2646</v>
      </c>
      <c r="E17" s="511">
        <f>(calcProd1Seg1Rep1Payer1ImpactR1+calcProd1Seg1Rep2Payer1ImpactR1+calcProd1Seg1Rep3Payer1ImpactR1)*calcprod1Seg1Payer1TierImpactR1</f>
        <v>1.5400000000000025E-4</v>
      </c>
      <c r="F17" s="511">
        <f>(calcProd1Seg1Rep1Payer1ImpactR1+calcProd1Seg1Rep2Payer1ImpactR1+calcProd1Seg1Rep3Payer1ImpactR1)*calcprod1Seg1Payer1TierImpactR1</f>
        <v>1.5400000000000025E-4</v>
      </c>
      <c r="G17" s="511">
        <f>(calcProd1Seg1Rep1Payer1ImpactR1+calcProd1Seg1Rep2Payer1ImpactR1+calcProd1Seg1Rep3Payer1ImpactR1)*calcprod1Seg1Payer1TierImpactR1</f>
        <v>1.5400000000000025E-4</v>
      </c>
      <c r="H17" s="511">
        <f>(calcProd1Seg1Rep1Payer1ImpactR1+calcProd1Seg1Rep2Payer1ImpactR1+calcProd1Seg1Rep3Payer1ImpactR1)*calcprod1Seg1Payer1TierImpactR1</f>
        <v>1.5400000000000025E-4</v>
      </c>
      <c r="I17" s="511">
        <f>(calcProd1Seg1Rep1Payer1ImpactR1+calcProd1Seg1Rep2Payer1ImpactR1+calcProd1Seg1Rep3Payer1ImpactR1)*calcprod1Seg1Payer1TierImpactR1</f>
        <v>1.5400000000000025E-4</v>
      </c>
      <c r="J17" t="s">
        <v>2823</v>
      </c>
    </row>
    <row r="18" spans="3:10" s="4" customFormat="1">
      <c r="C18" s="4" t="s">
        <v>1489</v>
      </c>
      <c r="E18" s="500">
        <f>SUM(E13:E17)</f>
        <v>5.2449090909090909E-3</v>
      </c>
      <c r="F18" s="500">
        <f t="shared" ref="F18:I18" si="0">SUM(F13:F17)</f>
        <v>5.2449090909090909E-3</v>
      </c>
      <c r="G18" s="500">
        <f t="shared" si="0"/>
        <v>5.2449090909090909E-3</v>
      </c>
      <c r="H18" s="500">
        <f t="shared" si="0"/>
        <v>5.2449090909090909E-3</v>
      </c>
      <c r="I18" s="500">
        <f t="shared" si="0"/>
        <v>5.2449090909090909E-3</v>
      </c>
      <c r="J18" s="4" t="s">
        <v>1531</v>
      </c>
    </row>
    <row r="19" spans="3:10">
      <c r="C19" t="s">
        <v>1490</v>
      </c>
      <c r="E19" s="380">
        <f>MAX(calcProd1Seg1Payer1MarketRecurCustR1*calcProd1Seg1Payer1ShareRecurCustR1,0)</f>
        <v>100.9115138304</v>
      </c>
      <c r="F19" s="380">
        <f>MAX(calcProd1Seg1Payer1MarketRecurCustR1*calcProd1Seg1Payer1ShareRecurCustR1,0)</f>
        <v>100.9115138304</v>
      </c>
      <c r="G19" s="380">
        <f>MAX(calcProd1Seg1Payer1MarketRecurCustR1*calcProd1Seg1Payer1ShareRecurCustR1,0)</f>
        <v>100.9115138304</v>
      </c>
      <c r="H19" s="380">
        <f>MAX(calcProd1Seg1Payer1MarketRecurCustR1*calcProd1Seg1Payer1ShareRecurCustR1,0)</f>
        <v>100.9115138304</v>
      </c>
      <c r="I19" s="380">
        <f>MAX(calcProd1Seg1Payer1MarketRecurCustR1*calcProd1Seg1Payer1ShareRecurCustR1,0)</f>
        <v>100.9115138304</v>
      </c>
      <c r="J19" t="s">
        <v>1532</v>
      </c>
    </row>
    <row r="21" spans="3:10">
      <c r="C21" t="s">
        <v>804</v>
      </c>
      <c r="E21" s="380">
        <f>INDEX(dataProd1Seg1Payer1NewVolume,,3)</f>
        <v>1781.4720000000002</v>
      </c>
      <c r="F21" s="380">
        <f>INDEX(dataProd1Seg1Payer1NewVolume,,3)</f>
        <v>1781.4720000000002</v>
      </c>
      <c r="G21" s="380">
        <f>INDEX(dataProd1Seg1Payer1NewVolume,,3)</f>
        <v>1781.4720000000002</v>
      </c>
      <c r="H21" s="380">
        <f>INDEX(dataProd1Seg1Payer1NewVolume,,3)</f>
        <v>1781.4720000000002</v>
      </c>
      <c r="I21" s="380">
        <f>INDEX(dataProd1Seg1Payer1NewVolume,,3)</f>
        <v>1781.4720000000002</v>
      </c>
      <c r="J21" t="s">
        <v>1533</v>
      </c>
    </row>
    <row r="23" spans="3:10">
      <c r="C23" t="s">
        <v>1486</v>
      </c>
      <c r="E23" s="465">
        <f>obalProd1Seg1Payer1Share</f>
        <v>5.0909090909090904E-3</v>
      </c>
      <c r="F23" s="465">
        <f>obalProd1Seg1Payer1Share</f>
        <v>5.0909090909090904E-3</v>
      </c>
      <c r="G23" s="465">
        <f>obalProd1Seg1Payer1Share</f>
        <v>5.0909090909090904E-3</v>
      </c>
      <c r="H23" s="465">
        <f>obalProd1Seg1Payer1Share</f>
        <v>5.0909090909090904E-3</v>
      </c>
      <c r="I23" s="465">
        <f>obalProd1Seg1Payer1Share</f>
        <v>5.0909090909090904E-3</v>
      </c>
    </row>
    <row r="24" spans="3:10">
      <c r="C24" t="s">
        <v>516</v>
      </c>
      <c r="E24" s="511">
        <f>(calcProd1Seg1SampleAllocR1/obalProd1Seg1SampleAlloc-1)*INDEX(datatblProd1Seg1Payer1,1,)*calcprod1Seg1Payer1TierImpactR1</f>
        <v>0</v>
      </c>
      <c r="F24" s="511">
        <f>(calcProd1Seg1SampleAllocR1/obalProd1Seg1SampleAlloc-1)*INDEX(datatblProd1Seg1Payer1,1,)*calcprod1Seg1Payer1TierImpactR1</f>
        <v>0</v>
      </c>
      <c r="G24" s="511">
        <f>(calcProd1Seg1SampleAllocR1/obalProd1Seg1SampleAlloc-1)*INDEX(datatblProd1Seg1Payer1,1,)*calcprod1Seg1Payer1TierImpactR1</f>
        <v>0</v>
      </c>
      <c r="H24" s="511">
        <f>(calcProd1Seg1SampleAllocR1/obalProd1Seg1SampleAlloc-1)*INDEX(datatblProd1Seg1Payer1,1,)*calcprod1Seg1Payer1TierImpactR1</f>
        <v>0</v>
      </c>
      <c r="I24" s="511">
        <f>(calcProd1Seg1SampleAllocR1/obalProd1Seg1SampleAlloc-1)*INDEX(datatblProd1Seg1Payer1,1,)*calcprod1Seg1Payer1TierImpactR1</f>
        <v>0</v>
      </c>
      <c r="J24" t="s">
        <v>2906</v>
      </c>
    </row>
    <row r="25" spans="3:10">
      <c r="C25" t="s">
        <v>517</v>
      </c>
      <c r="E25" s="511">
        <f>(calcProd1Seg1SpeakerAllocR1/obalProd1Seg1SpeakerAlloc-1)*INDEX(datatblProd1Seg1Payer1,2,)*calcprod1Seg1Payer1TierImpactR1</f>
        <v>0</v>
      </c>
      <c r="F25" s="511">
        <f>(calcProd1Seg1SpeakerAllocR1/obalProd1Seg1SpeakerAlloc-1)*INDEX(datatblProd1Seg1Payer1,2,)*calcprod1Seg1Payer1TierImpactR1</f>
        <v>0</v>
      </c>
      <c r="G25" s="511">
        <f>(calcProd1Seg1SpeakerAllocR1/obalProd1Seg1SpeakerAlloc-1)*INDEX(datatblProd1Seg1Payer1,2,)*calcprod1Seg1Payer1TierImpactR1</f>
        <v>0</v>
      </c>
      <c r="H25" s="511">
        <f>(calcProd1Seg1SpeakerAllocR1/obalProd1Seg1SpeakerAlloc-1)*INDEX(datatblProd1Seg1Payer1,2,)*calcprod1Seg1Payer1TierImpactR1</f>
        <v>0</v>
      </c>
      <c r="I25" s="511">
        <f>(calcProd1Seg1SpeakerAllocR1/obalProd1Seg1SpeakerAlloc-1)*INDEX(datatblProd1Seg1Payer1,2,)*calcprod1Seg1Payer1TierImpactR1</f>
        <v>0</v>
      </c>
      <c r="J25" t="s">
        <v>2907</v>
      </c>
    </row>
    <row r="26" spans="3:10">
      <c r="C26" t="s">
        <v>2333</v>
      </c>
      <c r="E26" s="511">
        <f>(calcProd1Seg1PromotionAllocR1/obalProd1Seg1PromotionAlloc-1)*INDEX(datatblProd1Seg1Payer1,3,)*calcprod1Seg1Payer1TierImpactR1</f>
        <v>0</v>
      </c>
      <c r="F26" s="511">
        <f>(calcProd1Seg1PromotionAllocR1/obalProd1Seg1PromotionAlloc-1)*INDEX(datatblProd1Seg1Payer1,3,)*calcprod1Seg1Payer1TierImpactR1</f>
        <v>0</v>
      </c>
      <c r="G26" s="511">
        <f>(calcProd1Seg1PromotionAllocR1/obalProd1Seg1PromotionAlloc-1)*INDEX(datatblProd1Seg1Payer1,3,)*calcprod1Seg1Payer1TierImpactR1</f>
        <v>0</v>
      </c>
      <c r="H26" s="511">
        <f>(calcProd1Seg1PromotionAllocR1/obalProd1Seg1PromotionAlloc-1)*INDEX(datatblProd1Seg1Payer1,3,)*calcprod1Seg1Payer1TierImpactR1</f>
        <v>0</v>
      </c>
      <c r="I26" s="511">
        <f>(calcProd1Seg1PromotionAllocR1/obalProd1Seg1PromotionAlloc-1)*INDEX(datatblProd1Seg1Payer1,3,)*calcprod1Seg1Payer1TierImpactR1</f>
        <v>0</v>
      </c>
      <c r="J26" t="s">
        <v>2908</v>
      </c>
    </row>
    <row r="27" spans="3:10">
      <c r="C27" t="s">
        <v>2646</v>
      </c>
      <c r="E27" s="511">
        <f>(calcProd1Seg1Rep1Payer1ImpactR1+calcProd1Seg1Rep2Payer1ImpactR1+calcProd1Seg1Rep3Payer1ImpactR1)*calcprod1Seg1Payer1TierImpactR1</f>
        <v>1.5400000000000025E-4</v>
      </c>
      <c r="F27" s="511">
        <f>(calcProd1Seg1Rep1Payer1ImpactR1+calcProd1Seg1Rep2Payer1ImpactR1+calcProd1Seg1Rep3Payer1ImpactR1)*calcprod1Seg1Payer1TierImpactR1</f>
        <v>1.5400000000000025E-4</v>
      </c>
      <c r="G27" s="511">
        <f>(calcProd1Seg1Rep1Payer1ImpactR1+calcProd1Seg1Rep2Payer1ImpactR1+calcProd1Seg1Rep3Payer1ImpactR1)*calcprod1Seg1Payer1TierImpactR1</f>
        <v>1.5400000000000025E-4</v>
      </c>
      <c r="H27" s="511">
        <f>(calcProd1Seg1Rep1Payer1ImpactR1+calcProd1Seg1Rep2Payer1ImpactR1+calcProd1Seg1Rep3Payer1ImpactR1)*calcprod1Seg1Payer1TierImpactR1</f>
        <v>1.5400000000000025E-4</v>
      </c>
      <c r="I27" s="511">
        <f>(calcProd1Seg1Rep1Payer1ImpactR1+calcProd1Seg1Rep2Payer1ImpactR1+calcProd1Seg1Rep3Payer1ImpactR1)*calcprod1Seg1Payer1TierImpactR1</f>
        <v>1.5400000000000025E-4</v>
      </c>
      <c r="J27" t="s">
        <v>2909</v>
      </c>
    </row>
    <row r="28" spans="3:10">
      <c r="C28" t="s">
        <v>2905</v>
      </c>
    </row>
    <row r="29" spans="3:10" s="4" customFormat="1">
      <c r="C29" s="4" t="s">
        <v>1534</v>
      </c>
      <c r="E29" s="500">
        <f>SUM(E23:E28)</f>
        <v>5.2449090909090909E-3</v>
      </c>
      <c r="F29" s="500">
        <f>SUM(F23:F28)</f>
        <v>5.2449090909090909E-3</v>
      </c>
      <c r="G29" s="500">
        <f>SUM(G23:G28)</f>
        <v>5.2449090909090909E-3</v>
      </c>
      <c r="H29" s="500">
        <f>SUM(H23:H28)</f>
        <v>5.2449090909090909E-3</v>
      </c>
      <c r="I29" s="500">
        <f>SUM(I23:I28)</f>
        <v>5.2449090909090909E-3</v>
      </c>
      <c r="J29" s="4" t="s">
        <v>1535</v>
      </c>
    </row>
    <row r="30" spans="3:10">
      <c r="C30" t="s">
        <v>1490</v>
      </c>
      <c r="E30" s="380">
        <f>MAX(calcProd1Seg1Payer1MarketGrowthCustR1*calcProd1Seg1Payer1ShareNewCustR1,0)</f>
        <v>9.3436586880000014</v>
      </c>
      <c r="F30" s="380">
        <f>MAX(calcProd1Seg1Payer1MarketGrowthCustR1*calcProd1Seg1Payer1ShareNewCustR1,0)</f>
        <v>9.3436586880000014</v>
      </c>
      <c r="G30" s="380">
        <f>MAX(calcProd1Seg1Payer1MarketGrowthCustR1*calcProd1Seg1Payer1ShareNewCustR1,0)</f>
        <v>9.3436586880000014</v>
      </c>
      <c r="H30" s="380">
        <f>MAX(calcProd1Seg1Payer1MarketGrowthCustR1*calcProd1Seg1Payer1ShareNewCustR1,0)</f>
        <v>9.3436586880000014</v>
      </c>
      <c r="I30" s="380">
        <f>MAX(calcProd1Seg1Payer1MarketGrowthCustR1*calcProd1Seg1Payer1ShareNewCustR1,0)</f>
        <v>9.3436586880000014</v>
      </c>
      <c r="J30" s="4" t="s">
        <v>1536</v>
      </c>
    </row>
    <row r="32" spans="3:10">
      <c r="C32" t="s">
        <v>1537</v>
      </c>
      <c r="E32" s="380">
        <f>calcProd1Seg1Payer1MarketRecurCustR1+calcProd1Seg1Payer1MarketGrowthCustR1</f>
        <v>21021.369600000002</v>
      </c>
      <c r="F32" s="380">
        <f>calcProd1Seg1Payer1MarketRecurCustR1+calcProd1Seg1Payer1MarketGrowthCustR1</f>
        <v>21021.369600000002</v>
      </c>
      <c r="G32" s="380">
        <f>calcProd1Seg1Payer1MarketRecurCustR1+calcProd1Seg1Payer1MarketGrowthCustR1</f>
        <v>21021.369600000002</v>
      </c>
      <c r="H32" s="380">
        <f>calcProd1Seg1Payer1MarketRecurCustR1+calcProd1Seg1Payer1MarketGrowthCustR1</f>
        <v>21021.369600000002</v>
      </c>
      <c r="I32" s="380">
        <f>calcProd1Seg1Payer1MarketRecurCustR1+calcProd1Seg1Payer1MarketGrowthCustR1</f>
        <v>21021.369600000002</v>
      </c>
      <c r="J32" t="s">
        <v>1538</v>
      </c>
    </row>
    <row r="33" spans="1:10">
      <c r="C33" t="s">
        <v>1539</v>
      </c>
      <c r="E33" s="380">
        <f>calcProd1Seg1Payer1VolumeRecurCustR1+calcProd1Seg1Payer1VolumeNewCustR1</f>
        <v>110.2551725184</v>
      </c>
      <c r="F33" s="380">
        <f>calcProd1Seg1Payer1VolumeRecurCustR1+calcProd1Seg1Payer1VolumeNewCustR1</f>
        <v>110.2551725184</v>
      </c>
      <c r="G33" s="380">
        <f>calcProd1Seg1Payer1VolumeRecurCustR1+calcProd1Seg1Payer1VolumeNewCustR1</f>
        <v>110.2551725184</v>
      </c>
      <c r="H33" s="380">
        <f>calcProd1Seg1Payer1VolumeRecurCustR1+calcProd1Seg1Payer1VolumeNewCustR1</f>
        <v>110.2551725184</v>
      </c>
      <c r="I33" s="380">
        <f>calcProd1Seg1Payer1VolumeRecurCustR1+calcProd1Seg1Payer1VolumeNewCustR1</f>
        <v>110.2551725184</v>
      </c>
      <c r="J33" t="s">
        <v>1491</v>
      </c>
    </row>
    <row r="34" spans="1:10" s="4" customFormat="1">
      <c r="C34" s="4" t="s">
        <v>841</v>
      </c>
      <c r="E34" s="500">
        <f>calcProd1Seg1Payer1VolumeR1/calcProd1Seg1Payer1TotalVolumeR1</f>
        <v>5.2449090909090909E-3</v>
      </c>
      <c r="F34" s="500">
        <f>calcProd1Seg1Payer1VolumeR1/calcProd1Seg1Payer1TotalVolumeR1</f>
        <v>5.2449090909090909E-3</v>
      </c>
      <c r="G34" s="500">
        <f>calcProd1Seg1Payer1VolumeR1/calcProd1Seg1Payer1TotalVolumeR1</f>
        <v>5.2449090909090909E-3</v>
      </c>
      <c r="H34" s="500">
        <f>calcProd1Seg1Payer1VolumeR1/calcProd1Seg1Payer1TotalVolumeR1</f>
        <v>5.2449090909090909E-3</v>
      </c>
      <c r="I34" s="500">
        <f>calcProd1Seg1Payer1VolumeR1/calcProd1Seg1Payer1TotalVolumeR1</f>
        <v>5.2449090909090909E-3</v>
      </c>
      <c r="J34" s="4" t="s">
        <v>1542</v>
      </c>
    </row>
    <row r="36" spans="1:10">
      <c r="A36" s="16" t="s">
        <v>1551</v>
      </c>
      <c r="C36" t="s">
        <v>803</v>
      </c>
      <c r="E36" s="380">
        <f>INDEX(dataProd1Seg1Payer1TotalVolume,,4)</f>
        <v>21741.084288000002</v>
      </c>
      <c r="F36" s="380">
        <f>INDEX(dataProd1Seg1Payer1TotalVolume,,4)</f>
        <v>21741.084288000002</v>
      </c>
      <c r="G36" s="380">
        <f>INDEX(dataProd1Seg1Payer1TotalVolume,,4)</f>
        <v>21741.084288000002</v>
      </c>
      <c r="H36" s="380">
        <f>INDEX(dataProd1Seg1Payer1TotalVolume,,4)</f>
        <v>21741.084288000002</v>
      </c>
      <c r="I36" s="380">
        <f>INDEX(dataProd1Seg1Payer1TotalVolume,,4)</f>
        <v>21741.084288000002</v>
      </c>
      <c r="J36" t="s">
        <v>1540</v>
      </c>
    </row>
    <row r="37" spans="1:10">
      <c r="C37" t="s">
        <v>3253</v>
      </c>
      <c r="E37" t="str">
        <f>cbalProd1Payer1Status</f>
        <v>T3 DSE</v>
      </c>
      <c r="F37" t="str">
        <f>cbalProd1Payer1Status</f>
        <v>T3 DSE</v>
      </c>
      <c r="G37" t="str">
        <f>cbalProd1Payer1Status</f>
        <v>T3 DSE</v>
      </c>
      <c r="H37" t="str">
        <f>cbalProd1Payer1Status</f>
        <v>T3 DSE</v>
      </c>
      <c r="I37" t="str">
        <f>cbalProd1Payer1Status</f>
        <v>T3 DSE</v>
      </c>
    </row>
    <row r="38" spans="1:10">
      <c r="C38" t="s">
        <v>2887</v>
      </c>
      <c r="E38">
        <f>INDEX(dataTierVolumeImpact,MATCH(E37,MarketData!$K$12:$K$17,0),)</f>
        <v>0.88</v>
      </c>
      <c r="F38">
        <f>INDEX(dataTierVolumeImpact,MATCH(F37,MarketData!$K$12:$K$17,0),)</f>
        <v>0.88</v>
      </c>
      <c r="G38">
        <f>INDEX(dataTierVolumeImpact,MATCH(G37,MarketData!$K$12:$K$17,0),)</f>
        <v>0.88</v>
      </c>
      <c r="H38">
        <f>INDEX(dataTierVolumeImpact,MATCH(H37,MarketData!$K$12:$K$17,0),)</f>
        <v>0.88</v>
      </c>
      <c r="I38">
        <f>INDEX(dataTierVolumeImpact,MATCH(I37,MarketData!$K$12:$K$17,0),)</f>
        <v>0.88</v>
      </c>
      <c r="J38" t="s">
        <v>3255</v>
      </c>
    </row>
    <row r="39" spans="1:10">
      <c r="C39" t="s">
        <v>1487</v>
      </c>
      <c r="E39" s="465">
        <f>calcProd1Seg1Payer1ShareTotalCustR1</f>
        <v>5.2449090909090909E-3</v>
      </c>
      <c r="F39" s="465">
        <f>calcProd1Seg1Payer1ShareTotalCustR1</f>
        <v>5.2449090909090909E-3</v>
      </c>
      <c r="G39" s="465">
        <f>calcProd1Seg1Payer1ShareTotalCustR1</f>
        <v>5.2449090909090909E-3</v>
      </c>
      <c r="H39" s="465">
        <f>calcProd1Seg1Payer1ShareTotalCustR1</f>
        <v>5.2449090909090909E-3</v>
      </c>
      <c r="I39" s="465">
        <f>calcProd1Seg1Payer1ShareTotalCustR1</f>
        <v>5.2449090909090909E-3</v>
      </c>
    </row>
    <row r="40" spans="1:10">
      <c r="C40" t="s">
        <v>516</v>
      </c>
      <c r="E40" s="511">
        <f>(calcProd1Seg1SampleAllocR2/calcProd1Seg1SampleAllocR1-1)*INDEX(datatblProd1Seg1Payer1,1,)*calcprod1Seg1Payer1TierImpactR2</f>
        <v>0</v>
      </c>
      <c r="F40" s="511">
        <f>(calcProd1Seg1SampleAllocR2/calcProd1Seg1SampleAllocR1-1)*INDEX(datatblProd1Seg1Payer1,1,)*calcprod1Seg1Payer1TierImpactR2</f>
        <v>0</v>
      </c>
      <c r="G40" s="511">
        <f>(calcProd1Seg1SampleAllocR2/calcProd1Seg1SampleAllocR1-1)*INDEX(datatblProd1Seg1Payer1,1,)*calcprod1Seg1Payer1TierImpactR2</f>
        <v>0</v>
      </c>
      <c r="H40" s="511">
        <f>(calcProd1Seg1SampleAllocR2/calcProd1Seg1SampleAllocR1-1)*INDEX(datatblProd1Seg1Payer1,1,)*calcprod1Seg1Payer1TierImpactR2</f>
        <v>0</v>
      </c>
      <c r="I40" s="511">
        <f>(calcProd1Seg1SampleAllocR2/calcProd1Seg1SampleAllocR1-1)*INDEX(datatblProd1Seg1Payer1,1,)*calcprod1Seg1Payer1TierImpactR2</f>
        <v>0</v>
      </c>
      <c r="J40" t="s">
        <v>2910</v>
      </c>
    </row>
    <row r="41" spans="1:10">
      <c r="C41" t="s">
        <v>517</v>
      </c>
      <c r="E41" s="511">
        <f>(calcProd1Seg1SpeakerAllocR2/calcProd1Seg1SpeakerAllocR1-1)*INDEX(datatblProd1Seg1Payer1,2,)*calcprod1Seg1Payer1TierImpactR2</f>
        <v>-4.400000000000004E-5</v>
      </c>
      <c r="F41" s="511">
        <f>(calcProd1Seg1SpeakerAllocR2/calcProd1Seg1SpeakerAllocR1-1)*INDEX(datatblProd1Seg1Payer1,2,)*calcprod1Seg1Payer1TierImpactR2</f>
        <v>-4.400000000000004E-5</v>
      </c>
      <c r="G41" s="511">
        <f>(calcProd1Seg1SpeakerAllocR2/calcProd1Seg1SpeakerAllocR1-1)*INDEX(datatblProd1Seg1Payer1,2,)*calcprod1Seg1Payer1TierImpactR2</f>
        <v>-4.400000000000004E-5</v>
      </c>
      <c r="H41" s="511">
        <f>(calcProd1Seg1SpeakerAllocR2/calcProd1Seg1SpeakerAllocR1-1)*INDEX(datatblProd1Seg1Payer1,2,)*calcprod1Seg1Payer1TierImpactR2</f>
        <v>-4.400000000000004E-5</v>
      </c>
      <c r="I41" s="511">
        <f>(calcProd1Seg1SpeakerAllocR2/calcProd1Seg1SpeakerAllocR1-1)*INDEX(datatblProd1Seg1Payer1,2,)*calcprod1Seg1Payer1TierImpactR2</f>
        <v>-4.400000000000004E-5</v>
      </c>
      <c r="J41" t="s">
        <v>2911</v>
      </c>
    </row>
    <row r="42" spans="1:10">
      <c r="C42" t="s">
        <v>2333</v>
      </c>
      <c r="E42" s="511">
        <f>(calcProd1Seg1PromotionAllocR2/calcProd1Seg1PromotionAllocR1-1)*INDEX(datatblProd1Seg1Payer1,3,)*calcprod1Seg1Payer1TierImpactR2</f>
        <v>-2.200000000000002E-5</v>
      </c>
      <c r="F42" s="511">
        <f>(calcProd1Seg1PromotionAllocR2/calcProd1Seg1PromotionAllocR1-1)*INDEX(datatblProd1Seg1Payer1,3,)*calcprod1Seg1Payer1TierImpactR2</f>
        <v>-2.200000000000002E-5</v>
      </c>
      <c r="G42" s="511">
        <f>(calcProd1Seg1PromotionAllocR2/calcProd1Seg1PromotionAllocR1-1)*INDEX(datatblProd1Seg1Payer1,3,)*calcprod1Seg1Payer1TierImpactR2</f>
        <v>-2.200000000000002E-5</v>
      </c>
      <c r="H42" s="511">
        <f>(calcProd1Seg1PromotionAllocR2/calcProd1Seg1PromotionAllocR1-1)*INDEX(datatblProd1Seg1Payer1,3,)*calcprod1Seg1Payer1TierImpactR2</f>
        <v>-2.200000000000002E-5</v>
      </c>
      <c r="I42" s="511">
        <f>(calcProd1Seg1PromotionAllocR2/calcProd1Seg1PromotionAllocR1-1)*INDEX(datatblProd1Seg1Payer1,3,)*calcprod1Seg1Payer1TierImpactR2</f>
        <v>-2.200000000000002E-5</v>
      </c>
      <c r="J42" t="s">
        <v>2912</v>
      </c>
    </row>
    <row r="43" spans="1:10">
      <c r="C43" t="s">
        <v>2646</v>
      </c>
      <c r="E43" s="511">
        <f>(calcProd1Seg1Rep1Payer1ImpactR2+calcProd1Seg1Rep2Payer1ImpactR2+calcProd1Seg1Rep3Payer1ImpactR2)*calcprod1Seg1Payer1TierImpactR2</f>
        <v>1.2320000000000018E-4</v>
      </c>
      <c r="F43" s="511">
        <f>(calcProd1Seg1Rep1Payer1ImpactR2+calcProd1Seg1Rep2Payer1ImpactR2+calcProd1Seg1Rep3Payer1ImpactR2)*calcprod1Seg1Payer1TierImpactR2</f>
        <v>1.2320000000000018E-4</v>
      </c>
      <c r="G43" s="511">
        <f>(calcProd1Seg1Rep1Payer1ImpactR2+calcProd1Seg1Rep2Payer1ImpactR2+calcProd1Seg1Rep3Payer1ImpactR2)*calcprod1Seg1Payer1TierImpactR2</f>
        <v>1.2320000000000018E-4</v>
      </c>
      <c r="H43" s="511">
        <f>(calcProd1Seg1Rep1Payer1ImpactR2+calcProd1Seg1Rep2Payer1ImpactR2+calcProd1Seg1Rep3Payer1ImpactR2)*calcprod1Seg1Payer1TierImpactR2</f>
        <v>1.2320000000000018E-4</v>
      </c>
      <c r="I43" s="511">
        <f>(calcProd1Seg1Rep1Payer1ImpactR2+calcProd1Seg1Rep2Payer1ImpactR2+calcProd1Seg1Rep3Payer1ImpactR2)*calcprod1Seg1Payer1TierImpactR2</f>
        <v>1.2320000000000018E-4</v>
      </c>
      <c r="J43" t="s">
        <v>2913</v>
      </c>
    </row>
    <row r="45" spans="1:10" s="4" customFormat="1">
      <c r="C45" s="4" t="s">
        <v>1489</v>
      </c>
      <c r="E45" s="500">
        <f>SUM(E39:E44)</f>
        <v>5.3021090909090912E-3</v>
      </c>
      <c r="F45" s="500">
        <f>SUM(F39:F44)</f>
        <v>5.3021090909090912E-3</v>
      </c>
      <c r="G45" s="500">
        <f>SUM(G39:G44)</f>
        <v>5.3021090909090912E-3</v>
      </c>
      <c r="H45" s="500">
        <f>SUM(H39:H44)</f>
        <v>5.3021090909090912E-3</v>
      </c>
      <c r="I45" s="500">
        <f>SUM(I39:I44)</f>
        <v>5.3021090909090912E-3</v>
      </c>
      <c r="J45" s="4" t="s">
        <v>1543</v>
      </c>
    </row>
    <row r="46" spans="1:10">
      <c r="C46" t="s">
        <v>1490</v>
      </c>
      <c r="E46" s="380">
        <f>MAX(calcProd1Seg1Payer1MarketRecurCustR2*calcProd1Seg1Payer1ShareRecurCustR2,0)</f>
        <v>115.27360064962562</v>
      </c>
      <c r="F46" s="380">
        <f>MAX(calcProd1Seg1Payer1MarketRecurCustR2*calcProd1Seg1Payer1ShareRecurCustR2,0)</f>
        <v>115.27360064962562</v>
      </c>
      <c r="G46" s="380">
        <f>MAX(calcProd1Seg1Payer1MarketRecurCustR2*calcProd1Seg1Payer1ShareRecurCustR2,0)</f>
        <v>115.27360064962562</v>
      </c>
      <c r="H46" s="380">
        <f>MAX(calcProd1Seg1Payer1MarketRecurCustR2*calcProd1Seg1Payer1ShareRecurCustR2,0)</f>
        <v>115.27360064962562</v>
      </c>
      <c r="I46" s="380">
        <f>MAX(calcProd1Seg1Payer1MarketRecurCustR2*calcProd1Seg1Payer1ShareRecurCustR2,0)</f>
        <v>115.27360064962562</v>
      </c>
      <c r="J46" t="s">
        <v>1544</v>
      </c>
    </row>
    <row r="48" spans="1:10">
      <c r="C48" t="s">
        <v>804</v>
      </c>
      <c r="E48" s="380">
        <f>INDEX(dataProd1Seg1Payer1NewVolume,,4)</f>
        <v>2885.9846400000001</v>
      </c>
      <c r="F48" s="380">
        <f>INDEX(dataProd1Seg1Payer1NewVolume,,4)</f>
        <v>2885.9846400000001</v>
      </c>
      <c r="G48" s="380">
        <f>INDEX(dataProd1Seg1Payer1NewVolume,,4)</f>
        <v>2885.9846400000001</v>
      </c>
      <c r="H48" s="380">
        <f>INDEX(dataProd1Seg1Payer1NewVolume,,4)</f>
        <v>2885.9846400000001</v>
      </c>
      <c r="I48" s="380">
        <f>INDEX(dataProd1Seg1Payer1NewVolume,,4)</f>
        <v>2885.9846400000001</v>
      </c>
      <c r="J48" t="s">
        <v>1545</v>
      </c>
    </row>
    <row r="50" spans="1:10">
      <c r="C50" t="s">
        <v>1486</v>
      </c>
      <c r="E50" s="465">
        <f>calcProd1Seg1Payer1ShareNewCustR1</f>
        <v>5.2449090909090909E-3</v>
      </c>
      <c r="F50" s="465">
        <f>calcProd1Seg1Payer1ShareNewCustR1</f>
        <v>5.2449090909090909E-3</v>
      </c>
      <c r="G50" s="465">
        <f>calcProd1Seg1Payer1ShareNewCustR1</f>
        <v>5.2449090909090909E-3</v>
      </c>
      <c r="H50" s="465">
        <f>calcProd1Seg1Payer1ShareNewCustR1</f>
        <v>5.2449090909090909E-3</v>
      </c>
      <c r="I50" s="465">
        <f>calcProd1Seg1Payer1ShareNewCustR1</f>
        <v>5.2449090909090909E-3</v>
      </c>
    </row>
    <row r="51" spans="1:10">
      <c r="C51" t="s">
        <v>516</v>
      </c>
      <c r="E51" s="511">
        <f>(calcProd1Seg1SampleAllocR2/calcProd1Seg1SampleAllocR1-1)*INDEX(datatblProd1Seg1Payer1,1,)*calcprod1Seg1Payer1TierImpactR2</f>
        <v>0</v>
      </c>
      <c r="F51" s="511">
        <f>(calcProd1Seg1SampleAllocR2/calcProd1Seg1SampleAllocR1-1)*INDEX(datatblProd1Seg1Payer1,1,)*calcprod1Seg1Payer1TierImpactR2</f>
        <v>0</v>
      </c>
      <c r="G51" s="511">
        <f>(calcProd1Seg1SampleAllocR2/calcProd1Seg1SampleAllocR1-1)*INDEX(datatblProd1Seg1Payer1,1,)*calcprod1Seg1Payer1TierImpactR2</f>
        <v>0</v>
      </c>
      <c r="H51" s="511">
        <f>(calcProd1Seg1SampleAllocR2/calcProd1Seg1SampleAllocR1-1)*INDEX(datatblProd1Seg1Payer1,1,)*calcprod1Seg1Payer1TierImpactR2</f>
        <v>0</v>
      </c>
      <c r="I51" s="511">
        <f>(calcProd1Seg1SampleAllocR2/calcProd1Seg1SampleAllocR1-1)*INDEX(datatblProd1Seg1Payer1,1,)*calcprod1Seg1Payer1TierImpactR2</f>
        <v>0</v>
      </c>
      <c r="J51" t="s">
        <v>3139</v>
      </c>
    </row>
    <row r="52" spans="1:10">
      <c r="C52" t="s">
        <v>517</v>
      </c>
      <c r="E52" s="511">
        <f>(calcProd1Seg1SpeakerAllocR2/calcProd1Seg1SpeakerAllocR1-1)*INDEX(datatblProd1Seg1Payer1,2,)*calcprod1Seg1Payer1TierImpactR2</f>
        <v>-4.400000000000004E-5</v>
      </c>
      <c r="F52" s="511">
        <f>(calcProd1Seg1SpeakerAllocR2/calcProd1Seg1SpeakerAllocR1-1)*INDEX(datatblProd1Seg1Payer1,2,)*calcprod1Seg1Payer1TierImpactR2</f>
        <v>-4.400000000000004E-5</v>
      </c>
      <c r="G52" s="511">
        <f>(calcProd1Seg1SpeakerAllocR2/calcProd1Seg1SpeakerAllocR1-1)*INDEX(datatblProd1Seg1Payer1,2,)*calcprod1Seg1Payer1TierImpactR2</f>
        <v>-4.400000000000004E-5</v>
      </c>
      <c r="H52" s="511">
        <f>(calcProd1Seg1SpeakerAllocR2/calcProd1Seg1SpeakerAllocR1-1)*INDEX(datatblProd1Seg1Payer1,2,)*calcprod1Seg1Payer1TierImpactR2</f>
        <v>-4.400000000000004E-5</v>
      </c>
      <c r="I52" s="511">
        <f>(calcProd1Seg1SpeakerAllocR2/calcProd1Seg1SpeakerAllocR1-1)*INDEX(datatblProd1Seg1Payer1,2,)*calcprod1Seg1Payer1TierImpactR2</f>
        <v>-4.400000000000004E-5</v>
      </c>
      <c r="J52" t="s">
        <v>3140</v>
      </c>
    </row>
    <row r="53" spans="1:10">
      <c r="C53" t="s">
        <v>2333</v>
      </c>
      <c r="E53" s="511">
        <f>(calcProd1Seg1PromotionAllocR2/calcProd1Seg1PromotionAllocR1-1)*INDEX(datatblProd1Seg1Payer1,3,)*calcprod1Seg1Payer1TierImpactR2</f>
        <v>-2.200000000000002E-5</v>
      </c>
      <c r="F53" s="511">
        <f>(calcProd1Seg1PromotionAllocR2/calcProd1Seg1PromotionAllocR1-1)*INDEX(datatblProd1Seg1Payer1,3,)*calcprod1Seg1Payer1TierImpactR2</f>
        <v>-2.200000000000002E-5</v>
      </c>
      <c r="G53" s="511">
        <f>(calcProd1Seg1PromotionAllocR2/calcProd1Seg1PromotionAllocR1-1)*INDEX(datatblProd1Seg1Payer1,3,)*calcprod1Seg1Payer1TierImpactR2</f>
        <v>-2.200000000000002E-5</v>
      </c>
      <c r="H53" s="511">
        <f>(calcProd1Seg1PromotionAllocR2/calcProd1Seg1PromotionAllocR1-1)*INDEX(datatblProd1Seg1Payer1,3,)*calcprod1Seg1Payer1TierImpactR2</f>
        <v>-2.200000000000002E-5</v>
      </c>
      <c r="I53" s="511">
        <f>(calcProd1Seg1PromotionAllocR2/calcProd1Seg1PromotionAllocR1-1)*INDEX(datatblProd1Seg1Payer1,3,)*calcprod1Seg1Payer1TierImpactR2</f>
        <v>-2.200000000000002E-5</v>
      </c>
      <c r="J53" t="s">
        <v>3141</v>
      </c>
    </row>
    <row r="54" spans="1:10">
      <c r="C54" t="s">
        <v>2646</v>
      </c>
      <c r="E54" s="511">
        <f>(calcProd1Seg1Rep1Payer1ImpactR2+calcProd1Seg1Rep2Payer1ImpactR2+calcProd1Seg1Rep3Payer1ImpactR2)*calcprod1Seg1Payer1TierImpactR2</f>
        <v>1.2320000000000018E-4</v>
      </c>
      <c r="F54" s="511">
        <f>(calcProd1Seg1Rep1Payer1ImpactR2+calcProd1Seg1Rep2Payer1ImpactR2+calcProd1Seg1Rep3Payer1ImpactR2)*calcprod1Seg1Payer1TierImpactR2</f>
        <v>1.2320000000000018E-4</v>
      </c>
      <c r="G54" s="511">
        <f>(calcProd1Seg1Rep1Payer1ImpactR2+calcProd1Seg1Rep2Payer1ImpactR2+calcProd1Seg1Rep3Payer1ImpactR2)*calcprod1Seg1Payer1TierImpactR2</f>
        <v>1.2320000000000018E-4</v>
      </c>
      <c r="H54" s="511">
        <f>(calcProd1Seg1Rep1Payer1ImpactR2+calcProd1Seg1Rep2Payer1ImpactR2+calcProd1Seg1Rep3Payer1ImpactR2)*calcprod1Seg1Payer1TierImpactR2</f>
        <v>1.2320000000000018E-4</v>
      </c>
      <c r="I54" s="511">
        <f>(calcProd1Seg1Rep1Payer1ImpactR2+calcProd1Seg1Rep2Payer1ImpactR2+calcProd1Seg1Rep3Payer1ImpactR2)*calcprod1Seg1Payer1TierImpactR2</f>
        <v>1.2320000000000018E-4</v>
      </c>
      <c r="J54" t="s">
        <v>3142</v>
      </c>
    </row>
    <row r="56" spans="1:10" s="4" customFormat="1">
      <c r="C56" s="4" t="s">
        <v>1534</v>
      </c>
      <c r="E56" s="500">
        <f>SUM(E50:E55)</f>
        <v>5.3021090909090912E-3</v>
      </c>
      <c r="F56" s="500">
        <f>SUM(F50:F55)</f>
        <v>5.3021090909090912E-3</v>
      </c>
      <c r="G56" s="500">
        <f>SUM(G50:G55)</f>
        <v>5.3021090909090912E-3</v>
      </c>
      <c r="H56" s="500">
        <f>SUM(H50:H55)</f>
        <v>5.3021090909090912E-3</v>
      </c>
      <c r="I56" s="500">
        <f>SUM(I50:I55)</f>
        <v>5.3021090909090912E-3</v>
      </c>
      <c r="J56" s="4" t="s">
        <v>1546</v>
      </c>
    </row>
    <row r="57" spans="1:10">
      <c r="C57" t="s">
        <v>1490</v>
      </c>
      <c r="E57" s="380">
        <f>MAX(calcProd1Seg1Payer1MarketGrowthCustR2*calcProd1Seg1Payer1ShareNewCustR2,0)</f>
        <v>15.301805395968001</v>
      </c>
      <c r="F57" s="380">
        <f>MAX(calcProd1Seg1Payer1MarketGrowthCustR2*calcProd1Seg1Payer1ShareNewCustR2,0)</f>
        <v>15.301805395968001</v>
      </c>
      <c r="G57" s="380">
        <f>MAX(calcProd1Seg1Payer1MarketGrowthCustR2*calcProd1Seg1Payer1ShareNewCustR2,0)</f>
        <v>15.301805395968001</v>
      </c>
      <c r="H57" s="380">
        <f>MAX(calcProd1Seg1Payer1MarketGrowthCustR2*calcProd1Seg1Payer1ShareNewCustR2,0)</f>
        <v>15.301805395968001</v>
      </c>
      <c r="I57" s="380">
        <f>MAX(calcProd1Seg1Payer1MarketGrowthCustR2*calcProd1Seg1Payer1ShareNewCustR2,0)</f>
        <v>15.301805395968001</v>
      </c>
      <c r="J57" s="4" t="s">
        <v>1547</v>
      </c>
    </row>
    <row r="59" spans="1:10">
      <c r="C59" t="s">
        <v>1537</v>
      </c>
      <c r="E59" s="380">
        <f>calcProd1Seg1Payer1MarketRecurCustR2+calcProd1Seg1Payer1MarketGrowthCustR2</f>
        <v>24627.068928000001</v>
      </c>
      <c r="F59" s="380">
        <f>calcProd1Seg1Payer1MarketRecurCustR2+calcProd1Seg1Payer1MarketGrowthCustR2</f>
        <v>24627.068928000001</v>
      </c>
      <c r="G59" s="380">
        <f>calcProd1Seg1Payer1MarketRecurCustR2+calcProd1Seg1Payer1MarketGrowthCustR2</f>
        <v>24627.068928000001</v>
      </c>
      <c r="H59" s="380">
        <f>calcProd1Seg1Payer1MarketRecurCustR2+calcProd1Seg1Payer1MarketGrowthCustR2</f>
        <v>24627.068928000001</v>
      </c>
      <c r="I59" s="380">
        <f>calcProd1Seg1Payer1MarketRecurCustR2+calcProd1Seg1Payer1MarketGrowthCustR2</f>
        <v>24627.068928000001</v>
      </c>
      <c r="J59" t="s">
        <v>1549</v>
      </c>
    </row>
    <row r="60" spans="1:10">
      <c r="C60" t="s">
        <v>1539</v>
      </c>
      <c r="E60" s="380">
        <f>calcProd1Seg1Payer1VolumeRecurCustR2+calcProd1Seg1Payer1VolumeNewCustR2</f>
        <v>130.57540604559361</v>
      </c>
      <c r="F60" s="380">
        <f>calcProd1Seg1Payer1VolumeRecurCustR2+calcProd1Seg1Payer1VolumeNewCustR2</f>
        <v>130.57540604559361</v>
      </c>
      <c r="G60" s="380">
        <f>calcProd1Seg1Payer1VolumeRecurCustR2+calcProd1Seg1Payer1VolumeNewCustR2</f>
        <v>130.57540604559361</v>
      </c>
      <c r="H60" s="380">
        <f>calcProd1Seg1Payer1VolumeRecurCustR2+calcProd1Seg1Payer1VolumeNewCustR2</f>
        <v>130.57540604559361</v>
      </c>
      <c r="I60" s="380">
        <f>calcProd1Seg1Payer1VolumeRecurCustR2+calcProd1Seg1Payer1VolumeNewCustR2</f>
        <v>130.57540604559361</v>
      </c>
      <c r="J60" t="s">
        <v>1550</v>
      </c>
    </row>
    <row r="61" spans="1:10" s="4" customFormat="1">
      <c r="C61" s="4" t="s">
        <v>841</v>
      </c>
      <c r="E61" s="500">
        <f>calcProd1Seg1Payer1VolumeR1/calcProd1Seg1Payer1TotalVolumeR1</f>
        <v>5.2449090909090909E-3</v>
      </c>
      <c r="F61" s="500">
        <f>calcProd1Seg1Payer1VolumeR1/calcProd1Seg1Payer1TotalVolumeR1</f>
        <v>5.2449090909090909E-3</v>
      </c>
      <c r="G61" s="500">
        <f>calcProd1Seg1Payer1VolumeR1/calcProd1Seg1Payer1TotalVolumeR1</f>
        <v>5.2449090909090909E-3</v>
      </c>
      <c r="H61" s="500">
        <f>calcProd1Seg1Payer1VolumeR1/calcProd1Seg1Payer1TotalVolumeR1</f>
        <v>5.2449090909090909E-3</v>
      </c>
      <c r="I61" s="500">
        <f>calcProd1Seg1Payer1VolumeR1/calcProd1Seg1Payer1TotalVolumeR1</f>
        <v>5.2449090909090909E-3</v>
      </c>
      <c r="J61" s="4" t="s">
        <v>1548</v>
      </c>
    </row>
    <row r="63" spans="1:10" s="376" customFormat="1">
      <c r="A63" s="376" t="str">
        <f>nmPayer2</f>
        <v>WesterAid</v>
      </c>
    </row>
    <row r="64" spans="1:10">
      <c r="A64" s="16" t="s">
        <v>1488</v>
      </c>
      <c r="C64" s="4" t="s">
        <v>803</v>
      </c>
      <c r="E64" s="380">
        <f>INDEX(dataProd1Seg1Payer2TotalVolume,,3)</f>
        <v>11660.544000000002</v>
      </c>
      <c r="F64" s="380">
        <f>INDEX(dataProd1Seg1Payer2TotalVolume,,3)</f>
        <v>11660.544000000002</v>
      </c>
      <c r="G64" s="380">
        <f>INDEX(dataProd1Seg1Payer2TotalVolume,,3)</f>
        <v>11660.544000000002</v>
      </c>
      <c r="H64" s="380">
        <f>INDEX(dataProd1Seg1Payer2TotalVolume,,3)</f>
        <v>11660.544000000002</v>
      </c>
      <c r="I64" s="380">
        <f>INDEX(dataProd1Seg1Payer2TotalVolume,,3)</f>
        <v>11660.544000000002</v>
      </c>
      <c r="J64" t="s">
        <v>1552</v>
      </c>
    </row>
    <row r="65" spans="3:10">
      <c r="C65" t="s">
        <v>3253</v>
      </c>
      <c r="E65" t="str">
        <f>obalProd1Payer2Status</f>
        <v>T1 NR</v>
      </c>
      <c r="F65" t="str">
        <f>obalProd1Payer2Status</f>
        <v>T1 NR</v>
      </c>
      <c r="G65" t="str">
        <f>obalProd1Payer2Status</f>
        <v>T1 NR</v>
      </c>
      <c r="H65" t="str">
        <f>obalProd1Payer2Status</f>
        <v>T1 NR</v>
      </c>
      <c r="I65" t="str">
        <f>obalProd1Payer2Status</f>
        <v>T1 NR</v>
      </c>
    </row>
    <row r="66" spans="3:10">
      <c r="C66" t="s">
        <v>2887</v>
      </c>
      <c r="E66">
        <f>INDEX(dataTierVolumeImpact,MATCH(E65,MarketData!$K$12:$K$17,0),)</f>
        <v>1.1499999999999999</v>
      </c>
      <c r="F66">
        <f>INDEX(dataTierVolumeImpact,MATCH(F65,MarketData!$K$12:$K$17,0),)</f>
        <v>1.1499999999999999</v>
      </c>
      <c r="G66">
        <f>INDEX(dataTierVolumeImpact,MATCH(G65,MarketData!$K$12:$K$17,0),)</f>
        <v>1.1499999999999999</v>
      </c>
      <c r="H66">
        <f>INDEX(dataTierVolumeImpact,MATCH(H65,MarketData!$K$12:$K$17,0),)</f>
        <v>1.1499999999999999</v>
      </c>
      <c r="I66">
        <f>INDEX(dataTierVolumeImpact,MATCH(I65,MarketData!$K$12:$K$17,0),)</f>
        <v>1.1499999999999999</v>
      </c>
      <c r="J66" t="s">
        <v>3256</v>
      </c>
    </row>
    <row r="67" spans="3:10">
      <c r="C67" t="s">
        <v>1487</v>
      </c>
      <c r="E67" s="465">
        <f>obalProd1Seg1Payer2Share</f>
        <v>0</v>
      </c>
      <c r="F67" s="465">
        <f>obalProd1Seg1Payer2Share</f>
        <v>0</v>
      </c>
      <c r="G67" s="465">
        <f>obalProd1Seg1Payer2Share</f>
        <v>0</v>
      </c>
      <c r="H67" s="465">
        <f>obalProd1Seg1Payer2Share</f>
        <v>0</v>
      </c>
      <c r="I67" s="465">
        <f>obalProd1Seg1Payer2Share</f>
        <v>0</v>
      </c>
    </row>
    <row r="68" spans="3:10">
      <c r="C68" t="s">
        <v>516</v>
      </c>
      <c r="E68" s="511">
        <f>(calcProd1Seg1SampleAllocR1/obalProd1Seg1SampleAlloc-1)*INDEX(datatblProd1Seg1Payer2,1,)*calcprod1Seg1Payer2TierImpactR1</f>
        <v>0</v>
      </c>
      <c r="F68" s="511">
        <f>(calcProd1Seg1SampleAllocR1/obalProd1Seg1SampleAlloc-1)*INDEX(datatblProd1Seg1Payer2,1,)</f>
        <v>0</v>
      </c>
      <c r="G68" s="511">
        <f>(calcProd1Seg1SampleAllocR1/obalProd1Seg1SampleAlloc-1)*INDEX(datatblProd1Seg1Payer2,1,)</f>
        <v>0</v>
      </c>
      <c r="H68" s="511">
        <f>(calcProd1Seg1SampleAllocR1/obalProd1Seg1SampleAlloc-1)*INDEX(datatblProd1Seg1Payer2,1,)</f>
        <v>0</v>
      </c>
      <c r="I68" s="511">
        <f>(calcProd1Seg1SampleAllocR1/obalProd1Seg1SampleAlloc-1)*INDEX(datatblProd1Seg1Payer2,1,)</f>
        <v>0</v>
      </c>
      <c r="J68" t="s">
        <v>2816</v>
      </c>
    </row>
    <row r="69" spans="3:10">
      <c r="C69" t="s">
        <v>517</v>
      </c>
      <c r="E69" s="511">
        <f>(calcProd1Seg1SpeakerAllocR1/obalProd1Seg1SpeakerAlloc-1)*INDEX(datatblProd1Seg1Payer2,2,)*(calcprod1Seg1Payer2TierImpactR1)</f>
        <v>0</v>
      </c>
      <c r="F69" s="511">
        <f>(calcProd1Seg1SpeakerAllocR1/obalProd1Seg1SpeakerAlloc-1)*INDEX(datatblProd1Seg1Payer2,2,)</f>
        <v>0</v>
      </c>
      <c r="G69" s="511">
        <f>(calcProd1Seg1SpeakerAllocR1/obalProd1Seg1SpeakerAlloc-1)*INDEX(datatblProd1Seg1Payer2,2,)</f>
        <v>0</v>
      </c>
      <c r="H69" s="511">
        <f>(calcProd1Seg1SpeakerAllocR1/obalProd1Seg1SpeakerAlloc-1)*INDEX(datatblProd1Seg1Payer2,2,)</f>
        <v>0</v>
      </c>
      <c r="I69" s="511">
        <f>(calcProd1Seg1SpeakerAllocR1/obalProd1Seg1SpeakerAlloc-1)*INDEX(datatblProd1Seg1Payer2,2,)</f>
        <v>0</v>
      </c>
      <c r="J69" t="s">
        <v>2817</v>
      </c>
    </row>
    <row r="70" spans="3:10">
      <c r="C70" t="s">
        <v>2333</v>
      </c>
      <c r="E70" s="511">
        <f>(calcProd1Seg1PromotionAllocR1/obalProd1Seg1PromotionAlloc-1)*INDEX(datatblProd1Seg1Payer2,3,)*calcprod1Seg1Payer2TierImpactR1</f>
        <v>0</v>
      </c>
      <c r="F70" s="511">
        <f>(calcProd1Seg1PromotionAllocR1/obalProd1Seg1PromotionAlloc-1)*INDEX(datatblProd1Seg1Payer2,3,)</f>
        <v>0</v>
      </c>
      <c r="G70" s="511">
        <f>(calcProd1Seg1PromotionAllocR1/obalProd1Seg1PromotionAlloc-1)*INDEX(datatblProd1Seg1Payer2,3,)</f>
        <v>0</v>
      </c>
      <c r="H70" s="511">
        <f>(calcProd1Seg1PromotionAllocR1/obalProd1Seg1PromotionAlloc-1)*INDEX(datatblProd1Seg1Payer2,3,)</f>
        <v>0</v>
      </c>
      <c r="I70" s="511">
        <f>(calcProd1Seg1PromotionAllocR1/obalProd1Seg1PromotionAlloc-1)*INDEX(datatblProd1Seg1Payer2,3,)</f>
        <v>0</v>
      </c>
      <c r="J70" t="s">
        <v>2818</v>
      </c>
    </row>
    <row r="71" spans="3:10">
      <c r="C71" t="s">
        <v>2646</v>
      </c>
      <c r="E71" s="511">
        <f>(calcProd1Seg1Rep1Payer2ImpactR1+calcProd1Seg1Rep2Payer2ImpactR1+calcProd1Seg1Rep3Payer2ImpactR1)*calcprod1Seg1Payer2TierImpactR1</f>
        <v>1.2075000000000025E-4</v>
      </c>
      <c r="F71" s="511">
        <f>(calcProd1Seg1Rep1Payer2ImpactR1+calcProd1Seg1Rep2Payer2ImpactR1+calcProd1Seg1Rep3Payer2ImpactR1)*calcprod1Seg1Payer2TierImpactR1</f>
        <v>1.2075000000000025E-4</v>
      </c>
      <c r="G71" s="511">
        <f>(calcProd1Seg1Rep1Payer2ImpactR1+calcProd1Seg1Rep2Payer2ImpactR1+calcProd1Seg1Rep3Payer2ImpactR1)*calcprod1Seg1Payer2TierImpactR1</f>
        <v>1.2075000000000025E-4</v>
      </c>
      <c r="H71" s="511">
        <f>(calcProd1Seg1Rep1Payer2ImpactR1+calcProd1Seg1Rep2Payer2ImpactR1+calcProd1Seg1Rep3Payer2ImpactR1)*calcprod1Seg1Payer2TierImpactR1</f>
        <v>1.2075000000000025E-4</v>
      </c>
      <c r="I71" s="511">
        <f>(calcProd1Seg1Rep1Payer2ImpactR1+calcProd1Seg1Rep2Payer2ImpactR1+calcProd1Seg1Rep3Payer2ImpactR1)*calcprod1Seg1Payer2TierImpactR1</f>
        <v>1.2075000000000025E-4</v>
      </c>
      <c r="J71" t="s">
        <v>2819</v>
      </c>
    </row>
    <row r="72" spans="3:10" s="4" customFormat="1">
      <c r="C72" s="4" t="s">
        <v>1489</v>
      </c>
      <c r="E72" s="500">
        <f>SUM(E67:E71)</f>
        <v>1.2075000000000025E-4</v>
      </c>
      <c r="F72" s="500">
        <f t="shared" ref="F72:I72" si="1">SUM(F67:F71)</f>
        <v>1.2075000000000025E-4</v>
      </c>
      <c r="G72" s="500">
        <f t="shared" si="1"/>
        <v>1.2075000000000025E-4</v>
      </c>
      <c r="H72" s="500">
        <f t="shared" si="1"/>
        <v>1.2075000000000025E-4</v>
      </c>
      <c r="I72" s="500">
        <f t="shared" si="1"/>
        <v>1.2075000000000025E-4</v>
      </c>
      <c r="J72" s="4" t="s">
        <v>1553</v>
      </c>
    </row>
    <row r="73" spans="3:10">
      <c r="C73" t="s">
        <v>1490</v>
      </c>
      <c r="E73" s="380">
        <f>MAX(calcProd1Seg1Payer2MarketRecurCustR1*calcProd1Seg1Payer2ShareRecurCustR1,0)</f>
        <v>1.4080106880000032</v>
      </c>
      <c r="F73" s="380">
        <f>MAX(calcProd1Seg1Payer2MarketRecurCustR1*calcProd1Seg1Payer2ShareRecurCustR1,0)</f>
        <v>1.4080106880000032</v>
      </c>
      <c r="G73" s="380">
        <f>MAX(calcProd1Seg1Payer2MarketRecurCustR1*calcProd1Seg1Payer2ShareRecurCustR1,0)</f>
        <v>1.4080106880000032</v>
      </c>
      <c r="H73" s="380">
        <f>MAX(calcProd1Seg1Payer2MarketRecurCustR1*calcProd1Seg1Payer2ShareRecurCustR1,0)</f>
        <v>1.4080106880000032</v>
      </c>
      <c r="I73" s="380">
        <f>MAX(calcProd1Seg1Payer2MarketRecurCustR1*calcProd1Seg1Payer2ShareRecurCustR1,0)</f>
        <v>1.4080106880000032</v>
      </c>
      <c r="J73" t="s">
        <v>1554</v>
      </c>
    </row>
    <row r="75" spans="3:10">
      <c r="C75" t="s">
        <v>804</v>
      </c>
      <c r="E75" s="380">
        <f>INDEX(dataProd1Seg1Payer2NewVolume,,3)</f>
        <v>1079.68</v>
      </c>
      <c r="F75" s="380">
        <f>INDEX(dataProd1Seg1Payer2NewVolume,,3)</f>
        <v>1079.68</v>
      </c>
      <c r="G75" s="380">
        <f>INDEX(dataProd1Seg1Payer2NewVolume,,3)</f>
        <v>1079.68</v>
      </c>
      <c r="H75" s="380">
        <f>INDEX(dataProd1Seg1Payer2NewVolume,,3)</f>
        <v>1079.68</v>
      </c>
      <c r="I75" s="380">
        <f>INDEX(dataProd1Seg1Payer2NewVolume,,3)</f>
        <v>1079.68</v>
      </c>
      <c r="J75" t="s">
        <v>1555</v>
      </c>
    </row>
    <row r="77" spans="3:10">
      <c r="C77" t="s">
        <v>1486</v>
      </c>
      <c r="E77" s="465">
        <f>obalProd1Seg1Payer2Share</f>
        <v>0</v>
      </c>
      <c r="F77" s="465">
        <f>obalProd1Seg1Payer2Share</f>
        <v>0</v>
      </c>
      <c r="G77" s="465">
        <f>obalProd1Seg1Payer2Share</f>
        <v>0</v>
      </c>
      <c r="H77" s="465">
        <f>obalProd1Seg1Payer2Share</f>
        <v>0</v>
      </c>
      <c r="I77" s="465">
        <f>obalProd1Seg1Payer2Share</f>
        <v>0</v>
      </c>
    </row>
    <row r="78" spans="3:10">
      <c r="C78" t="s">
        <v>516</v>
      </c>
      <c r="E78" s="511">
        <f>(calcProd1Seg1SampleAllocR1/obalProd1Seg1SampleAlloc-1)*INDEX(datatblProd1Seg1Payer2,1,)*calcprod1Seg1Payer2TierImpactR1</f>
        <v>0</v>
      </c>
      <c r="F78" s="511">
        <f>(calcProd1Seg1SampleAllocR1/obalProd1Seg1SampleAlloc-1)*INDEX(datatblProd1Seg1Payer2,1,)*calcprod1Seg1Payer2TierImpactR1</f>
        <v>0</v>
      </c>
      <c r="G78" s="511">
        <f>(calcProd1Seg1SampleAllocR1/obalProd1Seg1SampleAlloc-1)*INDEX(datatblProd1Seg1Payer2,1,)*calcprod1Seg1Payer2TierImpactR1</f>
        <v>0</v>
      </c>
      <c r="H78" s="511">
        <f>(calcProd1Seg1SampleAllocR1/obalProd1Seg1SampleAlloc-1)*INDEX(datatblProd1Seg1Payer2,1,)*calcprod1Seg1Payer2TierImpactR1</f>
        <v>0</v>
      </c>
      <c r="I78" s="511">
        <f>(calcProd1Seg1SampleAllocR1/obalProd1Seg1SampleAlloc-1)*INDEX(datatblProd1Seg1Payer2,1,)*calcprod1Seg1Payer2TierImpactR1</f>
        <v>0</v>
      </c>
      <c r="J78" t="s">
        <v>3018</v>
      </c>
    </row>
    <row r="79" spans="3:10">
      <c r="C79" t="s">
        <v>517</v>
      </c>
      <c r="E79" s="511">
        <f>(calcProd1Seg1SpeakerAllocR1/obalProd1Seg1SpeakerAlloc-1)*INDEX(datatblProd1Seg1Payer2,2,)*calcprod1Seg1Payer2TierImpactR1</f>
        <v>0</v>
      </c>
      <c r="F79" s="511">
        <f>(calcProd1Seg1SpeakerAllocR1/obalProd1Seg1SpeakerAlloc-1)*INDEX(datatblProd1Seg1Payer2,2,)*calcprod1Seg1Payer2TierImpactR1</f>
        <v>0</v>
      </c>
      <c r="G79" s="511">
        <f>(calcProd1Seg1SpeakerAllocR1/obalProd1Seg1SpeakerAlloc-1)*INDEX(datatblProd1Seg1Payer2,2,)*calcprod1Seg1Payer2TierImpactR1</f>
        <v>0</v>
      </c>
      <c r="H79" s="511">
        <f>(calcProd1Seg1SpeakerAllocR1/obalProd1Seg1SpeakerAlloc-1)*INDEX(datatblProd1Seg1Payer2,2,)*calcprod1Seg1Payer2TierImpactR1</f>
        <v>0</v>
      </c>
      <c r="I79" s="511">
        <f>(calcProd1Seg1SpeakerAllocR1/obalProd1Seg1SpeakerAlloc-1)*INDEX(datatblProd1Seg1Payer2,2,)*calcprod1Seg1Payer2TierImpactR1</f>
        <v>0</v>
      </c>
      <c r="J79" t="s">
        <v>3019</v>
      </c>
    </row>
    <row r="80" spans="3:10">
      <c r="C80" t="s">
        <v>2333</v>
      </c>
      <c r="E80" s="511">
        <f>(calcProd1Seg1PromotionAllocR1/obalProd1Seg1PromotionAlloc-1)*INDEX(datatblProd1Seg1Payer2,3,)*calcprod1Seg1Payer2TierImpactR1</f>
        <v>0</v>
      </c>
      <c r="F80" s="511">
        <f>(calcProd1Seg1PromotionAllocR1/obalProd1Seg1PromotionAlloc-1)*INDEX(datatblProd1Seg1Payer2,3,)*calcprod1Seg1Payer2TierImpactR1</f>
        <v>0</v>
      </c>
      <c r="G80" s="511">
        <f>(calcProd1Seg1PromotionAllocR1/obalProd1Seg1PromotionAlloc-1)*INDEX(datatblProd1Seg1Payer2,3,)*calcprod1Seg1Payer2TierImpactR1</f>
        <v>0</v>
      </c>
      <c r="H80" s="511">
        <f>(calcProd1Seg1PromotionAllocR1/obalProd1Seg1PromotionAlloc-1)*INDEX(datatblProd1Seg1Payer2,3,)*calcprod1Seg1Payer2TierImpactR1</f>
        <v>0</v>
      </c>
      <c r="I80" s="511">
        <f>(calcProd1Seg1PromotionAllocR1/obalProd1Seg1PromotionAlloc-1)*INDEX(datatblProd1Seg1Payer2,3,)*calcprod1Seg1Payer2TierImpactR1</f>
        <v>0</v>
      </c>
      <c r="J80" t="s">
        <v>3020</v>
      </c>
    </row>
    <row r="81" spans="1:10">
      <c r="C81" t="s">
        <v>2646</v>
      </c>
      <c r="E81" s="511">
        <f>(calcProd1Seg1Rep1Payer2ImpactR1+calcProd1Seg1Rep2Payer2ImpactR1+calcProd1Seg1Rep3Payer2ImpactR1)*calcprod1Seg1Payer2TierImpactR1</f>
        <v>1.2075000000000025E-4</v>
      </c>
      <c r="F81" s="511">
        <f>(calcProd1Seg1Rep1Payer2ImpactR1+calcProd1Seg1Rep2Payer2ImpactR1+calcProd1Seg1Rep3Payer2ImpactR1)*calcprod1Seg1Payer2TierImpactR1</f>
        <v>1.2075000000000025E-4</v>
      </c>
      <c r="G81" s="511">
        <f>(calcProd1Seg1Rep1Payer2ImpactR1+calcProd1Seg1Rep2Payer2ImpactR1+calcProd1Seg1Rep3Payer2ImpactR1)*calcprod1Seg1Payer2TierImpactR1</f>
        <v>1.2075000000000025E-4</v>
      </c>
      <c r="H81" s="511">
        <f>(calcProd1Seg1Rep1Payer2ImpactR1+calcProd1Seg1Rep2Payer2ImpactR1+calcProd1Seg1Rep3Payer2ImpactR1)*calcprod1Seg1Payer2TierImpactR1</f>
        <v>1.2075000000000025E-4</v>
      </c>
      <c r="I81" s="511">
        <f>(calcProd1Seg1Rep1Payer2ImpactR1+calcProd1Seg1Rep2Payer2ImpactR1+calcProd1Seg1Rep3Payer2ImpactR1)*calcprod1Seg1Payer2TierImpactR1</f>
        <v>1.2075000000000025E-4</v>
      </c>
      <c r="J81" t="s">
        <v>3021</v>
      </c>
    </row>
    <row r="82" spans="1:10">
      <c r="C82" t="s">
        <v>2905</v>
      </c>
    </row>
    <row r="83" spans="1:10" s="4" customFormat="1">
      <c r="C83" s="4" t="s">
        <v>1534</v>
      </c>
      <c r="E83" s="500">
        <f>SUM(E77:E82)</f>
        <v>1.2075000000000025E-4</v>
      </c>
      <c r="F83" s="500">
        <f>SUM(F77:F82)</f>
        <v>1.2075000000000025E-4</v>
      </c>
      <c r="G83" s="500">
        <f>SUM(G77:G82)</f>
        <v>1.2075000000000025E-4</v>
      </c>
      <c r="H83" s="500">
        <f>SUM(H77:H82)</f>
        <v>1.2075000000000025E-4</v>
      </c>
      <c r="I83" s="500">
        <f>SUM(I77:I82)</f>
        <v>1.2075000000000025E-4</v>
      </c>
      <c r="J83" s="4" t="s">
        <v>1556</v>
      </c>
    </row>
    <row r="84" spans="1:10">
      <c r="C84" t="s">
        <v>1490</v>
      </c>
      <c r="E84" s="380">
        <f>MAX(calcProd1Seg1Payer2MarketGrowthCustR1*calcProd1Seg1Payer2ShareNewCustR1,0)</f>
        <v>0.13037136000000027</v>
      </c>
      <c r="F84" s="380">
        <f>MAX(calcProd1Seg1Payer2MarketGrowthCustR1*calcProd1Seg1Payer2ShareNewCustR1,0)</f>
        <v>0.13037136000000027</v>
      </c>
      <c r="G84" s="380">
        <f>MAX(calcProd1Seg1Payer2MarketGrowthCustR1*calcProd1Seg1Payer2ShareNewCustR1,0)</f>
        <v>0.13037136000000027</v>
      </c>
      <c r="H84" s="380">
        <f>MAX(calcProd1Seg1Payer2MarketGrowthCustR1*calcProd1Seg1Payer2ShareNewCustR1,0)</f>
        <v>0.13037136000000027</v>
      </c>
      <c r="I84" s="380">
        <f>MAX(calcProd1Seg1Payer2MarketGrowthCustR1*calcProd1Seg1Payer2ShareNewCustR1,0)</f>
        <v>0.13037136000000027</v>
      </c>
      <c r="J84" s="4" t="s">
        <v>1557</v>
      </c>
    </row>
    <row r="86" spans="1:10">
      <c r="C86" t="s">
        <v>1537</v>
      </c>
      <c r="E86" s="380">
        <f>calcProd1Seg1Payer2MarketRecurCustR1+calcProd1Seg1Payer2MarketGrowthCustR1</f>
        <v>12740.224000000002</v>
      </c>
      <c r="F86" s="380">
        <f>calcProd1Seg1Payer2MarketRecurCustR1+calcProd1Seg1Payer2MarketGrowthCustR1</f>
        <v>12740.224000000002</v>
      </c>
      <c r="G86" s="380">
        <f>calcProd1Seg1Payer2MarketRecurCustR1+calcProd1Seg1Payer2MarketGrowthCustR1</f>
        <v>12740.224000000002</v>
      </c>
      <c r="H86" s="380">
        <f>calcProd1Seg1Payer2MarketRecurCustR1+calcProd1Seg1Payer2MarketGrowthCustR1</f>
        <v>12740.224000000002</v>
      </c>
      <c r="I86" s="380">
        <f>calcProd1Seg1Payer2MarketRecurCustR1+calcProd1Seg1Payer2MarketGrowthCustR1</f>
        <v>12740.224000000002</v>
      </c>
      <c r="J86" t="s">
        <v>1558</v>
      </c>
    </row>
    <row r="87" spans="1:10">
      <c r="C87" t="s">
        <v>1539</v>
      </c>
      <c r="E87" s="380">
        <f>calcProd1Seg1Payer2VolumeRecurCustR1+calcProd1Seg1Payer2VolumeNewCustR1</f>
        <v>1.5383820480000034</v>
      </c>
      <c r="F87" s="380">
        <f>calcProd1Seg1Payer2VolumeRecurCustR1+calcProd1Seg1Payer2VolumeNewCustR1</f>
        <v>1.5383820480000034</v>
      </c>
      <c r="G87" s="380">
        <f>calcProd1Seg1Payer2VolumeRecurCustR1+calcProd1Seg1Payer2VolumeNewCustR1</f>
        <v>1.5383820480000034</v>
      </c>
      <c r="H87" s="380">
        <f>calcProd1Seg1Payer2VolumeRecurCustR1+calcProd1Seg1Payer2VolumeNewCustR1</f>
        <v>1.5383820480000034</v>
      </c>
      <c r="I87" s="380">
        <f>calcProd1Seg1Payer2VolumeRecurCustR1+calcProd1Seg1Payer2VolumeNewCustR1</f>
        <v>1.5383820480000034</v>
      </c>
      <c r="J87" t="s">
        <v>1559</v>
      </c>
    </row>
    <row r="88" spans="1:10" s="4" customFormat="1">
      <c r="C88" s="4" t="s">
        <v>841</v>
      </c>
      <c r="E88" s="500">
        <f>calcProd1Seg1Payer2VolumeR1/calcProd1Seg1Payer2TotalVolumeR1</f>
        <v>1.2075000000000025E-4</v>
      </c>
      <c r="F88" s="500">
        <f>calcProd1Seg1Payer2VolumeR1/calcProd1Seg1Payer2TotalVolumeR1</f>
        <v>1.2075000000000025E-4</v>
      </c>
      <c r="G88" s="500">
        <f>calcProd1Seg1Payer2VolumeR1/calcProd1Seg1Payer2TotalVolumeR1</f>
        <v>1.2075000000000025E-4</v>
      </c>
      <c r="H88" s="500">
        <f>calcProd1Seg1Payer2VolumeR1/calcProd1Seg1Payer2TotalVolumeR1</f>
        <v>1.2075000000000025E-4</v>
      </c>
      <c r="I88" s="500">
        <f>calcProd1Seg1Payer2VolumeR1/calcProd1Seg1Payer2TotalVolumeR1</f>
        <v>1.2075000000000025E-4</v>
      </c>
      <c r="J88" s="4" t="s">
        <v>1560</v>
      </c>
    </row>
    <row r="90" spans="1:10">
      <c r="A90" s="16" t="s">
        <v>1551</v>
      </c>
      <c r="C90" t="s">
        <v>803</v>
      </c>
      <c r="E90" s="380">
        <f>INDEX(dataProd1Seg1Payer2TotalVolume,,4)</f>
        <v>13176.414720000001</v>
      </c>
      <c r="F90" s="380">
        <f>INDEX(dataProd1Seg1Payer2TotalVolume,,4)</f>
        <v>13176.414720000001</v>
      </c>
      <c r="G90" s="380">
        <f>INDEX(dataProd1Seg1Payer2TotalVolume,,4)</f>
        <v>13176.414720000001</v>
      </c>
      <c r="H90" s="380">
        <f>INDEX(dataProd1Seg1Payer2TotalVolume,,4)</f>
        <v>13176.414720000001</v>
      </c>
      <c r="I90" s="380">
        <f>INDEX(dataProd1Seg1Payer2TotalVolume,,4)</f>
        <v>13176.414720000001</v>
      </c>
      <c r="J90" t="s">
        <v>1561</v>
      </c>
    </row>
    <row r="91" spans="1:10">
      <c r="C91" t="s">
        <v>3253</v>
      </c>
      <c r="E91" t="str">
        <f>cbalProd1Payer2Status</f>
        <v>T1 NR</v>
      </c>
      <c r="F91" t="str">
        <f>cbalProd1Payer2Status</f>
        <v>T1 NR</v>
      </c>
      <c r="G91" t="str">
        <f>cbalProd1Payer2Status</f>
        <v>T1 NR</v>
      </c>
      <c r="H91" t="str">
        <f>cbalProd1Payer2Status</f>
        <v>T1 NR</v>
      </c>
      <c r="I91" t="str">
        <f>cbalProd1Payer2Status</f>
        <v>T1 NR</v>
      </c>
    </row>
    <row r="92" spans="1:10">
      <c r="C92" t="s">
        <v>2887</v>
      </c>
      <c r="E92">
        <f>INDEX(dataTierVolumeImpact,MATCH(E91,MarketData!$K$12:$K$17,0),)</f>
        <v>1.1499999999999999</v>
      </c>
      <c r="F92">
        <f>INDEX(dataTierVolumeImpact,MATCH(F91,MarketData!$K$12:$K$17,0),)</f>
        <v>1.1499999999999999</v>
      </c>
      <c r="G92">
        <f>INDEX(dataTierVolumeImpact,MATCH(G91,MarketData!$K$12:$K$17,0),)</f>
        <v>1.1499999999999999</v>
      </c>
      <c r="H92">
        <f>INDEX(dataTierVolumeImpact,MATCH(H91,MarketData!$K$12:$K$17,0),)</f>
        <v>1.1499999999999999</v>
      </c>
      <c r="I92">
        <f>INDEX(dataTierVolumeImpact,MATCH(I91,MarketData!$K$12:$K$17,0),)</f>
        <v>1.1499999999999999</v>
      </c>
      <c r="J92" t="s">
        <v>3257</v>
      </c>
    </row>
    <row r="93" spans="1:10">
      <c r="C93" t="s">
        <v>1487</v>
      </c>
      <c r="E93" s="465">
        <f>calcProd1Seg1Payer2ShareTotalCustR1</f>
        <v>1.2075000000000025E-4</v>
      </c>
      <c r="F93" s="465">
        <f>calcProd1Seg1Payer2ShareTotalCustR1</f>
        <v>1.2075000000000025E-4</v>
      </c>
      <c r="G93" s="465">
        <f>calcProd1Seg1Payer2ShareTotalCustR1</f>
        <v>1.2075000000000025E-4</v>
      </c>
      <c r="H93" s="465">
        <f>calcProd1Seg1Payer2ShareTotalCustR1</f>
        <v>1.2075000000000025E-4</v>
      </c>
      <c r="I93" s="465">
        <f>calcProd1Seg1Payer2ShareTotalCustR1</f>
        <v>1.2075000000000025E-4</v>
      </c>
    </row>
    <row r="94" spans="1:10">
      <c r="C94" t="s">
        <v>516</v>
      </c>
      <c r="E94" s="511">
        <f>(calcProd1Seg1SampleAllocR2/calcProd1Seg1SampleAllocR1-1)*INDEX(datatblProd1Seg1Payer2,1,)*calcprod1Seg1Payer2TierImpactR2</f>
        <v>0</v>
      </c>
      <c r="F94" s="511">
        <f>(calcProd1Seg1SampleAllocR2/calcProd1Seg1SampleAllocR1-1)*INDEX(datatblProd1Seg1Payer2,1,)*calcprod1Seg1Payer2TierImpactR2</f>
        <v>0</v>
      </c>
      <c r="G94" s="511">
        <f>(calcProd1Seg1SampleAllocR2/calcProd1Seg1SampleAllocR1-1)*INDEX(datatblProd1Seg1Payer2,1,)*calcprod1Seg1Payer2TierImpactR2</f>
        <v>0</v>
      </c>
      <c r="H94" s="511">
        <f>(calcProd1Seg1SampleAllocR2/calcProd1Seg1SampleAllocR1-1)*INDEX(datatblProd1Seg1Payer2,1,)*calcprod1Seg1Payer2TierImpactR2</f>
        <v>0</v>
      </c>
      <c r="I94" s="511">
        <f>(calcProd1Seg1SampleAllocR2/calcProd1Seg1SampleAllocR1-1)*INDEX(datatblProd1Seg1Payer2,1,)*calcprod1Seg1Payer2TierImpactR2</f>
        <v>0</v>
      </c>
      <c r="J94" t="s">
        <v>3022</v>
      </c>
    </row>
    <row r="95" spans="1:10">
      <c r="C95" t="s">
        <v>517</v>
      </c>
      <c r="E95" s="511">
        <f>(calcProd1Seg1SpeakerAllocR2/calcProd1Seg1SpeakerAllocR1-1)*INDEX(datatblProd1Seg1Payer2,2,)*calcprod1Seg1Payer2TierImpactR2</f>
        <v>-5.7500000000000042E-5</v>
      </c>
      <c r="F95" s="511">
        <f>(calcProd1Seg1SpeakerAllocR2/calcProd1Seg1SpeakerAllocR1-1)*INDEX(datatblProd1Seg1Payer2,2,)*calcprod1Seg1Payer2TierImpactR2</f>
        <v>-5.7500000000000042E-5</v>
      </c>
      <c r="G95" s="511">
        <f>(calcProd1Seg1SpeakerAllocR2/calcProd1Seg1SpeakerAllocR1-1)*INDEX(datatblProd1Seg1Payer2,2,)*calcprod1Seg1Payer2TierImpactR2</f>
        <v>-5.7500000000000042E-5</v>
      </c>
      <c r="H95" s="511">
        <f>(calcProd1Seg1SpeakerAllocR2/calcProd1Seg1SpeakerAllocR1-1)*INDEX(datatblProd1Seg1Payer2,2,)*calcprod1Seg1Payer2TierImpactR2</f>
        <v>-5.7500000000000042E-5</v>
      </c>
      <c r="I95" s="511">
        <f>(calcProd1Seg1SpeakerAllocR2/calcProd1Seg1SpeakerAllocR1-1)*INDEX(datatblProd1Seg1Payer2,2,)*calcprod1Seg1Payer2TierImpactR2</f>
        <v>-5.7500000000000042E-5</v>
      </c>
      <c r="J95" t="s">
        <v>3023</v>
      </c>
    </row>
    <row r="96" spans="1:10">
      <c r="C96" t="s">
        <v>2333</v>
      </c>
      <c r="E96" s="511">
        <f>(calcProd1Seg1PromotionAllocR2/calcProd1Seg1PromotionAllocR1-1)*INDEX(datatblProd1Seg1Payer2,3,)*calcprod1Seg1Payer2TierImpactR2</f>
        <v>-2.8750000000000021E-5</v>
      </c>
      <c r="F96" s="511">
        <f>(calcProd1Seg1PromotionAllocR2/calcProd1Seg1PromotionAllocR1-1)*INDEX(datatblProd1Seg1Payer2,3,)*calcprod1Seg1Payer2TierImpactR2</f>
        <v>-2.8750000000000021E-5</v>
      </c>
      <c r="G96" s="511">
        <f>(calcProd1Seg1PromotionAllocR2/calcProd1Seg1PromotionAllocR1-1)*INDEX(datatblProd1Seg1Payer2,3,)*calcprod1Seg1Payer2TierImpactR2</f>
        <v>-2.8750000000000021E-5</v>
      </c>
      <c r="H96" s="511">
        <f>(calcProd1Seg1PromotionAllocR2/calcProd1Seg1PromotionAllocR1-1)*INDEX(datatblProd1Seg1Payer2,3,)*calcprod1Seg1Payer2TierImpactR2</f>
        <v>-2.8750000000000021E-5</v>
      </c>
      <c r="I96" s="511">
        <f>(calcProd1Seg1PromotionAllocR2/calcProd1Seg1PromotionAllocR1-1)*INDEX(datatblProd1Seg1Payer2,3,)*calcprod1Seg1Payer2TierImpactR2</f>
        <v>-2.8750000000000021E-5</v>
      </c>
      <c r="J96" t="s">
        <v>3024</v>
      </c>
    </row>
    <row r="97" spans="3:10">
      <c r="C97" t="s">
        <v>2646</v>
      </c>
      <c r="E97" s="511">
        <f>(calcProd1Seg1Rep1Payer2ImpactR2+calcProd1Seg1Rep2Payer2ImpactR2+calcProd1Seg1Rep3Payer2ImpactR2)*calcprod1Seg1Payer2TierImpactR2</f>
        <v>1.2075000000000025E-4</v>
      </c>
      <c r="F97" s="511">
        <f>(calcProd1Seg1Rep1Payer2ImpactR2+calcProd1Seg1Rep2Payer2ImpactR2+calcProd1Seg1Rep3Payer2ImpactR2)*calcprod1Seg1Payer2TierImpactR2</f>
        <v>1.2075000000000025E-4</v>
      </c>
      <c r="G97" s="511">
        <f>(calcProd1Seg1Rep1Payer2ImpactR2+calcProd1Seg1Rep2Payer2ImpactR2+calcProd1Seg1Rep3Payer2ImpactR2)*calcprod1Seg1Payer2TierImpactR2</f>
        <v>1.2075000000000025E-4</v>
      </c>
      <c r="H97" s="511">
        <f>(calcProd1Seg1Rep1Payer2ImpactR2+calcProd1Seg1Rep2Payer2ImpactR2+calcProd1Seg1Rep3Payer2ImpactR2)*calcprod1Seg1Payer2TierImpactR2</f>
        <v>1.2075000000000025E-4</v>
      </c>
      <c r="I97" s="511">
        <f>(calcProd1Seg1Rep1Payer2ImpactR2+calcProd1Seg1Rep2Payer2ImpactR2+calcProd1Seg1Rep3Payer2ImpactR2)*calcprod1Seg1Payer2TierImpactR2</f>
        <v>1.2075000000000025E-4</v>
      </c>
      <c r="J97" t="s">
        <v>3025</v>
      </c>
    </row>
    <row r="99" spans="3:10" s="4" customFormat="1">
      <c r="C99" s="4" t="s">
        <v>1489</v>
      </c>
      <c r="E99" s="500">
        <f>SUM(E93:E98)</f>
        <v>1.5525000000000044E-4</v>
      </c>
      <c r="F99" s="500">
        <f>SUM(F93:F98)</f>
        <v>1.5525000000000044E-4</v>
      </c>
      <c r="G99" s="500">
        <f>SUM(G93:G98)</f>
        <v>1.5525000000000044E-4</v>
      </c>
      <c r="H99" s="500">
        <f>SUM(H93:H98)</f>
        <v>1.5525000000000044E-4</v>
      </c>
      <c r="I99" s="500">
        <f>SUM(I93:I98)</f>
        <v>1.5525000000000044E-4</v>
      </c>
      <c r="J99" s="4" t="s">
        <v>1562</v>
      </c>
    </row>
    <row r="100" spans="3:10">
      <c r="C100" t="s">
        <v>1490</v>
      </c>
      <c r="E100" s="380">
        <f>MAX(calcProd1Seg1Payer2MarketRecurCustR2*calcProd1Seg1Payer2ShareRecurCustR2,0)</f>
        <v>2.045638385280006</v>
      </c>
      <c r="F100" s="380">
        <f>MAX(calcProd1Seg1Payer2MarketRecurCustR2*calcProd1Seg1Payer2ShareRecurCustR2,0)</f>
        <v>2.045638385280006</v>
      </c>
      <c r="G100" s="380">
        <f>MAX(calcProd1Seg1Payer2MarketRecurCustR2*calcProd1Seg1Payer2ShareRecurCustR2,0)</f>
        <v>2.045638385280006</v>
      </c>
      <c r="H100" s="380">
        <f>MAX(calcProd1Seg1Payer2MarketRecurCustR2*calcProd1Seg1Payer2ShareRecurCustR2,0)</f>
        <v>2.045638385280006</v>
      </c>
      <c r="I100" s="380">
        <f>MAX(calcProd1Seg1Payer2MarketRecurCustR2*calcProd1Seg1Payer2ShareRecurCustR2,0)</f>
        <v>2.045638385280006</v>
      </c>
      <c r="J100" t="s">
        <v>1563</v>
      </c>
    </row>
    <row r="102" spans="3:10">
      <c r="C102" t="s">
        <v>804</v>
      </c>
      <c r="E102" s="380">
        <f>INDEX(dataProd1Seg1Payer2NewVolume,,4)</f>
        <v>1749.0816</v>
      </c>
      <c r="F102" s="380">
        <f>INDEX(dataProd1Seg1Payer2NewVolume,,4)</f>
        <v>1749.0816</v>
      </c>
      <c r="G102" s="380">
        <f>INDEX(dataProd1Seg1Payer2NewVolume,,4)</f>
        <v>1749.0816</v>
      </c>
      <c r="H102" s="380">
        <f>INDEX(dataProd1Seg1Payer2NewVolume,,4)</f>
        <v>1749.0816</v>
      </c>
      <c r="I102" s="380">
        <f>INDEX(dataProd1Seg1Payer2NewVolume,,4)</f>
        <v>1749.0816</v>
      </c>
      <c r="J102" t="s">
        <v>1564</v>
      </c>
    </row>
    <row r="104" spans="3:10">
      <c r="C104" t="s">
        <v>1486</v>
      </c>
      <c r="E104" s="465">
        <f>calcProd1Seg1Payer2ShareNewCustR1</f>
        <v>1.2075000000000025E-4</v>
      </c>
      <c r="F104" s="465">
        <f>calcProd1Seg1Payer2ShareNewCustR1</f>
        <v>1.2075000000000025E-4</v>
      </c>
      <c r="G104" s="465">
        <f>calcProd1Seg1Payer2ShareNewCustR1</f>
        <v>1.2075000000000025E-4</v>
      </c>
      <c r="H104" s="465">
        <f>calcProd1Seg1Payer2ShareNewCustR1</f>
        <v>1.2075000000000025E-4</v>
      </c>
      <c r="I104" s="465">
        <f>calcProd1Seg1Payer2ShareNewCustR1</f>
        <v>1.2075000000000025E-4</v>
      </c>
    </row>
    <row r="105" spans="3:10">
      <c r="C105" t="s">
        <v>516</v>
      </c>
      <c r="E105" s="511">
        <f>(calcProd1Seg1SampleAllocR2/calcProd1Seg1SampleAllocR1-1)*INDEX(datatblProd1Seg1Payer2,1,)*calcprod1Seg1Payer2TierImpactR2</f>
        <v>0</v>
      </c>
      <c r="F105" s="511">
        <f>(calcProd1Seg1SampleAllocR2/calcProd1Seg1SampleAllocR1-1)*INDEX(datatblProd1Seg1Payer2,1,)*calcprod1Seg1Payer2TierImpactR2</f>
        <v>0</v>
      </c>
      <c r="G105" s="511">
        <f>(calcProd1Seg1SampleAllocR2/calcProd1Seg1SampleAllocR1-1)*INDEX(datatblProd1Seg1Payer2,1,)*calcprod1Seg1Payer2TierImpactR2</f>
        <v>0</v>
      </c>
      <c r="H105" s="511">
        <f>(calcProd1Seg1SampleAllocR2/calcProd1Seg1SampleAllocR1-1)*INDEX(datatblProd1Seg1Payer2,1,)*calcprod1Seg1Payer2TierImpactR2</f>
        <v>0</v>
      </c>
      <c r="I105" s="511">
        <f>(calcProd1Seg1SampleAllocR2/calcProd1Seg1SampleAllocR1-1)*INDEX(datatblProd1Seg1Payer2,1,)*calcprod1Seg1Payer2TierImpactR2</f>
        <v>0</v>
      </c>
      <c r="J105" t="s">
        <v>3143</v>
      </c>
    </row>
    <row r="106" spans="3:10">
      <c r="C106" t="s">
        <v>517</v>
      </c>
      <c r="E106" s="511">
        <f>(calcProd1Seg1SpeakerAllocR2/calcProd1Seg1SpeakerAllocR1-1)*INDEX(datatblProd1Seg1Payer2,2,)*calcprod1Seg1Payer2TierImpactR2</f>
        <v>-5.7500000000000042E-5</v>
      </c>
      <c r="F106" s="511">
        <f>(calcProd1Seg1SpeakerAllocR2/calcProd1Seg1SpeakerAllocR1-1)*INDEX(datatblProd1Seg1Payer2,2,)*calcprod1Seg1Payer2TierImpactR2</f>
        <v>-5.7500000000000042E-5</v>
      </c>
      <c r="G106" s="511">
        <f>(calcProd1Seg1SpeakerAllocR2/calcProd1Seg1SpeakerAllocR1-1)*INDEX(datatblProd1Seg1Payer2,2,)*calcprod1Seg1Payer2TierImpactR2</f>
        <v>-5.7500000000000042E-5</v>
      </c>
      <c r="H106" s="511">
        <f>(calcProd1Seg1SpeakerAllocR2/calcProd1Seg1SpeakerAllocR1-1)*INDEX(datatblProd1Seg1Payer2,2,)*calcprod1Seg1Payer2TierImpactR2</f>
        <v>-5.7500000000000042E-5</v>
      </c>
      <c r="I106" s="511">
        <f>(calcProd1Seg1SpeakerAllocR2/calcProd1Seg1SpeakerAllocR1-1)*INDEX(datatblProd1Seg1Payer2,2,)*calcprod1Seg1Payer2TierImpactR2</f>
        <v>-5.7500000000000042E-5</v>
      </c>
      <c r="J106" t="s">
        <v>3144</v>
      </c>
    </row>
    <row r="107" spans="3:10">
      <c r="C107" t="s">
        <v>2333</v>
      </c>
      <c r="E107" s="511">
        <f>(calcProd1Seg1PromotionAllocR2/calcProd1Seg1PromotionAllocR1-1)*INDEX(datatblProd1Seg1Payer2,3,)*calcprod1Seg1Payer2TierImpactR2</f>
        <v>-2.8750000000000021E-5</v>
      </c>
      <c r="F107" s="511">
        <f>(calcProd1Seg1PromotionAllocR2/calcProd1Seg1PromotionAllocR1-1)*INDEX(datatblProd1Seg1Payer2,3,)*calcprod1Seg1Payer2TierImpactR2</f>
        <v>-2.8750000000000021E-5</v>
      </c>
      <c r="G107" s="511">
        <f>(calcProd1Seg1PromotionAllocR2/calcProd1Seg1PromotionAllocR1-1)*INDEX(datatblProd1Seg1Payer2,3,)*calcprod1Seg1Payer2TierImpactR2</f>
        <v>-2.8750000000000021E-5</v>
      </c>
      <c r="H107" s="511">
        <f>(calcProd1Seg1PromotionAllocR2/calcProd1Seg1PromotionAllocR1-1)*INDEX(datatblProd1Seg1Payer2,3,)*calcprod1Seg1Payer2TierImpactR2</f>
        <v>-2.8750000000000021E-5</v>
      </c>
      <c r="I107" s="511">
        <f>(calcProd1Seg1PromotionAllocR2/calcProd1Seg1PromotionAllocR1-1)*INDEX(datatblProd1Seg1Payer2,3,)*calcprod1Seg1Payer2TierImpactR2</f>
        <v>-2.8750000000000021E-5</v>
      </c>
      <c r="J107" t="s">
        <v>3145</v>
      </c>
    </row>
    <row r="108" spans="3:10">
      <c r="C108" t="s">
        <v>2646</v>
      </c>
      <c r="E108" s="511">
        <f>(calcProd1Seg1Rep1Payer2ImpactR2+calcProd1Seg1Rep2Payer2ImpactR2+calcProd1Seg1Rep3Payer2ImpactR2)*calcprod1Seg1Payer2TierImpactR2</f>
        <v>1.2075000000000025E-4</v>
      </c>
      <c r="F108" s="511">
        <f>(calcProd1Seg1Rep1Payer2ImpactR2+calcProd1Seg1Rep2Payer2ImpactR2+calcProd1Seg1Rep3Payer2ImpactR2)*calcprod1Seg1Payer2TierImpactR2</f>
        <v>1.2075000000000025E-4</v>
      </c>
      <c r="G108" s="511">
        <f>(calcProd1Seg1Rep1Payer2ImpactR2+calcProd1Seg1Rep2Payer2ImpactR2+calcProd1Seg1Rep3Payer2ImpactR2)*calcprod1Seg1Payer2TierImpactR2</f>
        <v>1.2075000000000025E-4</v>
      </c>
      <c r="H108" s="511">
        <f>(calcProd1Seg1Rep1Payer2ImpactR2+calcProd1Seg1Rep2Payer2ImpactR2+calcProd1Seg1Rep3Payer2ImpactR2)*calcprod1Seg1Payer2TierImpactR2</f>
        <v>1.2075000000000025E-4</v>
      </c>
      <c r="I108" s="511">
        <f>(calcProd1Seg1Rep1Payer2ImpactR2+calcProd1Seg1Rep2Payer2ImpactR2+calcProd1Seg1Rep3Payer2ImpactR2)*calcprod1Seg1Payer2TierImpactR2</f>
        <v>1.2075000000000025E-4</v>
      </c>
      <c r="J108" t="s">
        <v>3146</v>
      </c>
    </row>
    <row r="110" spans="3:10" s="4" customFormat="1">
      <c r="C110" s="4" t="s">
        <v>1534</v>
      </c>
      <c r="E110" s="500">
        <f>SUM(E104:E109)</f>
        <v>1.5525000000000044E-4</v>
      </c>
      <c r="F110" s="500">
        <f>SUM(F104:F109)</f>
        <v>1.5525000000000044E-4</v>
      </c>
      <c r="G110" s="500">
        <f>SUM(G104:G109)</f>
        <v>1.5525000000000044E-4</v>
      </c>
      <c r="H110" s="500">
        <f>SUM(H104:H109)</f>
        <v>1.5525000000000044E-4</v>
      </c>
      <c r="I110" s="500">
        <f>SUM(I104:I109)</f>
        <v>1.5525000000000044E-4</v>
      </c>
      <c r="J110" s="4" t="s">
        <v>1565</v>
      </c>
    </row>
    <row r="111" spans="3:10">
      <c r="C111" t="s">
        <v>1490</v>
      </c>
      <c r="E111" s="380">
        <f>MAX(calcProd1Seg1Payer2MarketGrowthCustR2*calcProd1Seg1Payer2ShareNewCustR2,0)</f>
        <v>0.27154491840000078</v>
      </c>
      <c r="F111" s="380">
        <f>MAX(calcProd1Seg1Payer2MarketGrowthCustR2*calcProd1Seg1Payer2ShareNewCustR2,0)</f>
        <v>0.27154491840000078</v>
      </c>
      <c r="G111" s="380">
        <f>MAX(calcProd1Seg1Payer2MarketGrowthCustR2*calcProd1Seg1Payer2ShareNewCustR2,0)</f>
        <v>0.27154491840000078</v>
      </c>
      <c r="H111" s="380">
        <f>MAX(calcProd1Seg1Payer2MarketGrowthCustR2*calcProd1Seg1Payer2ShareNewCustR2,0)</f>
        <v>0.27154491840000078</v>
      </c>
      <c r="I111" s="380">
        <f>MAX(calcProd1Seg1Payer2MarketGrowthCustR2*calcProd1Seg1Payer2ShareNewCustR2,0)</f>
        <v>0.27154491840000078</v>
      </c>
      <c r="J111" s="4" t="s">
        <v>1566</v>
      </c>
    </row>
    <row r="113" spans="1:10">
      <c r="C113" t="s">
        <v>1537</v>
      </c>
      <c r="E113" s="380">
        <f>calcProd1Seg1Payer2MarketRecurCustR2+calcProd1Seg1Payer2MarketGrowthCustR2</f>
        <v>14925.49632</v>
      </c>
      <c r="F113" s="380">
        <f>calcProd1Seg1Payer2MarketRecurCustR2+calcProd1Seg1Payer2MarketGrowthCustR2</f>
        <v>14925.49632</v>
      </c>
      <c r="G113" s="380">
        <f>calcProd1Seg1Payer2MarketRecurCustR2+calcProd1Seg1Payer2MarketGrowthCustR2</f>
        <v>14925.49632</v>
      </c>
      <c r="H113" s="380">
        <f>calcProd1Seg1Payer2MarketRecurCustR2+calcProd1Seg1Payer2MarketGrowthCustR2</f>
        <v>14925.49632</v>
      </c>
      <c r="I113" s="380">
        <f>calcProd1Seg1Payer2MarketRecurCustR2+calcProd1Seg1Payer2MarketGrowthCustR2</f>
        <v>14925.49632</v>
      </c>
      <c r="J113" t="s">
        <v>1567</v>
      </c>
    </row>
    <row r="114" spans="1:10">
      <c r="C114" t="s">
        <v>1539</v>
      </c>
      <c r="E114" s="380">
        <f>calcProd1Seg1Payer2VolumeRecurCustR2+calcProd1Seg1Payer2VolumeNewCustR2</f>
        <v>2.3171833036800069</v>
      </c>
      <c r="F114" s="380">
        <f>calcProd1Seg1Payer2VolumeRecurCustR2+calcProd1Seg1Payer2VolumeNewCustR2</f>
        <v>2.3171833036800069</v>
      </c>
      <c r="G114" s="380">
        <f>calcProd1Seg1Payer2VolumeRecurCustR2+calcProd1Seg1Payer2VolumeNewCustR2</f>
        <v>2.3171833036800069</v>
      </c>
      <c r="H114" s="380">
        <f>calcProd1Seg1Payer2VolumeRecurCustR2+calcProd1Seg1Payer2VolumeNewCustR2</f>
        <v>2.3171833036800069</v>
      </c>
      <c r="I114" s="380">
        <f>calcProd1Seg1Payer2VolumeRecurCustR2+calcProd1Seg1Payer2VolumeNewCustR2</f>
        <v>2.3171833036800069</v>
      </c>
      <c r="J114" t="s">
        <v>1568</v>
      </c>
    </row>
    <row r="115" spans="1:10" s="4" customFormat="1">
      <c r="C115" s="4" t="s">
        <v>841</v>
      </c>
      <c r="E115" s="500">
        <f>calcProd1Seg1Payer2VolumeR1/calcProd1Seg1Payer2TotalVolumeR1</f>
        <v>1.2075000000000025E-4</v>
      </c>
      <c r="F115" s="500">
        <f>calcProd1Seg1Payer2VolumeR1/calcProd1Seg1Payer2TotalVolumeR1</f>
        <v>1.2075000000000025E-4</v>
      </c>
      <c r="G115" s="500">
        <f>calcProd1Seg1Payer2VolumeR1/calcProd1Seg1Payer2TotalVolumeR1</f>
        <v>1.2075000000000025E-4</v>
      </c>
      <c r="H115" s="500">
        <f>calcProd1Seg1Payer2VolumeR1/calcProd1Seg1Payer2TotalVolumeR1</f>
        <v>1.2075000000000025E-4</v>
      </c>
      <c r="I115" s="500">
        <f>calcProd1Seg1Payer2VolumeR1/calcProd1Seg1Payer2TotalVolumeR1</f>
        <v>1.2075000000000025E-4</v>
      </c>
      <c r="J115" s="4" t="s">
        <v>1569</v>
      </c>
    </row>
    <row r="117" spans="1:10" s="376" customFormat="1">
      <c r="A117" s="376" t="str">
        <f>nmPayer3</f>
        <v>Dragon Health</v>
      </c>
    </row>
    <row r="118" spans="1:10">
      <c r="A118" s="16" t="s">
        <v>1488</v>
      </c>
      <c r="C118" s="4" t="s">
        <v>803</v>
      </c>
      <c r="E118" s="380">
        <f>INDEX(dataProd1Seg1Payer3TotalVolume,,3)</f>
        <v>12826.598400000001</v>
      </c>
      <c r="F118" s="380">
        <f>INDEX(dataProd1Seg1Payer3TotalVolume,,3)</f>
        <v>12826.598400000001</v>
      </c>
      <c r="G118" s="380">
        <f>INDEX(dataProd1Seg1Payer3TotalVolume,,3)</f>
        <v>12826.598400000001</v>
      </c>
      <c r="H118" s="380">
        <f>INDEX(dataProd1Seg1Payer3TotalVolume,,3)</f>
        <v>12826.598400000001</v>
      </c>
      <c r="I118" s="380">
        <f>INDEX(dataProd1Seg1Payer3TotalVolume,,3)</f>
        <v>12826.598400000001</v>
      </c>
      <c r="J118" t="s">
        <v>1570</v>
      </c>
    </row>
    <row r="119" spans="1:10">
      <c r="C119" t="s">
        <v>3253</v>
      </c>
      <c r="E119" t="str">
        <f>obalProd1Payer3Status</f>
        <v>T3 SGSE</v>
      </c>
      <c r="F119" t="str">
        <f>obalProd1Payer3Status</f>
        <v>T3 SGSE</v>
      </c>
      <c r="G119" t="str">
        <f>obalProd1Payer3Status</f>
        <v>T3 SGSE</v>
      </c>
      <c r="H119" t="str">
        <f>obalProd1Payer3Status</f>
        <v>T3 SGSE</v>
      </c>
      <c r="I119" t="str">
        <f>obalProd1Payer3Status</f>
        <v>T3 SGSE</v>
      </c>
    </row>
    <row r="120" spans="1:10">
      <c r="C120" t="s">
        <v>2887</v>
      </c>
      <c r="E120">
        <f>INDEX(dataTierVolumeImpact,MATCH(E119,MarketData!$K$12:$K$17,0),)</f>
        <v>0.9</v>
      </c>
      <c r="F120">
        <f>INDEX(dataTierVolumeImpact,MATCH(F119,MarketData!$K$12:$K$17,0),)</f>
        <v>0.9</v>
      </c>
      <c r="G120">
        <f>INDEX(dataTierVolumeImpact,MATCH(G119,MarketData!$K$12:$K$17,0),)</f>
        <v>0.9</v>
      </c>
      <c r="H120">
        <f>INDEX(dataTierVolumeImpact,MATCH(H119,MarketData!$K$12:$K$17,0),)</f>
        <v>0.9</v>
      </c>
      <c r="I120">
        <f>INDEX(dataTierVolumeImpact,MATCH(I119,MarketData!$K$12:$K$17,0),)</f>
        <v>0.9</v>
      </c>
      <c r="J120" t="s">
        <v>3258</v>
      </c>
    </row>
    <row r="121" spans="1:10">
      <c r="C121" t="s">
        <v>1487</v>
      </c>
      <c r="E121" s="465">
        <f>obalProd1Seg1Payer3Share</f>
        <v>3.2727272727272735E-3</v>
      </c>
      <c r="F121" s="465">
        <f>obalProd1Seg1Payer3Share</f>
        <v>3.2727272727272735E-3</v>
      </c>
      <c r="G121" s="465">
        <f>obalProd1Seg1Payer3Share</f>
        <v>3.2727272727272735E-3</v>
      </c>
      <c r="H121" s="465">
        <f>obalProd1Seg1Payer3Share</f>
        <v>3.2727272727272735E-3</v>
      </c>
      <c r="I121" s="465">
        <f>obalProd1Seg1Payer3Share</f>
        <v>3.2727272727272735E-3</v>
      </c>
    </row>
    <row r="122" spans="1:10">
      <c r="C122" t="s">
        <v>516</v>
      </c>
      <c r="E122" s="511">
        <f>(calcProd1Seg1SampleAllocR1/obalProd1Seg1SampleAlloc-1)*INDEX(datatblProd1Seg1Payer3,1,)*calcprod1Seg1Payer3TierImpactR1</f>
        <v>0</v>
      </c>
      <c r="F122" s="511">
        <f>(calcProd1Seg1SampleAllocR1/obalProd1Seg1SampleAlloc-1)*INDEX(datatblProd1Seg1Payer3,1,)</f>
        <v>0</v>
      </c>
      <c r="G122" s="511">
        <f>(calcProd1Seg1SampleAllocR1/obalProd1Seg1SampleAlloc-1)*INDEX(datatblProd1Seg1Payer3,1,)</f>
        <v>0</v>
      </c>
      <c r="H122" s="511">
        <f>(calcProd1Seg1SampleAllocR1/obalProd1Seg1SampleAlloc-1)*INDEX(datatblProd1Seg1Payer3,1,)</f>
        <v>0</v>
      </c>
      <c r="I122" s="511">
        <f>(calcProd1Seg1SampleAllocR1/obalProd1Seg1SampleAlloc-1)*INDEX(datatblProd1Seg1Payer3,1,)</f>
        <v>0</v>
      </c>
      <c r="J122" t="s">
        <v>2812</v>
      </c>
    </row>
    <row r="123" spans="1:10">
      <c r="C123" t="s">
        <v>517</v>
      </c>
      <c r="E123" s="511">
        <f>(calcProd1Seg1SpeakerAllocR1/obalProd1Seg1SpeakerAlloc-1)*INDEX(datatblProd1Seg1Payer3,2,)*(calcprod1Seg1Payer3TierImpactR1)</f>
        <v>0</v>
      </c>
      <c r="F123" s="511">
        <f>(calcProd1Seg1SpeakerAllocR1/obalProd1Seg1SpeakerAlloc-1)*INDEX(datatblProd1Seg1Payer3,2,)</f>
        <v>0</v>
      </c>
      <c r="G123" s="511">
        <f>(calcProd1Seg1SpeakerAllocR1/obalProd1Seg1SpeakerAlloc-1)*INDEX(datatblProd1Seg1Payer3,2,)</f>
        <v>0</v>
      </c>
      <c r="H123" s="511">
        <f>(calcProd1Seg1SpeakerAllocR1/obalProd1Seg1SpeakerAlloc-1)*INDEX(datatblProd1Seg1Payer3,2,)</f>
        <v>0</v>
      </c>
      <c r="I123" s="511">
        <f>(calcProd1Seg1SpeakerAllocR1/obalProd1Seg1SpeakerAlloc-1)*INDEX(datatblProd1Seg1Payer3,2,)</f>
        <v>0</v>
      </c>
      <c r="J123" t="s">
        <v>2813</v>
      </c>
    </row>
    <row r="124" spans="1:10">
      <c r="C124" t="s">
        <v>2333</v>
      </c>
      <c r="E124" s="511">
        <f>(calcProd1Seg1PromotionAllocR1/obalProd1Seg1PromotionAlloc-1)*INDEX(datatblProd1Seg1Payer3,3,)*calcprod1Seg1Payer3TierImpactR1</f>
        <v>0</v>
      </c>
      <c r="F124" s="511">
        <f>(calcProd1Seg1PromotionAllocR1/obalProd1Seg1PromotionAlloc-1)*INDEX(datatblProd1Seg1Payer3,3,)</f>
        <v>0</v>
      </c>
      <c r="G124" s="511">
        <f>(calcProd1Seg1PromotionAllocR1/obalProd1Seg1PromotionAlloc-1)*INDEX(datatblProd1Seg1Payer3,3,)</f>
        <v>0</v>
      </c>
      <c r="H124" s="511">
        <f>(calcProd1Seg1PromotionAllocR1/obalProd1Seg1PromotionAlloc-1)*INDEX(datatblProd1Seg1Payer3,3,)</f>
        <v>0</v>
      </c>
      <c r="I124" s="511">
        <f>(calcProd1Seg1PromotionAllocR1/obalProd1Seg1PromotionAlloc-1)*INDEX(datatblProd1Seg1Payer3,3,)</f>
        <v>0</v>
      </c>
      <c r="J124" t="s">
        <v>2814</v>
      </c>
    </row>
    <row r="125" spans="1:10">
      <c r="C125" t="s">
        <v>2646</v>
      </c>
      <c r="E125" s="511">
        <f>(calcProd1Seg1Rep1Payer3ImpactR1+calcProd1Seg1Rep2Payer3ImpactR1+calcProd1Seg1Rep3Payer3ImpactR1)*calcprod1Seg1Payer3TierImpactR1</f>
        <v>9.4500000000000196E-5</v>
      </c>
      <c r="F125" s="511">
        <f>(calcProd1Seg1Rep1Payer3ImpactR1+calcProd1Seg1Rep2Payer3ImpactR1+calcProd1Seg1Rep3Payer3ImpactR1)*calcprod1Seg1Payer3TierImpactR1</f>
        <v>9.4500000000000196E-5</v>
      </c>
      <c r="G125" s="511">
        <f>(calcProd1Seg1Rep1Payer3ImpactR1+calcProd1Seg1Rep2Payer3ImpactR1+calcProd1Seg1Rep3Payer3ImpactR1)*calcprod1Seg1Payer3TierImpactR1</f>
        <v>9.4500000000000196E-5</v>
      </c>
      <c r="H125" s="511">
        <f>(calcProd1Seg1Rep1Payer3ImpactR1+calcProd1Seg1Rep2Payer3ImpactR1+calcProd1Seg1Rep3Payer3ImpactR1)*calcprod1Seg1Payer3TierImpactR1</f>
        <v>9.4500000000000196E-5</v>
      </c>
      <c r="I125" s="511">
        <f>(calcProd1Seg1Rep1Payer3ImpactR1+calcProd1Seg1Rep2Payer3ImpactR1+calcProd1Seg1Rep3Payer3ImpactR1)*calcprod1Seg1Payer3TierImpactR1</f>
        <v>9.4500000000000196E-5</v>
      </c>
      <c r="J125" t="s">
        <v>2815</v>
      </c>
    </row>
    <row r="126" spans="1:10" s="4" customFormat="1">
      <c r="C126" s="4" t="s">
        <v>1489</v>
      </c>
      <c r="E126" s="500">
        <f>SUM(E121:E125)</f>
        <v>3.3672272727272739E-3</v>
      </c>
      <c r="F126" s="500">
        <f t="shared" ref="F126:I126" si="2">SUM(F121:F125)</f>
        <v>3.3672272727272739E-3</v>
      </c>
      <c r="G126" s="500">
        <f t="shared" si="2"/>
        <v>3.3672272727272739E-3</v>
      </c>
      <c r="H126" s="500">
        <f t="shared" si="2"/>
        <v>3.3672272727272739E-3</v>
      </c>
      <c r="I126" s="500">
        <f t="shared" si="2"/>
        <v>3.3672272727272739E-3</v>
      </c>
      <c r="J126" s="4" t="s">
        <v>1571</v>
      </c>
    </row>
    <row r="127" spans="1:10">
      <c r="C127" t="s">
        <v>1490</v>
      </c>
      <c r="E127" s="380">
        <f>MAX(calcProd1Seg1Payer3MarketRecurCustR1*calcProd1Seg1Payer3ShareRecurCustR1,0)</f>
        <v>43.190071948800018</v>
      </c>
      <c r="F127" s="380">
        <f>MAX(calcProd1Seg1Payer3MarketRecurCustR1*calcProd1Seg1Payer3ShareRecurCustR1,0)</f>
        <v>43.190071948800018</v>
      </c>
      <c r="G127" s="380">
        <f>MAX(calcProd1Seg1Payer3MarketRecurCustR1*calcProd1Seg1Payer3ShareRecurCustR1,0)</f>
        <v>43.190071948800018</v>
      </c>
      <c r="H127" s="380">
        <f>MAX(calcProd1Seg1Payer3MarketRecurCustR1*calcProd1Seg1Payer3ShareRecurCustR1,0)</f>
        <v>43.190071948800018</v>
      </c>
      <c r="I127" s="380">
        <f>MAX(calcProd1Seg1Payer3MarketRecurCustR1*calcProd1Seg1Payer3ShareRecurCustR1,0)</f>
        <v>43.190071948800018</v>
      </c>
      <c r="J127" t="s">
        <v>1572</v>
      </c>
    </row>
    <row r="129" spans="1:10">
      <c r="C129" t="s">
        <v>804</v>
      </c>
      <c r="E129" s="380">
        <f>INDEX(dataProd1Seg1Payer3NewVolume,,3)</f>
        <v>1187.6480000000001</v>
      </c>
      <c r="F129" s="380">
        <f>INDEX(dataProd1Seg1Payer3NewVolume,,3)</f>
        <v>1187.6480000000001</v>
      </c>
      <c r="G129" s="380">
        <f>INDEX(dataProd1Seg1Payer3NewVolume,,3)</f>
        <v>1187.6480000000001</v>
      </c>
      <c r="H129" s="380">
        <f>INDEX(dataProd1Seg1Payer3NewVolume,,3)</f>
        <v>1187.6480000000001</v>
      </c>
      <c r="I129" s="380">
        <f>INDEX(dataProd1Seg1Payer3NewVolume,,3)</f>
        <v>1187.6480000000001</v>
      </c>
      <c r="J129" t="s">
        <v>1573</v>
      </c>
    </row>
    <row r="131" spans="1:10">
      <c r="C131" t="s">
        <v>1486</v>
      </c>
      <c r="E131" s="465">
        <f>obalProd1Seg1Payer3Share</f>
        <v>3.2727272727272735E-3</v>
      </c>
      <c r="F131" s="465">
        <f>obalProd1Seg1Payer3Share</f>
        <v>3.2727272727272735E-3</v>
      </c>
      <c r="G131" s="465">
        <f>obalProd1Seg1Payer3Share</f>
        <v>3.2727272727272735E-3</v>
      </c>
      <c r="H131" s="465">
        <f>obalProd1Seg1Payer3Share</f>
        <v>3.2727272727272735E-3</v>
      </c>
      <c r="I131" s="465">
        <f>obalProd1Seg1Payer3Share</f>
        <v>3.2727272727272735E-3</v>
      </c>
    </row>
    <row r="132" spans="1:10">
      <c r="C132" t="s">
        <v>516</v>
      </c>
      <c r="E132" s="511">
        <f>(calcProd1Seg1SampleAllocR1/obalProd1Seg1SampleAlloc-1)*INDEX(datatblProd1Seg1Payer3,1,)*calcprod1Seg1Payer3TierImpactR1</f>
        <v>0</v>
      </c>
      <c r="F132" s="511">
        <f>(calcProd1Seg1SampleAllocR1/obalProd1Seg1SampleAlloc-1)*INDEX(datatblProd1Seg1Payer3,1,)*calcprod1Seg1Payer3TierImpactR1</f>
        <v>0</v>
      </c>
      <c r="G132" s="511">
        <f>(calcProd1Seg1SampleAllocR1/obalProd1Seg1SampleAlloc-1)*INDEX(datatblProd1Seg1Payer3,1,)*calcprod1Seg1Payer3TierImpactR1</f>
        <v>0</v>
      </c>
      <c r="H132" s="511">
        <f>(calcProd1Seg1SampleAllocR1/obalProd1Seg1SampleAlloc-1)*INDEX(datatblProd1Seg1Payer3,1,)*calcprod1Seg1Payer3TierImpactR1</f>
        <v>0</v>
      </c>
      <c r="I132" s="511">
        <f>(calcProd1Seg1SampleAllocR1/obalProd1Seg1SampleAlloc-1)*INDEX(datatblProd1Seg1Payer3,1,)*calcprod1Seg1Payer3TierImpactR1</f>
        <v>0</v>
      </c>
      <c r="J132" t="s">
        <v>3026</v>
      </c>
    </row>
    <row r="133" spans="1:10">
      <c r="C133" t="s">
        <v>517</v>
      </c>
      <c r="E133" s="511">
        <f>(calcProd1Seg1SpeakerAllocR1/obalProd1Seg1SpeakerAlloc-1)*INDEX(datatblProd1Seg1Payer3,2,)*calcprod1Seg1Payer3TierImpactR1</f>
        <v>0</v>
      </c>
      <c r="F133" s="511">
        <f>(calcProd1Seg1SpeakerAllocR1/obalProd1Seg1SpeakerAlloc-1)*INDEX(datatblProd1Seg1Payer3,2,)*calcprod1Seg1Payer3TierImpactR1</f>
        <v>0</v>
      </c>
      <c r="G133" s="511">
        <f>(calcProd1Seg1SpeakerAllocR1/obalProd1Seg1SpeakerAlloc-1)*INDEX(datatblProd1Seg1Payer3,2,)*calcprod1Seg1Payer3TierImpactR1</f>
        <v>0</v>
      </c>
      <c r="H133" s="511">
        <f>(calcProd1Seg1SpeakerAllocR1/obalProd1Seg1SpeakerAlloc-1)*INDEX(datatblProd1Seg1Payer3,2,)*calcprod1Seg1Payer3TierImpactR1</f>
        <v>0</v>
      </c>
      <c r="I133" s="511">
        <f>(calcProd1Seg1SpeakerAllocR1/obalProd1Seg1SpeakerAlloc-1)*INDEX(datatblProd1Seg1Payer3,2,)*calcprod1Seg1Payer3TierImpactR1</f>
        <v>0</v>
      </c>
      <c r="J133" t="s">
        <v>3027</v>
      </c>
    </row>
    <row r="134" spans="1:10">
      <c r="C134" t="s">
        <v>2333</v>
      </c>
      <c r="E134" s="511">
        <f>(calcProd1Seg1PromotionAllocR1/obalProd1Seg1PromotionAlloc-1)*INDEX(datatblProd1Seg1Payer3,3,)*calcprod1Seg1Payer3TierImpactR1</f>
        <v>0</v>
      </c>
      <c r="F134" s="511">
        <f>(calcProd1Seg1PromotionAllocR1/obalProd1Seg1PromotionAlloc-1)*INDEX(datatblProd1Seg1Payer3,3,)*calcprod1Seg1Payer3TierImpactR1</f>
        <v>0</v>
      </c>
      <c r="G134" s="511">
        <f>(calcProd1Seg1PromotionAllocR1/obalProd1Seg1PromotionAlloc-1)*INDEX(datatblProd1Seg1Payer3,3,)*calcprod1Seg1Payer3TierImpactR1</f>
        <v>0</v>
      </c>
      <c r="H134" s="511">
        <f>(calcProd1Seg1PromotionAllocR1/obalProd1Seg1PromotionAlloc-1)*INDEX(datatblProd1Seg1Payer3,3,)*calcprod1Seg1Payer3TierImpactR1</f>
        <v>0</v>
      </c>
      <c r="I134" s="511">
        <f>(calcProd1Seg1PromotionAllocR1/obalProd1Seg1PromotionAlloc-1)*INDEX(datatblProd1Seg1Payer3,3,)*calcprod1Seg1Payer3TierImpactR1</f>
        <v>0</v>
      </c>
      <c r="J134" t="s">
        <v>3028</v>
      </c>
    </row>
    <row r="135" spans="1:10">
      <c r="C135" t="s">
        <v>2646</v>
      </c>
      <c r="E135" s="511">
        <f>(calcProd1Seg1Rep1Payer3ImpactR1+calcProd1Seg1Rep2Payer3ImpactR1+calcProd1Seg1Rep3Payer3ImpactR1)*calcprod1Seg1Payer3TierImpactR1</f>
        <v>9.4500000000000196E-5</v>
      </c>
      <c r="F135" s="511">
        <f>(calcProd1Seg1Rep1Payer3ImpactR1+calcProd1Seg1Rep2Payer3ImpactR1+calcProd1Seg1Rep3Payer3ImpactR1)*calcprod1Seg1Payer3TierImpactR1</f>
        <v>9.4500000000000196E-5</v>
      </c>
      <c r="G135" s="511">
        <f>(calcProd1Seg1Rep1Payer3ImpactR1+calcProd1Seg1Rep2Payer3ImpactR1+calcProd1Seg1Rep3Payer3ImpactR1)*calcprod1Seg1Payer3TierImpactR1</f>
        <v>9.4500000000000196E-5</v>
      </c>
      <c r="H135" s="511">
        <f>(calcProd1Seg1Rep1Payer3ImpactR1+calcProd1Seg1Rep2Payer3ImpactR1+calcProd1Seg1Rep3Payer3ImpactR1)*calcprod1Seg1Payer3TierImpactR1</f>
        <v>9.4500000000000196E-5</v>
      </c>
      <c r="I135" s="511">
        <f>(calcProd1Seg1Rep1Payer3ImpactR1+calcProd1Seg1Rep2Payer3ImpactR1+calcProd1Seg1Rep3Payer3ImpactR1)*calcprod1Seg1Payer3TierImpactR1</f>
        <v>9.4500000000000196E-5</v>
      </c>
      <c r="J135" t="s">
        <v>3029</v>
      </c>
    </row>
    <row r="136" spans="1:10">
      <c r="C136" t="s">
        <v>2905</v>
      </c>
    </row>
    <row r="137" spans="1:10" s="4" customFormat="1">
      <c r="C137" s="4" t="s">
        <v>1534</v>
      </c>
      <c r="E137" s="500">
        <f>SUM(E131:E136)</f>
        <v>3.3672272727272739E-3</v>
      </c>
      <c r="F137" s="500">
        <f>SUM(F131:F136)</f>
        <v>3.3672272727272739E-3</v>
      </c>
      <c r="G137" s="500">
        <f>SUM(G131:G136)</f>
        <v>3.3672272727272739E-3</v>
      </c>
      <c r="H137" s="500">
        <f>SUM(H131:H136)</f>
        <v>3.3672272727272739E-3</v>
      </c>
      <c r="I137" s="500">
        <f>SUM(I131:I136)</f>
        <v>3.3672272727272739E-3</v>
      </c>
      <c r="J137" s="4" t="s">
        <v>1574</v>
      </c>
    </row>
    <row r="138" spans="1:10">
      <c r="C138" t="s">
        <v>1490</v>
      </c>
      <c r="E138" s="380">
        <f>MAX(calcProd1Seg1Payer3MarketGrowthCustR1*calcProd1Seg1Payer3ShareNewCustR1,0)</f>
        <v>3.999080736000002</v>
      </c>
      <c r="F138" s="380">
        <f>MAX(calcProd1Seg1Payer3MarketGrowthCustR1*calcProd1Seg1Payer3ShareNewCustR1,0)</f>
        <v>3.999080736000002</v>
      </c>
      <c r="G138" s="380">
        <f>MAX(calcProd1Seg1Payer3MarketGrowthCustR1*calcProd1Seg1Payer3ShareNewCustR1,0)</f>
        <v>3.999080736000002</v>
      </c>
      <c r="H138" s="380">
        <f>MAX(calcProd1Seg1Payer3MarketGrowthCustR1*calcProd1Seg1Payer3ShareNewCustR1,0)</f>
        <v>3.999080736000002</v>
      </c>
      <c r="I138" s="380">
        <f>MAX(calcProd1Seg1Payer3MarketGrowthCustR1*calcProd1Seg1Payer3ShareNewCustR1,0)</f>
        <v>3.999080736000002</v>
      </c>
      <c r="J138" s="4" t="s">
        <v>1575</v>
      </c>
    </row>
    <row r="140" spans="1:10">
      <c r="C140" t="s">
        <v>1537</v>
      </c>
      <c r="E140" s="380">
        <f>calcProd1Seg1Payer3MarketRecurCustR1+calcProd1Seg1Payer3MarketGrowthCustR1</f>
        <v>14014.2464</v>
      </c>
      <c r="F140" s="380">
        <f>calcProd1Seg1Payer3MarketRecurCustR1+calcProd1Seg1Payer3MarketGrowthCustR1</f>
        <v>14014.2464</v>
      </c>
      <c r="G140" s="380">
        <f>calcProd1Seg1Payer3MarketRecurCustR1+calcProd1Seg1Payer3MarketGrowthCustR1</f>
        <v>14014.2464</v>
      </c>
      <c r="H140" s="380">
        <f>calcProd1Seg1Payer3MarketRecurCustR1+calcProd1Seg1Payer3MarketGrowthCustR1</f>
        <v>14014.2464</v>
      </c>
      <c r="I140" s="380">
        <f>calcProd1Seg1Payer3MarketRecurCustR1+calcProd1Seg1Payer3MarketGrowthCustR1</f>
        <v>14014.2464</v>
      </c>
      <c r="J140" t="s">
        <v>1576</v>
      </c>
    </row>
    <row r="141" spans="1:10">
      <c r="C141" t="s">
        <v>1539</v>
      </c>
      <c r="E141" s="380">
        <f>calcProd1Seg1Payer3VolumeRecurCustR1+calcProd1Seg1Payer3VolumeNewCustR1</f>
        <v>47.189152684800021</v>
      </c>
      <c r="F141" s="380">
        <f>calcProd1Seg1Payer3VolumeRecurCustR1+calcProd1Seg1Payer3VolumeNewCustR1</f>
        <v>47.189152684800021</v>
      </c>
      <c r="G141" s="380">
        <f>calcProd1Seg1Payer3VolumeRecurCustR1+calcProd1Seg1Payer3VolumeNewCustR1</f>
        <v>47.189152684800021</v>
      </c>
      <c r="H141" s="380">
        <f>calcProd1Seg1Payer3VolumeRecurCustR1+calcProd1Seg1Payer3VolumeNewCustR1</f>
        <v>47.189152684800021</v>
      </c>
      <c r="I141" s="380">
        <f>calcProd1Seg1Payer3VolumeRecurCustR1+calcProd1Seg1Payer3VolumeNewCustR1</f>
        <v>47.189152684800021</v>
      </c>
      <c r="J141" t="s">
        <v>1577</v>
      </c>
    </row>
    <row r="142" spans="1:10" s="4" customFormat="1">
      <c r="C142" s="4" t="s">
        <v>841</v>
      </c>
      <c r="E142" s="500">
        <f>calcProd1Seg1Payer3VolumeR1/calcProd1Seg1Payer3TotalVolumeR1</f>
        <v>3.3672272727272743E-3</v>
      </c>
      <c r="F142" s="500">
        <f>calcProd1Seg1Payer3VolumeR1/calcProd1Seg1Payer3TotalVolumeR1</f>
        <v>3.3672272727272743E-3</v>
      </c>
      <c r="G142" s="500">
        <f>calcProd1Seg1Payer3VolumeR1/calcProd1Seg1Payer3TotalVolumeR1</f>
        <v>3.3672272727272743E-3</v>
      </c>
      <c r="H142" s="500">
        <f>calcProd1Seg1Payer3VolumeR1/calcProd1Seg1Payer3TotalVolumeR1</f>
        <v>3.3672272727272743E-3</v>
      </c>
      <c r="I142" s="500">
        <f>calcProd1Seg1Payer3VolumeR1/calcProd1Seg1Payer3TotalVolumeR1</f>
        <v>3.3672272727272743E-3</v>
      </c>
      <c r="J142" s="4" t="s">
        <v>1578</v>
      </c>
    </row>
    <row r="144" spans="1:10">
      <c r="A144" s="16" t="s">
        <v>1551</v>
      </c>
      <c r="C144" t="s">
        <v>803</v>
      </c>
      <c r="E144" s="380">
        <f>INDEX(dataProd1Seg1Payer3TotalVolume,,4)</f>
        <v>14494.056192</v>
      </c>
      <c r="F144" s="380">
        <f>INDEX(dataProd1Seg1Payer3TotalVolume,,4)</f>
        <v>14494.056192</v>
      </c>
      <c r="G144" s="380">
        <f>INDEX(dataProd1Seg1Payer3TotalVolume,,4)</f>
        <v>14494.056192</v>
      </c>
      <c r="H144" s="380">
        <f>INDEX(dataProd1Seg1Payer3TotalVolume,,4)</f>
        <v>14494.056192</v>
      </c>
      <c r="I144" s="380">
        <f>INDEX(dataProd1Seg1Payer3TotalVolume,,4)</f>
        <v>14494.056192</v>
      </c>
      <c r="J144" t="s">
        <v>1579</v>
      </c>
    </row>
    <row r="145" spans="3:10">
      <c r="C145" t="s">
        <v>3253</v>
      </c>
      <c r="E145" t="str">
        <f>cbalProd1Payer3Status</f>
        <v>T3 SGSE</v>
      </c>
      <c r="F145" t="str">
        <f>cbalProd1Payer3Status</f>
        <v>T3 SGSE</v>
      </c>
      <c r="G145" t="str">
        <f>cbalProd1Payer3Status</f>
        <v>T3 SGSE</v>
      </c>
      <c r="H145" t="str">
        <f>cbalProd1Payer3Status</f>
        <v>T3 SGSE</v>
      </c>
      <c r="I145" t="str">
        <f>cbalProd1Payer3Status</f>
        <v>T3 SGSE</v>
      </c>
    </row>
    <row r="146" spans="3:10">
      <c r="C146" t="s">
        <v>2887</v>
      </c>
      <c r="E146">
        <f>INDEX(dataTierVolumeImpact,MATCH(E145,MarketData!$K$12:$K$17,0),)</f>
        <v>0.9</v>
      </c>
      <c r="F146">
        <f>INDEX(dataTierVolumeImpact,MATCH(F145,MarketData!$K$12:$K$17,0),)</f>
        <v>0.9</v>
      </c>
      <c r="G146">
        <f>INDEX(dataTierVolumeImpact,MATCH(G145,MarketData!$K$12:$K$17,0),)</f>
        <v>0.9</v>
      </c>
      <c r="H146">
        <f>INDEX(dataTierVolumeImpact,MATCH(H145,MarketData!$K$12:$K$17,0),)</f>
        <v>0.9</v>
      </c>
      <c r="I146">
        <f>INDEX(dataTierVolumeImpact,MATCH(I145,MarketData!$K$12:$K$17,0),)</f>
        <v>0.9</v>
      </c>
      <c r="J146" t="s">
        <v>3259</v>
      </c>
    </row>
    <row r="147" spans="3:10">
      <c r="C147" t="s">
        <v>1487</v>
      </c>
      <c r="E147" s="465">
        <f>calcProd1Seg1Payer3ShareTotalCustR1</f>
        <v>3.3672272727272743E-3</v>
      </c>
      <c r="F147" s="465">
        <f>calcProd1Seg1Payer3ShareTotalCustR1</f>
        <v>3.3672272727272743E-3</v>
      </c>
      <c r="G147" s="465">
        <f>calcProd1Seg1Payer3ShareTotalCustR1</f>
        <v>3.3672272727272743E-3</v>
      </c>
      <c r="H147" s="465">
        <f>calcProd1Seg1Payer3ShareTotalCustR1</f>
        <v>3.3672272727272743E-3</v>
      </c>
      <c r="I147" s="465">
        <f>calcProd1Seg1Payer3ShareTotalCustR1</f>
        <v>3.3672272727272743E-3</v>
      </c>
    </row>
    <row r="148" spans="3:10">
      <c r="C148" t="s">
        <v>516</v>
      </c>
      <c r="E148" s="511">
        <f>(calcProd1Seg1SampleAllocR2/calcProd1Seg1SampleAllocR1-1)*INDEX(datatblProd1Seg1Payer3,1,)*calcprod1Seg1Payer3TierImpactR2</f>
        <v>0</v>
      </c>
      <c r="F148" s="511">
        <f>(calcProd1Seg1SampleAllocR2/calcProd1Seg1SampleAllocR1-1)*INDEX(datatblProd1Seg1Payer3,1,)*calcprod1Seg1Payer3TierImpactR2</f>
        <v>0</v>
      </c>
      <c r="G148" s="511">
        <f>(calcProd1Seg1SampleAllocR2/calcProd1Seg1SampleAllocR1-1)*INDEX(datatblProd1Seg1Payer3,1,)*calcprod1Seg1Payer3TierImpactR2</f>
        <v>0</v>
      </c>
      <c r="H148" s="511">
        <f>(calcProd1Seg1SampleAllocR2/calcProd1Seg1SampleAllocR1-1)*INDEX(datatblProd1Seg1Payer3,1,)*calcprod1Seg1Payer3TierImpactR2</f>
        <v>0</v>
      </c>
      <c r="I148" s="511">
        <f>(calcProd1Seg1SampleAllocR2/calcProd1Seg1SampleAllocR1-1)*INDEX(datatblProd1Seg1Payer3,1,)*calcprod1Seg1Payer3TierImpactR2</f>
        <v>0</v>
      </c>
      <c r="J148" t="s">
        <v>3030</v>
      </c>
    </row>
    <row r="149" spans="3:10">
      <c r="C149" t="s">
        <v>517</v>
      </c>
      <c r="E149" s="511">
        <f>(calcProd1Seg1SpeakerAllocR2/calcProd1Seg1SpeakerAllocR1-1)*INDEX(datatblProd1Seg1Payer3,2,)*calcprod1Seg1Payer3TierImpactR2</f>
        <v>-4.5000000000000037E-5</v>
      </c>
      <c r="F149" s="511">
        <f>(calcProd1Seg1SpeakerAllocR2/calcProd1Seg1SpeakerAllocR1-1)*INDEX(datatblProd1Seg1Payer3,2,)*calcprod1Seg1Payer3TierImpactR2</f>
        <v>-4.5000000000000037E-5</v>
      </c>
      <c r="G149" s="511">
        <f>(calcProd1Seg1SpeakerAllocR2/calcProd1Seg1SpeakerAllocR1-1)*INDEX(datatblProd1Seg1Payer3,2,)*calcprod1Seg1Payer3TierImpactR2</f>
        <v>-4.5000000000000037E-5</v>
      </c>
      <c r="H149" s="511">
        <f>(calcProd1Seg1SpeakerAllocR2/calcProd1Seg1SpeakerAllocR1-1)*INDEX(datatblProd1Seg1Payer3,2,)*calcprod1Seg1Payer3TierImpactR2</f>
        <v>-4.5000000000000037E-5</v>
      </c>
      <c r="I149" s="511">
        <f>(calcProd1Seg1SpeakerAllocR2/calcProd1Seg1SpeakerAllocR1-1)*INDEX(datatblProd1Seg1Payer3,2,)*calcprod1Seg1Payer3TierImpactR2</f>
        <v>-4.5000000000000037E-5</v>
      </c>
      <c r="J149" t="s">
        <v>3031</v>
      </c>
    </row>
    <row r="150" spans="3:10">
      <c r="C150" t="s">
        <v>2333</v>
      </c>
      <c r="E150" s="511">
        <f>(calcProd1Seg1PromotionAllocR2/calcProd1Seg1PromotionAllocR1-1)*INDEX(datatblProd1Seg1Payer3,3,)*calcprod1Seg1Payer3TierImpactR2</f>
        <v>-2.2500000000000018E-5</v>
      </c>
      <c r="F150" s="511">
        <f>(calcProd1Seg1PromotionAllocR2/calcProd1Seg1PromotionAllocR1-1)*INDEX(datatblProd1Seg1Payer3,3,)*calcprod1Seg1Payer3TierImpactR2</f>
        <v>-2.2500000000000018E-5</v>
      </c>
      <c r="G150" s="511">
        <f>(calcProd1Seg1PromotionAllocR2/calcProd1Seg1PromotionAllocR1-1)*INDEX(datatblProd1Seg1Payer3,3,)*calcprod1Seg1Payer3TierImpactR2</f>
        <v>-2.2500000000000018E-5</v>
      </c>
      <c r="H150" s="511">
        <f>(calcProd1Seg1PromotionAllocR2/calcProd1Seg1PromotionAllocR1-1)*INDEX(datatblProd1Seg1Payer3,3,)*calcprod1Seg1Payer3TierImpactR2</f>
        <v>-2.2500000000000018E-5</v>
      </c>
      <c r="I150" s="511">
        <f>(calcProd1Seg1PromotionAllocR2/calcProd1Seg1PromotionAllocR1-1)*INDEX(datatblProd1Seg1Payer3,3,)*calcprod1Seg1Payer3TierImpactR2</f>
        <v>-2.2500000000000018E-5</v>
      </c>
      <c r="J150" t="s">
        <v>3032</v>
      </c>
    </row>
    <row r="151" spans="3:10">
      <c r="C151" t="s">
        <v>2646</v>
      </c>
      <c r="E151" s="511">
        <f>(calcProd1Seg1Rep1Payer3ImpactR2+calcProd1Seg1Rep2Payer3ImpactR2+calcProd1Seg1Rep3Payer3ImpactR2)*calcprod1Seg1Payer3TierImpactR2</f>
        <v>9.4500000000000196E-5</v>
      </c>
      <c r="F151" s="511">
        <f>(calcProd1Seg1Rep1Payer3ImpactR2+calcProd1Seg1Rep2Payer3ImpactR2+calcProd1Seg1Rep3Payer3ImpactR2)*calcprod1Seg1Payer3TierImpactR2</f>
        <v>9.4500000000000196E-5</v>
      </c>
      <c r="G151" s="511">
        <f>(calcProd1Seg1Rep1Payer3ImpactR2+calcProd1Seg1Rep2Payer3ImpactR2+calcProd1Seg1Rep3Payer3ImpactR2)*calcprod1Seg1Payer3TierImpactR2</f>
        <v>9.4500000000000196E-5</v>
      </c>
      <c r="H151" s="511">
        <f>(calcProd1Seg1Rep1Payer3ImpactR2+calcProd1Seg1Rep2Payer3ImpactR2+calcProd1Seg1Rep3Payer3ImpactR2)*calcprod1Seg1Payer3TierImpactR2</f>
        <v>9.4500000000000196E-5</v>
      </c>
      <c r="I151" s="511">
        <f>(calcProd1Seg1Rep1Payer3ImpactR2+calcProd1Seg1Rep2Payer3ImpactR2+calcProd1Seg1Rep3Payer3ImpactR2)*calcprod1Seg1Payer3TierImpactR2</f>
        <v>9.4500000000000196E-5</v>
      </c>
      <c r="J151" t="s">
        <v>3033</v>
      </c>
    </row>
    <row r="153" spans="3:10" s="4" customFormat="1">
      <c r="C153" s="4" t="s">
        <v>1489</v>
      </c>
      <c r="E153" s="500">
        <f>SUM(E147:E152)</f>
        <v>3.3942272727272749E-3</v>
      </c>
      <c r="F153" s="500">
        <f>SUM(F147:F152)</f>
        <v>3.3942272727272749E-3</v>
      </c>
      <c r="G153" s="500">
        <f>SUM(G147:G152)</f>
        <v>3.3942272727272749E-3</v>
      </c>
      <c r="H153" s="500">
        <f>SUM(H147:H152)</f>
        <v>3.3942272727272749E-3</v>
      </c>
      <c r="I153" s="500">
        <f>SUM(I147:I152)</f>
        <v>3.3942272727272749E-3</v>
      </c>
      <c r="J153" s="4" t="s">
        <v>1580</v>
      </c>
    </row>
    <row r="154" spans="3:10">
      <c r="C154" t="s">
        <v>1490</v>
      </c>
      <c r="E154" s="380">
        <f>MAX(calcProd1Seg1Payer3MarketRecurCustR2*calcProd1Seg1Payer3ShareRecurCustR2,0)</f>
        <v>49.19612081932803</v>
      </c>
      <c r="F154" s="380">
        <f>MAX(calcProd1Seg1Payer3MarketRecurCustR2*calcProd1Seg1Payer3ShareRecurCustR2,0)</f>
        <v>49.19612081932803</v>
      </c>
      <c r="G154" s="380">
        <f>MAX(calcProd1Seg1Payer3MarketRecurCustR2*calcProd1Seg1Payer3ShareRecurCustR2,0)</f>
        <v>49.19612081932803</v>
      </c>
      <c r="H154" s="380">
        <f>MAX(calcProd1Seg1Payer3MarketRecurCustR2*calcProd1Seg1Payer3ShareRecurCustR2,0)</f>
        <v>49.19612081932803</v>
      </c>
      <c r="I154" s="380">
        <f>MAX(calcProd1Seg1Payer3MarketRecurCustR2*calcProd1Seg1Payer3ShareRecurCustR2,0)</f>
        <v>49.19612081932803</v>
      </c>
      <c r="J154" t="s">
        <v>1581</v>
      </c>
    </row>
    <row r="156" spans="3:10">
      <c r="C156" t="s">
        <v>804</v>
      </c>
      <c r="E156" s="380">
        <f>INDEX(dataProd1Seg1Payer3NewVolume,,4)</f>
        <v>1923.9897599999999</v>
      </c>
      <c r="F156" s="380">
        <f>INDEX(dataProd1Seg1Payer3NewVolume,,4)</f>
        <v>1923.9897599999999</v>
      </c>
      <c r="G156" s="380">
        <f>INDEX(dataProd1Seg1Payer3NewVolume,,4)</f>
        <v>1923.9897599999999</v>
      </c>
      <c r="H156" s="380">
        <f>INDEX(dataProd1Seg1Payer3NewVolume,,4)</f>
        <v>1923.9897599999999</v>
      </c>
      <c r="I156" s="380">
        <f>INDEX(dataProd1Seg1Payer3NewVolume,,4)</f>
        <v>1923.9897599999999</v>
      </c>
      <c r="J156" t="s">
        <v>1582</v>
      </c>
    </row>
    <row r="158" spans="3:10">
      <c r="C158" t="s">
        <v>1486</v>
      </c>
      <c r="E158" s="465">
        <f>calcProd1Seg1Payer3ShareNewCustR1</f>
        <v>3.3672272727272739E-3</v>
      </c>
      <c r="F158" s="465">
        <f>calcProd1Seg1Payer3ShareNewCustR1</f>
        <v>3.3672272727272739E-3</v>
      </c>
      <c r="G158" s="465">
        <f>calcProd1Seg1Payer3ShareNewCustR1</f>
        <v>3.3672272727272739E-3</v>
      </c>
      <c r="H158" s="465">
        <f>calcProd1Seg1Payer3ShareNewCustR1</f>
        <v>3.3672272727272739E-3</v>
      </c>
      <c r="I158" s="465">
        <f>calcProd1Seg1Payer3ShareNewCustR1</f>
        <v>3.3672272727272739E-3</v>
      </c>
    </row>
    <row r="159" spans="3:10">
      <c r="C159" t="s">
        <v>516</v>
      </c>
      <c r="E159" s="511">
        <f>(calcProd1Seg1SampleAllocR2/calcProd1Seg1SampleAllocR1-1)*INDEX(datatblProd1Seg1Payer3,1,)*calcprod1Seg1Payer3TierImpactR2</f>
        <v>0</v>
      </c>
      <c r="F159" s="511">
        <f>(calcProd1Seg1SampleAllocR2/calcProd1Seg1SampleAllocR1-1)*INDEX(datatblProd1Seg1Payer3,1,)*calcprod1Seg1Payer3TierImpactR2</f>
        <v>0</v>
      </c>
      <c r="G159" s="511">
        <f>(calcProd1Seg1SampleAllocR2/calcProd1Seg1SampleAllocR1-1)*INDEX(datatblProd1Seg1Payer3,1,)*calcprod1Seg1Payer3TierImpactR2</f>
        <v>0</v>
      </c>
      <c r="H159" s="511">
        <f>(calcProd1Seg1SampleAllocR2/calcProd1Seg1SampleAllocR1-1)*INDEX(datatblProd1Seg1Payer3,1,)*calcprod1Seg1Payer3TierImpactR2</f>
        <v>0</v>
      </c>
      <c r="I159" s="511">
        <f>(calcProd1Seg1SampleAllocR2/calcProd1Seg1SampleAllocR1-1)*INDEX(datatblProd1Seg1Payer3,1,)*calcprod1Seg1Payer3TierImpactR2</f>
        <v>0</v>
      </c>
      <c r="J159" t="s">
        <v>3147</v>
      </c>
    </row>
    <row r="160" spans="3:10">
      <c r="C160" t="s">
        <v>517</v>
      </c>
      <c r="E160" s="511">
        <f>(calcProd1Seg1SpeakerAllocR2/calcProd1Seg1SpeakerAllocR1-1)*INDEX(datatblProd1Seg1Payer3,2,)*calcprod1Seg1Payer3TierImpactR2</f>
        <v>-4.5000000000000037E-5</v>
      </c>
      <c r="F160" s="511">
        <f>(calcProd1Seg1SpeakerAllocR2/calcProd1Seg1SpeakerAllocR1-1)*INDEX(datatblProd1Seg1Payer3,2,)*calcprod1Seg1Payer3TierImpactR2</f>
        <v>-4.5000000000000037E-5</v>
      </c>
      <c r="G160" s="511">
        <f>(calcProd1Seg1SpeakerAllocR2/calcProd1Seg1SpeakerAllocR1-1)*INDEX(datatblProd1Seg1Payer3,2,)*calcprod1Seg1Payer3TierImpactR2</f>
        <v>-4.5000000000000037E-5</v>
      </c>
      <c r="H160" s="511">
        <f>(calcProd1Seg1SpeakerAllocR2/calcProd1Seg1SpeakerAllocR1-1)*INDEX(datatblProd1Seg1Payer3,2,)*calcprod1Seg1Payer3TierImpactR2</f>
        <v>-4.5000000000000037E-5</v>
      </c>
      <c r="I160" s="511">
        <f>(calcProd1Seg1SpeakerAllocR2/calcProd1Seg1SpeakerAllocR1-1)*INDEX(datatblProd1Seg1Payer3,2,)*calcprod1Seg1Payer3TierImpactR2</f>
        <v>-4.5000000000000037E-5</v>
      </c>
      <c r="J160" t="s">
        <v>3148</v>
      </c>
    </row>
    <row r="161" spans="1:10">
      <c r="C161" t="s">
        <v>2333</v>
      </c>
      <c r="E161" s="511">
        <f>(calcProd1Seg1PromotionAllocR2/calcProd1Seg1PromotionAllocR1-1)*INDEX(datatblProd1Seg1Payer3,3,)*calcprod1Seg1Payer3TierImpactR2</f>
        <v>-2.2500000000000018E-5</v>
      </c>
      <c r="F161" s="511">
        <f>(calcProd1Seg1PromotionAllocR2/calcProd1Seg1PromotionAllocR1-1)*INDEX(datatblProd1Seg1Payer3,3,)*calcprod1Seg1Payer3TierImpactR2</f>
        <v>-2.2500000000000018E-5</v>
      </c>
      <c r="G161" s="511">
        <f>(calcProd1Seg1PromotionAllocR2/calcProd1Seg1PromotionAllocR1-1)*INDEX(datatblProd1Seg1Payer3,3,)*calcprod1Seg1Payer3TierImpactR2</f>
        <v>-2.2500000000000018E-5</v>
      </c>
      <c r="H161" s="511">
        <f>(calcProd1Seg1PromotionAllocR2/calcProd1Seg1PromotionAllocR1-1)*INDEX(datatblProd1Seg1Payer3,3,)*calcprod1Seg1Payer3TierImpactR2</f>
        <v>-2.2500000000000018E-5</v>
      </c>
      <c r="I161" s="511">
        <f>(calcProd1Seg1PromotionAllocR2/calcProd1Seg1PromotionAllocR1-1)*INDEX(datatblProd1Seg1Payer3,3,)*calcprod1Seg1Payer3TierImpactR2</f>
        <v>-2.2500000000000018E-5</v>
      </c>
      <c r="J161" t="s">
        <v>3149</v>
      </c>
    </row>
    <row r="162" spans="1:10">
      <c r="C162" t="s">
        <v>2646</v>
      </c>
      <c r="E162" s="511">
        <f>(calcProd1Seg1Rep1Payer3ImpactR2+calcProd1Seg1Rep2Payer3ImpactR2+calcProd1Seg1Rep3Payer3ImpactR2)*calcprod1Seg1Payer3TierImpactR2</f>
        <v>9.4500000000000196E-5</v>
      </c>
      <c r="F162" s="511">
        <f>(calcProd1Seg1Rep1Payer3ImpactR2+calcProd1Seg1Rep2Payer3ImpactR2+calcProd1Seg1Rep3Payer3ImpactR2)*calcprod1Seg1Payer3TierImpactR2</f>
        <v>9.4500000000000196E-5</v>
      </c>
      <c r="G162" s="511">
        <f>(calcProd1Seg1Rep1Payer3ImpactR2+calcProd1Seg1Rep2Payer3ImpactR2+calcProd1Seg1Rep3Payer3ImpactR2)*calcprod1Seg1Payer3TierImpactR2</f>
        <v>9.4500000000000196E-5</v>
      </c>
      <c r="H162" s="511">
        <f>(calcProd1Seg1Rep1Payer3ImpactR2+calcProd1Seg1Rep2Payer3ImpactR2+calcProd1Seg1Rep3Payer3ImpactR2)*calcprod1Seg1Payer3TierImpactR2</f>
        <v>9.4500000000000196E-5</v>
      </c>
      <c r="I162" s="511">
        <f>(calcProd1Seg1Rep1Payer3ImpactR2+calcProd1Seg1Rep2Payer3ImpactR2+calcProd1Seg1Rep3Payer3ImpactR2)*calcprod1Seg1Payer3TierImpactR2</f>
        <v>9.4500000000000196E-5</v>
      </c>
      <c r="J162" t="s">
        <v>3150</v>
      </c>
    </row>
    <row r="164" spans="1:10" s="4" customFormat="1">
      <c r="C164" s="4" t="s">
        <v>1534</v>
      </c>
      <c r="E164" s="500">
        <f>SUM(E158:E163)</f>
        <v>3.3942272727272745E-3</v>
      </c>
      <c r="F164" s="500">
        <f>SUM(F158:F163)</f>
        <v>3.3942272727272745E-3</v>
      </c>
      <c r="G164" s="500">
        <f>SUM(G158:G163)</f>
        <v>3.3942272727272745E-3</v>
      </c>
      <c r="H164" s="500">
        <f>SUM(H158:H163)</f>
        <v>3.3942272727272745E-3</v>
      </c>
      <c r="I164" s="500">
        <f>SUM(I158:I163)</f>
        <v>3.3942272727272745E-3</v>
      </c>
      <c r="J164" s="4" t="s">
        <v>1583</v>
      </c>
    </row>
    <row r="165" spans="1:10">
      <c r="C165" t="s">
        <v>1490</v>
      </c>
      <c r="E165" s="380">
        <f>MAX(calcProd1Seg1Payer3MarketGrowthCustR2*calcProd1Seg1Payer3ShareNewCustR2,0)</f>
        <v>6.530458515840003</v>
      </c>
      <c r="F165" s="380">
        <f>MAX(calcProd1Seg1Payer3MarketGrowthCustR2*calcProd1Seg1Payer3ShareNewCustR2,0)</f>
        <v>6.530458515840003</v>
      </c>
      <c r="G165" s="380">
        <f>MAX(calcProd1Seg1Payer3MarketGrowthCustR2*calcProd1Seg1Payer3ShareNewCustR2,0)</f>
        <v>6.530458515840003</v>
      </c>
      <c r="H165" s="380">
        <f>MAX(calcProd1Seg1Payer3MarketGrowthCustR2*calcProd1Seg1Payer3ShareNewCustR2,0)</f>
        <v>6.530458515840003</v>
      </c>
      <c r="I165" s="380">
        <f>MAX(calcProd1Seg1Payer3MarketGrowthCustR2*calcProd1Seg1Payer3ShareNewCustR2,0)</f>
        <v>6.530458515840003</v>
      </c>
      <c r="J165" s="4" t="s">
        <v>1584</v>
      </c>
    </row>
    <row r="167" spans="1:10">
      <c r="C167" t="s">
        <v>1537</v>
      </c>
      <c r="E167" s="380">
        <f>calcProd1Seg1Payer3MarketRecurCustR2+calcProd1Seg1Payer3MarketGrowthCustR2</f>
        <v>16418.045952</v>
      </c>
      <c r="F167" s="380">
        <f>calcProd1Seg1Payer3MarketRecurCustR2+calcProd1Seg1Payer3MarketGrowthCustR2</f>
        <v>16418.045952</v>
      </c>
      <c r="G167" s="380">
        <f>calcProd1Seg1Payer3MarketRecurCustR2+calcProd1Seg1Payer3MarketGrowthCustR2</f>
        <v>16418.045952</v>
      </c>
      <c r="H167" s="380">
        <f>calcProd1Seg1Payer3MarketRecurCustR2+calcProd1Seg1Payer3MarketGrowthCustR2</f>
        <v>16418.045952</v>
      </c>
      <c r="I167" s="380">
        <f>calcProd1Seg1Payer3MarketRecurCustR2+calcProd1Seg1Payer3MarketGrowthCustR2</f>
        <v>16418.045952</v>
      </c>
      <c r="J167" t="s">
        <v>1585</v>
      </c>
    </row>
    <row r="168" spans="1:10">
      <c r="C168" t="s">
        <v>1539</v>
      </c>
      <c r="E168" s="380">
        <f>calcProd1Seg1Payer3VolumeRecurCustR2+calcProd1Seg1Payer3VolumeNewCustR2</f>
        <v>55.726579335168033</v>
      </c>
      <c r="F168" s="380">
        <f>calcProd1Seg1Payer3VolumeRecurCustR2+calcProd1Seg1Payer3VolumeNewCustR2</f>
        <v>55.726579335168033</v>
      </c>
      <c r="G168" s="380">
        <f>calcProd1Seg1Payer3VolumeRecurCustR2+calcProd1Seg1Payer3VolumeNewCustR2</f>
        <v>55.726579335168033</v>
      </c>
      <c r="H168" s="380">
        <f>calcProd1Seg1Payer3VolumeRecurCustR2+calcProd1Seg1Payer3VolumeNewCustR2</f>
        <v>55.726579335168033</v>
      </c>
      <c r="I168" s="380">
        <f>calcProd1Seg1Payer3VolumeRecurCustR2+calcProd1Seg1Payer3VolumeNewCustR2</f>
        <v>55.726579335168033</v>
      </c>
      <c r="J168" t="s">
        <v>1586</v>
      </c>
    </row>
    <row r="169" spans="1:10" s="4" customFormat="1">
      <c r="C169" s="4" t="s">
        <v>841</v>
      </c>
      <c r="E169" s="500">
        <f>calcProd1Seg1Payer3VolumeR1/calcProd1Seg1Payer3TotalVolumeR1</f>
        <v>3.3672272727272743E-3</v>
      </c>
      <c r="F169" s="500">
        <f>calcProd1Seg1Payer3VolumeR1/calcProd1Seg1Payer3TotalVolumeR1</f>
        <v>3.3672272727272743E-3</v>
      </c>
      <c r="G169" s="500">
        <f>calcProd1Seg1Payer3VolumeR1/calcProd1Seg1Payer3TotalVolumeR1</f>
        <v>3.3672272727272743E-3</v>
      </c>
      <c r="H169" s="500">
        <f>calcProd1Seg1Payer3VolumeR1/calcProd1Seg1Payer3TotalVolumeR1</f>
        <v>3.3672272727272743E-3</v>
      </c>
      <c r="I169" s="500">
        <f>calcProd1Seg1Payer3VolumeR1/calcProd1Seg1Payer3TotalVolumeR1</f>
        <v>3.3672272727272743E-3</v>
      </c>
      <c r="J169" s="4" t="s">
        <v>1587</v>
      </c>
    </row>
    <row r="170" spans="1:10">
      <c r="A170" s="4"/>
    </row>
    <row r="171" spans="1:10" s="502" customFormat="1">
      <c r="A171" s="501" t="str">
        <f>nmProd1Seg2</f>
        <v>Tullyville</v>
      </c>
    </row>
    <row r="172" spans="1:10" s="376" customFormat="1">
      <c r="A172" s="376" t="str">
        <f>nmPayer1</f>
        <v>Blue Sword/Blue Shield</v>
      </c>
    </row>
    <row r="173" spans="1:10">
      <c r="A173" s="16" t="s">
        <v>1488</v>
      </c>
      <c r="C173" s="4" t="s">
        <v>803</v>
      </c>
      <c r="E173" s="380">
        <f>INDEX(dataProd1Seg2Payer1TotalVolume,,3)</f>
        <v>13887.384</v>
      </c>
      <c r="F173" s="380">
        <f>INDEX(dataProd1Seg2Payer1TotalVolume,,3)</f>
        <v>13887.384</v>
      </c>
      <c r="G173" s="380">
        <f>INDEX(dataProd1Seg2Payer1TotalVolume,,3)</f>
        <v>13887.384</v>
      </c>
      <c r="H173" s="380">
        <f>INDEX(dataProd1Seg2Payer1TotalVolume,,3)</f>
        <v>13887.384</v>
      </c>
      <c r="I173" s="380">
        <f>INDEX(dataProd1Seg2Payer1TotalVolume,,3)</f>
        <v>13887.384</v>
      </c>
      <c r="J173" t="s">
        <v>1588</v>
      </c>
    </row>
    <row r="174" spans="1:10">
      <c r="C174" t="s">
        <v>3253</v>
      </c>
      <c r="E174" t="str">
        <f>obalProd1Payer1Status</f>
        <v>T2 DGSE</v>
      </c>
      <c r="F174" t="str">
        <f>obalProd1Payer1Status</f>
        <v>T2 DGSE</v>
      </c>
      <c r="G174" t="str">
        <f>obalProd1Payer1Status</f>
        <v>T2 DGSE</v>
      </c>
      <c r="H174" t="str">
        <f>obalProd1Payer1Status</f>
        <v>T2 DGSE</v>
      </c>
      <c r="I174" t="str">
        <f>obalProd1Payer1Status</f>
        <v>T2 DGSE</v>
      </c>
    </row>
    <row r="175" spans="1:10">
      <c r="C175" t="s">
        <v>2887</v>
      </c>
      <c r="E175">
        <f>INDEX(dataTierVolumeImpact,MATCH(E174,MarketData!$K$12:$K$17,0),)</f>
        <v>1.1000000000000001</v>
      </c>
      <c r="F175">
        <f>INDEX(dataTierVolumeImpact,MATCH(F174,MarketData!$K$12:$K$17,0),)</f>
        <v>1.1000000000000001</v>
      </c>
      <c r="G175">
        <f>INDEX(dataTierVolumeImpact,MATCH(G174,MarketData!$K$12:$K$17,0),)</f>
        <v>1.1000000000000001</v>
      </c>
      <c r="H175">
        <f>INDEX(dataTierVolumeImpact,MATCH(H174,MarketData!$K$12:$K$17,0),)</f>
        <v>1.1000000000000001</v>
      </c>
      <c r="I175">
        <f>INDEX(dataTierVolumeImpact,MATCH(I174,MarketData!$K$12:$K$17,0),)</f>
        <v>1.1000000000000001</v>
      </c>
      <c r="J175" t="s">
        <v>3260</v>
      </c>
    </row>
    <row r="176" spans="1:10">
      <c r="C176" t="s">
        <v>1487</v>
      </c>
      <c r="E176" s="465">
        <f>obalProd1Seg2Payer1Share</f>
        <v>5.9999999999999984E-3</v>
      </c>
      <c r="F176" s="465">
        <f>obalProd1Seg2Payer1Share</f>
        <v>5.9999999999999984E-3</v>
      </c>
      <c r="G176" s="465">
        <f>obalProd1Seg2Payer1Share</f>
        <v>5.9999999999999984E-3</v>
      </c>
      <c r="H176" s="465">
        <f>obalProd1Seg2Payer1Share</f>
        <v>5.9999999999999984E-3</v>
      </c>
      <c r="I176" s="465">
        <f>obalProd1Seg2Payer1Share</f>
        <v>5.9999999999999984E-3</v>
      </c>
    </row>
    <row r="177" spans="3:10">
      <c r="C177" t="s">
        <v>516</v>
      </c>
      <c r="E177" s="511">
        <f>(calcProd1Seg2SampleAllocR1/obalProd1Seg2SampleAlloc-1)*INDEX(datatblProd1Seg2Payer1,1,)*calcprod1Seg2Payer1TierImpactR1</f>
        <v>0</v>
      </c>
      <c r="F177" s="511">
        <f>(calcProd1Seg2SampleAllocR1/obalProd1Seg2SampleAlloc-1)*INDEX(datatblProd1Seg2Payer1,1,)</f>
        <v>0</v>
      </c>
      <c r="G177" s="511">
        <f>(calcProd1Seg2SampleAllocR1/obalProd1Seg2SampleAlloc-1)*INDEX(datatblProd1Seg2Payer1,1,)</f>
        <v>0</v>
      </c>
      <c r="H177" s="511">
        <f>(calcProd1Seg2SampleAllocR1/obalProd1Seg2SampleAlloc-1)*INDEX(datatblProd1Seg2Payer1,1,)</f>
        <v>0</v>
      </c>
      <c r="I177" s="511">
        <f>(calcProd1Seg2SampleAllocR1/obalProd1Seg2SampleAlloc-1)*INDEX(datatblProd1Seg2Payer1,1,)</f>
        <v>0</v>
      </c>
      <c r="J177" t="s">
        <v>2808</v>
      </c>
    </row>
    <row r="178" spans="3:10">
      <c r="C178" t="s">
        <v>517</v>
      </c>
      <c r="E178" s="511">
        <f>(calcProd1Seg2SpeakerAllocR1/obalProd1Seg2SpeakerAlloc-1)*INDEX(datatblProd1Seg2Payer1,2,)*(calcprod1Seg2Payer1TierImpactR1)</f>
        <v>0</v>
      </c>
      <c r="F178" s="511">
        <f>(calcProd1Seg2SpeakerAllocR1/obalProd1Seg2SpeakerAlloc-1)*INDEX(datatblProd1Seg2Payer1,2,)</f>
        <v>0</v>
      </c>
      <c r="G178" s="511">
        <f>(calcProd1Seg2SpeakerAllocR1/obalProd1Seg2SpeakerAlloc-1)*INDEX(datatblProd1Seg2Payer1,2,)</f>
        <v>0</v>
      </c>
      <c r="H178" s="511">
        <f>(calcProd1Seg2SpeakerAllocR1/obalProd1Seg2SpeakerAlloc-1)*INDEX(datatblProd1Seg2Payer1,2,)</f>
        <v>0</v>
      </c>
      <c r="I178" s="511">
        <f>(calcProd1Seg2SpeakerAllocR1/obalProd1Seg2SpeakerAlloc-1)*INDEX(datatblProd1Seg2Payer1,2,)</f>
        <v>0</v>
      </c>
      <c r="J178" t="s">
        <v>2809</v>
      </c>
    </row>
    <row r="179" spans="3:10">
      <c r="C179" t="s">
        <v>2333</v>
      </c>
      <c r="E179" s="511">
        <f>(calcProd1Seg2PromotionAllocR1/obalProd1Seg2PromotionAlloc-1)*INDEX(datatblProd1Seg2Payer1,3,)*calcprod1Seg2Payer1TierImpactR1</f>
        <v>0</v>
      </c>
      <c r="F179" s="511">
        <f>(calcProd1Seg2PromotionAllocR1/obalProd1Seg2PromotionAlloc-1)*INDEX(datatblProd1Seg2Payer1,3,)</f>
        <v>0</v>
      </c>
      <c r="G179" s="511">
        <f>(calcProd1Seg2PromotionAllocR1/obalProd1Seg2PromotionAlloc-1)*INDEX(datatblProd1Seg2Payer1,3,)</f>
        <v>0</v>
      </c>
      <c r="H179" s="511">
        <f>(calcProd1Seg2PromotionAllocR1/obalProd1Seg2PromotionAlloc-1)*INDEX(datatblProd1Seg2Payer1,3,)</f>
        <v>0</v>
      </c>
      <c r="I179" s="511">
        <f>(calcProd1Seg2PromotionAllocR1/obalProd1Seg2PromotionAlloc-1)*INDEX(datatblProd1Seg2Payer1,3,)</f>
        <v>0</v>
      </c>
      <c r="J179" t="s">
        <v>2810</v>
      </c>
    </row>
    <row r="180" spans="3:10">
      <c r="C180" t="s">
        <v>2646</v>
      </c>
      <c r="E180" s="511">
        <f>(calcProd1Seg2Rep1Payer1ImpactR1+calcProd1Seg2Rep2Payer1ImpactR1+calcProd1Seg2Rep3Payer1ImpactR1)*calcprod1Seg2Payer1TierImpactR1</f>
        <v>4.2900000000000034E-4</v>
      </c>
      <c r="F180" s="511">
        <f>(calcProd1Seg2Rep1Payer1ImpactR1+calcProd1Seg2Rep2Payer1ImpactR1+calcProd1Seg2Rep3Payer1ImpactR1)*calcprod1Seg2Payer1TierImpactR1</f>
        <v>4.2900000000000034E-4</v>
      </c>
      <c r="G180" s="511">
        <f>(calcProd1Seg2Rep1Payer1ImpactR1+calcProd1Seg2Rep2Payer1ImpactR1+calcProd1Seg2Rep3Payer1ImpactR1)*calcprod1Seg2Payer1TierImpactR1</f>
        <v>4.2900000000000034E-4</v>
      </c>
      <c r="H180" s="511">
        <f>(calcProd1Seg2Rep1Payer1ImpactR1+calcProd1Seg2Rep2Payer1ImpactR1+calcProd1Seg2Rep3Payer1ImpactR1)*calcprod1Seg2Payer1TierImpactR1</f>
        <v>4.2900000000000034E-4</v>
      </c>
      <c r="I180" s="511">
        <f>(calcProd1Seg2Rep1Payer1ImpactR1+calcProd1Seg2Rep2Payer1ImpactR1+calcProd1Seg2Rep3Payer1ImpactR1)*calcprod1Seg2Payer1TierImpactR1</f>
        <v>4.2900000000000034E-4</v>
      </c>
      <c r="J180" t="s">
        <v>2811</v>
      </c>
    </row>
    <row r="181" spans="3:10" s="4" customFormat="1">
      <c r="C181" s="4" t="s">
        <v>1489</v>
      </c>
      <c r="E181" s="500">
        <f>SUM(E176:E180)</f>
        <v>6.428999999999999E-3</v>
      </c>
      <c r="F181" s="500">
        <f t="shared" ref="F181:I181" si="3">SUM(F176:F180)</f>
        <v>6.428999999999999E-3</v>
      </c>
      <c r="G181" s="500">
        <f t="shared" si="3"/>
        <v>6.428999999999999E-3</v>
      </c>
      <c r="H181" s="500">
        <f t="shared" si="3"/>
        <v>6.428999999999999E-3</v>
      </c>
      <c r="I181" s="500">
        <f t="shared" si="3"/>
        <v>6.428999999999999E-3</v>
      </c>
      <c r="J181" s="4" t="s">
        <v>1589</v>
      </c>
    </row>
    <row r="182" spans="3:10">
      <c r="C182" t="s">
        <v>1490</v>
      </c>
      <c r="E182" s="380">
        <f>MAX(calcProd1Seg2Payer1MarketRecurCustR1*calcProd1Seg2Payer1ShareRecurCustR1,0)</f>
        <v>89.281991735999981</v>
      </c>
      <c r="F182" s="380">
        <f>MAX(calcProd1Seg2Payer1MarketRecurCustR1*calcProd1Seg2Payer1ShareRecurCustR1,0)</f>
        <v>89.281991735999981</v>
      </c>
      <c r="G182" s="380">
        <f>MAX(calcProd1Seg2Payer1MarketRecurCustR1*calcProd1Seg2Payer1ShareRecurCustR1,0)</f>
        <v>89.281991735999981</v>
      </c>
      <c r="H182" s="380">
        <f>MAX(calcProd1Seg2Payer1MarketRecurCustR1*calcProd1Seg2Payer1ShareRecurCustR1,0)</f>
        <v>89.281991735999981</v>
      </c>
      <c r="I182" s="380">
        <f>MAX(calcProd1Seg2Payer1MarketRecurCustR1*calcProd1Seg2Payer1ShareRecurCustR1,0)</f>
        <v>89.281991735999981</v>
      </c>
      <c r="J182" t="s">
        <v>1590</v>
      </c>
    </row>
    <row r="184" spans="3:10">
      <c r="C184" t="s">
        <v>804</v>
      </c>
      <c r="E184" s="380">
        <f>INDEX(dataProd1Seg2Payer1NewVolume,,3)</f>
        <v>1322.6080000000002</v>
      </c>
      <c r="F184" s="380">
        <f>INDEX(dataProd1Seg2Payer1NewVolume,,3)</f>
        <v>1322.6080000000002</v>
      </c>
      <c r="G184" s="380">
        <f>INDEX(dataProd1Seg2Payer1NewVolume,,3)</f>
        <v>1322.6080000000002</v>
      </c>
      <c r="H184" s="380">
        <f>INDEX(dataProd1Seg2Payer1NewVolume,,3)</f>
        <v>1322.6080000000002</v>
      </c>
      <c r="I184" s="380">
        <f>INDEX(dataProd1Seg2Payer1NewVolume,,3)</f>
        <v>1322.6080000000002</v>
      </c>
      <c r="J184" t="s">
        <v>1591</v>
      </c>
    </row>
    <row r="186" spans="3:10">
      <c r="C186" t="s">
        <v>1486</v>
      </c>
      <c r="E186" s="465">
        <f>obalProd1Seg2Payer1Share</f>
        <v>5.9999999999999984E-3</v>
      </c>
      <c r="F186" s="465">
        <f>obalProd1Seg2Payer1Share</f>
        <v>5.9999999999999984E-3</v>
      </c>
      <c r="G186" s="465">
        <f>obalProd1Seg2Payer1Share</f>
        <v>5.9999999999999984E-3</v>
      </c>
      <c r="H186" s="465">
        <f>obalProd1Seg2Payer1Share</f>
        <v>5.9999999999999984E-3</v>
      </c>
      <c r="I186" s="465">
        <f>obalProd1Seg2Payer1Share</f>
        <v>5.9999999999999984E-3</v>
      </c>
    </row>
    <row r="187" spans="3:10">
      <c r="C187" t="s">
        <v>516</v>
      </c>
      <c r="E187" s="511">
        <f>(calcProd1Seg2SampleAllocR1/obalProd1Seg2SampleAlloc-1)*INDEX(datatblProd1Seg2Payer1,1,)*calcprod1Seg2Payer1TierImpactR1</f>
        <v>0</v>
      </c>
      <c r="F187" s="511">
        <f>(calcProd1Seg2SampleAllocR1/obalProd1Seg2SampleAlloc-1)*INDEX(datatblProd1Seg2Payer1,1,)*calcprod1Seg2Payer1TierImpactR1</f>
        <v>0</v>
      </c>
      <c r="G187" s="511">
        <f>(calcProd1Seg2SampleAllocR1/obalProd1Seg2SampleAlloc-1)*INDEX(datatblProd1Seg2Payer1,1,)*calcprod1Seg2Payer1TierImpactR1</f>
        <v>0</v>
      </c>
      <c r="H187" s="511">
        <f>(calcProd1Seg2SampleAllocR1/obalProd1Seg2SampleAlloc-1)*INDEX(datatblProd1Seg2Payer1,1,)*calcprod1Seg2Payer1TierImpactR1</f>
        <v>0</v>
      </c>
      <c r="I187" s="511">
        <f>(calcProd1Seg2SampleAllocR1/obalProd1Seg2SampleAlloc-1)*INDEX(datatblProd1Seg2Payer1,1,)*calcprod1Seg2Payer1TierImpactR1</f>
        <v>0</v>
      </c>
      <c r="J187" t="s">
        <v>3034</v>
      </c>
    </row>
    <row r="188" spans="3:10">
      <c r="C188" t="s">
        <v>517</v>
      </c>
      <c r="E188" s="511">
        <f>(calcProd1Seg2SpeakerAllocR1/obalProd1Seg2SpeakerAlloc-1)*INDEX(datatblProd1Seg2Payer1,2,)*calcprod1Seg2Payer1TierImpactR1</f>
        <v>0</v>
      </c>
      <c r="F188" s="511">
        <f>(calcProd1Seg2SpeakerAllocR1/obalProd1Seg2SpeakerAlloc-1)*INDEX(datatblProd1Seg2Payer1,2,)*calcprod1Seg2Payer1TierImpactR1</f>
        <v>0</v>
      </c>
      <c r="G188" s="511">
        <f>(calcProd1Seg2SpeakerAllocR1/obalProd1Seg2SpeakerAlloc-1)*INDEX(datatblProd1Seg2Payer1,2,)*calcprod1Seg2Payer1TierImpactR1</f>
        <v>0</v>
      </c>
      <c r="H188" s="511">
        <f>(calcProd1Seg2SpeakerAllocR1/obalProd1Seg2SpeakerAlloc-1)*INDEX(datatblProd1Seg2Payer1,2,)*calcprod1Seg2Payer1TierImpactR1</f>
        <v>0</v>
      </c>
      <c r="I188" s="511">
        <f>(calcProd1Seg2SpeakerAllocR1/obalProd1Seg2SpeakerAlloc-1)*INDEX(datatblProd1Seg2Payer1,2,)*calcprod1Seg2Payer1TierImpactR1</f>
        <v>0</v>
      </c>
      <c r="J188" t="s">
        <v>3035</v>
      </c>
    </row>
    <row r="189" spans="3:10">
      <c r="C189" t="s">
        <v>2333</v>
      </c>
      <c r="E189" s="511">
        <f>(calcProd1Seg2PromotionAllocR1/obalProd1Seg2PromotionAlloc-1)*INDEX(datatblProd1Seg2Payer1,3,)*calcprod1Seg2Payer1TierImpactR1</f>
        <v>0</v>
      </c>
      <c r="F189" s="511">
        <f>(calcProd1Seg2PromotionAllocR1/obalProd1Seg2PromotionAlloc-1)*INDEX(datatblProd1Seg2Payer1,3,)*calcprod1Seg2Payer1TierImpactR1</f>
        <v>0</v>
      </c>
      <c r="G189" s="511">
        <f>(calcProd1Seg2PromotionAllocR1/obalProd1Seg2PromotionAlloc-1)*INDEX(datatblProd1Seg2Payer1,3,)*calcprod1Seg2Payer1TierImpactR1</f>
        <v>0</v>
      </c>
      <c r="H189" s="511">
        <f>(calcProd1Seg2PromotionAllocR1/obalProd1Seg2PromotionAlloc-1)*INDEX(datatblProd1Seg2Payer1,3,)*calcprod1Seg2Payer1TierImpactR1</f>
        <v>0</v>
      </c>
      <c r="I189" s="511">
        <f>(calcProd1Seg2PromotionAllocR1/obalProd1Seg2PromotionAlloc-1)*INDEX(datatblProd1Seg2Payer1,3,)*calcprod1Seg2Payer1TierImpactR1</f>
        <v>0</v>
      </c>
      <c r="J189" t="s">
        <v>3036</v>
      </c>
    </row>
    <row r="190" spans="3:10">
      <c r="C190" t="s">
        <v>2646</v>
      </c>
      <c r="E190" s="511">
        <f>(calcProd1Seg2Rep1Payer1ImpactR1+calcProd1Seg2Rep2Payer1ImpactR1+calcProd1Seg2Rep3Payer1ImpactR1)*calcprod1Seg2Payer1TierImpactR1</f>
        <v>4.2900000000000034E-4</v>
      </c>
      <c r="F190" s="511">
        <f>(calcProd1Seg2Rep1Payer1ImpactR1+calcProd1Seg2Rep2Payer1ImpactR1+calcProd1Seg2Rep3Payer1ImpactR1)*calcprod1Seg2Payer1TierImpactR1</f>
        <v>4.2900000000000034E-4</v>
      </c>
      <c r="G190" s="511">
        <f>(calcProd1Seg2Rep1Payer1ImpactR1+calcProd1Seg2Rep2Payer1ImpactR1+calcProd1Seg2Rep3Payer1ImpactR1)*calcprod1Seg2Payer1TierImpactR1</f>
        <v>4.2900000000000034E-4</v>
      </c>
      <c r="H190" s="511">
        <f>(calcProd1Seg2Rep1Payer1ImpactR1+calcProd1Seg2Rep2Payer1ImpactR1+calcProd1Seg2Rep3Payer1ImpactR1)*calcprod1Seg2Payer1TierImpactR1</f>
        <v>4.2900000000000034E-4</v>
      </c>
      <c r="I190" s="511">
        <f>(calcProd1Seg2Rep1Payer1ImpactR1+calcProd1Seg2Rep2Payer1ImpactR1+calcProd1Seg2Rep3Payer1ImpactR1)*calcprod1Seg2Payer1TierImpactR1</f>
        <v>4.2900000000000034E-4</v>
      </c>
      <c r="J190" t="s">
        <v>3037</v>
      </c>
    </row>
    <row r="191" spans="3:10">
      <c r="C191" t="s">
        <v>2905</v>
      </c>
    </row>
    <row r="192" spans="3:10" s="4" customFormat="1">
      <c r="C192" s="4" t="s">
        <v>1534</v>
      </c>
      <c r="E192" s="500">
        <f>SUM(E186:E191)</f>
        <v>6.428999999999999E-3</v>
      </c>
      <c r="F192" s="500">
        <f>SUM(F186:F191)</f>
        <v>6.428999999999999E-3</v>
      </c>
      <c r="G192" s="500">
        <f>SUM(G186:G191)</f>
        <v>6.428999999999999E-3</v>
      </c>
      <c r="H192" s="500">
        <f>SUM(H186:H191)</f>
        <v>6.428999999999999E-3</v>
      </c>
      <c r="I192" s="500">
        <f>SUM(I186:I191)</f>
        <v>6.428999999999999E-3</v>
      </c>
      <c r="J192" s="4" t="s">
        <v>1592</v>
      </c>
    </row>
    <row r="193" spans="1:10">
      <c r="C193" t="s">
        <v>1490</v>
      </c>
      <c r="E193" s="380">
        <f>MAX(calcProd1Seg2Payer1MarketGrowthCustR1*calcProd1Seg2Payer1ShareNewCustR1,0)</f>
        <v>8.503046831999999</v>
      </c>
      <c r="F193" s="380">
        <f>MAX(calcProd1Seg2Payer1MarketGrowthCustR1*calcProd1Seg2Payer1ShareNewCustR1,0)</f>
        <v>8.503046831999999</v>
      </c>
      <c r="G193" s="380">
        <f>MAX(calcProd1Seg2Payer1MarketGrowthCustR1*calcProd1Seg2Payer1ShareNewCustR1,0)</f>
        <v>8.503046831999999</v>
      </c>
      <c r="H193" s="380">
        <f>MAX(calcProd1Seg2Payer1MarketGrowthCustR1*calcProd1Seg2Payer1ShareNewCustR1,0)</f>
        <v>8.503046831999999</v>
      </c>
      <c r="I193" s="380">
        <f>MAX(calcProd1Seg2Payer1MarketGrowthCustR1*calcProd1Seg2Payer1ShareNewCustR1,0)</f>
        <v>8.503046831999999</v>
      </c>
      <c r="J193" s="4" t="s">
        <v>1593</v>
      </c>
    </row>
    <row r="195" spans="1:10">
      <c r="C195" t="s">
        <v>1537</v>
      </c>
      <c r="E195" s="380">
        <f>calcProd1Seg2Payer1MarketRecurCustR1+calcProd1Seg2Payer1MarketGrowthCustR1</f>
        <v>15209.992</v>
      </c>
      <c r="F195" s="380">
        <f>calcProd1Seg2Payer1MarketRecurCustR1+calcProd1Seg2Payer1MarketGrowthCustR1</f>
        <v>15209.992</v>
      </c>
      <c r="G195" s="380">
        <f>calcProd1Seg2Payer1MarketRecurCustR1+calcProd1Seg2Payer1MarketGrowthCustR1</f>
        <v>15209.992</v>
      </c>
      <c r="H195" s="380">
        <f>calcProd1Seg2Payer1MarketRecurCustR1+calcProd1Seg2Payer1MarketGrowthCustR1</f>
        <v>15209.992</v>
      </c>
      <c r="I195" s="380">
        <f>calcProd1Seg2Payer1MarketRecurCustR1+calcProd1Seg2Payer1MarketGrowthCustR1</f>
        <v>15209.992</v>
      </c>
      <c r="J195" t="s">
        <v>1594</v>
      </c>
    </row>
    <row r="196" spans="1:10">
      <c r="C196" t="s">
        <v>1539</v>
      </c>
      <c r="E196" s="380">
        <f>calcProd1Seg2Payer1VolumeRecurCustR1+calcProd1Seg2Payer1VolumeNewCustR1</f>
        <v>97.785038567999976</v>
      </c>
      <c r="F196" s="380">
        <f>calcProd1Seg2Payer1VolumeRecurCustR1+calcProd1Seg2Payer1VolumeNewCustR1</f>
        <v>97.785038567999976</v>
      </c>
      <c r="G196" s="380">
        <f>calcProd1Seg2Payer1VolumeRecurCustR1+calcProd1Seg2Payer1VolumeNewCustR1</f>
        <v>97.785038567999976</v>
      </c>
      <c r="H196" s="380">
        <f>calcProd1Seg2Payer1VolumeRecurCustR1+calcProd1Seg2Payer1VolumeNewCustR1</f>
        <v>97.785038567999976</v>
      </c>
      <c r="I196" s="380">
        <f>calcProd1Seg2Payer1VolumeRecurCustR1+calcProd1Seg2Payer1VolumeNewCustR1</f>
        <v>97.785038567999976</v>
      </c>
      <c r="J196" t="s">
        <v>1595</v>
      </c>
    </row>
    <row r="197" spans="1:10" s="4" customFormat="1">
      <c r="C197" s="4" t="s">
        <v>841</v>
      </c>
      <c r="E197" s="500">
        <f>calcProd1Seg2Payer1VolumeR1/calcProd1Seg2Payer1TotalVolumeR1</f>
        <v>6.4289999999999981E-3</v>
      </c>
      <c r="F197" s="500">
        <f>calcProd1Seg2Payer1VolumeR1/calcProd1Seg2Payer1TotalVolumeR1</f>
        <v>6.4289999999999981E-3</v>
      </c>
      <c r="G197" s="500">
        <f>calcProd1Seg2Payer1VolumeR1/calcProd1Seg2Payer1TotalVolumeR1</f>
        <v>6.4289999999999981E-3</v>
      </c>
      <c r="H197" s="500">
        <f>calcProd1Seg2Payer1VolumeR1/calcProd1Seg2Payer1TotalVolumeR1</f>
        <v>6.4289999999999981E-3</v>
      </c>
      <c r="I197" s="500">
        <f>calcProd1Seg2Payer1VolumeR1/calcProd1Seg2Payer1TotalVolumeR1</f>
        <v>6.4289999999999981E-3</v>
      </c>
      <c r="J197" s="4" t="s">
        <v>1596</v>
      </c>
    </row>
    <row r="199" spans="1:10">
      <c r="A199" s="16" t="s">
        <v>1551</v>
      </c>
      <c r="C199" t="s">
        <v>803</v>
      </c>
      <c r="E199" s="380">
        <f>INDEX(dataProd1Seg2Payer1TotalVolume,,4)</f>
        <v>15276.1224</v>
      </c>
      <c r="F199" s="380">
        <f>INDEX(dataProd1Seg2Payer1TotalVolume,,4)</f>
        <v>15276.1224</v>
      </c>
      <c r="G199" s="380">
        <f>INDEX(dataProd1Seg2Payer1TotalVolume,,4)</f>
        <v>15276.1224</v>
      </c>
      <c r="H199" s="380">
        <f>INDEX(dataProd1Seg2Payer1TotalVolume,,4)</f>
        <v>15276.1224</v>
      </c>
      <c r="I199" s="380">
        <f>INDEX(dataProd1Seg2Payer1TotalVolume,,4)</f>
        <v>15276.1224</v>
      </c>
      <c r="J199" t="s">
        <v>1597</v>
      </c>
    </row>
    <row r="200" spans="1:10">
      <c r="C200" t="s">
        <v>3253</v>
      </c>
      <c r="E200" t="str">
        <f>cbalProd1Payer1Status</f>
        <v>T3 DSE</v>
      </c>
      <c r="F200" t="str">
        <f>cbalProd1Payer1Status</f>
        <v>T3 DSE</v>
      </c>
      <c r="G200" t="str">
        <f>cbalProd1Payer1Status</f>
        <v>T3 DSE</v>
      </c>
      <c r="H200" t="str">
        <f>cbalProd1Payer1Status</f>
        <v>T3 DSE</v>
      </c>
      <c r="I200" t="str">
        <f>cbalProd1Payer1Status</f>
        <v>T3 DSE</v>
      </c>
    </row>
    <row r="201" spans="1:10">
      <c r="C201" t="s">
        <v>2887</v>
      </c>
      <c r="E201">
        <f>INDEX(dataTierVolumeImpact,MATCH(E200,MarketData!$K$12:$K$17,0),)</f>
        <v>0.88</v>
      </c>
      <c r="F201">
        <f>INDEX(dataTierVolumeImpact,MATCH(F200,MarketData!$K$12:$K$17,0),)</f>
        <v>0.88</v>
      </c>
      <c r="G201">
        <f>INDEX(dataTierVolumeImpact,MATCH(G200,MarketData!$K$12:$K$17,0),)</f>
        <v>0.88</v>
      </c>
      <c r="H201">
        <f>INDEX(dataTierVolumeImpact,MATCH(H200,MarketData!$K$12:$K$17,0),)</f>
        <v>0.88</v>
      </c>
      <c r="I201">
        <f>INDEX(dataTierVolumeImpact,MATCH(I200,MarketData!$K$12:$K$17,0),)</f>
        <v>0.88</v>
      </c>
      <c r="J201" t="s">
        <v>3261</v>
      </c>
    </row>
    <row r="202" spans="1:10">
      <c r="C202" t="s">
        <v>1487</v>
      </c>
      <c r="E202" s="465">
        <f>calcProd1Seg2Payer1ShareTotalCustR1</f>
        <v>6.4289999999999981E-3</v>
      </c>
      <c r="F202" s="465">
        <f>calcProd1Seg2Payer1ShareTotalCustR1</f>
        <v>6.4289999999999981E-3</v>
      </c>
      <c r="G202" s="465">
        <f>calcProd1Seg2Payer1ShareTotalCustR1</f>
        <v>6.4289999999999981E-3</v>
      </c>
      <c r="H202" s="465">
        <f>calcProd1Seg2Payer1ShareTotalCustR1</f>
        <v>6.4289999999999981E-3</v>
      </c>
      <c r="I202" s="465">
        <f>calcProd1Seg2Payer1ShareTotalCustR1</f>
        <v>6.4289999999999981E-3</v>
      </c>
    </row>
    <row r="203" spans="1:10">
      <c r="C203" t="s">
        <v>516</v>
      </c>
      <c r="E203" s="511">
        <f>(calcProd1Seg2SampleAllocR2/calcProd1Seg2SampleAllocR1-1)*INDEX(datatblProd1Seg2Payer1,1,)*calcprod1Seg2Payer1TierImpactR2</f>
        <v>0</v>
      </c>
      <c r="F203" s="511">
        <f>(calcProd1Seg2SampleAllocR2/calcProd1Seg2SampleAllocR1-1)*INDEX(datatblProd1Seg2Payer1,1,)*calcprod1Seg2Payer1TierImpactR2</f>
        <v>0</v>
      </c>
      <c r="G203" s="511">
        <f>(calcProd1Seg2SampleAllocR2/calcProd1Seg2SampleAllocR1-1)*INDEX(datatblProd1Seg2Payer1,1,)*calcprod1Seg2Payer1TierImpactR2</f>
        <v>0</v>
      </c>
      <c r="H203" s="511">
        <f>(calcProd1Seg2SampleAllocR2/calcProd1Seg2SampleAllocR1-1)*INDEX(datatblProd1Seg2Payer1,1,)*calcprod1Seg2Payer1TierImpactR2</f>
        <v>0</v>
      </c>
      <c r="I203" s="511">
        <f>(calcProd1Seg2SampleAllocR2/calcProd1Seg2SampleAllocR1-1)*INDEX(datatblProd1Seg2Payer1,1,)*calcprod1Seg2Payer1TierImpactR2</f>
        <v>0</v>
      </c>
      <c r="J203" t="s">
        <v>3038</v>
      </c>
    </row>
    <row r="204" spans="1:10">
      <c r="C204" t="s">
        <v>517</v>
      </c>
      <c r="E204" s="511">
        <f>(calcProd1Seg2SpeakerAllocR2/calcProd1Seg2SpeakerAllocR1-1)*INDEX(datatblProd1Seg2Payer1,2,)*calcprod1Seg2Payer1TierImpactR2</f>
        <v>-4.400000000000004E-5</v>
      </c>
      <c r="F204" s="511">
        <f>(calcProd1Seg2SpeakerAllocR2/calcProd1Seg2SpeakerAllocR1-1)*INDEX(datatblProd1Seg2Payer1,2,)*calcprod1Seg2Payer1TierImpactR2</f>
        <v>-4.400000000000004E-5</v>
      </c>
      <c r="G204" s="511">
        <f>(calcProd1Seg2SpeakerAllocR2/calcProd1Seg2SpeakerAllocR1-1)*INDEX(datatblProd1Seg2Payer1,2,)*calcprod1Seg2Payer1TierImpactR2</f>
        <v>-4.400000000000004E-5</v>
      </c>
      <c r="H204" s="511">
        <f>(calcProd1Seg2SpeakerAllocR2/calcProd1Seg2SpeakerAllocR1-1)*INDEX(datatblProd1Seg2Payer1,2,)*calcprod1Seg2Payer1TierImpactR2</f>
        <v>-4.400000000000004E-5</v>
      </c>
      <c r="I204" s="511">
        <f>(calcProd1Seg2SpeakerAllocR2/calcProd1Seg2SpeakerAllocR1-1)*INDEX(datatblProd1Seg2Payer1,2,)*calcprod1Seg2Payer1TierImpactR2</f>
        <v>-4.400000000000004E-5</v>
      </c>
      <c r="J204" t="s">
        <v>3039</v>
      </c>
    </row>
    <row r="205" spans="1:10">
      <c r="C205" t="s">
        <v>2333</v>
      </c>
      <c r="E205" s="511">
        <f>(calcProd1Seg2PromotionAllocR2/calcProd1Seg2PromotionAllocR1-1)*INDEX(datatblProd1Seg2Payer1,3,)*calcprod1Seg2Payer1TierImpactR2</f>
        <v>-6.6000000000000073E-5</v>
      </c>
      <c r="F205" s="511">
        <f>(calcProd1Seg2PromotionAllocR2/calcProd1Seg2PromotionAllocR1-1)*INDEX(datatblProd1Seg2Payer1,3,)*calcprod1Seg2Payer1TierImpactR2</f>
        <v>-6.6000000000000073E-5</v>
      </c>
      <c r="G205" s="511">
        <f>(calcProd1Seg2PromotionAllocR2/calcProd1Seg2PromotionAllocR1-1)*INDEX(datatblProd1Seg2Payer1,3,)*calcprod1Seg2Payer1TierImpactR2</f>
        <v>-6.6000000000000073E-5</v>
      </c>
      <c r="H205" s="511">
        <f>(calcProd1Seg2PromotionAllocR2/calcProd1Seg2PromotionAllocR1-1)*INDEX(datatblProd1Seg2Payer1,3,)*calcprod1Seg2Payer1TierImpactR2</f>
        <v>-6.6000000000000073E-5</v>
      </c>
      <c r="I205" s="511">
        <f>(calcProd1Seg2PromotionAllocR2/calcProd1Seg2PromotionAllocR1-1)*INDEX(datatblProd1Seg2Payer1,3,)*calcprod1Seg2Payer1TierImpactR2</f>
        <v>-6.6000000000000073E-5</v>
      </c>
      <c r="J205" t="s">
        <v>3040</v>
      </c>
    </row>
    <row r="206" spans="1:10">
      <c r="C206" t="s">
        <v>2646</v>
      </c>
      <c r="E206" s="511">
        <f>(calcProd1Seg2Rep1Payer1ImpactR2+calcProd1Seg2Rep2Payer1ImpactR2+calcProd1Seg2Rep3Payer1ImpactR2)*calcprod1Seg2Payer1TierImpactR2</f>
        <v>-1.055999999999998E-4</v>
      </c>
      <c r="F206" s="511">
        <f>(calcProd1Seg2Rep1Payer1ImpactR2+calcProd1Seg2Rep2Payer1ImpactR2+calcProd1Seg2Rep3Payer1ImpactR2)*calcprod1Seg2Payer1TierImpactR2</f>
        <v>-1.055999999999998E-4</v>
      </c>
      <c r="G206" s="511">
        <f>(calcProd1Seg2Rep1Payer1ImpactR2+calcProd1Seg2Rep2Payer1ImpactR2+calcProd1Seg2Rep3Payer1ImpactR2)*calcprod1Seg2Payer1TierImpactR2</f>
        <v>-1.055999999999998E-4</v>
      </c>
      <c r="H206" s="511">
        <f>(calcProd1Seg2Rep1Payer1ImpactR2+calcProd1Seg2Rep2Payer1ImpactR2+calcProd1Seg2Rep3Payer1ImpactR2)*calcprod1Seg2Payer1TierImpactR2</f>
        <v>-1.055999999999998E-4</v>
      </c>
      <c r="I206" s="511">
        <f>(calcProd1Seg2Rep1Payer1ImpactR2+calcProd1Seg2Rep2Payer1ImpactR2+calcProd1Seg2Rep3Payer1ImpactR2)*calcprod1Seg2Payer1TierImpactR2</f>
        <v>-1.3199999999999982E-4</v>
      </c>
      <c r="J206" t="s">
        <v>3041</v>
      </c>
    </row>
    <row r="208" spans="1:10" s="4" customFormat="1">
      <c r="C208" s="4" t="s">
        <v>1489</v>
      </c>
      <c r="E208" s="500">
        <f>SUM(E202:E207)</f>
        <v>6.2133999999999983E-3</v>
      </c>
      <c r="F208" s="500">
        <f>SUM(F202:F207)</f>
        <v>6.2133999999999983E-3</v>
      </c>
      <c r="G208" s="500">
        <f>SUM(G202:G207)</f>
        <v>6.2133999999999983E-3</v>
      </c>
      <c r="H208" s="500">
        <f>SUM(H202:H207)</f>
        <v>6.2133999999999983E-3</v>
      </c>
      <c r="I208" s="500">
        <f>SUM(I202:I207)</f>
        <v>6.1869999999999981E-3</v>
      </c>
      <c r="J208" s="4" t="s">
        <v>1598</v>
      </c>
    </row>
    <row r="209" spans="3:10">
      <c r="C209" t="s">
        <v>1490</v>
      </c>
      <c r="E209" s="380">
        <f>MAX(calcProd1Seg2Payer1MarketRecurCustR2*calcProd1Seg2Payer1ShareRecurCustR2,0)</f>
        <v>94.916658920159975</v>
      </c>
      <c r="F209" s="380">
        <f>MAX(calcProd1Seg2Payer1MarketRecurCustR2*calcProd1Seg2Payer1ShareRecurCustR2,0)</f>
        <v>94.916658920159975</v>
      </c>
      <c r="G209" s="380">
        <f>MAX(calcProd1Seg2Payer1MarketRecurCustR2*calcProd1Seg2Payer1ShareRecurCustR2,0)</f>
        <v>94.916658920159975</v>
      </c>
      <c r="H209" s="380">
        <f>MAX(calcProd1Seg2Payer1MarketRecurCustR2*calcProd1Seg2Payer1ShareRecurCustR2,0)</f>
        <v>94.916658920159975</v>
      </c>
      <c r="I209" s="380">
        <f>MAX(calcProd1Seg2Payer1MarketRecurCustR2*calcProd1Seg2Payer1ShareRecurCustR2,0)</f>
        <v>94.513369288799979</v>
      </c>
      <c r="J209" t="s">
        <v>1599</v>
      </c>
    </row>
    <row r="211" spans="3:10">
      <c r="C211" t="s">
        <v>804</v>
      </c>
      <c r="E211" s="380">
        <f>INDEX(dataProd1Seg2Payer1NewVolume,,4)</f>
        <v>2083.1075999999998</v>
      </c>
      <c r="F211" s="380">
        <f>INDEX(dataProd1Seg2Payer1NewVolume,,4)</f>
        <v>2083.1075999999998</v>
      </c>
      <c r="G211" s="380">
        <f>INDEX(dataProd1Seg2Payer1NewVolume,,4)</f>
        <v>2083.1075999999998</v>
      </c>
      <c r="H211" s="380">
        <f>INDEX(dataProd1Seg2Payer1NewVolume,,4)</f>
        <v>2083.1075999999998</v>
      </c>
      <c r="I211" s="380">
        <f>INDEX(dataProd1Seg2Payer1NewVolume,,4)</f>
        <v>2083.1075999999998</v>
      </c>
      <c r="J211" t="s">
        <v>1600</v>
      </c>
    </row>
    <row r="213" spans="3:10">
      <c r="C213" t="s">
        <v>1486</v>
      </c>
      <c r="E213" s="465">
        <f>calcProd1Seg2Payer1ShareNewCustR1</f>
        <v>6.428999999999999E-3</v>
      </c>
      <c r="F213" s="465">
        <f>calcProd1Seg2Payer1ShareNewCustR1</f>
        <v>6.428999999999999E-3</v>
      </c>
      <c r="G213" s="465">
        <f>calcProd1Seg2Payer1ShareNewCustR1</f>
        <v>6.428999999999999E-3</v>
      </c>
      <c r="H213" s="465">
        <f>calcProd1Seg2Payer1ShareNewCustR1</f>
        <v>6.428999999999999E-3</v>
      </c>
      <c r="I213" s="465">
        <f>calcProd1Seg2Payer1ShareNewCustR1</f>
        <v>6.428999999999999E-3</v>
      </c>
    </row>
    <row r="214" spans="3:10">
      <c r="C214" t="s">
        <v>516</v>
      </c>
      <c r="E214" s="511">
        <f>(calcProd1Seg2SampleAllocR2/calcProd1Seg2SampleAllocR1-1)*INDEX(datatblProd1Seg2Payer1,1,)*calcprod1Seg2Payer1TierImpactR2</f>
        <v>0</v>
      </c>
      <c r="F214" s="511">
        <f>(calcProd1Seg2SampleAllocR2/calcProd1Seg2SampleAllocR1-1)*INDEX(datatblProd1Seg2Payer1,1,)*calcprod1Seg2Payer1TierImpactR2</f>
        <v>0</v>
      </c>
      <c r="G214" s="511">
        <f>(calcProd1Seg2SampleAllocR2/calcProd1Seg2SampleAllocR1-1)*INDEX(datatblProd1Seg2Payer1,1,)*calcprod1Seg2Payer1TierImpactR2</f>
        <v>0</v>
      </c>
      <c r="H214" s="511">
        <f>(calcProd1Seg2SampleAllocR2/calcProd1Seg2SampleAllocR1-1)*INDEX(datatblProd1Seg2Payer1,1,)*calcprod1Seg2Payer1TierImpactR2</f>
        <v>0</v>
      </c>
      <c r="I214" s="511">
        <f>(calcProd1Seg2SampleAllocR2/calcProd1Seg2SampleAllocR1-1)*INDEX(datatblProd1Seg2Payer1,1,)*calcprod1Seg2Payer1TierImpactR2</f>
        <v>0</v>
      </c>
      <c r="J214" t="s">
        <v>3151</v>
      </c>
    </row>
    <row r="215" spans="3:10">
      <c r="C215" t="s">
        <v>517</v>
      </c>
      <c r="E215" s="511">
        <f>(calcProd1Seg2SpeakerAllocR2/calcProd1Seg2SpeakerAllocR1-1)*INDEX(datatblProd1Seg2Payer1,2,)*calcprod1Seg2Payer1TierImpactR2</f>
        <v>-4.400000000000004E-5</v>
      </c>
      <c r="F215" s="511">
        <f>(calcProd1Seg2SpeakerAllocR2/calcProd1Seg2SpeakerAllocR1-1)*INDEX(datatblProd1Seg2Payer1,2,)*calcprod1Seg2Payer1TierImpactR2</f>
        <v>-4.400000000000004E-5</v>
      </c>
      <c r="G215" s="511">
        <f>(calcProd1Seg2SpeakerAllocR2/calcProd1Seg2SpeakerAllocR1-1)*INDEX(datatblProd1Seg2Payer1,2,)*calcprod1Seg2Payer1TierImpactR2</f>
        <v>-4.400000000000004E-5</v>
      </c>
      <c r="H215" s="511">
        <f>(calcProd1Seg2SpeakerAllocR2/calcProd1Seg2SpeakerAllocR1-1)*INDEX(datatblProd1Seg2Payer1,2,)*calcprod1Seg2Payer1TierImpactR2</f>
        <v>-4.400000000000004E-5</v>
      </c>
      <c r="I215" s="511">
        <f>(calcProd1Seg2SpeakerAllocR2/calcProd1Seg2SpeakerAllocR1-1)*INDEX(datatblProd1Seg2Payer1,2,)*calcprod1Seg2Payer1TierImpactR2</f>
        <v>-4.400000000000004E-5</v>
      </c>
      <c r="J215" t="s">
        <v>3152</v>
      </c>
    </row>
    <row r="216" spans="3:10">
      <c r="C216" t="s">
        <v>2333</v>
      </c>
      <c r="E216" s="511">
        <f>(calcProd1Seg2PromotionAllocR2/calcProd1Seg2PromotionAllocR1-1)*INDEX(datatblProd1Seg2Payer1,3,)*calcprod1Seg2Payer1TierImpactR2</f>
        <v>-6.6000000000000073E-5</v>
      </c>
      <c r="F216" s="511">
        <f>(calcProd1Seg2PromotionAllocR2/calcProd1Seg2PromotionAllocR1-1)*INDEX(datatblProd1Seg2Payer1,3,)*calcprod1Seg2Payer1TierImpactR2</f>
        <v>-6.6000000000000073E-5</v>
      </c>
      <c r="G216" s="511">
        <f>(calcProd1Seg2PromotionAllocR2/calcProd1Seg2PromotionAllocR1-1)*INDEX(datatblProd1Seg2Payer1,3,)*calcprod1Seg2Payer1TierImpactR2</f>
        <v>-6.6000000000000073E-5</v>
      </c>
      <c r="H216" s="511">
        <f>(calcProd1Seg2PromotionAllocR2/calcProd1Seg2PromotionAllocR1-1)*INDEX(datatblProd1Seg2Payer1,3,)*calcprod1Seg2Payer1TierImpactR2</f>
        <v>-6.6000000000000073E-5</v>
      </c>
      <c r="I216" s="511">
        <f>(calcProd1Seg2PromotionAllocR2/calcProd1Seg2PromotionAllocR1-1)*INDEX(datatblProd1Seg2Payer1,3,)*calcprod1Seg2Payer1TierImpactR2</f>
        <v>-6.6000000000000073E-5</v>
      </c>
      <c r="J216" t="s">
        <v>3153</v>
      </c>
    </row>
    <row r="217" spans="3:10">
      <c r="C217" t="s">
        <v>2646</v>
      </c>
      <c r="E217" s="511">
        <f>(calcProd1Seg2Rep1Payer1ImpactR2+calcProd1Seg2Rep2Payer1ImpactR2+calcProd1Seg2Rep3Payer1ImpactR2)*calcprod1Seg2Payer1TierImpactR2</f>
        <v>-1.055999999999998E-4</v>
      </c>
      <c r="F217" s="511">
        <f>(calcProd1Seg2Rep1Payer1ImpactR2+calcProd1Seg2Rep2Payer1ImpactR2+calcProd1Seg2Rep3Payer1ImpactR2)*calcprod1Seg2Payer1TierImpactR2</f>
        <v>-1.055999999999998E-4</v>
      </c>
      <c r="G217" s="511">
        <f>(calcProd1Seg2Rep1Payer1ImpactR2+calcProd1Seg2Rep2Payer1ImpactR2+calcProd1Seg2Rep3Payer1ImpactR2)*calcprod1Seg2Payer1TierImpactR2</f>
        <v>-1.055999999999998E-4</v>
      </c>
      <c r="H217" s="511">
        <f>(calcProd1Seg2Rep1Payer1ImpactR2+calcProd1Seg2Rep2Payer1ImpactR2+calcProd1Seg2Rep3Payer1ImpactR2)*calcprod1Seg2Payer1TierImpactR2</f>
        <v>-1.055999999999998E-4</v>
      </c>
      <c r="I217" s="511">
        <f>(calcProd1Seg2Rep1Payer1ImpactR2+calcProd1Seg2Rep2Payer1ImpactR2+calcProd1Seg2Rep3Payer1ImpactR2)*calcprod1Seg2Payer1TierImpactR2</f>
        <v>-1.3199999999999982E-4</v>
      </c>
      <c r="J217" t="s">
        <v>3154</v>
      </c>
    </row>
    <row r="219" spans="3:10" s="4" customFormat="1">
      <c r="C219" s="4" t="s">
        <v>1534</v>
      </c>
      <c r="E219" s="500">
        <f>SUM(E213:E218)</f>
        <v>6.2133999999999991E-3</v>
      </c>
      <c r="F219" s="500">
        <f>SUM(F213:F218)</f>
        <v>6.2133999999999991E-3</v>
      </c>
      <c r="G219" s="500">
        <f>SUM(G213:G218)</f>
        <v>6.2133999999999991E-3</v>
      </c>
      <c r="H219" s="500">
        <f>SUM(H213:H218)</f>
        <v>6.2133999999999991E-3</v>
      </c>
      <c r="I219" s="500">
        <f>SUM(I213:I218)</f>
        <v>6.1869999999999989E-3</v>
      </c>
      <c r="J219" s="4" t="s">
        <v>1601</v>
      </c>
    </row>
    <row r="220" spans="3:10">
      <c r="C220" t="s">
        <v>1490</v>
      </c>
      <c r="E220" s="380">
        <f>MAX(calcProd1Seg2Payer1MarketGrowthCustR2*calcProd1Seg2Payer1ShareNewCustR2,0)</f>
        <v>12.943180761839997</v>
      </c>
      <c r="F220" s="380">
        <f>MAX(calcProd1Seg2Payer1MarketGrowthCustR2*calcProd1Seg2Payer1ShareNewCustR2,0)</f>
        <v>12.943180761839997</v>
      </c>
      <c r="G220" s="380">
        <f>MAX(calcProd1Seg2Payer1MarketGrowthCustR2*calcProd1Seg2Payer1ShareNewCustR2,0)</f>
        <v>12.943180761839997</v>
      </c>
      <c r="H220" s="380">
        <f>MAX(calcProd1Seg2Payer1MarketGrowthCustR2*calcProd1Seg2Payer1ShareNewCustR2,0)</f>
        <v>12.943180761839997</v>
      </c>
      <c r="I220" s="380">
        <f>MAX(calcProd1Seg2Payer1MarketGrowthCustR2*calcProd1Seg2Payer1ShareNewCustR2,0)</f>
        <v>12.888186721199997</v>
      </c>
      <c r="J220" s="4" t="s">
        <v>1602</v>
      </c>
    </row>
    <row r="222" spans="3:10">
      <c r="C222" t="s">
        <v>1537</v>
      </c>
      <c r="E222" s="380">
        <f>calcProd1Seg2Payer1MarketRecurCustR2+calcProd1Seg2Payer1MarketGrowthCustR2</f>
        <v>17359.23</v>
      </c>
      <c r="F222" s="380">
        <f>calcProd1Seg2Payer1MarketRecurCustR2+calcProd1Seg2Payer1MarketGrowthCustR2</f>
        <v>17359.23</v>
      </c>
      <c r="G222" s="380">
        <f>calcProd1Seg2Payer1MarketRecurCustR2+calcProd1Seg2Payer1MarketGrowthCustR2</f>
        <v>17359.23</v>
      </c>
      <c r="H222" s="380">
        <f>calcProd1Seg2Payer1MarketRecurCustR2+calcProd1Seg2Payer1MarketGrowthCustR2</f>
        <v>17359.23</v>
      </c>
      <c r="I222" s="380">
        <f>calcProd1Seg2Payer1MarketRecurCustR2+calcProd1Seg2Payer1MarketGrowthCustR2</f>
        <v>17359.23</v>
      </c>
      <c r="J222" t="s">
        <v>1603</v>
      </c>
    </row>
    <row r="223" spans="3:10">
      <c r="C223" t="s">
        <v>1539</v>
      </c>
      <c r="E223" s="380">
        <f>calcProd1Seg2Payer1VolumeRecurCustR2+calcProd1Seg2Payer1VolumeNewCustR2</f>
        <v>107.85983968199997</v>
      </c>
      <c r="F223" s="380">
        <f>calcProd1Seg2Payer1VolumeRecurCustR2+calcProd1Seg2Payer1VolumeNewCustR2</f>
        <v>107.85983968199997</v>
      </c>
      <c r="G223" s="380">
        <f>calcProd1Seg2Payer1VolumeRecurCustR2+calcProd1Seg2Payer1VolumeNewCustR2</f>
        <v>107.85983968199997</v>
      </c>
      <c r="H223" s="380">
        <f>calcProd1Seg2Payer1VolumeRecurCustR2+calcProd1Seg2Payer1VolumeNewCustR2</f>
        <v>107.85983968199997</v>
      </c>
      <c r="I223" s="380">
        <f>calcProd1Seg2Payer1VolumeRecurCustR2+calcProd1Seg2Payer1VolumeNewCustR2</f>
        <v>107.40155600999998</v>
      </c>
      <c r="J223" t="s">
        <v>1604</v>
      </c>
    </row>
    <row r="224" spans="3:10" s="4" customFormat="1">
      <c r="C224" s="4" t="s">
        <v>841</v>
      </c>
      <c r="E224" s="500">
        <f>calcProd1Seg2Payer1VolumeR1/calcProd1Seg2Payer1TotalVolumeR1</f>
        <v>6.4289999999999981E-3</v>
      </c>
      <c r="F224" s="500">
        <f>calcProd1Seg2Payer1VolumeR1/calcProd1Seg2Payer1TotalVolumeR1</f>
        <v>6.4289999999999981E-3</v>
      </c>
      <c r="G224" s="500">
        <f>calcProd1Seg2Payer1VolumeR1/calcProd1Seg2Payer1TotalVolumeR1</f>
        <v>6.4289999999999981E-3</v>
      </c>
      <c r="H224" s="500">
        <f>calcProd1Seg2Payer1VolumeR1/calcProd1Seg2Payer1TotalVolumeR1</f>
        <v>6.4289999999999981E-3</v>
      </c>
      <c r="I224" s="500">
        <f>calcProd1Seg2Payer1VolumeR1/calcProd1Seg2Payer1TotalVolumeR1</f>
        <v>6.4289999999999981E-3</v>
      </c>
      <c r="J224" s="4" t="s">
        <v>1605</v>
      </c>
    </row>
    <row r="226" spans="1:10" s="376" customFormat="1">
      <c r="A226" s="376" t="str">
        <f>nmPayer2</f>
        <v>WesterAid</v>
      </c>
    </row>
    <row r="227" spans="1:10">
      <c r="A227" s="16" t="s">
        <v>1488</v>
      </c>
      <c r="C227" s="4" t="s">
        <v>803</v>
      </c>
      <c r="E227" s="380">
        <f>INDEX(dataProd1Seg2Payer2TotalVolume,,3)</f>
        <v>4463.8019999999997</v>
      </c>
      <c r="F227" s="380">
        <f>INDEX(dataProd1Seg2Payer2TotalVolume,,3)</f>
        <v>4463.8019999999997</v>
      </c>
      <c r="G227" s="380">
        <f>INDEX(dataProd1Seg2Payer2TotalVolume,,3)</f>
        <v>4463.8019999999997</v>
      </c>
      <c r="H227" s="380">
        <f>INDEX(dataProd1Seg2Payer2TotalVolume,,3)</f>
        <v>4463.8019999999997</v>
      </c>
      <c r="I227" s="380">
        <f>INDEX(dataProd1Seg2Payer2TotalVolume,,3)</f>
        <v>4463.8019999999997</v>
      </c>
      <c r="J227" t="s">
        <v>1606</v>
      </c>
    </row>
    <row r="228" spans="1:10">
      <c r="C228" t="s">
        <v>3253</v>
      </c>
      <c r="E228" t="str">
        <f>obalProd1Payer2Status</f>
        <v>T1 NR</v>
      </c>
      <c r="F228" t="str">
        <f>obalProd1Payer2Status</f>
        <v>T1 NR</v>
      </c>
      <c r="G228" t="str">
        <f>obalProd1Payer2Status</f>
        <v>T1 NR</v>
      </c>
      <c r="H228" t="str">
        <f>obalProd1Payer2Status</f>
        <v>T1 NR</v>
      </c>
      <c r="I228" t="str">
        <f>obalProd1Payer2Status</f>
        <v>T1 NR</v>
      </c>
    </row>
    <row r="229" spans="1:10">
      <c r="C229" t="s">
        <v>2887</v>
      </c>
      <c r="E229">
        <f>INDEX(dataTierVolumeImpact,MATCH(E228,MarketData!$K$12:$K$17,0),)</f>
        <v>1.1499999999999999</v>
      </c>
      <c r="F229">
        <f>INDEX(dataTierVolumeImpact,MATCH(F228,MarketData!$K$12:$K$17,0),)</f>
        <v>1.1499999999999999</v>
      </c>
      <c r="G229">
        <f>INDEX(dataTierVolumeImpact,MATCH(G228,MarketData!$K$12:$K$17,0),)</f>
        <v>1.1499999999999999</v>
      </c>
      <c r="H229">
        <f>INDEX(dataTierVolumeImpact,MATCH(H228,MarketData!$K$12:$K$17,0),)</f>
        <v>1.1499999999999999</v>
      </c>
      <c r="I229">
        <f>INDEX(dataTierVolumeImpact,MATCH(I228,MarketData!$K$12:$K$17,0),)</f>
        <v>1.1499999999999999</v>
      </c>
      <c r="J229" t="s">
        <v>3262</v>
      </c>
    </row>
    <row r="230" spans="1:10">
      <c r="C230" t="s">
        <v>1487</v>
      </c>
      <c r="E230" s="465">
        <f>obalProd1Seg2Payer2Share</f>
        <v>0</v>
      </c>
      <c r="F230" s="465">
        <f>obalProd1Seg2Payer2Share</f>
        <v>0</v>
      </c>
      <c r="G230" s="465">
        <f>obalProd1Seg2Payer2Share</f>
        <v>0</v>
      </c>
      <c r="H230" s="465">
        <f>obalProd1Seg2Payer2Share</f>
        <v>0</v>
      </c>
      <c r="I230" s="465">
        <f>obalProd1Seg2Payer2Share</f>
        <v>0</v>
      </c>
    </row>
    <row r="231" spans="1:10">
      <c r="C231" t="s">
        <v>516</v>
      </c>
      <c r="E231" s="511">
        <f>(calcProd1Seg2SampleAllocR1/obalProd1Seg2SampleAlloc-1)*INDEX(datatblProd1Seg2Payer2,1,)*calcprod1Seg2Payer2TierImpactR1</f>
        <v>0</v>
      </c>
      <c r="F231" s="511">
        <f>(calcProd1Seg2SampleAllocR1/obalProd1Seg2SampleAlloc-1)*INDEX(datatblProd1Seg2Payer2,1,)</f>
        <v>0</v>
      </c>
      <c r="G231" s="511">
        <f>(calcProd1Seg2SampleAllocR1/obalProd1Seg2SampleAlloc-1)*INDEX(datatblProd1Seg2Payer2,1,)</f>
        <v>0</v>
      </c>
      <c r="H231" s="511">
        <f>(calcProd1Seg2SampleAllocR1/obalProd1Seg2SampleAlloc-1)*INDEX(datatblProd1Seg2Payer2,1,)</f>
        <v>0</v>
      </c>
      <c r="I231" s="511">
        <f>(calcProd1Seg2SampleAllocR1/obalProd1Seg2SampleAlloc-1)*INDEX(datatblProd1Seg2Payer2,1,)</f>
        <v>0</v>
      </c>
      <c r="J231" t="s">
        <v>2804</v>
      </c>
    </row>
    <row r="232" spans="1:10">
      <c r="C232" t="s">
        <v>517</v>
      </c>
      <c r="E232" s="511">
        <f>(calcProd1Seg2SpeakerAllocR1/obalProd1Seg2SpeakerAlloc-1)*INDEX(datatblProd1Seg2Payer2,2,)*(calcprod1Seg2Payer2TierImpactR1)</f>
        <v>0</v>
      </c>
      <c r="F232" s="511">
        <f>(calcProd1Seg2SpeakerAllocR1/obalProd1Seg2SpeakerAlloc-1)*INDEX(datatblProd1Seg2Payer2,2,)</f>
        <v>0</v>
      </c>
      <c r="G232" s="511">
        <f>(calcProd1Seg2SpeakerAllocR1/obalProd1Seg2SpeakerAlloc-1)*INDEX(datatblProd1Seg2Payer2,2,)</f>
        <v>0</v>
      </c>
      <c r="H232" s="511">
        <f>(calcProd1Seg2SpeakerAllocR1/obalProd1Seg2SpeakerAlloc-1)*INDEX(datatblProd1Seg2Payer2,2,)</f>
        <v>0</v>
      </c>
      <c r="I232" s="511">
        <f>(calcProd1Seg2SpeakerAllocR1/obalProd1Seg2SpeakerAlloc-1)*INDEX(datatblProd1Seg2Payer2,2,)</f>
        <v>0</v>
      </c>
      <c r="J232" t="s">
        <v>2805</v>
      </c>
    </row>
    <row r="233" spans="1:10">
      <c r="C233" t="s">
        <v>2333</v>
      </c>
      <c r="E233" s="511">
        <f>(calcProd1Seg2PromotionAllocR1/obalProd1Seg2PromotionAlloc-1)*INDEX(datatblProd1Seg2Payer2,3,)*calcprod1Seg2Payer2TierImpactR1</f>
        <v>0</v>
      </c>
      <c r="F233" s="511">
        <f>(calcProd1Seg2PromotionAllocR1/obalProd1Seg2PromotionAlloc-1)*INDEX(datatblProd1Seg2Payer2,3,)</f>
        <v>0</v>
      </c>
      <c r="G233" s="511">
        <f>(calcProd1Seg2PromotionAllocR1/obalProd1Seg2PromotionAlloc-1)*INDEX(datatblProd1Seg2Payer2,3,)</f>
        <v>0</v>
      </c>
      <c r="H233" s="511">
        <f>(calcProd1Seg2PromotionAllocR1/obalProd1Seg2PromotionAlloc-1)*INDEX(datatblProd1Seg2Payer2,3,)</f>
        <v>0</v>
      </c>
      <c r="I233" s="511">
        <f>(calcProd1Seg2PromotionAllocR1/obalProd1Seg2PromotionAlloc-1)*INDEX(datatblProd1Seg2Payer2,3,)</f>
        <v>0</v>
      </c>
      <c r="J233" t="s">
        <v>2806</v>
      </c>
    </row>
    <row r="234" spans="1:10">
      <c r="C234" t="s">
        <v>2646</v>
      </c>
      <c r="E234" s="511">
        <f>(calcProd1Seg2Rep1Payer2ImpactR1+calcProd1Seg2Rep2Payer2ImpactR1+calcProd1Seg2Rep3Payer2ImpactR1)*calcprod1Seg2Payer2TierImpactR1</f>
        <v>5.9800000000000044E-4</v>
      </c>
      <c r="F234" s="511">
        <f>(calcProd1Seg2Rep1Payer2ImpactR1+calcProd1Seg2Rep2Payer2ImpactR1+calcProd1Seg2Rep3Payer2ImpactR1)*calcprod1Seg2Payer2TierImpactR1</f>
        <v>5.9800000000000044E-4</v>
      </c>
      <c r="G234" s="511">
        <f>(calcProd1Seg2Rep1Payer2ImpactR1+calcProd1Seg2Rep2Payer2ImpactR1+calcProd1Seg2Rep3Payer2ImpactR1)*calcprod1Seg2Payer2TierImpactR1</f>
        <v>5.9800000000000044E-4</v>
      </c>
      <c r="H234" s="511">
        <f>(calcProd1Seg2Rep1Payer2ImpactR1+calcProd1Seg2Rep2Payer2ImpactR1+calcProd1Seg2Rep3Payer2ImpactR1)*calcprod1Seg2Payer2TierImpactR1</f>
        <v>5.9800000000000044E-4</v>
      </c>
      <c r="I234" s="511">
        <f>(calcProd1Seg2Rep1Payer2ImpactR1+calcProd1Seg2Rep2Payer2ImpactR1+calcProd1Seg2Rep3Payer2ImpactR1)*calcprod1Seg2Payer2TierImpactR1</f>
        <v>5.9800000000000044E-4</v>
      </c>
      <c r="J234" t="s">
        <v>2807</v>
      </c>
    </row>
    <row r="235" spans="1:10" s="4" customFormat="1">
      <c r="C235" s="4" t="s">
        <v>1489</v>
      </c>
      <c r="E235" s="500">
        <f>SUM(E230:E234)</f>
        <v>5.9800000000000044E-4</v>
      </c>
      <c r="F235" s="500">
        <f t="shared" ref="F235:I235" si="4">SUM(F230:F234)</f>
        <v>5.9800000000000044E-4</v>
      </c>
      <c r="G235" s="500">
        <f t="shared" si="4"/>
        <v>5.9800000000000044E-4</v>
      </c>
      <c r="H235" s="500">
        <f t="shared" si="4"/>
        <v>5.9800000000000044E-4</v>
      </c>
      <c r="I235" s="500">
        <f t="shared" si="4"/>
        <v>5.9800000000000044E-4</v>
      </c>
      <c r="J235" s="4" t="s">
        <v>1607</v>
      </c>
    </row>
    <row r="236" spans="1:10">
      <c r="C236" t="s">
        <v>1490</v>
      </c>
      <c r="E236" s="380">
        <f>MAX(calcProd1Seg2Payer2MarketRecurCustR1*calcProd1Seg2Payer2ShareRecurCustR1,0)</f>
        <v>2.6693535960000019</v>
      </c>
      <c r="F236" s="380">
        <f>MAX(calcProd1Seg2Payer2MarketRecurCustR1*calcProd1Seg2Payer2ShareRecurCustR1,0)</f>
        <v>2.6693535960000019</v>
      </c>
      <c r="G236" s="380">
        <f>MAX(calcProd1Seg2Payer2MarketRecurCustR1*calcProd1Seg2Payer2ShareRecurCustR1,0)</f>
        <v>2.6693535960000019</v>
      </c>
      <c r="H236" s="380">
        <f>MAX(calcProd1Seg2Payer2MarketRecurCustR1*calcProd1Seg2Payer2ShareRecurCustR1,0)</f>
        <v>2.6693535960000019</v>
      </c>
      <c r="I236" s="380">
        <f>MAX(calcProd1Seg2Payer2MarketRecurCustR1*calcProd1Seg2Payer2ShareRecurCustR1,0)</f>
        <v>2.6693535960000019</v>
      </c>
      <c r="J236" t="s">
        <v>1608</v>
      </c>
    </row>
    <row r="238" spans="1:10">
      <c r="C238" t="s">
        <v>804</v>
      </c>
      <c r="E238" s="380">
        <f>INDEX(dataProd1Seg2Payer2NewVolume,,3)</f>
        <v>425.12400000000002</v>
      </c>
      <c r="F238" s="380">
        <f>INDEX(dataProd1Seg2Payer2NewVolume,,3)</f>
        <v>425.12400000000002</v>
      </c>
      <c r="G238" s="380">
        <f>INDEX(dataProd1Seg2Payer2NewVolume,,3)</f>
        <v>425.12400000000002</v>
      </c>
      <c r="H238" s="380">
        <f>INDEX(dataProd1Seg2Payer2NewVolume,,3)</f>
        <v>425.12400000000002</v>
      </c>
      <c r="I238" s="380">
        <f>INDEX(dataProd1Seg2Payer2NewVolume,,3)</f>
        <v>425.12400000000002</v>
      </c>
      <c r="J238" t="s">
        <v>1609</v>
      </c>
    </row>
    <row r="240" spans="1:10">
      <c r="C240" t="s">
        <v>1486</v>
      </c>
      <c r="E240" s="465">
        <f>obalProd1Seg2Payer2Share</f>
        <v>0</v>
      </c>
      <c r="F240" s="465">
        <f>obalProd1Seg2Payer2Share</f>
        <v>0</v>
      </c>
      <c r="G240" s="465">
        <f>obalProd1Seg2Payer2Share</f>
        <v>0</v>
      </c>
      <c r="H240" s="465">
        <f>obalProd1Seg2Payer2Share</f>
        <v>0</v>
      </c>
      <c r="I240" s="465">
        <f>obalProd1Seg2Payer2Share</f>
        <v>0</v>
      </c>
    </row>
    <row r="241" spans="1:10">
      <c r="C241" t="s">
        <v>516</v>
      </c>
      <c r="E241" s="511">
        <f>(calcProd1Seg2SampleAllocR1/obalProd1Seg2SampleAlloc-1)*INDEX(datatblProd1Seg2Payer2,1,)*calcprod1Seg2Payer2TierImpactR1</f>
        <v>0</v>
      </c>
      <c r="F241" s="511">
        <f>(calcProd1Seg2SampleAllocR1/obalProd1Seg2SampleAlloc-1)*INDEX(datatblProd1Seg2Payer2,1,)*calcprod1Seg2Payer2TierImpactR1</f>
        <v>0</v>
      </c>
      <c r="G241" s="511">
        <f>(calcProd1Seg2SampleAllocR1/obalProd1Seg2SampleAlloc-1)*INDEX(datatblProd1Seg2Payer2,1,)*calcprod1Seg2Payer2TierImpactR1</f>
        <v>0</v>
      </c>
      <c r="H241" s="511">
        <f>(calcProd1Seg2SampleAllocR1/obalProd1Seg2SampleAlloc-1)*INDEX(datatblProd1Seg2Payer2,1,)*calcprod1Seg2Payer2TierImpactR1</f>
        <v>0</v>
      </c>
      <c r="I241" s="511">
        <f>(calcProd1Seg2SampleAllocR1/obalProd1Seg2SampleAlloc-1)*INDEX(datatblProd1Seg2Payer2,1,)*calcprod1Seg2Payer2TierImpactR1</f>
        <v>0</v>
      </c>
      <c r="J241" t="s">
        <v>3042</v>
      </c>
    </row>
    <row r="242" spans="1:10">
      <c r="C242" t="s">
        <v>517</v>
      </c>
      <c r="E242" s="511">
        <f>(calcProd1Seg2SpeakerAllocR1/obalProd1Seg2SpeakerAlloc-1)*INDEX(datatblProd1Seg2Payer2,2,)*calcprod1Seg2Payer2TierImpactR1</f>
        <v>0</v>
      </c>
      <c r="F242" s="511">
        <f>(calcProd1Seg2SpeakerAllocR1/obalProd1Seg2SpeakerAlloc-1)*INDEX(datatblProd1Seg2Payer2,2,)*calcprod1Seg2Payer2TierImpactR1</f>
        <v>0</v>
      </c>
      <c r="G242" s="511">
        <f>(calcProd1Seg2SpeakerAllocR1/obalProd1Seg2SpeakerAlloc-1)*INDEX(datatblProd1Seg2Payer2,2,)*calcprod1Seg2Payer2TierImpactR1</f>
        <v>0</v>
      </c>
      <c r="H242" s="511">
        <f>(calcProd1Seg2SpeakerAllocR1/obalProd1Seg2SpeakerAlloc-1)*INDEX(datatblProd1Seg2Payer2,2,)*calcprod1Seg2Payer2TierImpactR1</f>
        <v>0</v>
      </c>
      <c r="I242" s="511">
        <f>(calcProd1Seg2SpeakerAllocR1/obalProd1Seg2SpeakerAlloc-1)*INDEX(datatblProd1Seg2Payer2,2,)*calcprod1Seg2Payer2TierImpactR1</f>
        <v>0</v>
      </c>
      <c r="J242" t="s">
        <v>3043</v>
      </c>
    </row>
    <row r="243" spans="1:10">
      <c r="C243" t="s">
        <v>2333</v>
      </c>
      <c r="E243" s="511">
        <f>(calcProd1Seg2PromotionAllocR1/obalProd1Seg2PromotionAlloc-1)*INDEX(datatblProd1Seg2Payer2,3,)*calcprod1Seg2Payer2TierImpactR1</f>
        <v>0</v>
      </c>
      <c r="F243" s="511">
        <f>(calcProd1Seg2PromotionAllocR1/obalProd1Seg2PromotionAlloc-1)*INDEX(datatblProd1Seg2Payer2,3,)*calcprod1Seg2Payer2TierImpactR1</f>
        <v>0</v>
      </c>
      <c r="G243" s="511">
        <f>(calcProd1Seg2PromotionAllocR1/obalProd1Seg2PromotionAlloc-1)*INDEX(datatblProd1Seg2Payer2,3,)*calcprod1Seg2Payer2TierImpactR1</f>
        <v>0</v>
      </c>
      <c r="H243" s="511">
        <f>(calcProd1Seg2PromotionAllocR1/obalProd1Seg2PromotionAlloc-1)*INDEX(datatblProd1Seg2Payer2,3,)*calcprod1Seg2Payer2TierImpactR1</f>
        <v>0</v>
      </c>
      <c r="I243" s="511">
        <f>(calcProd1Seg2PromotionAllocR1/obalProd1Seg2PromotionAlloc-1)*INDEX(datatblProd1Seg2Payer2,3,)*calcprod1Seg2Payer2TierImpactR1</f>
        <v>0</v>
      </c>
      <c r="J243" t="s">
        <v>3044</v>
      </c>
    </row>
    <row r="244" spans="1:10">
      <c r="C244" t="s">
        <v>2646</v>
      </c>
      <c r="E244" s="511">
        <f>(calcProd1Seg2Rep1Payer2ImpactR1+calcProd1Seg2Rep2Payer2ImpactR1+calcProd1Seg2Rep3Payer2ImpactR1)*calcprod1Seg2Payer2TierImpactR1</f>
        <v>5.9800000000000044E-4</v>
      </c>
      <c r="F244" s="511">
        <f>(calcProd1Seg2Rep1Payer2ImpactR1+calcProd1Seg2Rep2Payer2ImpactR1+calcProd1Seg2Rep3Payer2ImpactR1)*calcprod1Seg2Payer2TierImpactR1</f>
        <v>5.9800000000000044E-4</v>
      </c>
      <c r="G244" s="511">
        <f>(calcProd1Seg2Rep1Payer2ImpactR1+calcProd1Seg2Rep2Payer2ImpactR1+calcProd1Seg2Rep3Payer2ImpactR1)*calcprod1Seg2Payer2TierImpactR1</f>
        <v>5.9800000000000044E-4</v>
      </c>
      <c r="H244" s="511">
        <f>(calcProd1Seg2Rep1Payer2ImpactR1+calcProd1Seg2Rep2Payer2ImpactR1+calcProd1Seg2Rep3Payer2ImpactR1)*calcprod1Seg2Payer2TierImpactR1</f>
        <v>5.9800000000000044E-4</v>
      </c>
      <c r="I244" s="511">
        <f>(calcProd1Seg2Rep1Payer2ImpactR1+calcProd1Seg2Rep2Payer2ImpactR1+calcProd1Seg2Rep3Payer2ImpactR1)*calcprod1Seg2Payer2TierImpactR1</f>
        <v>5.9800000000000044E-4</v>
      </c>
      <c r="J244" t="s">
        <v>3045</v>
      </c>
    </row>
    <row r="245" spans="1:10">
      <c r="C245" t="s">
        <v>2905</v>
      </c>
    </row>
    <row r="246" spans="1:10" s="4" customFormat="1">
      <c r="C246" s="4" t="s">
        <v>1534</v>
      </c>
      <c r="E246" s="500">
        <f>SUM(E240:E245)</f>
        <v>5.9800000000000044E-4</v>
      </c>
      <c r="F246" s="500">
        <f>SUM(F240:F245)</f>
        <v>5.9800000000000044E-4</v>
      </c>
      <c r="G246" s="500">
        <f>SUM(G240:G245)</f>
        <v>5.9800000000000044E-4</v>
      </c>
      <c r="H246" s="500">
        <f>SUM(H240:H245)</f>
        <v>5.9800000000000044E-4</v>
      </c>
      <c r="I246" s="500">
        <f>SUM(I240:I245)</f>
        <v>5.9800000000000044E-4</v>
      </c>
      <c r="J246" s="4" t="s">
        <v>1610</v>
      </c>
    </row>
    <row r="247" spans="1:10">
      <c r="C247" t="s">
        <v>1490</v>
      </c>
      <c r="E247" s="380">
        <f>MAX(calcProd1Seg2Payer2MarketGrowthCustR1*calcProd1Seg2Payer2ShareNewCustR1,0)</f>
        <v>0.2542241520000002</v>
      </c>
      <c r="F247" s="380">
        <f>MAX(calcProd1Seg2Payer2MarketGrowthCustR1*calcProd1Seg2Payer2ShareNewCustR1,0)</f>
        <v>0.2542241520000002</v>
      </c>
      <c r="G247" s="380">
        <f>MAX(calcProd1Seg2Payer2MarketGrowthCustR1*calcProd1Seg2Payer2ShareNewCustR1,0)</f>
        <v>0.2542241520000002</v>
      </c>
      <c r="H247" s="380">
        <f>MAX(calcProd1Seg2Payer2MarketGrowthCustR1*calcProd1Seg2Payer2ShareNewCustR1,0)</f>
        <v>0.2542241520000002</v>
      </c>
      <c r="I247" s="380">
        <f>MAX(calcProd1Seg2Payer2MarketGrowthCustR1*calcProd1Seg2Payer2ShareNewCustR1,0)</f>
        <v>0.2542241520000002</v>
      </c>
      <c r="J247" s="4" t="s">
        <v>1611</v>
      </c>
    </row>
    <row r="249" spans="1:10">
      <c r="C249" t="s">
        <v>1537</v>
      </c>
      <c r="E249" s="380">
        <f>calcProd1Seg2Payer2MarketRecurCustR1+calcProd1Seg2Payer2MarketGrowthCustR1</f>
        <v>4888.9259999999995</v>
      </c>
      <c r="F249" s="380">
        <f>calcProd1Seg2Payer2MarketRecurCustR1+calcProd1Seg2Payer2MarketGrowthCustR1</f>
        <v>4888.9259999999995</v>
      </c>
      <c r="G249" s="380">
        <f>calcProd1Seg2Payer2MarketRecurCustR1+calcProd1Seg2Payer2MarketGrowthCustR1</f>
        <v>4888.9259999999995</v>
      </c>
      <c r="H249" s="380">
        <f>calcProd1Seg2Payer2MarketRecurCustR1+calcProd1Seg2Payer2MarketGrowthCustR1</f>
        <v>4888.9259999999995</v>
      </c>
      <c r="I249" s="380">
        <f>calcProd1Seg2Payer2MarketRecurCustR1+calcProd1Seg2Payer2MarketGrowthCustR1</f>
        <v>4888.9259999999995</v>
      </c>
      <c r="J249" t="s">
        <v>1612</v>
      </c>
    </row>
    <row r="250" spans="1:10">
      <c r="C250" t="s">
        <v>1539</v>
      </c>
      <c r="E250" s="380">
        <f>calcProd1Seg2Payer2VolumeRecurCustR1+calcProd1Seg2Payer2VolumeNewCustR1</f>
        <v>2.9235777480000023</v>
      </c>
      <c r="F250" s="380">
        <f>calcProd1Seg2Payer2VolumeRecurCustR1+calcProd1Seg2Payer2VolumeNewCustR1</f>
        <v>2.9235777480000023</v>
      </c>
      <c r="G250" s="380">
        <f>calcProd1Seg2Payer2VolumeRecurCustR1+calcProd1Seg2Payer2VolumeNewCustR1</f>
        <v>2.9235777480000023</v>
      </c>
      <c r="H250" s="380">
        <f>calcProd1Seg2Payer2VolumeRecurCustR1+calcProd1Seg2Payer2VolumeNewCustR1</f>
        <v>2.9235777480000023</v>
      </c>
      <c r="I250" s="380">
        <f>calcProd1Seg2Payer2VolumeRecurCustR1+calcProd1Seg2Payer2VolumeNewCustR1</f>
        <v>2.9235777480000023</v>
      </c>
      <c r="J250" t="s">
        <v>1613</v>
      </c>
    </row>
    <row r="251" spans="1:10" s="4" customFormat="1">
      <c r="C251" s="4" t="s">
        <v>841</v>
      </c>
      <c r="E251" s="500">
        <f>calcProd1Seg2Payer2VolumeR1/calcProd1Seg2Payer2TotalVolumeR1</f>
        <v>5.9800000000000055E-4</v>
      </c>
      <c r="F251" s="500">
        <f>calcProd1Seg2Payer2VolumeR1/calcProd1Seg2Payer2TotalVolumeR1</f>
        <v>5.9800000000000055E-4</v>
      </c>
      <c r="G251" s="500">
        <f>calcProd1Seg2Payer2VolumeR1/calcProd1Seg2Payer2TotalVolumeR1</f>
        <v>5.9800000000000055E-4</v>
      </c>
      <c r="H251" s="500">
        <f>calcProd1Seg2Payer2VolumeR1/calcProd1Seg2Payer2TotalVolumeR1</f>
        <v>5.9800000000000055E-4</v>
      </c>
      <c r="I251" s="500">
        <f>calcProd1Seg2Payer2VolumeR1/calcProd1Seg2Payer2TotalVolumeR1</f>
        <v>5.9800000000000055E-4</v>
      </c>
      <c r="J251" s="4" t="s">
        <v>1614</v>
      </c>
    </row>
    <row r="253" spans="1:10">
      <c r="A253" s="16" t="s">
        <v>1551</v>
      </c>
      <c r="C253" t="s">
        <v>803</v>
      </c>
      <c r="E253" s="380">
        <f>INDEX(dataProd1Seg2Payer2TotalVolume,,4)</f>
        <v>4910.1821999999993</v>
      </c>
      <c r="F253" s="380">
        <f>INDEX(dataProd1Seg2Payer2TotalVolume,,4)</f>
        <v>4910.1821999999993</v>
      </c>
      <c r="G253" s="380">
        <f>INDEX(dataProd1Seg2Payer2TotalVolume,,4)</f>
        <v>4910.1821999999993</v>
      </c>
      <c r="H253" s="380">
        <f>INDEX(dataProd1Seg2Payer2TotalVolume,,4)</f>
        <v>4910.1821999999993</v>
      </c>
      <c r="I253" s="380">
        <f>INDEX(dataProd1Seg2Payer2TotalVolume,,4)</f>
        <v>4910.1821999999993</v>
      </c>
      <c r="J253" t="s">
        <v>1615</v>
      </c>
    </row>
    <row r="254" spans="1:10">
      <c r="C254" t="s">
        <v>3253</v>
      </c>
      <c r="E254" t="str">
        <f>cbalProd1Payer2Status</f>
        <v>T1 NR</v>
      </c>
      <c r="F254" t="str">
        <f>cbalProd1Payer2Status</f>
        <v>T1 NR</v>
      </c>
      <c r="G254" t="str">
        <f>cbalProd1Payer2Status</f>
        <v>T1 NR</v>
      </c>
      <c r="H254" t="str">
        <f>cbalProd1Payer2Status</f>
        <v>T1 NR</v>
      </c>
      <c r="I254" t="str">
        <f>cbalProd1Payer2Status</f>
        <v>T1 NR</v>
      </c>
    </row>
    <row r="255" spans="1:10">
      <c r="C255" t="s">
        <v>2887</v>
      </c>
      <c r="E255">
        <f>INDEX(dataTierVolumeImpact,MATCH(E254,MarketData!$K$12:$K$17,0),)</f>
        <v>1.1499999999999999</v>
      </c>
      <c r="F255">
        <f>INDEX(dataTierVolumeImpact,MATCH(F254,MarketData!$K$12:$K$17,0),)</f>
        <v>1.1499999999999999</v>
      </c>
      <c r="G255">
        <f>INDEX(dataTierVolumeImpact,MATCH(G254,MarketData!$K$12:$K$17,0),)</f>
        <v>1.1499999999999999</v>
      </c>
      <c r="H255">
        <f>INDEX(dataTierVolumeImpact,MATCH(H254,MarketData!$K$12:$K$17,0),)</f>
        <v>1.1499999999999999</v>
      </c>
      <c r="I255">
        <f>INDEX(dataTierVolumeImpact,MATCH(I254,MarketData!$K$12:$K$17,0),)</f>
        <v>1.1499999999999999</v>
      </c>
      <c r="J255" t="s">
        <v>3263</v>
      </c>
    </row>
    <row r="256" spans="1:10">
      <c r="C256" t="s">
        <v>1487</v>
      </c>
      <c r="E256" s="465">
        <f>calcProd1Seg2Payer2ShareTotalCustR1</f>
        <v>5.9800000000000055E-4</v>
      </c>
      <c r="F256" s="465">
        <f>calcProd1Seg2Payer2ShareTotalCustR1</f>
        <v>5.9800000000000055E-4</v>
      </c>
      <c r="G256" s="465">
        <f>calcProd1Seg2Payer2ShareTotalCustR1</f>
        <v>5.9800000000000055E-4</v>
      </c>
      <c r="H256" s="465">
        <f>calcProd1Seg2Payer2ShareTotalCustR1</f>
        <v>5.9800000000000055E-4</v>
      </c>
      <c r="I256" s="465">
        <f>calcProd1Seg2Payer2ShareTotalCustR1</f>
        <v>5.9800000000000055E-4</v>
      </c>
    </row>
    <row r="257" spans="3:10">
      <c r="C257" t="s">
        <v>516</v>
      </c>
      <c r="E257" s="511">
        <f>(calcProd1Seg2SampleAllocR2/calcProd1Seg2SampleAllocR1-1)*INDEX(datatblProd1Seg2Payer2,1,)*calcprod1Seg2Payer2TierImpactR2</f>
        <v>0</v>
      </c>
      <c r="F257" s="511">
        <f>(calcProd1Seg2SampleAllocR2/calcProd1Seg2SampleAllocR1-1)*INDEX(datatblProd1Seg2Payer2,1,)*calcprod1Seg2Payer2TierImpactR2</f>
        <v>0</v>
      </c>
      <c r="G257" s="511">
        <f>(calcProd1Seg2SampleAllocR2/calcProd1Seg2SampleAllocR1-1)*INDEX(datatblProd1Seg2Payer2,1,)*calcprod1Seg2Payer2TierImpactR2</f>
        <v>0</v>
      </c>
      <c r="H257" s="511">
        <f>(calcProd1Seg2SampleAllocR2/calcProd1Seg2SampleAllocR1-1)*INDEX(datatblProd1Seg2Payer2,1,)*calcprod1Seg2Payer2TierImpactR2</f>
        <v>0</v>
      </c>
      <c r="I257" s="511">
        <f>(calcProd1Seg2SampleAllocR2/calcProd1Seg2SampleAllocR1-1)*INDEX(datatblProd1Seg2Payer2,1,)*calcprod1Seg2Payer2TierImpactR2</f>
        <v>0</v>
      </c>
      <c r="J257" t="s">
        <v>3046</v>
      </c>
    </row>
    <row r="258" spans="3:10">
      <c r="C258" t="s">
        <v>517</v>
      </c>
      <c r="E258" s="511">
        <f>(calcProd1Seg2SpeakerAllocR2/calcProd1Seg2SpeakerAllocR1-1)*INDEX(datatblProd1Seg2Payer2,2,)*calcprod1Seg2Payer2TierImpactR2</f>
        <v>-2.8750000000000021E-5</v>
      </c>
      <c r="F258" s="511">
        <f>(calcProd1Seg2SpeakerAllocR2/calcProd1Seg2SpeakerAllocR1-1)*INDEX(datatblProd1Seg2Payer2,2,)*calcprod1Seg2Payer2TierImpactR2</f>
        <v>-2.8750000000000021E-5</v>
      </c>
      <c r="G258" s="511">
        <f>(calcProd1Seg2SpeakerAllocR2/calcProd1Seg2SpeakerAllocR1-1)*INDEX(datatblProd1Seg2Payer2,2,)*calcprod1Seg2Payer2TierImpactR2</f>
        <v>-2.8750000000000021E-5</v>
      </c>
      <c r="H258" s="511">
        <f>(calcProd1Seg2SpeakerAllocR2/calcProd1Seg2SpeakerAllocR1-1)*INDEX(datatblProd1Seg2Payer2,2,)*calcprod1Seg2Payer2TierImpactR2</f>
        <v>-2.8750000000000021E-5</v>
      </c>
      <c r="I258" s="511">
        <f>(calcProd1Seg2SpeakerAllocR2/calcProd1Seg2SpeakerAllocR1-1)*INDEX(datatblProd1Seg2Payer2,2,)*calcprod1Seg2Payer2TierImpactR2</f>
        <v>-2.8750000000000021E-5</v>
      </c>
      <c r="J258" t="s">
        <v>3047</v>
      </c>
    </row>
    <row r="259" spans="3:10">
      <c r="C259" t="s">
        <v>2333</v>
      </c>
      <c r="E259" s="511">
        <f>(calcProd1Seg2PromotionAllocR2/calcProd1Seg2PromotionAllocR1-1)*INDEX(datatblProd1Seg2Payer2,3,)*calcprod1Seg2Payer2TierImpactR2</f>
        <v>-5.7500000000000042E-5</v>
      </c>
      <c r="F259" s="511">
        <f>(calcProd1Seg2PromotionAllocR2/calcProd1Seg2PromotionAllocR1-1)*INDEX(datatblProd1Seg2Payer2,3,)*calcprod1Seg2Payer2TierImpactR2</f>
        <v>-5.7500000000000042E-5</v>
      </c>
      <c r="G259" s="511">
        <f>(calcProd1Seg2PromotionAllocR2/calcProd1Seg2PromotionAllocR1-1)*INDEX(datatblProd1Seg2Payer2,3,)*calcprod1Seg2Payer2TierImpactR2</f>
        <v>-5.7500000000000042E-5</v>
      </c>
      <c r="H259" s="511">
        <f>(calcProd1Seg2PromotionAllocR2/calcProd1Seg2PromotionAllocR1-1)*INDEX(datatblProd1Seg2Payer2,3,)*calcprod1Seg2Payer2TierImpactR2</f>
        <v>-5.7500000000000042E-5</v>
      </c>
      <c r="I259" s="511">
        <f>(calcProd1Seg2PromotionAllocR2/calcProd1Seg2PromotionAllocR1-1)*INDEX(datatblProd1Seg2Payer2,3,)*calcprod1Seg2Payer2TierImpactR2</f>
        <v>-5.7500000000000042E-5</v>
      </c>
      <c r="J259" t="s">
        <v>3048</v>
      </c>
    </row>
    <row r="260" spans="3:10">
      <c r="C260" t="s">
        <v>2646</v>
      </c>
      <c r="E260" s="511">
        <f>(calcProd1Seg2Rep1Payer2ImpactR2+calcProd1Seg2Rep2Payer2ImpactR2+calcProd1Seg2Rep3Payer2ImpactR2)*calcprod1Seg2Payer2TierImpactR2</f>
        <v>-1.8399999999999962E-4</v>
      </c>
      <c r="F260" s="511">
        <f>(calcProd1Seg2Rep1Payer2ImpactR2+calcProd1Seg2Rep2Payer2ImpactR2+calcProd1Seg2Rep3Payer2ImpactR2)*calcprod1Seg2Payer2TierImpactR2</f>
        <v>-1.8399999999999962E-4</v>
      </c>
      <c r="G260" s="511">
        <f>(calcProd1Seg2Rep1Payer2ImpactR2+calcProd1Seg2Rep2Payer2ImpactR2+calcProd1Seg2Rep3Payer2ImpactR2)*calcprod1Seg2Payer2TierImpactR2</f>
        <v>-1.8399999999999962E-4</v>
      </c>
      <c r="H260" s="511">
        <f>(calcProd1Seg2Rep1Payer2ImpactR2+calcProd1Seg2Rep2Payer2ImpactR2+calcProd1Seg2Rep3Payer2ImpactR2)*calcprod1Seg2Payer2TierImpactR2</f>
        <v>-1.8399999999999962E-4</v>
      </c>
      <c r="I260" s="511">
        <f>(calcProd1Seg2Rep1Payer2ImpactR2+calcProd1Seg2Rep2Payer2ImpactR2+calcProd1Seg2Rep3Payer2ImpactR2)*calcprod1Seg2Payer2TierImpactR2</f>
        <v>-2.2999999999999968E-4</v>
      </c>
      <c r="J260" t="s">
        <v>3049</v>
      </c>
    </row>
    <row r="262" spans="3:10" s="4" customFormat="1">
      <c r="C262" s="4" t="s">
        <v>1489</v>
      </c>
      <c r="E262" s="500">
        <f>SUM(E256:E261)</f>
        <v>3.2775000000000089E-4</v>
      </c>
      <c r="F262" s="500">
        <f>SUM(F256:F261)</f>
        <v>3.2775000000000089E-4</v>
      </c>
      <c r="G262" s="500">
        <f>SUM(G256:G261)</f>
        <v>3.2775000000000089E-4</v>
      </c>
      <c r="H262" s="500">
        <f>SUM(H256:H261)</f>
        <v>3.2775000000000089E-4</v>
      </c>
      <c r="I262" s="500">
        <f>SUM(I256:I261)</f>
        <v>2.817500000000008E-4</v>
      </c>
      <c r="J262" s="4" t="s">
        <v>1616</v>
      </c>
    </row>
    <row r="263" spans="3:10">
      <c r="C263" t="s">
        <v>1490</v>
      </c>
      <c r="E263" s="380">
        <f>MAX(calcProd1Seg2Payer2MarketRecurCustR2*calcProd1Seg2Payer2ShareRecurCustR2,0)</f>
        <v>1.6093122160500042</v>
      </c>
      <c r="F263" s="380">
        <f>MAX(calcProd1Seg2Payer2MarketRecurCustR2*calcProd1Seg2Payer2ShareRecurCustR2,0)</f>
        <v>1.6093122160500042</v>
      </c>
      <c r="G263" s="380">
        <f>MAX(calcProd1Seg2Payer2MarketRecurCustR2*calcProd1Seg2Payer2ShareRecurCustR2,0)</f>
        <v>1.6093122160500042</v>
      </c>
      <c r="H263" s="380">
        <f>MAX(calcProd1Seg2Payer2MarketRecurCustR2*calcProd1Seg2Payer2ShareRecurCustR2,0)</f>
        <v>1.6093122160500042</v>
      </c>
      <c r="I263" s="380">
        <f>MAX(calcProd1Seg2Payer2MarketRecurCustR2*calcProd1Seg2Payer2ShareRecurCustR2,0)</f>
        <v>1.3834438348500038</v>
      </c>
      <c r="J263" t="s">
        <v>1617</v>
      </c>
    </row>
    <row r="265" spans="3:10">
      <c r="C265" t="s">
        <v>804</v>
      </c>
      <c r="E265" s="380">
        <f>INDEX(dataProd1Seg2Payer2NewVolume,,4)</f>
        <v>669.57029999999986</v>
      </c>
      <c r="F265" s="380">
        <f>INDEX(dataProd1Seg2Payer2NewVolume,,4)</f>
        <v>669.57029999999986</v>
      </c>
      <c r="G265" s="380">
        <f>INDEX(dataProd1Seg2Payer2NewVolume,,4)</f>
        <v>669.57029999999986</v>
      </c>
      <c r="H265" s="380">
        <f>INDEX(dataProd1Seg2Payer2NewVolume,,4)</f>
        <v>669.57029999999986</v>
      </c>
      <c r="I265" s="380">
        <f>INDEX(dataProd1Seg2Payer2NewVolume,,4)</f>
        <v>669.57029999999986</v>
      </c>
      <c r="J265" t="s">
        <v>1618</v>
      </c>
    </row>
    <row r="267" spans="3:10">
      <c r="C267" t="s">
        <v>1486</v>
      </c>
      <c r="E267" s="465">
        <f>calcProd1Seg2Payer2ShareNewCustR1</f>
        <v>5.9800000000000044E-4</v>
      </c>
      <c r="F267" s="465">
        <f>calcProd1Seg2Payer2ShareNewCustR1</f>
        <v>5.9800000000000044E-4</v>
      </c>
      <c r="G267" s="465">
        <f>calcProd1Seg2Payer2ShareNewCustR1</f>
        <v>5.9800000000000044E-4</v>
      </c>
      <c r="H267" s="465">
        <f>calcProd1Seg2Payer2ShareNewCustR1</f>
        <v>5.9800000000000044E-4</v>
      </c>
      <c r="I267" s="465">
        <f>calcProd1Seg2Payer2ShareNewCustR1</f>
        <v>5.9800000000000044E-4</v>
      </c>
    </row>
    <row r="268" spans="3:10">
      <c r="C268" t="s">
        <v>516</v>
      </c>
      <c r="E268" s="511">
        <f>(calcProd1Seg2SampleAllocR2/calcProd1Seg2SampleAllocR1-1)*INDEX(datatblProd1Seg2Payer2,1,)*calcprod1Seg2Payer2TierImpactR2</f>
        <v>0</v>
      </c>
      <c r="F268" s="511">
        <f>(calcProd1Seg2SampleAllocR2/calcProd1Seg2SampleAllocR1-1)*INDEX(datatblProd1Seg2Payer2,1,)*calcprod1Seg2Payer2TierImpactR2</f>
        <v>0</v>
      </c>
      <c r="G268" s="511">
        <f>(calcProd1Seg2SampleAllocR2/calcProd1Seg2SampleAllocR1-1)*INDEX(datatblProd1Seg2Payer2,1,)*calcprod1Seg2Payer2TierImpactR2</f>
        <v>0</v>
      </c>
      <c r="H268" s="511">
        <f>(calcProd1Seg2SampleAllocR2/calcProd1Seg2SampleAllocR1-1)*INDEX(datatblProd1Seg2Payer2,1,)*calcprod1Seg2Payer2TierImpactR2</f>
        <v>0</v>
      </c>
      <c r="I268" s="511">
        <f>(calcProd1Seg2SampleAllocR2/calcProd1Seg2SampleAllocR1-1)*INDEX(datatblProd1Seg2Payer2,1,)*calcprod1Seg2Payer2TierImpactR2</f>
        <v>0</v>
      </c>
      <c r="J268" t="s">
        <v>3155</v>
      </c>
    </row>
    <row r="269" spans="3:10">
      <c r="C269" t="s">
        <v>517</v>
      </c>
      <c r="E269" s="511">
        <f>(calcProd1Seg2SpeakerAllocR2/calcProd1Seg2SpeakerAllocR1-1)*INDEX(datatblProd1Seg2Payer2,2,)*calcprod1Seg2Payer2TierImpactR2</f>
        <v>-2.8750000000000021E-5</v>
      </c>
      <c r="F269" s="511">
        <f>(calcProd1Seg2SpeakerAllocR2/calcProd1Seg2SpeakerAllocR1-1)*INDEX(datatblProd1Seg2Payer2,2,)*calcprod1Seg2Payer2TierImpactR2</f>
        <v>-2.8750000000000021E-5</v>
      </c>
      <c r="G269" s="511">
        <f>(calcProd1Seg2SpeakerAllocR2/calcProd1Seg2SpeakerAllocR1-1)*INDEX(datatblProd1Seg2Payer2,2,)*calcprod1Seg2Payer2TierImpactR2</f>
        <v>-2.8750000000000021E-5</v>
      </c>
      <c r="H269" s="511">
        <f>(calcProd1Seg2SpeakerAllocR2/calcProd1Seg2SpeakerAllocR1-1)*INDEX(datatblProd1Seg2Payer2,2,)*calcprod1Seg2Payer2TierImpactR2</f>
        <v>-2.8750000000000021E-5</v>
      </c>
      <c r="I269" s="511">
        <f>(calcProd1Seg2SpeakerAllocR2/calcProd1Seg2SpeakerAllocR1-1)*INDEX(datatblProd1Seg2Payer2,2,)*calcprod1Seg2Payer2TierImpactR2</f>
        <v>-2.8750000000000021E-5</v>
      </c>
      <c r="J269" t="s">
        <v>3156</v>
      </c>
    </row>
    <row r="270" spans="3:10">
      <c r="C270" t="s">
        <v>2333</v>
      </c>
      <c r="E270" s="511">
        <f>(calcProd1Seg2PromotionAllocR2/calcProd1Seg2PromotionAllocR1-1)*INDEX(datatblProd1Seg2Payer2,3,)*calcprod1Seg2Payer2TierImpactR2</f>
        <v>-5.7500000000000042E-5</v>
      </c>
      <c r="F270" s="511">
        <f>(calcProd1Seg2PromotionAllocR2/calcProd1Seg2PromotionAllocR1-1)*INDEX(datatblProd1Seg2Payer2,3,)*calcprod1Seg2Payer2TierImpactR2</f>
        <v>-5.7500000000000042E-5</v>
      </c>
      <c r="G270" s="511">
        <f>(calcProd1Seg2PromotionAllocR2/calcProd1Seg2PromotionAllocR1-1)*INDEX(datatblProd1Seg2Payer2,3,)*calcprod1Seg2Payer2TierImpactR2</f>
        <v>-5.7500000000000042E-5</v>
      </c>
      <c r="H270" s="511">
        <f>(calcProd1Seg2PromotionAllocR2/calcProd1Seg2PromotionAllocR1-1)*INDEX(datatblProd1Seg2Payer2,3,)*calcprod1Seg2Payer2TierImpactR2</f>
        <v>-5.7500000000000042E-5</v>
      </c>
      <c r="I270" s="511">
        <f>(calcProd1Seg2PromotionAllocR2/calcProd1Seg2PromotionAllocR1-1)*INDEX(datatblProd1Seg2Payer2,3,)*calcprod1Seg2Payer2TierImpactR2</f>
        <v>-5.7500000000000042E-5</v>
      </c>
      <c r="J270" t="s">
        <v>3157</v>
      </c>
    </row>
    <row r="271" spans="3:10">
      <c r="C271" t="s">
        <v>2646</v>
      </c>
      <c r="E271" s="511">
        <f>(calcProd1Seg2Rep1Payer2ImpactR2+calcProd1Seg2Rep2Payer2ImpactR2+calcProd1Seg2Rep3Payer2ImpactR2)*calcprod1Seg2Payer2TierImpactR2</f>
        <v>-1.8399999999999962E-4</v>
      </c>
      <c r="F271" s="511">
        <f>(calcProd1Seg2Rep1Payer2ImpactR2+calcProd1Seg2Rep2Payer2ImpactR2+calcProd1Seg2Rep3Payer2ImpactR2)*calcprod1Seg2Payer2TierImpactR2</f>
        <v>-1.8399999999999962E-4</v>
      </c>
      <c r="G271" s="511">
        <f>(calcProd1Seg2Rep1Payer2ImpactR2+calcProd1Seg2Rep2Payer2ImpactR2+calcProd1Seg2Rep3Payer2ImpactR2)*calcprod1Seg2Payer2TierImpactR2</f>
        <v>-1.8399999999999962E-4</v>
      </c>
      <c r="H271" s="511">
        <f>(calcProd1Seg2Rep1Payer2ImpactR2+calcProd1Seg2Rep2Payer2ImpactR2+calcProd1Seg2Rep3Payer2ImpactR2)*calcprod1Seg2Payer2TierImpactR2</f>
        <v>-1.8399999999999962E-4</v>
      </c>
      <c r="I271" s="511">
        <f>(calcProd1Seg2Rep1Payer2ImpactR2+calcProd1Seg2Rep2Payer2ImpactR2+calcProd1Seg2Rep3Payer2ImpactR2)*calcprod1Seg2Payer2TierImpactR2</f>
        <v>-2.2999999999999968E-4</v>
      </c>
      <c r="J271" t="s">
        <v>3158</v>
      </c>
    </row>
    <row r="273" spans="1:10" s="4" customFormat="1">
      <c r="C273" s="4" t="s">
        <v>1534</v>
      </c>
      <c r="E273" s="500">
        <f>SUM(E267:E272)</f>
        <v>3.2775000000000078E-4</v>
      </c>
      <c r="F273" s="500">
        <f>SUM(F267:F272)</f>
        <v>3.2775000000000078E-4</v>
      </c>
      <c r="G273" s="500">
        <f>SUM(G267:G272)</f>
        <v>3.2775000000000078E-4</v>
      </c>
      <c r="H273" s="500">
        <f>SUM(H267:H272)</f>
        <v>3.2775000000000078E-4</v>
      </c>
      <c r="I273" s="500">
        <f>SUM(I267:I272)</f>
        <v>2.817500000000007E-4</v>
      </c>
      <c r="J273" s="4" t="s">
        <v>1619</v>
      </c>
    </row>
    <row r="274" spans="1:10">
      <c r="C274" t="s">
        <v>1490</v>
      </c>
      <c r="E274" s="380">
        <f>MAX(calcProd1Seg2Payer2MarketGrowthCustR2*calcProd1Seg2Payer2ShareNewCustR2,0)</f>
        <v>0.21945166582500047</v>
      </c>
      <c r="F274" s="380">
        <f>MAX(calcProd1Seg2Payer2MarketGrowthCustR2*calcProd1Seg2Payer2ShareNewCustR2,0)</f>
        <v>0.21945166582500047</v>
      </c>
      <c r="G274" s="380">
        <f>MAX(calcProd1Seg2Payer2MarketGrowthCustR2*calcProd1Seg2Payer2ShareNewCustR2,0)</f>
        <v>0.21945166582500047</v>
      </c>
      <c r="H274" s="380">
        <f>MAX(calcProd1Seg2Payer2MarketGrowthCustR2*calcProd1Seg2Payer2ShareNewCustR2,0)</f>
        <v>0.21945166582500047</v>
      </c>
      <c r="I274" s="380">
        <f>MAX(calcProd1Seg2Payer2MarketGrowthCustR2*calcProd1Seg2Payer2ShareNewCustR2,0)</f>
        <v>0.18865143202500043</v>
      </c>
      <c r="J274" s="4" t="s">
        <v>1620</v>
      </c>
    </row>
    <row r="276" spans="1:10">
      <c r="C276" t="s">
        <v>1537</v>
      </c>
      <c r="E276" s="380">
        <f>calcProd1Seg2Payer2MarketRecurCustR2+calcProd1Seg2Payer2MarketGrowthCustR2</f>
        <v>5579.7524999999987</v>
      </c>
      <c r="F276" s="380">
        <f>calcProd1Seg2Payer2MarketRecurCustR2+calcProd1Seg2Payer2MarketGrowthCustR2</f>
        <v>5579.7524999999987</v>
      </c>
      <c r="G276" s="380">
        <f>calcProd1Seg2Payer2MarketRecurCustR2+calcProd1Seg2Payer2MarketGrowthCustR2</f>
        <v>5579.7524999999987</v>
      </c>
      <c r="H276" s="380">
        <f>calcProd1Seg2Payer2MarketRecurCustR2+calcProd1Seg2Payer2MarketGrowthCustR2</f>
        <v>5579.7524999999987</v>
      </c>
      <c r="I276" s="380">
        <f>calcProd1Seg2Payer2MarketRecurCustR2+calcProd1Seg2Payer2MarketGrowthCustR2</f>
        <v>5579.7524999999987</v>
      </c>
      <c r="J276" t="s">
        <v>1621</v>
      </c>
    </row>
    <row r="277" spans="1:10">
      <c r="C277" t="s">
        <v>1539</v>
      </c>
      <c r="E277" s="380">
        <f>calcProd1Seg2Payer2VolumeRecurCustR2+calcProd1Seg2Payer2VolumeNewCustR2</f>
        <v>1.8287638818750047</v>
      </c>
      <c r="F277" s="380">
        <f>calcProd1Seg2Payer2VolumeRecurCustR2+calcProd1Seg2Payer2VolumeNewCustR2</f>
        <v>1.8287638818750047</v>
      </c>
      <c r="G277" s="380">
        <f>calcProd1Seg2Payer2VolumeRecurCustR2+calcProd1Seg2Payer2VolumeNewCustR2</f>
        <v>1.8287638818750047</v>
      </c>
      <c r="H277" s="380">
        <f>calcProd1Seg2Payer2VolumeRecurCustR2+calcProd1Seg2Payer2VolumeNewCustR2</f>
        <v>1.8287638818750047</v>
      </c>
      <c r="I277" s="380">
        <f>calcProd1Seg2Payer2VolumeRecurCustR2+calcProd1Seg2Payer2VolumeNewCustR2</f>
        <v>1.5720952668750041</v>
      </c>
      <c r="J277" t="s">
        <v>1622</v>
      </c>
    </row>
    <row r="278" spans="1:10" s="4" customFormat="1">
      <c r="C278" s="4" t="s">
        <v>841</v>
      </c>
      <c r="E278" s="500">
        <f>calcProd1Seg2Payer2VolumeR1/calcProd1Seg2Payer2TotalVolumeR1</f>
        <v>5.9800000000000055E-4</v>
      </c>
      <c r="F278" s="500">
        <f>calcProd1Seg2Payer2VolumeR1/calcProd1Seg2Payer2TotalVolumeR1</f>
        <v>5.9800000000000055E-4</v>
      </c>
      <c r="G278" s="500">
        <f>calcProd1Seg2Payer2VolumeR1/calcProd1Seg2Payer2TotalVolumeR1</f>
        <v>5.9800000000000055E-4</v>
      </c>
      <c r="H278" s="500">
        <f>calcProd1Seg2Payer2VolumeR1/calcProd1Seg2Payer2TotalVolumeR1</f>
        <v>5.9800000000000055E-4</v>
      </c>
      <c r="I278" s="500">
        <f>calcProd1Seg2Payer2VolumeR1/calcProd1Seg2Payer2TotalVolumeR1</f>
        <v>5.9800000000000055E-4</v>
      </c>
      <c r="J278" s="4" t="s">
        <v>1623</v>
      </c>
    </row>
    <row r="280" spans="1:10" s="376" customFormat="1">
      <c r="A280" s="376" t="str">
        <f>nmPayer3</f>
        <v>Dragon Health</v>
      </c>
    </row>
    <row r="281" spans="1:10">
      <c r="A281" s="16" t="s">
        <v>1488</v>
      </c>
      <c r="C281" s="4" t="s">
        <v>803</v>
      </c>
      <c r="E281" s="380">
        <f>INDEX(dataProd1Seg2Payer3TotalVolume,,3)</f>
        <v>17359.229999999996</v>
      </c>
      <c r="F281" s="380">
        <f>INDEX(dataProd1Seg2Payer3TotalVolume,,3)</f>
        <v>17359.229999999996</v>
      </c>
      <c r="G281" s="380">
        <f>INDEX(dataProd1Seg2Payer3TotalVolume,,3)</f>
        <v>17359.229999999996</v>
      </c>
      <c r="H281" s="380">
        <f>INDEX(dataProd1Seg2Payer3TotalVolume,,3)</f>
        <v>17359.229999999996</v>
      </c>
      <c r="I281" s="380">
        <f>INDEX(dataProd1Seg2Payer3TotalVolume,,3)</f>
        <v>17359.229999999996</v>
      </c>
      <c r="J281" t="s">
        <v>1624</v>
      </c>
    </row>
    <row r="282" spans="1:10">
      <c r="C282" t="s">
        <v>3253</v>
      </c>
      <c r="E282" t="str">
        <f>obalProd1Payer3Status</f>
        <v>T3 SGSE</v>
      </c>
      <c r="F282" t="str">
        <f>obalProd1Payer3Status</f>
        <v>T3 SGSE</v>
      </c>
      <c r="G282" t="str">
        <f>obalProd1Payer3Status</f>
        <v>T3 SGSE</v>
      </c>
      <c r="H282" t="str">
        <f>obalProd1Payer3Status</f>
        <v>T3 SGSE</v>
      </c>
      <c r="I282" t="str">
        <f>obalProd1Payer3Status</f>
        <v>T3 SGSE</v>
      </c>
    </row>
    <row r="283" spans="1:10">
      <c r="C283" t="s">
        <v>2887</v>
      </c>
      <c r="E283">
        <f>INDEX(dataTierVolumeImpact,MATCH(E282,MarketData!$K$12:$K$17,0),)</f>
        <v>0.9</v>
      </c>
      <c r="F283">
        <f>INDEX(dataTierVolumeImpact,MATCH(F282,MarketData!$K$12:$K$17,0),)</f>
        <v>0.9</v>
      </c>
      <c r="G283">
        <f>INDEX(dataTierVolumeImpact,MATCH(G282,MarketData!$K$12:$K$17,0),)</f>
        <v>0.9</v>
      </c>
      <c r="H283">
        <f>INDEX(dataTierVolumeImpact,MATCH(H282,MarketData!$K$12:$K$17,0),)</f>
        <v>0.9</v>
      </c>
      <c r="I283">
        <f>INDEX(dataTierVolumeImpact,MATCH(I282,MarketData!$K$12:$K$17,0),)</f>
        <v>0.9</v>
      </c>
      <c r="J283" t="s">
        <v>3264</v>
      </c>
    </row>
    <row r="284" spans="1:10">
      <c r="C284" t="s">
        <v>1487</v>
      </c>
      <c r="E284" s="465">
        <f>obalProd1Seg2Payer3Share</f>
        <v>2.0571428571428576E-3</v>
      </c>
      <c r="F284" s="465">
        <f>obalProd1Seg2Payer3Share</f>
        <v>2.0571428571428576E-3</v>
      </c>
      <c r="G284" s="465">
        <f>obalProd1Seg2Payer3Share</f>
        <v>2.0571428571428576E-3</v>
      </c>
      <c r="H284" s="465">
        <f>obalProd1Seg2Payer3Share</f>
        <v>2.0571428571428576E-3</v>
      </c>
      <c r="I284" s="465">
        <f>obalProd1Seg2Payer3Share</f>
        <v>2.0571428571428576E-3</v>
      </c>
    </row>
    <row r="285" spans="1:10">
      <c r="C285" t="s">
        <v>516</v>
      </c>
      <c r="E285" s="511">
        <f>(calcProd1Seg2SampleAllocR1/obalProd1Seg2SampleAlloc-1)*INDEX(datatblProd1Seg2Payer3,1,)*calcprod1Seg2Payer3TierImpactR1</f>
        <v>0</v>
      </c>
      <c r="F285" s="511">
        <f>(calcProd1Seg2SampleAllocR1/obalProd1Seg2SampleAlloc-1)*INDEX(datatblProd1Seg2Payer3,1,)</f>
        <v>0</v>
      </c>
      <c r="G285" s="511">
        <f>(calcProd1Seg2SampleAllocR1/obalProd1Seg2SampleAlloc-1)*INDEX(datatblProd1Seg2Payer3,1,)</f>
        <v>0</v>
      </c>
      <c r="H285" s="511">
        <f>(calcProd1Seg2SampleAllocR1/obalProd1Seg2SampleAlloc-1)*INDEX(datatblProd1Seg2Payer3,1,)</f>
        <v>0</v>
      </c>
      <c r="I285" s="511">
        <f>(calcProd1Seg2SampleAllocR1/obalProd1Seg2SampleAlloc-1)*INDEX(datatblProd1Seg2Payer3,1,)</f>
        <v>0</v>
      </c>
      <c r="J285" t="s">
        <v>2800</v>
      </c>
    </row>
    <row r="286" spans="1:10">
      <c r="C286" t="s">
        <v>517</v>
      </c>
      <c r="E286" s="511">
        <f>(calcProd1Seg2SpeakerAllocR1/obalProd1Seg2SpeakerAlloc-1)*INDEX(datatblProd1Seg2Payer3,2,)*(calcprod1Seg2Payer3TierImpactR1)</f>
        <v>0</v>
      </c>
      <c r="F286" s="511">
        <f>(calcProd1Seg2SpeakerAllocR1/obalProd1Seg2SpeakerAlloc-1)*INDEX(datatblProd1Seg2Payer3,2,)</f>
        <v>0</v>
      </c>
      <c r="G286" s="511">
        <f>(calcProd1Seg2SpeakerAllocR1/obalProd1Seg2SpeakerAlloc-1)*INDEX(datatblProd1Seg2Payer3,2,)</f>
        <v>0</v>
      </c>
      <c r="H286" s="511">
        <f>(calcProd1Seg2SpeakerAllocR1/obalProd1Seg2SpeakerAlloc-1)*INDEX(datatblProd1Seg2Payer3,2,)</f>
        <v>0</v>
      </c>
      <c r="I286" s="511">
        <f>(calcProd1Seg2SpeakerAllocR1/obalProd1Seg2SpeakerAlloc-1)*INDEX(datatblProd1Seg2Payer3,2,)</f>
        <v>0</v>
      </c>
      <c r="J286" t="s">
        <v>2801</v>
      </c>
    </row>
    <row r="287" spans="1:10">
      <c r="C287" t="s">
        <v>2333</v>
      </c>
      <c r="E287" s="511">
        <f>(calcProd1Seg2PromotionAllocR1/obalProd1Seg2PromotionAlloc-1)*INDEX(datatblProd1Seg2Payer3,3,)*calcprod1Seg2Payer3TierImpactR1</f>
        <v>0</v>
      </c>
      <c r="F287" s="511">
        <f>(calcProd1Seg2PromotionAllocR1/obalProd1Seg2PromotionAlloc-1)*INDEX(datatblProd1Seg2Payer3,3,)</f>
        <v>0</v>
      </c>
      <c r="G287" s="511">
        <f>(calcProd1Seg2PromotionAllocR1/obalProd1Seg2PromotionAlloc-1)*INDEX(datatblProd1Seg2Payer3,3,)</f>
        <v>0</v>
      </c>
      <c r="H287" s="511">
        <f>(calcProd1Seg2PromotionAllocR1/obalProd1Seg2PromotionAlloc-1)*INDEX(datatblProd1Seg2Payer3,3,)</f>
        <v>0</v>
      </c>
      <c r="I287" s="511">
        <f>(calcProd1Seg2PromotionAllocR1/obalProd1Seg2PromotionAlloc-1)*INDEX(datatblProd1Seg2Payer3,3,)</f>
        <v>0</v>
      </c>
      <c r="J287" t="s">
        <v>2802</v>
      </c>
    </row>
    <row r="288" spans="1:10">
      <c r="C288" t="s">
        <v>2646</v>
      </c>
      <c r="E288" s="511">
        <f>(calcProd1Seg2Rep1Payer3ImpactR1+calcProd1Seg2Rep2Payer3ImpactR1+calcProd1Seg2Rep3Payer3ImpactR1)*calcprod1Seg2Payer3TierImpactR1</f>
        <v>2.3400000000000019E-4</v>
      </c>
      <c r="F288" s="511">
        <f>(calcProd1Seg2Rep1Payer3ImpactR1+calcProd1Seg2Rep2Payer3ImpactR1+calcProd1Seg2Rep3Payer3ImpactR1)*calcprod1Seg2Payer3TierImpactR1</f>
        <v>2.3400000000000019E-4</v>
      </c>
      <c r="G288" s="511">
        <f>(calcProd1Seg2Rep1Payer3ImpactR1+calcProd1Seg2Rep2Payer3ImpactR1+calcProd1Seg2Rep3Payer3ImpactR1)*calcprod1Seg2Payer3TierImpactR1</f>
        <v>2.3400000000000019E-4</v>
      </c>
      <c r="H288" s="511">
        <f>(calcProd1Seg2Rep1Payer3ImpactR1+calcProd1Seg2Rep2Payer3ImpactR1+calcProd1Seg2Rep3Payer3ImpactR1)*calcprod1Seg2Payer3TierImpactR1</f>
        <v>2.3400000000000019E-4</v>
      </c>
      <c r="I288" s="511">
        <f>(calcProd1Seg2Rep1Payer3ImpactR1+calcProd1Seg2Rep2Payer3ImpactR1+calcProd1Seg2Rep3Payer3ImpactR1)*calcprod1Seg2Payer3TierImpactR1</f>
        <v>2.3400000000000019E-4</v>
      </c>
      <c r="J288" t="s">
        <v>2803</v>
      </c>
    </row>
    <row r="289" spans="3:10" s="4" customFormat="1">
      <c r="C289" s="4" t="s">
        <v>1489</v>
      </c>
      <c r="E289" s="500">
        <f>SUM(E284:E288)</f>
        <v>2.2911428571428579E-3</v>
      </c>
      <c r="F289" s="500">
        <f t="shared" ref="F289:I289" si="5">SUM(F284:F288)</f>
        <v>2.2911428571428579E-3</v>
      </c>
      <c r="G289" s="500">
        <f t="shared" si="5"/>
        <v>2.2911428571428579E-3</v>
      </c>
      <c r="H289" s="500">
        <f t="shared" si="5"/>
        <v>2.2911428571428579E-3</v>
      </c>
      <c r="I289" s="500">
        <f t="shared" si="5"/>
        <v>2.2911428571428579E-3</v>
      </c>
      <c r="J289" s="4" t="s">
        <v>1625</v>
      </c>
    </row>
    <row r="290" spans="3:10">
      <c r="C290" t="s">
        <v>1490</v>
      </c>
      <c r="E290" s="380">
        <f>MAX(calcProd1Seg2Payer3MarketRecurCustR1*calcProd1Seg2Payer3ShareRecurCustR1,0)</f>
        <v>39.772475820000004</v>
      </c>
      <c r="F290" s="380">
        <f>MAX(calcProd1Seg2Payer3MarketRecurCustR1*calcProd1Seg2Payer3ShareRecurCustR1,0)</f>
        <v>39.772475820000004</v>
      </c>
      <c r="G290" s="380">
        <f>MAX(calcProd1Seg2Payer3MarketRecurCustR1*calcProd1Seg2Payer3ShareRecurCustR1,0)</f>
        <v>39.772475820000004</v>
      </c>
      <c r="H290" s="380">
        <f>MAX(calcProd1Seg2Payer3MarketRecurCustR1*calcProd1Seg2Payer3ShareRecurCustR1,0)</f>
        <v>39.772475820000004</v>
      </c>
      <c r="I290" s="380">
        <f>MAX(calcProd1Seg2Payer3MarketRecurCustR1*calcProd1Seg2Payer3ShareRecurCustR1,0)</f>
        <v>39.772475820000004</v>
      </c>
      <c r="J290" t="s">
        <v>1626</v>
      </c>
    </row>
    <row r="292" spans="3:10">
      <c r="C292" t="s">
        <v>804</v>
      </c>
      <c r="E292" s="380">
        <f>INDEX(dataProd1Seg2Payer3NewVolume,,3)</f>
        <v>1653.26</v>
      </c>
      <c r="F292" s="380">
        <f>INDEX(dataProd1Seg2Payer3NewVolume,,3)</f>
        <v>1653.26</v>
      </c>
      <c r="G292" s="380">
        <f>INDEX(dataProd1Seg2Payer3NewVolume,,3)</f>
        <v>1653.26</v>
      </c>
      <c r="H292" s="380">
        <f>INDEX(dataProd1Seg2Payer3NewVolume,,3)</f>
        <v>1653.26</v>
      </c>
      <c r="I292" s="380">
        <f>INDEX(dataProd1Seg2Payer3NewVolume,,3)</f>
        <v>1653.26</v>
      </c>
      <c r="J292" t="s">
        <v>1627</v>
      </c>
    </row>
    <row r="294" spans="3:10">
      <c r="C294" t="s">
        <v>1486</v>
      </c>
      <c r="E294" s="465">
        <f>obalProd1Seg2Payer3Share</f>
        <v>2.0571428571428576E-3</v>
      </c>
      <c r="F294" s="465">
        <f>obalProd1Seg2Payer3Share</f>
        <v>2.0571428571428576E-3</v>
      </c>
      <c r="G294" s="465">
        <f>obalProd1Seg2Payer3Share</f>
        <v>2.0571428571428576E-3</v>
      </c>
      <c r="H294" s="465">
        <f>obalProd1Seg2Payer3Share</f>
        <v>2.0571428571428576E-3</v>
      </c>
      <c r="I294" s="465">
        <f>obalProd1Seg2Payer3Share</f>
        <v>2.0571428571428576E-3</v>
      </c>
    </row>
    <row r="295" spans="3:10">
      <c r="C295" t="s">
        <v>516</v>
      </c>
      <c r="E295" s="511">
        <f>(calcProd1Seg2SampleAllocR1/obalProd1Seg2SampleAlloc-1)*INDEX(datatblProd1Seg2Payer3,1,)*calcprod1Seg2Payer3TierImpactR1</f>
        <v>0</v>
      </c>
      <c r="F295" s="511">
        <f>(calcProd1Seg2SampleAllocR1/obalProd1Seg2SampleAlloc-1)*INDEX(datatblProd1Seg2Payer3,1,)*calcprod1Seg2Payer3TierImpactR1</f>
        <v>0</v>
      </c>
      <c r="G295" s="511">
        <f>(calcProd1Seg2SampleAllocR1/obalProd1Seg2SampleAlloc-1)*INDEX(datatblProd1Seg2Payer3,1,)*calcprod1Seg2Payer3TierImpactR1</f>
        <v>0</v>
      </c>
      <c r="H295" s="511">
        <f>(calcProd1Seg2SampleAllocR1/obalProd1Seg2SampleAlloc-1)*INDEX(datatblProd1Seg2Payer3,1,)*calcprod1Seg2Payer3TierImpactR1</f>
        <v>0</v>
      </c>
      <c r="I295" s="511">
        <f>(calcProd1Seg2SampleAllocR1/obalProd1Seg2SampleAlloc-1)*INDEX(datatblProd1Seg2Payer3,1,)*calcprod1Seg2Payer3TierImpactR1</f>
        <v>0</v>
      </c>
      <c r="J295" t="s">
        <v>3050</v>
      </c>
    </row>
    <row r="296" spans="3:10">
      <c r="C296" t="s">
        <v>517</v>
      </c>
      <c r="E296" s="511">
        <f>(calcProd1Seg2SpeakerAllocR1/obalProd1Seg2SpeakerAlloc-1)*INDEX(datatblProd1Seg2Payer3,2,)*calcprod1Seg2Payer3TierImpactR1</f>
        <v>0</v>
      </c>
      <c r="F296" s="511">
        <f>(calcProd1Seg2SpeakerAllocR1/obalProd1Seg2SpeakerAlloc-1)*INDEX(datatblProd1Seg2Payer3,2,)*calcprod1Seg2Payer3TierImpactR1</f>
        <v>0</v>
      </c>
      <c r="G296" s="511">
        <f>(calcProd1Seg2SpeakerAllocR1/obalProd1Seg2SpeakerAlloc-1)*INDEX(datatblProd1Seg2Payer3,2,)*calcprod1Seg2Payer3TierImpactR1</f>
        <v>0</v>
      </c>
      <c r="H296" s="511">
        <f>(calcProd1Seg2SpeakerAllocR1/obalProd1Seg2SpeakerAlloc-1)*INDEX(datatblProd1Seg2Payer3,2,)*calcprod1Seg2Payer3TierImpactR1</f>
        <v>0</v>
      </c>
      <c r="I296" s="511">
        <f>(calcProd1Seg2SpeakerAllocR1/obalProd1Seg2SpeakerAlloc-1)*INDEX(datatblProd1Seg2Payer3,2,)*calcprod1Seg2Payer3TierImpactR1</f>
        <v>0</v>
      </c>
      <c r="J296" t="s">
        <v>3051</v>
      </c>
    </row>
    <row r="297" spans="3:10">
      <c r="C297" t="s">
        <v>2333</v>
      </c>
      <c r="E297" s="511">
        <f>(calcProd1Seg2PromotionAllocR1/obalProd1Seg2PromotionAlloc-1)*INDEX(datatblProd1Seg2Payer3,3,)*calcprod1Seg2Payer3TierImpactR1</f>
        <v>0</v>
      </c>
      <c r="F297" s="511">
        <f>(calcProd1Seg2PromotionAllocR1/obalProd1Seg2PromotionAlloc-1)*INDEX(datatblProd1Seg2Payer3,3,)*calcprod1Seg2Payer3TierImpactR1</f>
        <v>0</v>
      </c>
      <c r="G297" s="511">
        <f>(calcProd1Seg2PromotionAllocR1/obalProd1Seg2PromotionAlloc-1)*INDEX(datatblProd1Seg2Payer3,3,)*calcprod1Seg2Payer3TierImpactR1</f>
        <v>0</v>
      </c>
      <c r="H297" s="511">
        <f>(calcProd1Seg2PromotionAllocR1/obalProd1Seg2PromotionAlloc-1)*INDEX(datatblProd1Seg2Payer3,3,)*calcprod1Seg2Payer3TierImpactR1</f>
        <v>0</v>
      </c>
      <c r="I297" s="511">
        <f>(calcProd1Seg2PromotionAllocR1/obalProd1Seg2PromotionAlloc-1)*INDEX(datatblProd1Seg2Payer3,3,)*calcprod1Seg2Payer3TierImpactR1</f>
        <v>0</v>
      </c>
      <c r="J297" t="s">
        <v>3052</v>
      </c>
    </row>
    <row r="298" spans="3:10">
      <c r="C298" t="s">
        <v>2646</v>
      </c>
      <c r="E298" s="511">
        <f>(calcProd1Seg2Rep1Payer3ImpactR1+calcProd1Seg2Rep2Payer3ImpactR1+calcProd1Seg2Rep3Payer3ImpactR1)*calcprod1Seg2Payer3TierImpactR1</f>
        <v>2.3400000000000019E-4</v>
      </c>
      <c r="F298" s="511">
        <f>(calcProd1Seg2Rep1Payer3ImpactR1+calcProd1Seg2Rep2Payer3ImpactR1+calcProd1Seg2Rep3Payer3ImpactR1)*calcprod1Seg2Payer3TierImpactR1</f>
        <v>2.3400000000000019E-4</v>
      </c>
      <c r="G298" s="511">
        <f>(calcProd1Seg2Rep1Payer3ImpactR1+calcProd1Seg2Rep2Payer3ImpactR1+calcProd1Seg2Rep3Payer3ImpactR1)*calcprod1Seg2Payer3TierImpactR1</f>
        <v>2.3400000000000019E-4</v>
      </c>
      <c r="H298" s="511">
        <f>(calcProd1Seg2Rep1Payer3ImpactR1+calcProd1Seg2Rep2Payer3ImpactR1+calcProd1Seg2Rep3Payer3ImpactR1)*calcprod1Seg2Payer3TierImpactR1</f>
        <v>2.3400000000000019E-4</v>
      </c>
      <c r="I298" s="511">
        <f>(calcProd1Seg2Rep1Payer3ImpactR1+calcProd1Seg2Rep2Payer3ImpactR1+calcProd1Seg2Rep3Payer3ImpactR1)*calcprod1Seg2Payer3TierImpactR1</f>
        <v>2.3400000000000019E-4</v>
      </c>
      <c r="J298" t="s">
        <v>3053</v>
      </c>
    </row>
    <row r="299" spans="3:10">
      <c r="C299" t="s">
        <v>2905</v>
      </c>
    </row>
    <row r="300" spans="3:10" s="4" customFormat="1">
      <c r="C300" s="4" t="s">
        <v>1534</v>
      </c>
      <c r="E300" s="500">
        <f>SUM(E294:E299)</f>
        <v>2.2911428571428579E-3</v>
      </c>
      <c r="F300" s="500">
        <f>SUM(F294:F299)</f>
        <v>2.2911428571428579E-3</v>
      </c>
      <c r="G300" s="500">
        <f>SUM(G294:G299)</f>
        <v>2.2911428571428579E-3</v>
      </c>
      <c r="H300" s="500">
        <f>SUM(H294:H299)</f>
        <v>2.2911428571428579E-3</v>
      </c>
      <c r="I300" s="500">
        <f>SUM(I294:I299)</f>
        <v>2.2911428571428579E-3</v>
      </c>
      <c r="J300" s="4" t="s">
        <v>1628</v>
      </c>
    </row>
    <row r="301" spans="3:10">
      <c r="C301" t="s">
        <v>1490</v>
      </c>
      <c r="E301" s="380">
        <f>MAX(calcProd1Seg2Payer3MarketGrowthCustR1*calcProd1Seg2Payer3ShareNewCustR1,0)</f>
        <v>3.7878548400000014</v>
      </c>
      <c r="F301" s="380">
        <f>MAX(calcProd1Seg2Payer3MarketGrowthCustR1*calcProd1Seg2Payer3ShareNewCustR1,0)</f>
        <v>3.7878548400000014</v>
      </c>
      <c r="G301" s="380">
        <f>MAX(calcProd1Seg2Payer3MarketGrowthCustR1*calcProd1Seg2Payer3ShareNewCustR1,0)</f>
        <v>3.7878548400000014</v>
      </c>
      <c r="H301" s="380">
        <f>MAX(calcProd1Seg2Payer3MarketGrowthCustR1*calcProd1Seg2Payer3ShareNewCustR1,0)</f>
        <v>3.7878548400000014</v>
      </c>
      <c r="I301" s="380">
        <f>MAX(calcProd1Seg2Payer3MarketGrowthCustR1*calcProd1Seg2Payer3ShareNewCustR1,0)</f>
        <v>3.7878548400000014</v>
      </c>
      <c r="J301" s="4" t="s">
        <v>1629</v>
      </c>
    </row>
    <row r="303" spans="3:10">
      <c r="C303" t="s">
        <v>1537</v>
      </c>
      <c r="E303" s="380">
        <f>calcProd1Seg2Payer3MarketRecurCustR1+calcProd1Seg2Payer3MarketGrowthCustR1</f>
        <v>19012.489999999994</v>
      </c>
      <c r="F303" s="380">
        <f>calcProd1Seg2Payer3MarketRecurCustR1+calcProd1Seg2Payer3MarketGrowthCustR1</f>
        <v>19012.489999999994</v>
      </c>
      <c r="G303" s="380">
        <f>calcProd1Seg2Payer3MarketRecurCustR1+calcProd1Seg2Payer3MarketGrowthCustR1</f>
        <v>19012.489999999994</v>
      </c>
      <c r="H303" s="380">
        <f>calcProd1Seg2Payer3MarketRecurCustR1+calcProd1Seg2Payer3MarketGrowthCustR1</f>
        <v>19012.489999999994</v>
      </c>
      <c r="I303" s="380">
        <f>calcProd1Seg2Payer3MarketRecurCustR1+calcProd1Seg2Payer3MarketGrowthCustR1</f>
        <v>19012.489999999994</v>
      </c>
      <c r="J303" t="s">
        <v>1630</v>
      </c>
    </row>
    <row r="304" spans="3:10">
      <c r="C304" t="s">
        <v>1539</v>
      </c>
      <c r="E304" s="380">
        <f>calcProd1Seg2Payer3VolumeRecurCustR1+calcProd1Seg2Payer3VolumeNewCustR1</f>
        <v>43.560330660000005</v>
      </c>
      <c r="F304" s="380">
        <f>calcProd1Seg2Payer3VolumeRecurCustR1+calcProd1Seg2Payer3VolumeNewCustR1</f>
        <v>43.560330660000005</v>
      </c>
      <c r="G304" s="380">
        <f>calcProd1Seg2Payer3VolumeRecurCustR1+calcProd1Seg2Payer3VolumeNewCustR1</f>
        <v>43.560330660000005</v>
      </c>
      <c r="H304" s="380">
        <f>calcProd1Seg2Payer3VolumeRecurCustR1+calcProd1Seg2Payer3VolumeNewCustR1</f>
        <v>43.560330660000005</v>
      </c>
      <c r="I304" s="380">
        <f>calcProd1Seg2Payer3VolumeRecurCustR1+calcProd1Seg2Payer3VolumeNewCustR1</f>
        <v>43.560330660000005</v>
      </c>
      <c r="J304" t="s">
        <v>1631</v>
      </c>
    </row>
    <row r="305" spans="1:10" s="4" customFormat="1">
      <c r="C305" s="4" t="s">
        <v>841</v>
      </c>
      <c r="E305" s="500">
        <f>calcProd1Seg2Payer3VolumeR1/calcProd1Seg2Payer3TotalVolumeR1</f>
        <v>2.2911428571428579E-3</v>
      </c>
      <c r="F305" s="500">
        <f>calcProd1Seg2Payer3VolumeR1/calcProd1Seg2Payer3TotalVolumeR1</f>
        <v>2.2911428571428579E-3</v>
      </c>
      <c r="G305" s="500">
        <f>calcProd1Seg2Payer3VolumeR1/calcProd1Seg2Payer3TotalVolumeR1</f>
        <v>2.2911428571428579E-3</v>
      </c>
      <c r="H305" s="500">
        <f>calcProd1Seg2Payer3VolumeR1/calcProd1Seg2Payer3TotalVolumeR1</f>
        <v>2.2911428571428579E-3</v>
      </c>
      <c r="I305" s="500">
        <f>calcProd1Seg2Payer3VolumeR1/calcProd1Seg2Payer3TotalVolumeR1</f>
        <v>2.2911428571428579E-3</v>
      </c>
      <c r="J305" s="4" t="s">
        <v>1632</v>
      </c>
    </row>
    <row r="307" spans="1:10">
      <c r="A307" s="16" t="s">
        <v>1551</v>
      </c>
      <c r="C307" t="s">
        <v>803</v>
      </c>
      <c r="E307" s="380">
        <f>INDEX(dataProd1Seg2Payer3TotalVolume,,4)</f>
        <v>19095.152999999998</v>
      </c>
      <c r="F307" s="380">
        <f>INDEX(dataProd1Seg2Payer3TotalVolume,,4)</f>
        <v>19095.152999999998</v>
      </c>
      <c r="G307" s="380">
        <f>INDEX(dataProd1Seg2Payer3TotalVolume,,4)</f>
        <v>19095.152999999998</v>
      </c>
      <c r="H307" s="380">
        <f>INDEX(dataProd1Seg2Payer3TotalVolume,,4)</f>
        <v>19095.152999999998</v>
      </c>
      <c r="I307" s="380">
        <f>INDEX(dataProd1Seg2Payer3TotalVolume,,4)</f>
        <v>19095.152999999998</v>
      </c>
      <c r="J307" t="s">
        <v>1633</v>
      </c>
    </row>
    <row r="308" spans="1:10">
      <c r="C308" t="s">
        <v>3253</v>
      </c>
      <c r="E308" t="str">
        <f>cbalProd1Payer3Status</f>
        <v>T3 SGSE</v>
      </c>
      <c r="F308" t="str">
        <f>cbalProd1Payer3Status</f>
        <v>T3 SGSE</v>
      </c>
      <c r="G308" t="str">
        <f>cbalProd1Payer3Status</f>
        <v>T3 SGSE</v>
      </c>
      <c r="H308" t="str">
        <f>cbalProd1Payer3Status</f>
        <v>T3 SGSE</v>
      </c>
      <c r="I308" t="str">
        <f>cbalProd1Payer3Status</f>
        <v>T3 SGSE</v>
      </c>
    </row>
    <row r="309" spans="1:10">
      <c r="C309" t="s">
        <v>2887</v>
      </c>
      <c r="E309">
        <f>INDEX(dataTierVolumeImpact,MATCH(E308,MarketData!$K$12:$K$17,0),)</f>
        <v>0.9</v>
      </c>
      <c r="F309">
        <f>INDEX(dataTierVolumeImpact,MATCH(F308,MarketData!$K$12:$K$17,0),)</f>
        <v>0.9</v>
      </c>
      <c r="G309">
        <f>INDEX(dataTierVolumeImpact,MATCH(G308,MarketData!$K$12:$K$17,0),)</f>
        <v>0.9</v>
      </c>
      <c r="H309">
        <f>INDEX(dataTierVolumeImpact,MATCH(H308,MarketData!$K$12:$K$17,0),)</f>
        <v>0.9</v>
      </c>
      <c r="I309">
        <f>INDEX(dataTierVolumeImpact,MATCH(I308,MarketData!$K$12:$K$17,0),)</f>
        <v>0.9</v>
      </c>
      <c r="J309" t="s">
        <v>3265</v>
      </c>
    </row>
    <row r="310" spans="1:10">
      <c r="C310" t="s">
        <v>1487</v>
      </c>
      <c r="E310" s="465">
        <f>calcProd1Seg2Payer3ShareTotalCustR1</f>
        <v>2.2911428571428579E-3</v>
      </c>
      <c r="F310" s="465">
        <f>calcProd1Seg2Payer3ShareTotalCustR1</f>
        <v>2.2911428571428579E-3</v>
      </c>
      <c r="G310" s="465">
        <f>calcProd1Seg2Payer3ShareTotalCustR1</f>
        <v>2.2911428571428579E-3</v>
      </c>
      <c r="H310" s="465">
        <f>calcProd1Seg2Payer3ShareTotalCustR1</f>
        <v>2.2911428571428579E-3</v>
      </c>
      <c r="I310" s="465">
        <f>calcProd1Seg2Payer3ShareTotalCustR1</f>
        <v>2.2911428571428579E-3</v>
      </c>
    </row>
    <row r="311" spans="1:10">
      <c r="C311" t="s">
        <v>516</v>
      </c>
      <c r="E311" s="511">
        <f>(calcProd1Seg2SampleAllocR2/calcProd1Seg2SampleAllocR1-1)*INDEX(datatblProd1Seg2Payer3,1,)*calcprod1Seg2Payer3TierImpactR2</f>
        <v>0</v>
      </c>
      <c r="F311" s="511">
        <f>(calcProd1Seg2SampleAllocR2/calcProd1Seg2SampleAllocR1-1)*INDEX(datatblProd1Seg2Payer3,1,)*calcprod1Seg2Payer3TierImpactR2</f>
        <v>0</v>
      </c>
      <c r="G311" s="511">
        <f>(calcProd1Seg2SampleAllocR2/calcProd1Seg2SampleAllocR1-1)*INDEX(datatblProd1Seg2Payer3,1,)*calcprod1Seg2Payer3TierImpactR2</f>
        <v>0</v>
      </c>
      <c r="H311" s="511">
        <f>(calcProd1Seg2SampleAllocR2/calcProd1Seg2SampleAllocR1-1)*INDEX(datatblProd1Seg2Payer3,1,)*calcprod1Seg2Payer3TierImpactR2</f>
        <v>0</v>
      </c>
      <c r="I311" s="511">
        <f>(calcProd1Seg2SampleAllocR2/calcProd1Seg2SampleAllocR1-1)*INDEX(datatblProd1Seg2Payer3,1,)*calcprod1Seg2Payer3TierImpactR2</f>
        <v>0</v>
      </c>
      <c r="J311" t="s">
        <v>3054</v>
      </c>
    </row>
    <row r="312" spans="1:10">
      <c r="C312" t="s">
        <v>517</v>
      </c>
      <c r="E312" s="511">
        <f>(calcProd1Seg2SpeakerAllocR2/calcProd1Seg2SpeakerAllocR1-1)*INDEX(datatblProd1Seg2Payer3,2,)*calcprod1Seg2Payer3TierImpactR2</f>
        <v>-9.0000000000000073E-5</v>
      </c>
      <c r="F312" s="511">
        <f>(calcProd1Seg2SpeakerAllocR2/calcProd1Seg2SpeakerAllocR1-1)*INDEX(datatblProd1Seg2Payer3,2,)*calcprod1Seg2Payer3TierImpactR2</f>
        <v>-9.0000000000000073E-5</v>
      </c>
      <c r="G312" s="511">
        <f>(calcProd1Seg2SpeakerAllocR2/calcProd1Seg2SpeakerAllocR1-1)*INDEX(datatblProd1Seg2Payer3,2,)*calcprod1Seg2Payer3TierImpactR2</f>
        <v>-9.0000000000000073E-5</v>
      </c>
      <c r="H312" s="511">
        <f>(calcProd1Seg2SpeakerAllocR2/calcProd1Seg2SpeakerAllocR1-1)*INDEX(datatblProd1Seg2Payer3,2,)*calcprod1Seg2Payer3TierImpactR2</f>
        <v>-9.0000000000000073E-5</v>
      </c>
      <c r="I312" s="511">
        <f>(calcProd1Seg2SpeakerAllocR2/calcProd1Seg2SpeakerAllocR1-1)*INDEX(datatblProd1Seg2Payer3,2,)*calcprod1Seg2Payer3TierImpactR2</f>
        <v>-9.0000000000000073E-5</v>
      </c>
      <c r="J312" t="s">
        <v>3055</v>
      </c>
    </row>
    <row r="313" spans="1:10">
      <c r="C313" t="s">
        <v>2333</v>
      </c>
      <c r="E313" s="511">
        <f>(calcProd1Seg2PromotionAllocR2/calcProd1Seg2PromotionAllocR1-1)*INDEX(datatblProd1Seg2Payer3,3,)*calcprod1Seg2Payer3TierImpactR2</f>
        <v>-6.7500000000000069E-5</v>
      </c>
      <c r="F313" s="511">
        <f>(calcProd1Seg2PromotionAllocR2/calcProd1Seg2PromotionAllocR1-1)*INDEX(datatblProd1Seg2Payer3,3,)*calcprod1Seg2Payer3TierImpactR2</f>
        <v>-6.7500000000000069E-5</v>
      </c>
      <c r="G313" s="511">
        <f>(calcProd1Seg2PromotionAllocR2/calcProd1Seg2PromotionAllocR1-1)*INDEX(datatblProd1Seg2Payer3,3,)*calcprod1Seg2Payer3TierImpactR2</f>
        <v>-6.7500000000000069E-5</v>
      </c>
      <c r="H313" s="511">
        <f>(calcProd1Seg2PromotionAllocR2/calcProd1Seg2PromotionAllocR1-1)*INDEX(datatblProd1Seg2Payer3,3,)*calcprod1Seg2Payer3TierImpactR2</f>
        <v>-6.7500000000000069E-5</v>
      </c>
      <c r="I313" s="511">
        <f>(calcProd1Seg2PromotionAllocR2/calcProd1Seg2PromotionAllocR1-1)*INDEX(datatblProd1Seg2Payer3,3,)*calcprod1Seg2Payer3TierImpactR2</f>
        <v>-6.7500000000000069E-5</v>
      </c>
      <c r="J313" t="s">
        <v>3056</v>
      </c>
    </row>
    <row r="314" spans="1:10">
      <c r="C314" t="s">
        <v>2646</v>
      </c>
      <c r="E314" s="511">
        <f>(calcProd1Seg2Rep1Payer3ImpactR2+calcProd1Seg2Rep2Payer3ImpactR2+calcProd1Seg2Rep3Payer3ImpactR2)*calcprod1Seg2Payer3TierImpactR2</f>
        <v>-7.1999999999999866E-5</v>
      </c>
      <c r="F314" s="511">
        <f>(calcProd1Seg2Rep1Payer3ImpactR2+calcProd1Seg2Rep2Payer3ImpactR2+calcProd1Seg2Rep3Payer3ImpactR2)*calcprod1Seg2Payer3TierImpactR2</f>
        <v>-7.1999999999999866E-5</v>
      </c>
      <c r="G314" s="511">
        <f>(calcProd1Seg2Rep1Payer3ImpactR2+calcProd1Seg2Rep2Payer3ImpactR2+calcProd1Seg2Rep3Payer3ImpactR2)*calcprod1Seg2Payer3TierImpactR2</f>
        <v>-7.1999999999999866E-5</v>
      </c>
      <c r="H314" s="511">
        <f>(calcProd1Seg2Rep1Payer3ImpactR2+calcProd1Seg2Rep2Payer3ImpactR2+calcProd1Seg2Rep3Payer3ImpactR2)*calcprod1Seg2Payer3TierImpactR2</f>
        <v>-7.1999999999999866E-5</v>
      </c>
      <c r="I314" s="511">
        <f>(calcProd1Seg2Rep1Payer3ImpactR2+calcProd1Seg2Rep2Payer3ImpactR2+calcProd1Seg2Rep3Payer3ImpactR2)*calcprod1Seg2Payer3TierImpactR2</f>
        <v>-8.9999999999999884E-5</v>
      </c>
      <c r="J314" t="s">
        <v>3057</v>
      </c>
    </row>
    <row r="316" spans="1:10" s="4" customFormat="1">
      <c r="C316" s="4" t="s">
        <v>1489</v>
      </c>
      <c r="E316" s="500">
        <f>SUM(E310:E315)</f>
        <v>2.0616428571428574E-3</v>
      </c>
      <c r="F316" s="500">
        <f>SUM(F310:F315)</f>
        <v>2.0616428571428574E-3</v>
      </c>
      <c r="G316" s="500">
        <f>SUM(G310:G315)</f>
        <v>2.0616428571428574E-3</v>
      </c>
      <c r="H316" s="500">
        <f>SUM(H310:H315)</f>
        <v>2.0616428571428574E-3</v>
      </c>
      <c r="I316" s="500">
        <f>SUM(I310:I315)</f>
        <v>2.0436428571428576E-3</v>
      </c>
      <c r="J316" s="4" t="s">
        <v>1634</v>
      </c>
    </row>
    <row r="317" spans="1:10">
      <c r="C317" t="s">
        <v>1490</v>
      </c>
      <c r="E317" s="380">
        <f>MAX(calcProd1Seg2Payer3MarketRecurCustR2*calcProd1Seg2Payer3ShareRecurCustR2,0)</f>
        <v>39.367385788500002</v>
      </c>
      <c r="F317" s="380">
        <f>MAX(calcProd1Seg2Payer3MarketRecurCustR2*calcProd1Seg2Payer3ShareRecurCustR2,0)</f>
        <v>39.367385788500002</v>
      </c>
      <c r="G317" s="380">
        <f>MAX(calcProd1Seg2Payer3MarketRecurCustR2*calcProd1Seg2Payer3ShareRecurCustR2,0)</f>
        <v>39.367385788500002</v>
      </c>
      <c r="H317" s="380">
        <f>MAX(calcProd1Seg2Payer3MarketRecurCustR2*calcProd1Seg2Payer3ShareRecurCustR2,0)</f>
        <v>39.367385788500002</v>
      </c>
      <c r="I317" s="380">
        <f>MAX(calcProd1Seg2Payer3MarketRecurCustR2*calcProd1Seg2Payer3ShareRecurCustR2,0)</f>
        <v>39.023673034500007</v>
      </c>
      <c r="J317" t="s">
        <v>1635</v>
      </c>
    </row>
    <row r="319" spans="1:10">
      <c r="C319" t="s">
        <v>804</v>
      </c>
      <c r="E319" s="380">
        <f>INDEX(dataProd1Seg2Payer3NewVolume,,4)</f>
        <v>2603.8844999999997</v>
      </c>
      <c r="F319" s="380">
        <f>INDEX(dataProd1Seg2Payer3NewVolume,,4)</f>
        <v>2603.8844999999997</v>
      </c>
      <c r="G319" s="380">
        <f>INDEX(dataProd1Seg2Payer3NewVolume,,4)</f>
        <v>2603.8844999999997</v>
      </c>
      <c r="H319" s="380">
        <f>INDEX(dataProd1Seg2Payer3NewVolume,,4)</f>
        <v>2603.8844999999997</v>
      </c>
      <c r="I319" s="380">
        <f>INDEX(dataProd1Seg2Payer3NewVolume,,4)</f>
        <v>2603.8844999999997</v>
      </c>
      <c r="J319" t="s">
        <v>1636</v>
      </c>
    </row>
    <row r="321" spans="1:10">
      <c r="C321" t="s">
        <v>1486</v>
      </c>
      <c r="E321" s="465">
        <f>calcProd1Seg2Payer3ShareNewCustR1</f>
        <v>2.2911428571428579E-3</v>
      </c>
      <c r="F321" s="465">
        <f>calcProd1Seg2Payer3ShareNewCustR1</f>
        <v>2.2911428571428579E-3</v>
      </c>
      <c r="G321" s="465">
        <f>calcProd1Seg2Payer3ShareNewCustR1</f>
        <v>2.2911428571428579E-3</v>
      </c>
      <c r="H321" s="465">
        <f>calcProd1Seg2Payer3ShareNewCustR1</f>
        <v>2.2911428571428579E-3</v>
      </c>
      <c r="I321" s="465">
        <f>calcProd1Seg2Payer3ShareNewCustR1</f>
        <v>2.2911428571428579E-3</v>
      </c>
    </row>
    <row r="322" spans="1:10">
      <c r="C322" t="s">
        <v>516</v>
      </c>
      <c r="E322" s="511">
        <f>(calcProd1Seg2SampleAllocR2/calcProd1Seg2SampleAllocR1-1)*INDEX(datatblProd1Seg2Payer3,1,)*calcprod1Seg2Payer3TierImpactR2</f>
        <v>0</v>
      </c>
      <c r="F322" s="511">
        <f>(calcProd1Seg2SampleAllocR2/calcProd1Seg2SampleAllocR1-1)*INDEX(datatblProd1Seg2Payer3,1,)*calcprod1Seg2Payer3TierImpactR2</f>
        <v>0</v>
      </c>
      <c r="G322" s="511">
        <f>(calcProd1Seg2SampleAllocR2/calcProd1Seg2SampleAllocR1-1)*INDEX(datatblProd1Seg2Payer3,1,)*calcprod1Seg2Payer3TierImpactR2</f>
        <v>0</v>
      </c>
      <c r="H322" s="511">
        <f>(calcProd1Seg2SampleAllocR2/calcProd1Seg2SampleAllocR1-1)*INDEX(datatblProd1Seg2Payer3,1,)*calcprod1Seg2Payer3TierImpactR2</f>
        <v>0</v>
      </c>
      <c r="I322" s="511">
        <f>(calcProd1Seg2SampleAllocR2/calcProd1Seg2SampleAllocR1-1)*INDEX(datatblProd1Seg2Payer3,1,)*calcprod1Seg2Payer3TierImpactR2</f>
        <v>0</v>
      </c>
      <c r="J322" t="s">
        <v>3159</v>
      </c>
    </row>
    <row r="323" spans="1:10">
      <c r="C323" t="s">
        <v>517</v>
      </c>
      <c r="E323" s="511">
        <f>(calcProd1Seg2SpeakerAllocR2/calcProd1Seg2SpeakerAllocR1-1)*INDEX(datatblProd1Seg2Payer3,2,)*calcprod1Seg2Payer3TierImpactR2</f>
        <v>-9.0000000000000073E-5</v>
      </c>
      <c r="F323" s="511">
        <f>(calcProd1Seg2SpeakerAllocR2/calcProd1Seg2SpeakerAllocR1-1)*INDEX(datatblProd1Seg2Payer3,2,)*calcprod1Seg2Payer3TierImpactR2</f>
        <v>-9.0000000000000073E-5</v>
      </c>
      <c r="G323" s="511">
        <f>(calcProd1Seg2SpeakerAllocR2/calcProd1Seg2SpeakerAllocR1-1)*INDEX(datatblProd1Seg2Payer3,2,)*calcprod1Seg2Payer3TierImpactR2</f>
        <v>-9.0000000000000073E-5</v>
      </c>
      <c r="H323" s="511">
        <f>(calcProd1Seg2SpeakerAllocR2/calcProd1Seg2SpeakerAllocR1-1)*INDEX(datatblProd1Seg2Payer3,2,)*calcprod1Seg2Payer3TierImpactR2</f>
        <v>-9.0000000000000073E-5</v>
      </c>
      <c r="I323" s="511">
        <f>(calcProd1Seg2SpeakerAllocR2/calcProd1Seg2SpeakerAllocR1-1)*INDEX(datatblProd1Seg2Payer3,2,)*calcprod1Seg2Payer3TierImpactR2</f>
        <v>-9.0000000000000073E-5</v>
      </c>
      <c r="J323" t="s">
        <v>3160</v>
      </c>
    </row>
    <row r="324" spans="1:10">
      <c r="C324" t="s">
        <v>2333</v>
      </c>
      <c r="E324" s="511">
        <f>(calcProd1Seg2PromotionAllocR2/calcProd1Seg2PromotionAllocR1-1)*INDEX(datatblProd1Seg2Payer3,3,)*calcprod1Seg2Payer3TierImpactR2</f>
        <v>-6.7500000000000069E-5</v>
      </c>
      <c r="F324" s="511">
        <f>(calcProd1Seg2PromotionAllocR2/calcProd1Seg2PromotionAllocR1-1)*INDEX(datatblProd1Seg2Payer3,3,)*calcprod1Seg2Payer3TierImpactR2</f>
        <v>-6.7500000000000069E-5</v>
      </c>
      <c r="G324" s="511">
        <f>(calcProd1Seg2PromotionAllocR2/calcProd1Seg2PromotionAllocR1-1)*INDEX(datatblProd1Seg2Payer3,3,)*calcprod1Seg2Payer3TierImpactR2</f>
        <v>-6.7500000000000069E-5</v>
      </c>
      <c r="H324" s="511">
        <f>(calcProd1Seg2PromotionAllocR2/calcProd1Seg2PromotionAllocR1-1)*INDEX(datatblProd1Seg2Payer3,3,)*calcprod1Seg2Payer3TierImpactR2</f>
        <v>-6.7500000000000069E-5</v>
      </c>
      <c r="I324" s="511">
        <f>(calcProd1Seg2PromotionAllocR2/calcProd1Seg2PromotionAllocR1-1)*INDEX(datatblProd1Seg2Payer3,3,)*calcprod1Seg2Payer3TierImpactR2</f>
        <v>-6.7500000000000069E-5</v>
      </c>
      <c r="J324" t="s">
        <v>3161</v>
      </c>
    </row>
    <row r="325" spans="1:10">
      <c r="C325" t="s">
        <v>2646</v>
      </c>
      <c r="E325" s="511">
        <f>(calcProd1Seg2Rep1Payer3ImpactR2+calcProd1Seg2Rep2Payer3ImpactR2+calcProd1Seg2Rep3Payer3ImpactR2)*calcprod1Seg2Payer3TierImpactR2</f>
        <v>-7.1999999999999866E-5</v>
      </c>
      <c r="F325" s="511">
        <f>(calcProd1Seg2Rep1Payer3ImpactR2+calcProd1Seg2Rep2Payer3ImpactR2+calcProd1Seg2Rep3Payer3ImpactR2)*calcprod1Seg2Payer3TierImpactR2</f>
        <v>-7.1999999999999866E-5</v>
      </c>
      <c r="G325" s="511">
        <f>(calcProd1Seg2Rep1Payer3ImpactR2+calcProd1Seg2Rep2Payer3ImpactR2+calcProd1Seg2Rep3Payer3ImpactR2)*calcprod1Seg2Payer3TierImpactR2</f>
        <v>-7.1999999999999866E-5</v>
      </c>
      <c r="H325" s="511">
        <f>(calcProd1Seg2Rep1Payer3ImpactR2+calcProd1Seg2Rep2Payer3ImpactR2+calcProd1Seg2Rep3Payer3ImpactR2)*calcprod1Seg2Payer3TierImpactR2</f>
        <v>-7.1999999999999866E-5</v>
      </c>
      <c r="I325" s="511">
        <f>(calcProd1Seg2Rep1Payer3ImpactR2+calcProd1Seg2Rep2Payer3ImpactR2+calcProd1Seg2Rep3Payer3ImpactR2)*calcprod1Seg2Payer3TierImpactR2</f>
        <v>-8.9999999999999884E-5</v>
      </c>
      <c r="J325" t="s">
        <v>3162</v>
      </c>
    </row>
    <row r="327" spans="1:10" s="4" customFormat="1">
      <c r="C327" s="4" t="s">
        <v>1534</v>
      </c>
      <c r="E327" s="500">
        <f>SUM(E321:E326)</f>
        <v>2.0616428571428574E-3</v>
      </c>
      <c r="F327" s="500">
        <f>SUM(F321:F326)</f>
        <v>2.0616428571428574E-3</v>
      </c>
      <c r="G327" s="500">
        <f>SUM(G321:G326)</f>
        <v>2.0616428571428574E-3</v>
      </c>
      <c r="H327" s="500">
        <f>SUM(H321:H326)</f>
        <v>2.0616428571428574E-3</v>
      </c>
      <c r="I327" s="500">
        <f>SUM(I321:I326)</f>
        <v>2.0436428571428576E-3</v>
      </c>
      <c r="J327" s="4" t="s">
        <v>1637</v>
      </c>
    </row>
    <row r="328" spans="1:10">
      <c r="C328" t="s">
        <v>1490</v>
      </c>
      <c r="E328" s="380">
        <f>MAX(calcProd1Seg2Payer3MarketGrowthCustR2*calcProd1Seg2Payer3ShareNewCustR2,0)</f>
        <v>5.3682798802500002</v>
      </c>
      <c r="F328" s="380">
        <f>MAX(calcProd1Seg2Payer3MarketGrowthCustR2*calcProd1Seg2Payer3ShareNewCustR2,0)</f>
        <v>5.3682798802500002</v>
      </c>
      <c r="G328" s="380">
        <f>MAX(calcProd1Seg2Payer3MarketGrowthCustR2*calcProd1Seg2Payer3ShareNewCustR2,0)</f>
        <v>5.3682798802500002</v>
      </c>
      <c r="H328" s="380">
        <f>MAX(calcProd1Seg2Payer3MarketGrowthCustR2*calcProd1Seg2Payer3ShareNewCustR2,0)</f>
        <v>5.3682798802500002</v>
      </c>
      <c r="I328" s="380">
        <f>MAX(calcProd1Seg2Payer3MarketGrowthCustR2*calcProd1Seg2Payer3ShareNewCustR2,0)</f>
        <v>5.3214099592500004</v>
      </c>
      <c r="J328" s="4" t="s">
        <v>1638</v>
      </c>
    </row>
    <row r="330" spans="1:10">
      <c r="C330" t="s">
        <v>1537</v>
      </c>
      <c r="E330" s="380">
        <f>calcProd1Seg2Payer3MarketRecurCustR2+calcProd1Seg2Payer3MarketGrowthCustR2</f>
        <v>21699.037499999999</v>
      </c>
      <c r="F330" s="380">
        <f>calcProd1Seg2Payer3MarketRecurCustR2+calcProd1Seg2Payer3MarketGrowthCustR2</f>
        <v>21699.037499999999</v>
      </c>
      <c r="G330" s="380">
        <f>calcProd1Seg2Payer3MarketRecurCustR2+calcProd1Seg2Payer3MarketGrowthCustR2</f>
        <v>21699.037499999999</v>
      </c>
      <c r="H330" s="380">
        <f>calcProd1Seg2Payer3MarketRecurCustR2+calcProd1Seg2Payer3MarketGrowthCustR2</f>
        <v>21699.037499999999</v>
      </c>
      <c r="I330" s="380">
        <f>calcProd1Seg2Payer3MarketRecurCustR2+calcProd1Seg2Payer3MarketGrowthCustR2</f>
        <v>21699.037499999999</v>
      </c>
      <c r="J330" t="s">
        <v>1639</v>
      </c>
    </row>
    <row r="331" spans="1:10">
      <c r="C331" t="s">
        <v>1539</v>
      </c>
      <c r="E331" s="380">
        <f>calcProd1Seg2Payer3VolumeRecurCustR2+calcProd1Seg2Payer3VolumeNewCustR2</f>
        <v>44.735665668750002</v>
      </c>
      <c r="F331" s="380">
        <f>calcProd1Seg2Payer3VolumeRecurCustR2+calcProd1Seg2Payer3VolumeNewCustR2</f>
        <v>44.735665668750002</v>
      </c>
      <c r="G331" s="380">
        <f>calcProd1Seg2Payer3VolumeRecurCustR2+calcProd1Seg2Payer3VolumeNewCustR2</f>
        <v>44.735665668750002</v>
      </c>
      <c r="H331" s="380">
        <f>calcProd1Seg2Payer3VolumeRecurCustR2+calcProd1Seg2Payer3VolumeNewCustR2</f>
        <v>44.735665668750002</v>
      </c>
      <c r="I331" s="380">
        <f>calcProd1Seg2Payer3VolumeRecurCustR2+calcProd1Seg2Payer3VolumeNewCustR2</f>
        <v>44.345082993750005</v>
      </c>
      <c r="J331" t="s">
        <v>1640</v>
      </c>
    </row>
    <row r="332" spans="1:10" s="4" customFormat="1">
      <c r="C332" s="4" t="s">
        <v>841</v>
      </c>
      <c r="E332" s="500">
        <f>calcProd1Seg2Payer3VolumeR1/calcProd1Seg2Payer3TotalVolumeR1</f>
        <v>2.2911428571428579E-3</v>
      </c>
      <c r="F332" s="500">
        <f>calcProd1Seg2Payer3VolumeR1/calcProd1Seg2Payer3TotalVolumeR1</f>
        <v>2.2911428571428579E-3</v>
      </c>
      <c r="G332" s="500">
        <f>calcProd1Seg2Payer3VolumeR1/calcProd1Seg2Payer3TotalVolumeR1</f>
        <v>2.2911428571428579E-3</v>
      </c>
      <c r="H332" s="500">
        <f>calcProd1Seg2Payer3VolumeR1/calcProd1Seg2Payer3TotalVolumeR1</f>
        <v>2.2911428571428579E-3</v>
      </c>
      <c r="I332" s="500">
        <f>calcProd1Seg2Payer3VolumeR1/calcProd1Seg2Payer3TotalVolumeR1</f>
        <v>2.2911428571428579E-3</v>
      </c>
      <c r="J332" s="4" t="s">
        <v>1641</v>
      </c>
    </row>
    <row r="333" spans="1:10">
      <c r="A333" s="4"/>
    </row>
    <row r="334" spans="1:10" s="502" customFormat="1">
      <c r="A334" s="501" t="str">
        <f>nmProd1Seg3</f>
        <v>Lordfrey City</v>
      </c>
    </row>
    <row r="335" spans="1:10" s="376" customFormat="1">
      <c r="A335" s="376" t="str">
        <f>nmPayer1</f>
        <v>Blue Sword/Blue Shield</v>
      </c>
    </row>
    <row r="336" spans="1:10">
      <c r="A336" s="16" t="s">
        <v>1488</v>
      </c>
      <c r="C336" s="4" t="s">
        <v>803</v>
      </c>
      <c r="E336" s="380">
        <f>INDEX(dataProd1Seg3Payer1TotalVolume,,3)</f>
        <v>9025.4499999999989</v>
      </c>
      <c r="F336" s="380">
        <f>INDEX(dataProd1Seg3Payer1TotalVolume,,3)</f>
        <v>9025.4499999999989</v>
      </c>
      <c r="G336" s="380">
        <f>INDEX(dataProd1Seg3Payer1TotalVolume,,3)</f>
        <v>9025.4499999999989</v>
      </c>
      <c r="H336" s="380">
        <f>INDEX(dataProd1Seg3Payer1TotalVolume,,3)</f>
        <v>9025.4499999999989</v>
      </c>
      <c r="I336" s="380">
        <f>INDEX(dataProd1Seg3Payer1TotalVolume,,3)</f>
        <v>9025.4499999999989</v>
      </c>
      <c r="J336" t="s">
        <v>1642</v>
      </c>
    </row>
    <row r="337" spans="3:10">
      <c r="C337" t="s">
        <v>3253</v>
      </c>
      <c r="E337" t="str">
        <f>obalProd1Payer1Status</f>
        <v>T2 DGSE</v>
      </c>
      <c r="F337" t="str">
        <f>obalProd1Payer1Status</f>
        <v>T2 DGSE</v>
      </c>
      <c r="G337" t="str">
        <f>obalProd1Payer1Status</f>
        <v>T2 DGSE</v>
      </c>
      <c r="H337" t="str">
        <f>obalProd1Payer1Status</f>
        <v>T2 DGSE</v>
      </c>
      <c r="I337" t="str">
        <f>obalProd1Payer1Status</f>
        <v>T2 DGSE</v>
      </c>
    </row>
    <row r="338" spans="3:10">
      <c r="C338" t="s">
        <v>2887</v>
      </c>
      <c r="E338">
        <f>INDEX(dataTierVolumeImpact,MATCH(E337,MarketData!$K$12:$K$17,0),)</f>
        <v>1.1000000000000001</v>
      </c>
      <c r="F338">
        <f>INDEX(dataTierVolumeImpact,MATCH(F337,MarketData!$K$12:$K$17,0),)</f>
        <v>1.1000000000000001</v>
      </c>
      <c r="G338">
        <f>INDEX(dataTierVolumeImpact,MATCH(G337,MarketData!$K$12:$K$17,0),)</f>
        <v>1.1000000000000001</v>
      </c>
      <c r="H338">
        <f>INDEX(dataTierVolumeImpact,MATCH(H337,MarketData!$K$12:$K$17,0),)</f>
        <v>1.1000000000000001</v>
      </c>
      <c r="I338">
        <f>INDEX(dataTierVolumeImpact,MATCH(I337,MarketData!$K$12:$K$17,0),)</f>
        <v>1.1000000000000001</v>
      </c>
      <c r="J338" t="s">
        <v>3266</v>
      </c>
    </row>
    <row r="339" spans="3:10">
      <c r="C339" t="s">
        <v>1487</v>
      </c>
      <c r="E339" s="465">
        <f>obalProd1Seg3Payer1Share</f>
        <v>6.7199999999999985E-3</v>
      </c>
      <c r="F339" s="465">
        <f>obalProd1Seg3Payer1Share</f>
        <v>6.7199999999999985E-3</v>
      </c>
      <c r="G339" s="465">
        <f>obalProd1Seg3Payer1Share</f>
        <v>6.7199999999999985E-3</v>
      </c>
      <c r="H339" s="465">
        <f>obalProd1Seg3Payer1Share</f>
        <v>6.7199999999999985E-3</v>
      </c>
      <c r="I339" s="465">
        <f>obalProd1Seg3Payer1Share</f>
        <v>6.7199999999999985E-3</v>
      </c>
    </row>
    <row r="340" spans="3:10">
      <c r="C340" t="s">
        <v>516</v>
      </c>
      <c r="E340" s="511">
        <f>(calcProd1Seg3SampleAllocR1/obalProd1Seg3SampleAlloc-1)*INDEX(datatblProd1Seg3Payer1,1,)*calcprod1Seg3Payer1TierImpactR1</f>
        <v>0</v>
      </c>
      <c r="F340" s="511">
        <f>(calcProd1Seg3SampleAllocR1/obalProd1Seg3SampleAlloc-1)*INDEX(datatblProd1Seg3Payer1,1,)</f>
        <v>0</v>
      </c>
      <c r="G340" s="511">
        <f>(calcProd1Seg3SampleAllocR1/obalProd1Seg3SampleAlloc-1)*INDEX(datatblProd1Seg3Payer1,1,)</f>
        <v>0</v>
      </c>
      <c r="H340" s="511">
        <f>(calcProd1Seg3SampleAllocR1/obalProd1Seg3SampleAlloc-1)*INDEX(datatblProd1Seg3Payer1,1,)</f>
        <v>0</v>
      </c>
      <c r="I340" s="511">
        <f>(calcProd1Seg3SampleAllocR1/obalProd1Seg3SampleAlloc-1)*INDEX(datatblProd1Seg3Payer1,1,)</f>
        <v>0</v>
      </c>
      <c r="J340" t="s">
        <v>2796</v>
      </c>
    </row>
    <row r="341" spans="3:10">
      <c r="C341" t="s">
        <v>517</v>
      </c>
      <c r="E341" s="511">
        <f>(calcProd1Seg3SpeakerAllocR1/obalProd1Seg3SpeakerAlloc-1)*INDEX(datatblProd1Seg3Payer1,2,)*(calcprod1Seg3Payer1TierImpactR1)</f>
        <v>0</v>
      </c>
      <c r="F341" s="511">
        <f>(calcProd1Seg3SpeakerAllocR1/obalProd1Seg3SpeakerAlloc-1)*INDEX(datatblProd1Seg3Payer1,2,)</f>
        <v>0</v>
      </c>
      <c r="G341" s="511">
        <f>(calcProd1Seg3SpeakerAllocR1/obalProd1Seg3SpeakerAlloc-1)*INDEX(datatblProd1Seg3Payer1,2,)</f>
        <v>0</v>
      </c>
      <c r="H341" s="511">
        <f>(calcProd1Seg3SpeakerAllocR1/obalProd1Seg3SpeakerAlloc-1)*INDEX(datatblProd1Seg3Payer1,2,)</f>
        <v>0</v>
      </c>
      <c r="I341" s="511">
        <f>(calcProd1Seg3SpeakerAllocR1/obalProd1Seg3SpeakerAlloc-1)*INDEX(datatblProd1Seg3Payer1,2,)</f>
        <v>0</v>
      </c>
      <c r="J341" t="s">
        <v>2797</v>
      </c>
    </row>
    <row r="342" spans="3:10">
      <c r="C342" t="s">
        <v>2333</v>
      </c>
      <c r="E342" s="511">
        <f>(calcProd1Seg3PromotionAllocR1/obalProd1Seg3PromotionAlloc-1)*INDEX(datatblProd1Seg3Payer1,3,)*calcprod1Seg3Payer1TierImpactR1</f>
        <v>0</v>
      </c>
      <c r="F342" s="511">
        <f>(calcProd1Seg3PromotionAllocR1/obalProd1Seg3PromotionAlloc-1)*INDEX(datatblProd1Seg3Payer1,3,)</f>
        <v>0</v>
      </c>
      <c r="G342" s="511">
        <f>(calcProd1Seg3PromotionAllocR1/obalProd1Seg3PromotionAlloc-1)*INDEX(datatblProd1Seg3Payer1,3,)</f>
        <v>0</v>
      </c>
      <c r="H342" s="511">
        <f>(calcProd1Seg3PromotionAllocR1/obalProd1Seg3PromotionAlloc-1)*INDEX(datatblProd1Seg3Payer1,3,)</f>
        <v>0</v>
      </c>
      <c r="I342" s="511">
        <f>(calcProd1Seg3PromotionAllocR1/obalProd1Seg3PromotionAlloc-1)*INDEX(datatblProd1Seg3Payer1,3,)</f>
        <v>0</v>
      </c>
      <c r="J342" t="s">
        <v>2798</v>
      </c>
    </row>
    <row r="343" spans="3:10">
      <c r="C343" t="s">
        <v>2646</v>
      </c>
      <c r="E343" s="511">
        <f>(calcProd1Seg3Rep1Payer1ImpactR1+calcProd1Seg3Rep2Payer1ImpactR1+calcProd1Seg3Rep3Payer1ImpactR1)*calcprod1Seg3Payer1TierImpactR1</f>
        <v>-1.0999999999999998E-3</v>
      </c>
      <c r="F343" s="511">
        <f>(calcProd1Seg3Rep1Payer1ImpactR1+calcProd1Seg3Rep2Payer1ImpactR1+calcProd1Seg3Rep3Payer1ImpactR1)*calcprod1Seg3Payer1TierImpactR1</f>
        <v>-1.0999999999999998E-3</v>
      </c>
      <c r="G343" s="511">
        <f>(calcProd1Seg3Rep1Payer1ImpactR1+calcProd1Seg3Rep2Payer1ImpactR1+calcProd1Seg3Rep3Payer1ImpactR1)*calcprod1Seg3Payer1TierImpactR1</f>
        <v>-1.0999999999999998E-3</v>
      </c>
      <c r="H343" s="511">
        <f>(calcProd1Seg3Rep1Payer1ImpactR1+calcProd1Seg3Rep2Payer1ImpactR1+calcProd1Seg3Rep3Payer1ImpactR1)*calcprod1Seg3Payer1TierImpactR1</f>
        <v>-1.0999999999999998E-3</v>
      </c>
      <c r="I343" s="511">
        <f>(calcProd1Seg3Rep1Payer1ImpactR1+calcProd1Seg3Rep2Payer1ImpactR1+calcProd1Seg3Rep3Payer1ImpactR1)*calcprod1Seg3Payer1TierImpactR1</f>
        <v>-1.0999999999999998E-3</v>
      </c>
      <c r="J343" t="s">
        <v>2799</v>
      </c>
    </row>
    <row r="344" spans="3:10" s="4" customFormat="1">
      <c r="C344" s="4" t="s">
        <v>1489</v>
      </c>
      <c r="E344" s="500">
        <f>SUM(E339:E343)</f>
        <v>5.6199999999999983E-3</v>
      </c>
      <c r="F344" s="500">
        <f t="shared" ref="F344:I344" si="6">SUM(F339:F343)</f>
        <v>5.6199999999999983E-3</v>
      </c>
      <c r="G344" s="500">
        <f t="shared" si="6"/>
        <v>5.6199999999999983E-3</v>
      </c>
      <c r="H344" s="500">
        <f t="shared" si="6"/>
        <v>5.6199999999999983E-3</v>
      </c>
      <c r="I344" s="500">
        <f t="shared" si="6"/>
        <v>5.6199999999999983E-3</v>
      </c>
      <c r="J344" s="4" t="s">
        <v>1643</v>
      </c>
    </row>
    <row r="345" spans="3:10">
      <c r="C345" t="s">
        <v>1490</v>
      </c>
      <c r="E345" s="380">
        <f>MAX(calcProd1Seg3Payer1MarketRecurCustR1*calcProd1Seg3Payer1ShareRecurCustR1,0)</f>
        <v>50.723028999999975</v>
      </c>
      <c r="F345" s="380">
        <f>MAX(calcProd1Seg3Payer1MarketRecurCustR1*calcProd1Seg3Payer1ShareRecurCustR1,0)</f>
        <v>50.723028999999975</v>
      </c>
      <c r="G345" s="380">
        <f>MAX(calcProd1Seg3Payer1MarketRecurCustR1*calcProd1Seg3Payer1ShareRecurCustR1,0)</f>
        <v>50.723028999999975</v>
      </c>
      <c r="H345" s="380">
        <f>MAX(calcProd1Seg3Payer1MarketRecurCustR1*calcProd1Seg3Payer1ShareRecurCustR1,0)</f>
        <v>50.723028999999975</v>
      </c>
      <c r="I345" s="380">
        <f>MAX(calcProd1Seg3Payer1MarketRecurCustR1*calcProd1Seg3Payer1ShareRecurCustR1,0)</f>
        <v>50.723028999999975</v>
      </c>
      <c r="J345" t="s">
        <v>1644</v>
      </c>
    </row>
    <row r="347" spans="3:10">
      <c r="C347" t="s">
        <v>804</v>
      </c>
      <c r="E347" s="380">
        <f>INDEX(dataProd1Seg3Payer1NewVolume,,3)</f>
        <v>759.15</v>
      </c>
      <c r="F347" s="380">
        <f>INDEX(dataProd1Seg3Payer1NewVolume,,3)</f>
        <v>759.15</v>
      </c>
      <c r="G347" s="380">
        <f>INDEX(dataProd1Seg3Payer1NewVolume,,3)</f>
        <v>759.15</v>
      </c>
      <c r="H347" s="380">
        <f>INDEX(dataProd1Seg3Payer1NewVolume,,3)</f>
        <v>759.15</v>
      </c>
      <c r="I347" s="380">
        <f>INDEX(dataProd1Seg3Payer1NewVolume,,3)</f>
        <v>759.15</v>
      </c>
      <c r="J347" t="s">
        <v>1645</v>
      </c>
    </row>
    <row r="349" spans="3:10">
      <c r="C349" t="s">
        <v>1486</v>
      </c>
      <c r="E349" s="465">
        <f>obalProd1Seg3Payer1Share</f>
        <v>6.7199999999999985E-3</v>
      </c>
      <c r="F349" s="465">
        <f>obalProd1Seg3Payer1Share</f>
        <v>6.7199999999999985E-3</v>
      </c>
      <c r="G349" s="465">
        <f>obalProd1Seg3Payer1Share</f>
        <v>6.7199999999999985E-3</v>
      </c>
      <c r="H349" s="465">
        <f>obalProd1Seg3Payer1Share</f>
        <v>6.7199999999999985E-3</v>
      </c>
      <c r="I349" s="465">
        <f>obalProd1Seg3Payer1Share</f>
        <v>6.7199999999999985E-3</v>
      </c>
    </row>
    <row r="350" spans="3:10">
      <c r="C350" t="s">
        <v>516</v>
      </c>
      <c r="E350" s="511">
        <f>(calcProd1Seg3SampleAllocR1/obalProd1Seg3SampleAlloc-1)*INDEX(datatblProd1Seg3Payer1,1,)*calcprod1Seg3Payer1TierImpactR1</f>
        <v>0</v>
      </c>
      <c r="F350" s="511">
        <f>(calcProd1Seg3SampleAllocR1/obalProd1Seg3SampleAlloc-1)*INDEX(datatblProd1Seg3Payer1,1,)*calcprod1Seg3Payer1TierImpactR1</f>
        <v>0</v>
      </c>
      <c r="G350" s="511">
        <f>(calcProd1Seg3SampleAllocR1/obalProd1Seg3SampleAlloc-1)*INDEX(datatblProd1Seg3Payer1,1,)*calcprod1Seg3Payer1TierImpactR1</f>
        <v>0</v>
      </c>
      <c r="H350" s="511">
        <f>(calcProd1Seg3SampleAllocR1/obalProd1Seg3SampleAlloc-1)*INDEX(datatblProd1Seg3Payer1,1,)*calcprod1Seg3Payer1TierImpactR1</f>
        <v>0</v>
      </c>
      <c r="I350" s="511">
        <f>(calcProd1Seg3SampleAllocR1/obalProd1Seg3SampleAlloc-1)*INDEX(datatblProd1Seg3Payer1,1,)*calcprod1Seg3Payer1TierImpactR1</f>
        <v>0</v>
      </c>
      <c r="J350" t="s">
        <v>3058</v>
      </c>
    </row>
    <row r="351" spans="3:10">
      <c r="C351" t="s">
        <v>517</v>
      </c>
      <c r="E351" s="511">
        <f>(calcProd1Seg3SpeakerAllocR1/obalProd1Seg3SpeakerAlloc-1)*INDEX(datatblProd1Seg3Payer1,2,)*calcprod1Seg3Payer1TierImpactR1</f>
        <v>0</v>
      </c>
      <c r="F351" s="511">
        <f>(calcProd1Seg3SpeakerAllocR1/obalProd1Seg3SpeakerAlloc-1)*INDEX(datatblProd1Seg3Payer1,2,)*calcprod1Seg3Payer1TierImpactR1</f>
        <v>0</v>
      </c>
      <c r="G351" s="511">
        <f>(calcProd1Seg3SpeakerAllocR1/obalProd1Seg3SpeakerAlloc-1)*INDEX(datatblProd1Seg3Payer1,2,)*calcprod1Seg3Payer1TierImpactR1</f>
        <v>0</v>
      </c>
      <c r="H351" s="511">
        <f>(calcProd1Seg3SpeakerAllocR1/obalProd1Seg3SpeakerAlloc-1)*INDEX(datatblProd1Seg3Payer1,2,)*calcprod1Seg3Payer1TierImpactR1</f>
        <v>0</v>
      </c>
      <c r="I351" s="511">
        <f>(calcProd1Seg3SpeakerAllocR1/obalProd1Seg3SpeakerAlloc-1)*INDEX(datatblProd1Seg3Payer1,2,)*calcprod1Seg3Payer1TierImpactR1</f>
        <v>0</v>
      </c>
      <c r="J351" t="s">
        <v>3059</v>
      </c>
    </row>
    <row r="352" spans="3:10">
      <c r="C352" t="s">
        <v>2333</v>
      </c>
      <c r="E352" s="511">
        <f>(calcProd1Seg3PromotionAllocR1/obalProd1Seg3PromotionAlloc-1)*INDEX(datatblProd1Seg3Payer1,3,)*calcprod1Seg3Payer1TierImpactR1</f>
        <v>0</v>
      </c>
      <c r="F352" s="511">
        <f>(calcProd1Seg3PromotionAllocR1/obalProd1Seg3PromotionAlloc-1)*INDEX(datatblProd1Seg3Payer1,3,)*calcprod1Seg3Payer1TierImpactR1</f>
        <v>0</v>
      </c>
      <c r="G352" s="511">
        <f>(calcProd1Seg3PromotionAllocR1/obalProd1Seg3PromotionAlloc-1)*INDEX(datatblProd1Seg3Payer1,3,)*calcprod1Seg3Payer1TierImpactR1</f>
        <v>0</v>
      </c>
      <c r="H352" s="511">
        <f>(calcProd1Seg3PromotionAllocR1/obalProd1Seg3PromotionAlloc-1)*INDEX(datatblProd1Seg3Payer1,3,)*calcprod1Seg3Payer1TierImpactR1</f>
        <v>0</v>
      </c>
      <c r="I352" s="511">
        <f>(calcProd1Seg3PromotionAllocR1/obalProd1Seg3PromotionAlloc-1)*INDEX(datatblProd1Seg3Payer1,3,)*calcprod1Seg3Payer1TierImpactR1</f>
        <v>0</v>
      </c>
      <c r="J352" t="s">
        <v>3060</v>
      </c>
    </row>
    <row r="353" spans="1:10">
      <c r="C353" t="s">
        <v>2646</v>
      </c>
      <c r="E353" s="511">
        <f>(calcProd1Seg3Rep1Payer1ImpactR1+calcProd1Seg3Rep2Payer1ImpactR1+calcProd1Seg3Rep3Payer1ImpactR1)*calcprod1Seg3Payer1TierImpactR1</f>
        <v>-1.0999999999999998E-3</v>
      </c>
      <c r="F353" s="511">
        <f>(calcProd1Seg3Rep1Payer1ImpactR1+calcProd1Seg3Rep2Payer1ImpactR1+calcProd1Seg3Rep3Payer1ImpactR1)*calcprod1Seg3Payer1TierImpactR1</f>
        <v>-1.0999999999999998E-3</v>
      </c>
      <c r="G353" s="511">
        <f>(calcProd1Seg3Rep1Payer1ImpactR1+calcProd1Seg3Rep2Payer1ImpactR1+calcProd1Seg3Rep3Payer1ImpactR1)*calcprod1Seg3Payer1TierImpactR1</f>
        <v>-1.0999999999999998E-3</v>
      </c>
      <c r="H353" s="511">
        <f>(calcProd1Seg3Rep1Payer1ImpactR1+calcProd1Seg3Rep2Payer1ImpactR1+calcProd1Seg3Rep3Payer1ImpactR1)*calcprod1Seg3Payer1TierImpactR1</f>
        <v>-1.0999999999999998E-3</v>
      </c>
      <c r="I353" s="511">
        <f>(calcProd1Seg3Rep1Payer1ImpactR1+calcProd1Seg3Rep2Payer1ImpactR1+calcProd1Seg3Rep3Payer1ImpactR1)*calcprod1Seg3Payer1TierImpactR1</f>
        <v>-1.0999999999999998E-3</v>
      </c>
      <c r="J353" t="s">
        <v>3061</v>
      </c>
    </row>
    <row r="354" spans="1:10">
      <c r="C354" t="s">
        <v>2905</v>
      </c>
    </row>
    <row r="355" spans="1:10" s="4" customFormat="1">
      <c r="C355" s="4" t="s">
        <v>1534</v>
      </c>
      <c r="E355" s="500">
        <f>SUM(E349:E354)</f>
        <v>5.6199999999999983E-3</v>
      </c>
      <c r="F355" s="500">
        <f>SUM(F349:F354)</f>
        <v>5.6199999999999983E-3</v>
      </c>
      <c r="G355" s="500">
        <f>SUM(G349:G354)</f>
        <v>5.6199999999999983E-3</v>
      </c>
      <c r="H355" s="500">
        <f>SUM(H349:H354)</f>
        <v>5.6199999999999983E-3</v>
      </c>
      <c r="I355" s="500">
        <f>SUM(I349:I354)</f>
        <v>5.6199999999999983E-3</v>
      </c>
      <c r="J355" s="4" t="s">
        <v>1646</v>
      </c>
    </row>
    <row r="356" spans="1:10">
      <c r="C356" t="s">
        <v>1490</v>
      </c>
      <c r="E356" s="380">
        <f>MAX(calcProd1Seg3Payer1MarketGrowthCustR1*calcProd1Seg3Payer1ShareNewCustR1,0)</f>
        <v>4.2664229999999987</v>
      </c>
      <c r="F356" s="380">
        <f>MAX(calcProd1Seg3Payer1MarketGrowthCustR1*calcProd1Seg3Payer1ShareNewCustR1,0)</f>
        <v>4.2664229999999987</v>
      </c>
      <c r="G356" s="380">
        <f>MAX(calcProd1Seg3Payer1MarketGrowthCustR1*calcProd1Seg3Payer1ShareNewCustR1,0)</f>
        <v>4.2664229999999987</v>
      </c>
      <c r="H356" s="380">
        <f>MAX(calcProd1Seg3Payer1MarketGrowthCustR1*calcProd1Seg3Payer1ShareNewCustR1,0)</f>
        <v>4.2664229999999987</v>
      </c>
      <c r="I356" s="380">
        <f>MAX(calcProd1Seg3Payer1MarketGrowthCustR1*calcProd1Seg3Payer1ShareNewCustR1,0)</f>
        <v>4.2664229999999987</v>
      </c>
      <c r="J356" s="4" t="s">
        <v>1647</v>
      </c>
    </row>
    <row r="358" spans="1:10">
      <c r="C358" t="s">
        <v>1537</v>
      </c>
      <c r="E358" s="380">
        <f>calcProd1Seg3Payer1MarketRecurCustR1+calcProd1Seg3Payer1MarketGrowthCustR1</f>
        <v>9784.5999999999985</v>
      </c>
      <c r="F358" s="380">
        <f>calcProd1Seg3Payer1MarketRecurCustR1+calcProd1Seg3Payer1MarketGrowthCustR1</f>
        <v>9784.5999999999985</v>
      </c>
      <c r="G358" s="380">
        <f>calcProd1Seg3Payer1MarketRecurCustR1+calcProd1Seg3Payer1MarketGrowthCustR1</f>
        <v>9784.5999999999985</v>
      </c>
      <c r="H358" s="380">
        <f>calcProd1Seg3Payer1MarketRecurCustR1+calcProd1Seg3Payer1MarketGrowthCustR1</f>
        <v>9784.5999999999985</v>
      </c>
      <c r="I358" s="380">
        <f>calcProd1Seg3Payer1MarketRecurCustR1+calcProd1Seg3Payer1MarketGrowthCustR1</f>
        <v>9784.5999999999985</v>
      </c>
      <c r="J358" t="s">
        <v>1648</v>
      </c>
    </row>
    <row r="359" spans="1:10">
      <c r="C359" t="s">
        <v>1539</v>
      </c>
      <c r="E359" s="380">
        <f>calcProd1Seg3Payer1VolumeRecurCustR1+calcProd1Seg3Payer1VolumeNewCustR1</f>
        <v>54.989451999999972</v>
      </c>
      <c r="F359" s="380">
        <f>calcProd1Seg3Payer1VolumeRecurCustR1+calcProd1Seg3Payer1VolumeNewCustR1</f>
        <v>54.989451999999972</v>
      </c>
      <c r="G359" s="380">
        <f>calcProd1Seg3Payer1VolumeRecurCustR1+calcProd1Seg3Payer1VolumeNewCustR1</f>
        <v>54.989451999999972</v>
      </c>
      <c r="H359" s="380">
        <f>calcProd1Seg3Payer1VolumeRecurCustR1+calcProd1Seg3Payer1VolumeNewCustR1</f>
        <v>54.989451999999972</v>
      </c>
      <c r="I359" s="380">
        <f>calcProd1Seg3Payer1VolumeRecurCustR1+calcProd1Seg3Payer1VolumeNewCustR1</f>
        <v>54.989451999999972</v>
      </c>
      <c r="J359" t="s">
        <v>1649</v>
      </c>
    </row>
    <row r="360" spans="1:10" s="4" customFormat="1">
      <c r="C360" s="4" t="s">
        <v>841</v>
      </c>
      <c r="E360" s="500">
        <f>calcProd1Seg3Payer1VolumeR1/calcProd1Seg3Payer1TotalVolumeR1</f>
        <v>5.6199999999999983E-3</v>
      </c>
      <c r="F360" s="500">
        <f>calcProd1Seg3Payer1VolumeR1/calcProd1Seg3Payer1TotalVolumeR1</f>
        <v>5.6199999999999983E-3</v>
      </c>
      <c r="G360" s="500">
        <f>calcProd1Seg3Payer1VolumeR1/calcProd1Seg3Payer1TotalVolumeR1</f>
        <v>5.6199999999999983E-3</v>
      </c>
      <c r="H360" s="500">
        <f>calcProd1Seg3Payer1VolumeR1/calcProd1Seg3Payer1TotalVolumeR1</f>
        <v>5.6199999999999983E-3</v>
      </c>
      <c r="I360" s="500">
        <f>calcProd1Seg3Payer1VolumeR1/calcProd1Seg3Payer1TotalVolumeR1</f>
        <v>5.6199999999999983E-3</v>
      </c>
      <c r="J360" s="4" t="s">
        <v>1650</v>
      </c>
    </row>
    <row r="362" spans="1:10">
      <c r="A362" s="16" t="s">
        <v>1551</v>
      </c>
      <c r="C362" t="s">
        <v>803</v>
      </c>
      <c r="E362" s="380">
        <f>INDEX(dataProd1Seg3Payer1TotalVolume,,4)</f>
        <v>9657.2314999999981</v>
      </c>
      <c r="F362" s="380">
        <f>INDEX(dataProd1Seg3Payer1TotalVolume,,4)</f>
        <v>9657.2314999999981</v>
      </c>
      <c r="G362" s="380">
        <f>INDEX(dataProd1Seg3Payer1TotalVolume,,4)</f>
        <v>9657.2314999999981</v>
      </c>
      <c r="H362" s="380">
        <f>INDEX(dataProd1Seg3Payer1TotalVolume,,4)</f>
        <v>9657.2314999999981</v>
      </c>
      <c r="I362" s="380">
        <f>INDEX(dataProd1Seg3Payer1TotalVolume,,4)</f>
        <v>9657.2314999999981</v>
      </c>
      <c r="J362" t="s">
        <v>1651</v>
      </c>
    </row>
    <row r="363" spans="1:10">
      <c r="C363" t="s">
        <v>3253</v>
      </c>
      <c r="E363" t="str">
        <f>cbalProd1Payer1Status</f>
        <v>T3 DSE</v>
      </c>
      <c r="F363" t="str">
        <f>cbalProd1Payer1Status</f>
        <v>T3 DSE</v>
      </c>
      <c r="G363" t="str">
        <f>cbalProd1Payer1Status</f>
        <v>T3 DSE</v>
      </c>
      <c r="H363" t="str">
        <f>cbalProd1Payer1Status</f>
        <v>T3 DSE</v>
      </c>
      <c r="I363" t="str">
        <f>cbalProd1Payer1Status</f>
        <v>T3 DSE</v>
      </c>
    </row>
    <row r="364" spans="1:10">
      <c r="C364" t="s">
        <v>2887</v>
      </c>
      <c r="E364">
        <f>INDEX(dataTierVolumeImpact,MATCH(E363,MarketData!$K$12:$K$17,0),)</f>
        <v>0.88</v>
      </c>
      <c r="F364">
        <f>INDEX(dataTierVolumeImpact,MATCH(F363,MarketData!$K$12:$K$17,0),)</f>
        <v>0.88</v>
      </c>
      <c r="G364">
        <f>INDEX(dataTierVolumeImpact,MATCH(G363,MarketData!$K$12:$K$17,0),)</f>
        <v>0.88</v>
      </c>
      <c r="H364">
        <f>INDEX(dataTierVolumeImpact,MATCH(H363,MarketData!$K$12:$K$17,0),)</f>
        <v>0.88</v>
      </c>
      <c r="I364">
        <f>INDEX(dataTierVolumeImpact,MATCH(I363,MarketData!$K$12:$K$17,0),)</f>
        <v>0.88</v>
      </c>
      <c r="J364" t="s">
        <v>3267</v>
      </c>
    </row>
    <row r="365" spans="1:10">
      <c r="C365" t="s">
        <v>1487</v>
      </c>
      <c r="E365" s="465">
        <f>calcProd1Seg3Payer1ShareTotalCustR1</f>
        <v>5.6199999999999983E-3</v>
      </c>
      <c r="F365" s="465">
        <f>calcProd1Seg3Payer1ShareTotalCustR1</f>
        <v>5.6199999999999983E-3</v>
      </c>
      <c r="G365" s="465">
        <f>calcProd1Seg3Payer1ShareTotalCustR1</f>
        <v>5.6199999999999983E-3</v>
      </c>
      <c r="H365" s="465">
        <f>calcProd1Seg3Payer1ShareTotalCustR1</f>
        <v>5.6199999999999983E-3</v>
      </c>
      <c r="I365" s="465">
        <f>calcProd1Seg3Payer1ShareTotalCustR1</f>
        <v>5.6199999999999983E-3</v>
      </c>
    </row>
    <row r="366" spans="1:10">
      <c r="C366" t="s">
        <v>516</v>
      </c>
      <c r="E366" s="511">
        <f>(calcProd1Seg3SampleAllocR2/calcProd1Seg3SampleAllocR1-1)*INDEX(datatblProd1Seg3Payer1,1,)*calcprod1Seg3Payer1TierImpactR2</f>
        <v>0</v>
      </c>
      <c r="F366" s="511">
        <f>(calcProd1Seg3SampleAllocR2/calcProd1Seg3SampleAllocR1-1)*INDEX(datatblProd1Seg3Payer1,1,)*calcprod1Seg3Payer1TierImpactR2</f>
        <v>0</v>
      </c>
      <c r="G366" s="511">
        <f>(calcProd1Seg3SampleAllocR2/calcProd1Seg3SampleAllocR1-1)*INDEX(datatblProd1Seg3Payer1,1,)*calcprod1Seg3Payer1TierImpactR2</f>
        <v>0</v>
      </c>
      <c r="H366" s="511">
        <f>(calcProd1Seg3SampleAllocR2/calcProd1Seg3SampleAllocR1-1)*INDEX(datatblProd1Seg3Payer1,1,)*calcprod1Seg3Payer1TierImpactR2</f>
        <v>0</v>
      </c>
      <c r="I366" s="511">
        <f>(calcProd1Seg3SampleAllocR2/calcProd1Seg3SampleAllocR1-1)*INDEX(datatblProd1Seg3Payer1,1,)*calcprod1Seg3Payer1TierImpactR2</f>
        <v>0</v>
      </c>
      <c r="J366" t="s">
        <v>3062</v>
      </c>
    </row>
    <row r="367" spans="1:10">
      <c r="C367" t="s">
        <v>517</v>
      </c>
      <c r="E367" s="511">
        <f>(calcProd1Seg3SpeakerAllocR2/calcProd1Seg3SpeakerAllocR1-1)*INDEX(datatblProd1Seg3Payer1,2,)*calcprod1Seg3Payer1TierImpactR2</f>
        <v>-2.200000000000002E-5</v>
      </c>
      <c r="F367" s="511">
        <f>(calcProd1Seg3SpeakerAllocR2/calcProd1Seg3SpeakerAllocR1-1)*INDEX(datatblProd1Seg3Payer1,2,)*calcprod1Seg3Payer1TierImpactR2</f>
        <v>-2.200000000000002E-5</v>
      </c>
      <c r="G367" s="511">
        <f>(calcProd1Seg3SpeakerAllocR2/calcProd1Seg3SpeakerAllocR1-1)*INDEX(datatblProd1Seg3Payer1,2,)*calcprod1Seg3Payer1TierImpactR2</f>
        <v>-2.200000000000002E-5</v>
      </c>
      <c r="H367" s="511">
        <f>(calcProd1Seg3SpeakerAllocR2/calcProd1Seg3SpeakerAllocR1-1)*INDEX(datatblProd1Seg3Payer1,2,)*calcprod1Seg3Payer1TierImpactR2</f>
        <v>-2.200000000000002E-5</v>
      </c>
      <c r="I367" s="511">
        <f>(calcProd1Seg3SpeakerAllocR2/calcProd1Seg3SpeakerAllocR1-1)*INDEX(datatblProd1Seg3Payer1,2,)*calcprod1Seg3Payer1TierImpactR2</f>
        <v>-2.200000000000002E-5</v>
      </c>
      <c r="J367" t="s">
        <v>3063</v>
      </c>
    </row>
    <row r="368" spans="1:10">
      <c r="C368" t="s">
        <v>2333</v>
      </c>
      <c r="E368" s="511">
        <f>(calcProd1Seg3PromotionAllocR2/calcProd1Seg3PromotionAllocR1-1)*INDEX(datatblProd1Seg3Payer1,3,)*calcprod1Seg3Payer1TierImpactR2</f>
        <v>-4.400000000000004E-5</v>
      </c>
      <c r="F368" s="511">
        <f>(calcProd1Seg3PromotionAllocR2/calcProd1Seg3PromotionAllocR1-1)*INDEX(datatblProd1Seg3Payer1,3,)*calcprod1Seg3Payer1TierImpactR2</f>
        <v>-4.400000000000004E-5</v>
      </c>
      <c r="G368" s="511">
        <f>(calcProd1Seg3PromotionAllocR2/calcProd1Seg3PromotionAllocR1-1)*INDEX(datatblProd1Seg3Payer1,3,)*calcprod1Seg3Payer1TierImpactR2</f>
        <v>-4.400000000000004E-5</v>
      </c>
      <c r="H368" s="511">
        <f>(calcProd1Seg3PromotionAllocR2/calcProd1Seg3PromotionAllocR1-1)*INDEX(datatblProd1Seg3Payer1,3,)*calcprod1Seg3Payer1TierImpactR2</f>
        <v>-4.400000000000004E-5</v>
      </c>
      <c r="I368" s="511">
        <f>(calcProd1Seg3PromotionAllocR2/calcProd1Seg3PromotionAllocR1-1)*INDEX(datatblProd1Seg3Payer1,3,)*calcprod1Seg3Payer1TierImpactR2</f>
        <v>-4.400000000000004E-5</v>
      </c>
      <c r="J368" t="s">
        <v>3064</v>
      </c>
    </row>
    <row r="369" spans="3:10">
      <c r="C369" t="s">
        <v>2646</v>
      </c>
      <c r="E369" s="511">
        <f>(calcProd1Seg3Rep1Payer1ImpactR2+calcProd1Seg3Rep2Payer1ImpactR2+calcProd1Seg3Rep3Payer1ImpactR2)*calcprod1Seg3Payer1TierImpactR2</f>
        <v>-8.7999999999999981E-4</v>
      </c>
      <c r="F369" s="511">
        <f>(calcProd1Seg3Rep1Payer1ImpactR2+calcProd1Seg3Rep2Payer1ImpactR2+calcProd1Seg3Rep3Payer1ImpactR2)*calcprod1Seg3Payer1TierImpactR2</f>
        <v>-8.7999999999999981E-4</v>
      </c>
      <c r="G369" s="511">
        <f>(calcProd1Seg3Rep1Payer1ImpactR2+calcProd1Seg3Rep2Payer1ImpactR2+calcProd1Seg3Rep3Payer1ImpactR2)*calcprod1Seg3Payer1TierImpactR2</f>
        <v>-8.7999999999999981E-4</v>
      </c>
      <c r="H369" s="511">
        <f>(calcProd1Seg3Rep1Payer1ImpactR2+calcProd1Seg3Rep2Payer1ImpactR2+calcProd1Seg3Rep3Payer1ImpactR2)*calcprod1Seg3Payer1TierImpactR2</f>
        <v>-8.7999999999999981E-4</v>
      </c>
      <c r="I369" s="511">
        <f>(calcProd1Seg3Rep1Payer1ImpactR2+calcProd1Seg3Rep2Payer1ImpactR2+calcProd1Seg3Rep3Payer1ImpactR2)*calcprod1Seg3Payer1TierImpactR2</f>
        <v>-8.7999999999999981E-4</v>
      </c>
      <c r="J369" t="s">
        <v>3065</v>
      </c>
    </row>
    <row r="371" spans="3:10" s="4" customFormat="1">
      <c r="C371" s="4" t="s">
        <v>1489</v>
      </c>
      <c r="E371" s="500">
        <f>SUM(E365:E370)</f>
        <v>4.6739999999999985E-3</v>
      </c>
      <c r="F371" s="500">
        <f>SUM(F365:F370)</f>
        <v>4.6739999999999985E-3</v>
      </c>
      <c r="G371" s="500">
        <f>SUM(G365:G370)</f>
        <v>4.6739999999999985E-3</v>
      </c>
      <c r="H371" s="500">
        <f>SUM(H365:H370)</f>
        <v>4.6739999999999985E-3</v>
      </c>
      <c r="I371" s="500">
        <f>SUM(I365:I370)</f>
        <v>4.6739999999999985E-3</v>
      </c>
      <c r="J371" s="4" t="s">
        <v>1652</v>
      </c>
    </row>
    <row r="372" spans="3:10">
      <c r="C372" t="s">
        <v>1490</v>
      </c>
      <c r="E372" s="380">
        <f>MAX(calcProd1Seg3Payer1MarketRecurCustR2*calcProd1Seg3Payer1ShareRecurCustR2,0)</f>
        <v>45.13790003099998</v>
      </c>
      <c r="F372" s="380">
        <f>MAX(calcProd1Seg3Payer1MarketRecurCustR2*calcProd1Seg3Payer1ShareRecurCustR2,0)</f>
        <v>45.13790003099998</v>
      </c>
      <c r="G372" s="380">
        <f>MAX(calcProd1Seg3Payer1MarketRecurCustR2*calcProd1Seg3Payer1ShareRecurCustR2,0)</f>
        <v>45.13790003099998</v>
      </c>
      <c r="H372" s="380">
        <f>MAX(calcProd1Seg3Payer1MarketRecurCustR2*calcProd1Seg3Payer1ShareRecurCustR2,0)</f>
        <v>45.13790003099998</v>
      </c>
      <c r="I372" s="380">
        <f>MAX(calcProd1Seg3Payer1MarketRecurCustR2*calcProd1Seg3Payer1ShareRecurCustR2,0)</f>
        <v>45.13790003099998</v>
      </c>
      <c r="J372" t="s">
        <v>1653</v>
      </c>
    </row>
    <row r="374" spans="3:10">
      <c r="C374" t="s">
        <v>804</v>
      </c>
      <c r="E374" s="380">
        <f>INDEX(dataProd1Seg3Payer1NewVolume,,4)</f>
        <v>812.29049999999984</v>
      </c>
      <c r="F374" s="380">
        <f>INDEX(dataProd1Seg3Payer1NewVolume,,4)</f>
        <v>812.29049999999984</v>
      </c>
      <c r="G374" s="380">
        <f>INDEX(dataProd1Seg3Payer1NewVolume,,4)</f>
        <v>812.29049999999984</v>
      </c>
      <c r="H374" s="380">
        <f>INDEX(dataProd1Seg3Payer1NewVolume,,4)</f>
        <v>812.29049999999984</v>
      </c>
      <c r="I374" s="380">
        <f>INDEX(dataProd1Seg3Payer1NewVolume,,4)</f>
        <v>812.29049999999984</v>
      </c>
      <c r="J374" t="s">
        <v>1654</v>
      </c>
    </row>
    <row r="376" spans="3:10">
      <c r="C376" t="s">
        <v>1486</v>
      </c>
      <c r="E376" s="465">
        <f>calcProd1Seg3Payer1ShareNewCustR1</f>
        <v>5.6199999999999983E-3</v>
      </c>
      <c r="F376" s="465">
        <f>calcProd1Seg3Payer1ShareNewCustR1</f>
        <v>5.6199999999999983E-3</v>
      </c>
      <c r="G376" s="465">
        <f>calcProd1Seg3Payer1ShareNewCustR1</f>
        <v>5.6199999999999983E-3</v>
      </c>
      <c r="H376" s="465">
        <f>calcProd1Seg3Payer1ShareNewCustR1</f>
        <v>5.6199999999999983E-3</v>
      </c>
      <c r="I376" s="465">
        <f>calcProd1Seg3Payer1ShareNewCustR1</f>
        <v>5.6199999999999983E-3</v>
      </c>
    </row>
    <row r="377" spans="3:10">
      <c r="C377" t="s">
        <v>516</v>
      </c>
      <c r="E377" s="511">
        <f>(calcProd1Seg3SampleAllocR2/calcProd1Seg3SampleAllocR1-1)*INDEX(datatblProd1Seg3Payer1,1,)*calcprod1Seg3Payer1TierImpactR2</f>
        <v>0</v>
      </c>
      <c r="F377" s="511">
        <f>(calcProd1Seg3SampleAllocR2/calcProd1Seg3SampleAllocR1-1)*INDEX(datatblProd1Seg3Payer1,1,)*calcprod1Seg3Payer1TierImpactR2</f>
        <v>0</v>
      </c>
      <c r="G377" s="511">
        <f>(calcProd1Seg3SampleAllocR2/calcProd1Seg3SampleAllocR1-1)*INDEX(datatblProd1Seg3Payer1,1,)*calcprod1Seg3Payer1TierImpactR2</f>
        <v>0</v>
      </c>
      <c r="H377" s="511">
        <f>(calcProd1Seg3SampleAllocR2/calcProd1Seg3SampleAllocR1-1)*INDEX(datatblProd1Seg3Payer1,1,)*calcprod1Seg3Payer1TierImpactR2</f>
        <v>0</v>
      </c>
      <c r="I377" s="511">
        <f>(calcProd1Seg3SampleAllocR2/calcProd1Seg3SampleAllocR1-1)*INDEX(datatblProd1Seg3Payer1,1,)*calcprod1Seg3Payer1TierImpactR2</f>
        <v>0</v>
      </c>
      <c r="J377" t="s">
        <v>3163</v>
      </c>
    </row>
    <row r="378" spans="3:10">
      <c r="C378" t="s">
        <v>517</v>
      </c>
      <c r="E378" s="511">
        <f>(calcProd1Seg3SpeakerAllocR2/calcProd1Seg3SpeakerAllocR1-1)*INDEX(datatblProd1Seg3Payer1,2,)*calcprod1Seg3Payer1TierImpactR2</f>
        <v>-2.200000000000002E-5</v>
      </c>
      <c r="F378" s="511">
        <f>(calcProd1Seg3SpeakerAllocR2/calcProd1Seg3SpeakerAllocR1-1)*INDEX(datatblProd1Seg3Payer1,2,)*calcprod1Seg3Payer1TierImpactR2</f>
        <v>-2.200000000000002E-5</v>
      </c>
      <c r="G378" s="511">
        <f>(calcProd1Seg3SpeakerAllocR2/calcProd1Seg3SpeakerAllocR1-1)*INDEX(datatblProd1Seg3Payer1,2,)*calcprod1Seg3Payer1TierImpactR2</f>
        <v>-2.200000000000002E-5</v>
      </c>
      <c r="H378" s="511">
        <f>(calcProd1Seg3SpeakerAllocR2/calcProd1Seg3SpeakerAllocR1-1)*INDEX(datatblProd1Seg3Payer1,2,)*calcprod1Seg3Payer1TierImpactR2</f>
        <v>-2.200000000000002E-5</v>
      </c>
      <c r="I378" s="511">
        <f>(calcProd1Seg3SpeakerAllocR2/calcProd1Seg3SpeakerAllocR1-1)*INDEX(datatblProd1Seg3Payer1,2,)*calcprod1Seg3Payer1TierImpactR2</f>
        <v>-2.200000000000002E-5</v>
      </c>
      <c r="J378" t="s">
        <v>3164</v>
      </c>
    </row>
    <row r="379" spans="3:10">
      <c r="C379" t="s">
        <v>2333</v>
      </c>
      <c r="E379" s="511">
        <f>(calcProd1Seg3PromotionAllocR2/calcProd1Seg3PromotionAllocR1-1)*INDEX(datatblProd1Seg3Payer1,3,)*calcprod1Seg3Payer1TierImpactR2</f>
        <v>-4.400000000000004E-5</v>
      </c>
      <c r="F379" s="511">
        <f>(calcProd1Seg3PromotionAllocR2/calcProd1Seg3PromotionAllocR1-1)*INDEX(datatblProd1Seg3Payer1,3,)*calcprod1Seg3Payer1TierImpactR2</f>
        <v>-4.400000000000004E-5</v>
      </c>
      <c r="G379" s="511">
        <f>(calcProd1Seg3PromotionAllocR2/calcProd1Seg3PromotionAllocR1-1)*INDEX(datatblProd1Seg3Payer1,3,)*calcprod1Seg3Payer1TierImpactR2</f>
        <v>-4.400000000000004E-5</v>
      </c>
      <c r="H379" s="511">
        <f>(calcProd1Seg3PromotionAllocR2/calcProd1Seg3PromotionAllocR1-1)*INDEX(datatblProd1Seg3Payer1,3,)*calcprod1Seg3Payer1TierImpactR2</f>
        <v>-4.400000000000004E-5</v>
      </c>
      <c r="I379" s="511">
        <f>(calcProd1Seg3PromotionAllocR2/calcProd1Seg3PromotionAllocR1-1)*INDEX(datatblProd1Seg3Payer1,3,)*calcprod1Seg3Payer1TierImpactR2</f>
        <v>-4.400000000000004E-5</v>
      </c>
      <c r="J379" t="s">
        <v>3165</v>
      </c>
    </row>
    <row r="380" spans="3:10">
      <c r="C380" t="s">
        <v>2646</v>
      </c>
      <c r="E380" s="511">
        <f>(calcProd1Seg3Rep1Payer1ImpactR2+calcProd1Seg3Rep2Payer1ImpactR2+calcProd1Seg3Rep3Payer1ImpactR2)*calcprod1Seg3Payer1TierImpactR2</f>
        <v>-8.7999999999999981E-4</v>
      </c>
      <c r="F380" s="511">
        <f>(calcProd1Seg3Rep1Payer1ImpactR2+calcProd1Seg3Rep2Payer1ImpactR2+calcProd1Seg3Rep3Payer1ImpactR2)*calcprod1Seg3Payer1TierImpactR2</f>
        <v>-8.7999999999999981E-4</v>
      </c>
      <c r="G380" s="511">
        <f>(calcProd1Seg3Rep1Payer1ImpactR2+calcProd1Seg3Rep2Payer1ImpactR2+calcProd1Seg3Rep3Payer1ImpactR2)*calcprod1Seg3Payer1TierImpactR2</f>
        <v>-8.7999999999999981E-4</v>
      </c>
      <c r="H380" s="511">
        <f>(calcProd1Seg3Rep1Payer1ImpactR2+calcProd1Seg3Rep2Payer1ImpactR2+calcProd1Seg3Rep3Payer1ImpactR2)*calcprod1Seg3Payer1TierImpactR2</f>
        <v>-8.7999999999999981E-4</v>
      </c>
      <c r="I380" s="511">
        <f>(calcProd1Seg3Rep1Payer1ImpactR2+calcProd1Seg3Rep2Payer1ImpactR2+calcProd1Seg3Rep3Payer1ImpactR2)*calcprod1Seg3Payer1TierImpactR2</f>
        <v>-8.7999999999999981E-4</v>
      </c>
      <c r="J380" t="s">
        <v>3166</v>
      </c>
    </row>
    <row r="382" spans="3:10" s="4" customFormat="1">
      <c r="C382" s="4" t="s">
        <v>1534</v>
      </c>
      <c r="E382" s="500">
        <f>SUM(E376:E381)</f>
        <v>4.6739999999999985E-3</v>
      </c>
      <c r="F382" s="500">
        <f>SUM(F376:F381)</f>
        <v>4.6739999999999985E-3</v>
      </c>
      <c r="G382" s="500">
        <f>SUM(G376:G381)</f>
        <v>4.6739999999999985E-3</v>
      </c>
      <c r="H382" s="500">
        <f>SUM(H376:H381)</f>
        <v>4.6739999999999985E-3</v>
      </c>
      <c r="I382" s="500">
        <f>SUM(I376:I381)</f>
        <v>4.6739999999999985E-3</v>
      </c>
      <c r="J382" s="4" t="s">
        <v>1655</v>
      </c>
    </row>
    <row r="383" spans="3:10">
      <c r="C383" t="s">
        <v>1490</v>
      </c>
      <c r="E383" s="380">
        <f>MAX(calcProd1Seg3Payer1MarketGrowthCustR2*calcProd1Seg3Payer1ShareNewCustR2,0)</f>
        <v>3.7966457969999978</v>
      </c>
      <c r="F383" s="380">
        <f>MAX(calcProd1Seg3Payer1MarketGrowthCustR2*calcProd1Seg3Payer1ShareNewCustR2,0)</f>
        <v>3.7966457969999978</v>
      </c>
      <c r="G383" s="380">
        <f>MAX(calcProd1Seg3Payer1MarketGrowthCustR2*calcProd1Seg3Payer1ShareNewCustR2,0)</f>
        <v>3.7966457969999978</v>
      </c>
      <c r="H383" s="380">
        <f>MAX(calcProd1Seg3Payer1MarketGrowthCustR2*calcProd1Seg3Payer1ShareNewCustR2,0)</f>
        <v>3.7966457969999978</v>
      </c>
      <c r="I383" s="380">
        <f>MAX(calcProd1Seg3Payer1MarketGrowthCustR2*calcProd1Seg3Payer1ShareNewCustR2,0)</f>
        <v>3.7966457969999978</v>
      </c>
      <c r="J383" s="4" t="s">
        <v>1656</v>
      </c>
    </row>
    <row r="385" spans="1:10">
      <c r="C385" t="s">
        <v>1537</v>
      </c>
      <c r="E385" s="380">
        <f>calcProd1Seg3Payer1MarketRecurCustR2+calcProd1Seg3Payer1MarketGrowthCustR2</f>
        <v>10469.521999999997</v>
      </c>
      <c r="F385" s="380">
        <f>calcProd1Seg3Payer1MarketRecurCustR2+calcProd1Seg3Payer1MarketGrowthCustR2</f>
        <v>10469.521999999997</v>
      </c>
      <c r="G385" s="380">
        <f>calcProd1Seg3Payer1MarketRecurCustR2+calcProd1Seg3Payer1MarketGrowthCustR2</f>
        <v>10469.521999999997</v>
      </c>
      <c r="H385" s="380">
        <f>calcProd1Seg3Payer1MarketRecurCustR2+calcProd1Seg3Payer1MarketGrowthCustR2</f>
        <v>10469.521999999997</v>
      </c>
      <c r="I385" s="380">
        <f>calcProd1Seg3Payer1MarketRecurCustR2+calcProd1Seg3Payer1MarketGrowthCustR2</f>
        <v>10469.521999999997</v>
      </c>
      <c r="J385" t="s">
        <v>1657</v>
      </c>
    </row>
    <row r="386" spans="1:10">
      <c r="C386" t="s">
        <v>1539</v>
      </c>
      <c r="E386" s="380">
        <f>calcProd1Seg3Payer1VolumeRecurCustR2+calcProd1Seg3Payer1VolumeNewCustR2</f>
        <v>48.934545827999976</v>
      </c>
      <c r="F386" s="380">
        <f>calcProd1Seg3Payer1VolumeRecurCustR2+calcProd1Seg3Payer1VolumeNewCustR2</f>
        <v>48.934545827999976</v>
      </c>
      <c r="G386" s="380">
        <f>calcProd1Seg3Payer1VolumeRecurCustR2+calcProd1Seg3Payer1VolumeNewCustR2</f>
        <v>48.934545827999976</v>
      </c>
      <c r="H386" s="380">
        <f>calcProd1Seg3Payer1VolumeRecurCustR2+calcProd1Seg3Payer1VolumeNewCustR2</f>
        <v>48.934545827999976</v>
      </c>
      <c r="I386" s="380">
        <f>calcProd1Seg3Payer1VolumeRecurCustR2+calcProd1Seg3Payer1VolumeNewCustR2</f>
        <v>48.934545827999976</v>
      </c>
      <c r="J386" t="s">
        <v>1658</v>
      </c>
    </row>
    <row r="387" spans="1:10" s="4" customFormat="1">
      <c r="C387" s="4" t="s">
        <v>841</v>
      </c>
      <c r="E387" s="500">
        <f>calcProd1Seg3Payer1VolumeR1/calcProd1Seg3Payer1TotalVolumeR1</f>
        <v>5.6199999999999983E-3</v>
      </c>
      <c r="F387" s="500">
        <f>calcProd1Seg3Payer1VolumeR1/calcProd1Seg3Payer1TotalVolumeR1</f>
        <v>5.6199999999999983E-3</v>
      </c>
      <c r="G387" s="500">
        <f>calcProd1Seg3Payer1VolumeR1/calcProd1Seg3Payer1TotalVolumeR1</f>
        <v>5.6199999999999983E-3</v>
      </c>
      <c r="H387" s="500">
        <f>calcProd1Seg3Payer1VolumeR1/calcProd1Seg3Payer1TotalVolumeR1</f>
        <v>5.6199999999999983E-3</v>
      </c>
      <c r="I387" s="500">
        <f>calcProd1Seg3Payer1VolumeR1/calcProd1Seg3Payer1TotalVolumeR1</f>
        <v>5.6199999999999983E-3</v>
      </c>
      <c r="J387" s="4" t="s">
        <v>1659</v>
      </c>
    </row>
    <row r="389" spans="1:10" s="376" customFormat="1">
      <c r="A389" s="376" t="str">
        <f>nmPayer2</f>
        <v>WesterAid</v>
      </c>
    </row>
    <row r="390" spans="1:10">
      <c r="A390" s="16" t="s">
        <v>1488</v>
      </c>
      <c r="C390" s="4" t="s">
        <v>803</v>
      </c>
      <c r="E390" s="380">
        <f>INDEX(dataProd1Seg3Payer2TotalVolume,,3)</f>
        <v>12635.629999999997</v>
      </c>
      <c r="F390" s="380">
        <f>INDEX(dataProd1Seg3Payer2TotalVolume,,3)</f>
        <v>12635.629999999997</v>
      </c>
      <c r="G390" s="380">
        <f>INDEX(dataProd1Seg3Payer2TotalVolume,,3)</f>
        <v>12635.629999999997</v>
      </c>
      <c r="H390" s="380">
        <f>INDEX(dataProd1Seg3Payer2TotalVolume,,3)</f>
        <v>12635.629999999997</v>
      </c>
      <c r="I390" s="380">
        <f>INDEX(dataProd1Seg3Payer2TotalVolume,,3)</f>
        <v>12635.629999999997</v>
      </c>
      <c r="J390" t="s">
        <v>1660</v>
      </c>
    </row>
    <row r="391" spans="1:10">
      <c r="C391" t="s">
        <v>3253</v>
      </c>
      <c r="E391" t="str">
        <f>obalProd1Payer2Status</f>
        <v>T1 NR</v>
      </c>
      <c r="F391" t="str">
        <f>obalProd1Payer2Status</f>
        <v>T1 NR</v>
      </c>
      <c r="G391" t="str">
        <f>obalProd1Payer2Status</f>
        <v>T1 NR</v>
      </c>
      <c r="H391" t="str">
        <f>obalProd1Payer2Status</f>
        <v>T1 NR</v>
      </c>
      <c r="I391" t="str">
        <f>obalProd1Payer2Status</f>
        <v>T1 NR</v>
      </c>
    </row>
    <row r="392" spans="1:10">
      <c r="C392" t="s">
        <v>2887</v>
      </c>
      <c r="E392">
        <f>INDEX(dataTierVolumeImpact,MATCH(E391,MarketData!$K$12:$K$17,0),)</f>
        <v>1.1499999999999999</v>
      </c>
      <c r="F392">
        <f>INDEX(dataTierVolumeImpact,MATCH(F391,MarketData!$K$12:$K$17,0),)</f>
        <v>1.1499999999999999</v>
      </c>
      <c r="G392">
        <f>INDEX(dataTierVolumeImpact,MATCH(G391,MarketData!$K$12:$K$17,0),)</f>
        <v>1.1499999999999999</v>
      </c>
      <c r="H392">
        <f>INDEX(dataTierVolumeImpact,MATCH(H391,MarketData!$K$12:$K$17,0),)</f>
        <v>1.1499999999999999</v>
      </c>
      <c r="I392">
        <f>INDEX(dataTierVolumeImpact,MATCH(I391,MarketData!$K$12:$K$17,0),)</f>
        <v>1.1499999999999999</v>
      </c>
      <c r="J392" t="s">
        <v>3268</v>
      </c>
    </row>
    <row r="393" spans="1:10">
      <c r="C393" t="s">
        <v>1487</v>
      </c>
      <c r="E393" s="465">
        <f>obalProd1Seg3Payer2Share</f>
        <v>0</v>
      </c>
      <c r="F393" s="465">
        <f>obalProd1Seg3Payer2Share</f>
        <v>0</v>
      </c>
      <c r="G393" s="465">
        <f>obalProd1Seg3Payer2Share</f>
        <v>0</v>
      </c>
      <c r="H393" s="465">
        <f>obalProd1Seg3Payer2Share</f>
        <v>0</v>
      </c>
      <c r="I393" s="465">
        <f>obalProd1Seg3Payer2Share</f>
        <v>0</v>
      </c>
    </row>
    <row r="394" spans="1:10">
      <c r="C394" t="s">
        <v>516</v>
      </c>
      <c r="E394" s="511">
        <f>(calcProd1Seg3SampleAllocR1/obalProd1Seg3SampleAlloc-1)*INDEX(datatblProd1Seg3Payer2,1,)*calcprod1Seg3Payer2TierImpactR1</f>
        <v>0</v>
      </c>
      <c r="F394" s="511">
        <f>(calcProd1Seg3SampleAllocR1/obalProd1Seg3SampleAlloc-1)*INDEX(datatblProd1Seg3Payer2,1,)</f>
        <v>0</v>
      </c>
      <c r="G394" s="511">
        <f>(calcProd1Seg3SampleAllocR1/obalProd1Seg3SampleAlloc-1)*INDEX(datatblProd1Seg3Payer2,1,)</f>
        <v>0</v>
      </c>
      <c r="H394" s="511">
        <f>(calcProd1Seg3SampleAllocR1/obalProd1Seg3SampleAlloc-1)*INDEX(datatblProd1Seg3Payer2,1,)</f>
        <v>0</v>
      </c>
      <c r="I394" s="511">
        <f>(calcProd1Seg3SampleAllocR1/obalProd1Seg3SampleAlloc-1)*INDEX(datatblProd1Seg3Payer2,1,)</f>
        <v>0</v>
      </c>
      <c r="J394" t="s">
        <v>2792</v>
      </c>
    </row>
    <row r="395" spans="1:10">
      <c r="C395" t="s">
        <v>517</v>
      </c>
      <c r="E395" s="511">
        <f>(calcProd1Seg3SpeakerAllocR1/obalProd1Seg3SpeakerAlloc-1)*INDEX(datatblProd1Seg3Payer2,2,)*(calcprod1Seg3Payer2TierImpactR1)</f>
        <v>0</v>
      </c>
      <c r="F395" s="511">
        <f>(calcProd1Seg3SpeakerAllocR1/obalProd1Seg3SpeakerAlloc-1)*INDEX(datatblProd1Seg3Payer2,2,)</f>
        <v>0</v>
      </c>
      <c r="G395" s="511">
        <f>(calcProd1Seg3SpeakerAllocR1/obalProd1Seg3SpeakerAlloc-1)*INDEX(datatblProd1Seg3Payer2,2,)</f>
        <v>0</v>
      </c>
      <c r="H395" s="511">
        <f>(calcProd1Seg3SpeakerAllocR1/obalProd1Seg3SpeakerAlloc-1)*INDEX(datatblProd1Seg3Payer2,2,)</f>
        <v>0</v>
      </c>
      <c r="I395" s="511">
        <f>(calcProd1Seg3SpeakerAllocR1/obalProd1Seg3SpeakerAlloc-1)*INDEX(datatblProd1Seg3Payer2,2,)</f>
        <v>0</v>
      </c>
      <c r="J395" t="s">
        <v>2793</v>
      </c>
    </row>
    <row r="396" spans="1:10">
      <c r="C396" t="s">
        <v>2333</v>
      </c>
      <c r="E396" s="511">
        <f>(calcProd1Seg3PromotionAllocR1/obalProd1Seg3PromotionAlloc-1)*INDEX(datatblProd1Seg3Payer2,3,)*calcprod1Seg3Payer2TierImpactR1</f>
        <v>0</v>
      </c>
      <c r="F396" s="511">
        <f>(calcProd1Seg3PromotionAllocR1/obalProd1Seg3PromotionAlloc-1)*INDEX(datatblProd1Seg3Payer2,3,)</f>
        <v>0</v>
      </c>
      <c r="G396" s="511">
        <f>(calcProd1Seg3PromotionAllocR1/obalProd1Seg3PromotionAlloc-1)*INDEX(datatblProd1Seg3Payer2,3,)</f>
        <v>0</v>
      </c>
      <c r="H396" s="511">
        <f>(calcProd1Seg3PromotionAllocR1/obalProd1Seg3PromotionAlloc-1)*INDEX(datatblProd1Seg3Payer2,3,)</f>
        <v>0</v>
      </c>
      <c r="I396" s="511">
        <f>(calcProd1Seg3PromotionAllocR1/obalProd1Seg3PromotionAlloc-1)*INDEX(datatblProd1Seg3Payer2,3,)</f>
        <v>0</v>
      </c>
      <c r="J396" t="s">
        <v>2794</v>
      </c>
    </row>
    <row r="397" spans="1:10">
      <c r="C397" t="s">
        <v>2646</v>
      </c>
      <c r="E397" s="511">
        <f>(calcProd1Seg3Rep1Payer2ImpactR1+calcProd1Seg3Rep2Payer2ImpactR1+calcProd1Seg3Rep3Payer2ImpactR1)*calcprod1Seg3Payer2TierImpactR1</f>
        <v>-1.1499999999999998E-3</v>
      </c>
      <c r="F397" s="511">
        <f>(calcProd1Seg3Rep1Payer2ImpactR1+calcProd1Seg3Rep2Payer2ImpactR1+calcProd1Seg3Rep3Payer2ImpactR1)*calcprod1Seg3Payer2TierImpactR1</f>
        <v>-1.1499999999999998E-3</v>
      </c>
      <c r="G397" s="511">
        <f>(calcProd1Seg3Rep1Payer2ImpactR1+calcProd1Seg3Rep2Payer2ImpactR1+calcProd1Seg3Rep3Payer2ImpactR1)*calcprod1Seg3Payer2TierImpactR1</f>
        <v>-1.1499999999999998E-3</v>
      </c>
      <c r="H397" s="511">
        <f>(calcProd1Seg3Rep1Payer2ImpactR1+calcProd1Seg3Rep2Payer2ImpactR1+calcProd1Seg3Rep3Payer2ImpactR1)*calcprod1Seg3Payer2TierImpactR1</f>
        <v>-1.1499999999999998E-3</v>
      </c>
      <c r="I397" s="511">
        <f>(calcProd1Seg3Rep1Payer2ImpactR1+calcProd1Seg3Rep2Payer2ImpactR1+calcProd1Seg3Rep3Payer2ImpactR1)*calcprod1Seg3Payer2TierImpactR1</f>
        <v>-1.1499999999999998E-3</v>
      </c>
      <c r="J397" t="s">
        <v>2795</v>
      </c>
    </row>
    <row r="398" spans="1:10" s="4" customFormat="1">
      <c r="C398" s="4" t="s">
        <v>1489</v>
      </c>
      <c r="E398" s="500">
        <f>SUM(E393:E397)</f>
        <v>-1.1499999999999998E-3</v>
      </c>
      <c r="F398" s="500">
        <f t="shared" ref="F398:I398" si="7">SUM(F393:F397)</f>
        <v>-1.1499999999999998E-3</v>
      </c>
      <c r="G398" s="500">
        <f t="shared" si="7"/>
        <v>-1.1499999999999998E-3</v>
      </c>
      <c r="H398" s="500">
        <f t="shared" si="7"/>
        <v>-1.1499999999999998E-3</v>
      </c>
      <c r="I398" s="500">
        <f t="shared" si="7"/>
        <v>-1.1499999999999998E-3</v>
      </c>
      <c r="J398" s="4" t="s">
        <v>1661</v>
      </c>
    </row>
    <row r="399" spans="1:10">
      <c r="C399" t="s">
        <v>1490</v>
      </c>
      <c r="E399" s="380">
        <f>MAX(calcProd1Seg3Payer2MarketRecurCustR1*calcProd1Seg3Payer2ShareRecurCustR1,0)</f>
        <v>0</v>
      </c>
      <c r="F399" s="380">
        <f>MAX(calcProd1Seg3Payer2MarketRecurCustR1*calcProd1Seg3Payer2ShareRecurCustR1,0)</f>
        <v>0</v>
      </c>
      <c r="G399" s="380">
        <f>MAX(calcProd1Seg3Payer2MarketRecurCustR1*calcProd1Seg3Payer2ShareRecurCustR1,0)</f>
        <v>0</v>
      </c>
      <c r="H399" s="380">
        <f>MAX(calcProd1Seg3Payer2MarketRecurCustR1*calcProd1Seg3Payer2ShareRecurCustR1,0)</f>
        <v>0</v>
      </c>
      <c r="I399" s="380">
        <f>MAX(calcProd1Seg3Payer2MarketRecurCustR1*calcProd1Seg3Payer2ShareRecurCustR1,0)</f>
        <v>0</v>
      </c>
      <c r="J399" t="s">
        <v>1662</v>
      </c>
    </row>
    <row r="401" spans="1:10">
      <c r="C401" t="s">
        <v>804</v>
      </c>
      <c r="E401" s="380">
        <f>INDEX(dataProd1Seg3Payer2NewVolume,,3)</f>
        <v>1002.078</v>
      </c>
      <c r="F401" s="380">
        <f>INDEX(dataProd1Seg3Payer2NewVolume,,3)</f>
        <v>1002.078</v>
      </c>
      <c r="G401" s="380">
        <f>INDEX(dataProd1Seg3Payer2NewVolume,,3)</f>
        <v>1002.078</v>
      </c>
      <c r="H401" s="380">
        <f>INDEX(dataProd1Seg3Payer2NewVolume,,3)</f>
        <v>1002.078</v>
      </c>
      <c r="I401" s="380">
        <f>INDEX(dataProd1Seg3Payer2NewVolume,,3)</f>
        <v>1002.078</v>
      </c>
      <c r="J401" t="s">
        <v>1663</v>
      </c>
    </row>
    <row r="403" spans="1:10">
      <c r="C403" t="s">
        <v>1486</v>
      </c>
      <c r="E403" s="465">
        <f>obalProd1Seg3Payer2Share</f>
        <v>0</v>
      </c>
      <c r="F403" s="465">
        <f>obalProd1Seg3Payer2Share</f>
        <v>0</v>
      </c>
      <c r="G403" s="465">
        <f>obalProd1Seg3Payer2Share</f>
        <v>0</v>
      </c>
      <c r="H403" s="465">
        <f>obalProd1Seg3Payer2Share</f>
        <v>0</v>
      </c>
      <c r="I403" s="465">
        <f>obalProd1Seg3Payer2Share</f>
        <v>0</v>
      </c>
    </row>
    <row r="404" spans="1:10">
      <c r="C404" t="s">
        <v>516</v>
      </c>
      <c r="E404" s="511">
        <f>(calcProd1Seg3SampleAllocR1/obalProd1Seg3SampleAlloc-1)*INDEX(datatblProd1Seg3Payer2,1,)*calcprod1Seg3Payer2TierImpactR1</f>
        <v>0</v>
      </c>
      <c r="F404" s="511">
        <f>(calcProd1Seg3SampleAllocR1/obalProd1Seg3SampleAlloc-1)*INDEX(datatblProd1Seg3Payer2,1,)*calcprod1Seg3Payer2TierImpactR1</f>
        <v>0</v>
      </c>
      <c r="G404" s="511">
        <f>(calcProd1Seg3SampleAllocR1/obalProd1Seg3SampleAlloc-1)*INDEX(datatblProd1Seg3Payer2,1,)*calcprod1Seg3Payer2TierImpactR1</f>
        <v>0</v>
      </c>
      <c r="H404" s="511">
        <f>(calcProd1Seg3SampleAllocR1/obalProd1Seg3SampleAlloc-1)*INDEX(datatblProd1Seg3Payer2,1,)*calcprod1Seg3Payer2TierImpactR1</f>
        <v>0</v>
      </c>
      <c r="I404" s="511">
        <f>(calcProd1Seg3SampleAllocR1/obalProd1Seg3SampleAlloc-1)*INDEX(datatblProd1Seg3Payer2,1,)*calcprod1Seg3Payer2TierImpactR1</f>
        <v>0</v>
      </c>
      <c r="J404" t="s">
        <v>3066</v>
      </c>
    </row>
    <row r="405" spans="1:10">
      <c r="C405" t="s">
        <v>517</v>
      </c>
      <c r="E405" s="511">
        <f>(calcProd1Seg3SpeakerAllocR1/obalProd1Seg3SpeakerAlloc-1)*INDEX(datatblProd1Seg3Payer2,2,)*calcprod1Seg3Payer2TierImpactR1</f>
        <v>0</v>
      </c>
      <c r="F405" s="511">
        <f>(calcProd1Seg3SpeakerAllocR1/obalProd1Seg3SpeakerAlloc-1)*INDEX(datatblProd1Seg3Payer2,2,)*calcprod1Seg3Payer2TierImpactR1</f>
        <v>0</v>
      </c>
      <c r="G405" s="511">
        <f>(calcProd1Seg3SpeakerAllocR1/obalProd1Seg3SpeakerAlloc-1)*INDEX(datatblProd1Seg3Payer2,2,)*calcprod1Seg3Payer2TierImpactR1</f>
        <v>0</v>
      </c>
      <c r="H405" s="511">
        <f>(calcProd1Seg3SpeakerAllocR1/obalProd1Seg3SpeakerAlloc-1)*INDEX(datatblProd1Seg3Payer2,2,)*calcprod1Seg3Payer2TierImpactR1</f>
        <v>0</v>
      </c>
      <c r="I405" s="511">
        <f>(calcProd1Seg3SpeakerAllocR1/obalProd1Seg3SpeakerAlloc-1)*INDEX(datatblProd1Seg3Payer2,2,)*calcprod1Seg3Payer2TierImpactR1</f>
        <v>0</v>
      </c>
      <c r="J405" t="s">
        <v>3067</v>
      </c>
    </row>
    <row r="406" spans="1:10">
      <c r="C406" t="s">
        <v>2333</v>
      </c>
      <c r="E406" s="511">
        <f>(calcProd1Seg3PromotionAllocR1/obalProd1Seg3PromotionAlloc-1)*INDEX(datatblProd1Seg3Payer2,3,)*calcprod1Seg3Payer2TierImpactR1</f>
        <v>0</v>
      </c>
      <c r="F406" s="511">
        <f>(calcProd1Seg3PromotionAllocR1/obalProd1Seg3PromotionAlloc-1)*INDEX(datatblProd1Seg3Payer2,3,)*calcprod1Seg3Payer2TierImpactR1</f>
        <v>0</v>
      </c>
      <c r="G406" s="511">
        <f>(calcProd1Seg3PromotionAllocR1/obalProd1Seg3PromotionAlloc-1)*INDEX(datatblProd1Seg3Payer2,3,)*calcprod1Seg3Payer2TierImpactR1</f>
        <v>0</v>
      </c>
      <c r="H406" s="511">
        <f>(calcProd1Seg3PromotionAllocR1/obalProd1Seg3PromotionAlloc-1)*INDEX(datatblProd1Seg3Payer2,3,)*calcprod1Seg3Payer2TierImpactR1</f>
        <v>0</v>
      </c>
      <c r="I406" s="511">
        <f>(calcProd1Seg3PromotionAllocR1/obalProd1Seg3PromotionAlloc-1)*INDEX(datatblProd1Seg3Payer2,3,)*calcprod1Seg3Payer2TierImpactR1</f>
        <v>0</v>
      </c>
      <c r="J406" t="s">
        <v>3068</v>
      </c>
    </row>
    <row r="407" spans="1:10">
      <c r="C407" t="s">
        <v>2646</v>
      </c>
      <c r="E407" s="511">
        <f>(calcProd1Seg3Rep1Payer2ImpactR1+calcProd1Seg3Rep2Payer2ImpactR1+calcProd1Seg3Rep3Payer2ImpactR1)*calcprod1Seg3Payer2TierImpactR1</f>
        <v>-1.1499999999999998E-3</v>
      </c>
      <c r="F407" s="511">
        <f>(calcProd1Seg3Rep1Payer2ImpactR1+calcProd1Seg3Rep2Payer2ImpactR1+calcProd1Seg3Rep3Payer2ImpactR1)*calcprod1Seg3Payer2TierImpactR1</f>
        <v>-1.1499999999999998E-3</v>
      </c>
      <c r="G407" s="511">
        <f>(calcProd1Seg3Rep1Payer2ImpactR1+calcProd1Seg3Rep2Payer2ImpactR1+calcProd1Seg3Rep3Payer2ImpactR1)*calcprod1Seg3Payer2TierImpactR1</f>
        <v>-1.1499999999999998E-3</v>
      </c>
      <c r="H407" s="511">
        <f>(calcProd1Seg3Rep1Payer2ImpactR1+calcProd1Seg3Rep2Payer2ImpactR1+calcProd1Seg3Rep3Payer2ImpactR1)*calcprod1Seg3Payer2TierImpactR1</f>
        <v>-1.1499999999999998E-3</v>
      </c>
      <c r="I407" s="511">
        <f>(calcProd1Seg3Rep1Payer2ImpactR1+calcProd1Seg3Rep2Payer2ImpactR1+calcProd1Seg3Rep3Payer2ImpactR1)*calcprod1Seg3Payer2TierImpactR1</f>
        <v>-1.1499999999999998E-3</v>
      </c>
      <c r="J407" t="s">
        <v>3069</v>
      </c>
    </row>
    <row r="408" spans="1:10">
      <c r="C408" t="s">
        <v>2905</v>
      </c>
    </row>
    <row r="409" spans="1:10" s="4" customFormat="1">
      <c r="C409" s="4" t="s">
        <v>1534</v>
      </c>
      <c r="E409" s="500">
        <f>SUM(E403:E408)</f>
        <v>-1.1499999999999998E-3</v>
      </c>
      <c r="F409" s="500">
        <f>SUM(F403:F408)</f>
        <v>-1.1499999999999998E-3</v>
      </c>
      <c r="G409" s="500">
        <f>SUM(G403:G408)</f>
        <v>-1.1499999999999998E-3</v>
      </c>
      <c r="H409" s="500">
        <f>SUM(H403:H408)</f>
        <v>-1.1499999999999998E-3</v>
      </c>
      <c r="I409" s="500">
        <f>SUM(I403:I408)</f>
        <v>-1.1499999999999998E-3</v>
      </c>
      <c r="J409" s="4" t="s">
        <v>1664</v>
      </c>
    </row>
    <row r="410" spans="1:10">
      <c r="C410" t="s">
        <v>1490</v>
      </c>
      <c r="E410" s="380">
        <f>MAX(calcProd1Seg3Payer2MarketGrowthCustR1*calcProd1Seg3Payer2ShareNewCustR1,0)</f>
        <v>0</v>
      </c>
      <c r="F410" s="380">
        <f>MAX(calcProd1Seg3Payer2MarketGrowthCustR1*calcProd1Seg3Payer2ShareNewCustR1,0)</f>
        <v>0</v>
      </c>
      <c r="G410" s="380">
        <f>MAX(calcProd1Seg3Payer2MarketGrowthCustR1*calcProd1Seg3Payer2ShareNewCustR1,0)</f>
        <v>0</v>
      </c>
      <c r="H410" s="380">
        <f>MAX(calcProd1Seg3Payer2MarketGrowthCustR1*calcProd1Seg3Payer2ShareNewCustR1,0)</f>
        <v>0</v>
      </c>
      <c r="I410" s="380">
        <f>MAX(calcProd1Seg3Payer2MarketGrowthCustR1*calcProd1Seg3Payer2ShareNewCustR1,0)</f>
        <v>0</v>
      </c>
      <c r="J410" s="4" t="s">
        <v>1665</v>
      </c>
    </row>
    <row r="412" spans="1:10">
      <c r="C412" t="s">
        <v>1537</v>
      </c>
      <c r="E412" s="380">
        <f>calcProd1Seg3Payer2MarketRecurCustR1+calcProd1Seg3Payer2MarketGrowthCustR1</f>
        <v>13637.707999999997</v>
      </c>
      <c r="F412" s="380">
        <f>calcProd1Seg3Payer2MarketRecurCustR1+calcProd1Seg3Payer2MarketGrowthCustR1</f>
        <v>13637.707999999997</v>
      </c>
      <c r="G412" s="380">
        <f>calcProd1Seg3Payer2MarketRecurCustR1+calcProd1Seg3Payer2MarketGrowthCustR1</f>
        <v>13637.707999999997</v>
      </c>
      <c r="H412" s="380">
        <f>calcProd1Seg3Payer2MarketRecurCustR1+calcProd1Seg3Payer2MarketGrowthCustR1</f>
        <v>13637.707999999997</v>
      </c>
      <c r="I412" s="380">
        <f>calcProd1Seg3Payer2MarketRecurCustR1+calcProd1Seg3Payer2MarketGrowthCustR1</f>
        <v>13637.707999999997</v>
      </c>
      <c r="J412" t="s">
        <v>1666</v>
      </c>
    </row>
    <row r="413" spans="1:10">
      <c r="C413" t="s">
        <v>1539</v>
      </c>
      <c r="E413" s="380">
        <f>calcProd1Seg3Payer2VolumeRecurCustR1+calcProd1Seg3Payer2VolumeNewCustR1</f>
        <v>0</v>
      </c>
      <c r="F413" s="380">
        <f>calcProd1Seg3Payer2VolumeRecurCustR1+calcProd1Seg3Payer2VolumeNewCustR1</f>
        <v>0</v>
      </c>
      <c r="G413" s="380">
        <f>calcProd1Seg3Payer2VolumeRecurCustR1+calcProd1Seg3Payer2VolumeNewCustR1</f>
        <v>0</v>
      </c>
      <c r="H413" s="380">
        <f>calcProd1Seg3Payer2VolumeRecurCustR1+calcProd1Seg3Payer2VolumeNewCustR1</f>
        <v>0</v>
      </c>
      <c r="I413" s="380">
        <f>calcProd1Seg3Payer2VolumeRecurCustR1+calcProd1Seg3Payer2VolumeNewCustR1</f>
        <v>0</v>
      </c>
      <c r="J413" t="s">
        <v>1667</v>
      </c>
    </row>
    <row r="414" spans="1:10" s="4" customFormat="1">
      <c r="C414" s="4" t="s">
        <v>841</v>
      </c>
      <c r="E414" s="500">
        <f>calcProd1Seg3Payer2VolumeR1/calcProd1Seg3Payer2TotalVolumeR1</f>
        <v>0</v>
      </c>
      <c r="F414" s="500">
        <f>calcProd1Seg3Payer2VolumeR1/calcProd1Seg3Payer2TotalVolumeR1</f>
        <v>0</v>
      </c>
      <c r="G414" s="500">
        <f>calcProd1Seg3Payer2VolumeR1/calcProd1Seg3Payer2TotalVolumeR1</f>
        <v>0</v>
      </c>
      <c r="H414" s="500">
        <f>calcProd1Seg3Payer2VolumeR1/calcProd1Seg3Payer2TotalVolumeR1</f>
        <v>0</v>
      </c>
      <c r="I414" s="500">
        <f>calcProd1Seg3Payer2VolumeR1/calcProd1Seg3Payer2TotalVolumeR1</f>
        <v>0</v>
      </c>
      <c r="J414" s="4" t="s">
        <v>1668</v>
      </c>
    </row>
    <row r="416" spans="1:10">
      <c r="A416" s="16" t="s">
        <v>1551</v>
      </c>
      <c r="C416" t="s">
        <v>803</v>
      </c>
      <c r="E416" s="380">
        <f>INDEX(dataProd1Seg3Payer2TotalVolume,,4)</f>
        <v>14292.702619999996</v>
      </c>
      <c r="F416" s="380">
        <f>INDEX(dataProd1Seg3Payer2TotalVolume,,4)</f>
        <v>14292.702619999996</v>
      </c>
      <c r="G416" s="380">
        <f>INDEX(dataProd1Seg3Payer2TotalVolume,,4)</f>
        <v>14292.702619999996</v>
      </c>
      <c r="H416" s="380">
        <f>INDEX(dataProd1Seg3Payer2TotalVolume,,4)</f>
        <v>14292.702619999996</v>
      </c>
      <c r="I416" s="380">
        <f>INDEX(dataProd1Seg3Payer2TotalVolume,,4)</f>
        <v>14292.702619999996</v>
      </c>
      <c r="J416" t="s">
        <v>1669</v>
      </c>
    </row>
    <row r="417" spans="3:10">
      <c r="C417" t="s">
        <v>3253</v>
      </c>
      <c r="E417" t="str">
        <f>cbalProd1Payer2Status</f>
        <v>T1 NR</v>
      </c>
      <c r="F417" t="str">
        <f>cbalProd1Payer2Status</f>
        <v>T1 NR</v>
      </c>
      <c r="G417" t="str">
        <f>cbalProd1Payer2Status</f>
        <v>T1 NR</v>
      </c>
      <c r="H417" t="str">
        <f>cbalProd1Payer2Status</f>
        <v>T1 NR</v>
      </c>
      <c r="I417" t="str">
        <f>cbalProd1Payer2Status</f>
        <v>T1 NR</v>
      </c>
    </row>
    <row r="418" spans="3:10">
      <c r="C418" t="s">
        <v>2887</v>
      </c>
      <c r="E418">
        <f>INDEX(dataTierVolumeImpact,MATCH(E417,MarketData!$K$12:$K$17,0),)</f>
        <v>1.1499999999999999</v>
      </c>
      <c r="F418">
        <f>INDEX(dataTierVolumeImpact,MATCH(F417,MarketData!$K$12:$K$17,0),)</f>
        <v>1.1499999999999999</v>
      </c>
      <c r="G418">
        <f>INDEX(dataTierVolumeImpact,MATCH(G417,MarketData!$K$12:$K$17,0),)</f>
        <v>1.1499999999999999</v>
      </c>
      <c r="H418">
        <f>INDEX(dataTierVolumeImpact,MATCH(H417,MarketData!$K$12:$K$17,0),)</f>
        <v>1.1499999999999999</v>
      </c>
      <c r="I418">
        <f>INDEX(dataTierVolumeImpact,MATCH(I417,MarketData!$K$12:$K$17,0),)</f>
        <v>1.1499999999999999</v>
      </c>
      <c r="J418" t="s">
        <v>3269</v>
      </c>
    </row>
    <row r="419" spans="3:10">
      <c r="C419" t="s">
        <v>1487</v>
      </c>
      <c r="E419" s="465">
        <f>calcProd1Seg3Payer2ShareTotalCustR1</f>
        <v>0</v>
      </c>
      <c r="F419" s="465">
        <f>calcProd1Seg3Payer2ShareTotalCustR1</f>
        <v>0</v>
      </c>
      <c r="G419" s="465">
        <f>calcProd1Seg3Payer2ShareTotalCustR1</f>
        <v>0</v>
      </c>
      <c r="H419" s="465">
        <f>calcProd1Seg3Payer2ShareTotalCustR1</f>
        <v>0</v>
      </c>
      <c r="I419" s="465">
        <f>calcProd1Seg3Payer2ShareTotalCustR1</f>
        <v>0</v>
      </c>
    </row>
    <row r="420" spans="3:10">
      <c r="C420" t="s">
        <v>516</v>
      </c>
      <c r="E420" s="511">
        <f>(calcProd1Seg3SampleAllocR2/calcProd1Seg3SampleAllocR1-1)*INDEX(datatblProd1Seg3Payer2,1,)*calcprod1Seg3Payer2TierImpactR2</f>
        <v>0</v>
      </c>
      <c r="F420" s="511">
        <f>(calcProd1Seg3SampleAllocR2/calcProd1Seg3SampleAllocR1-1)*INDEX(datatblProd1Seg3Payer2,1,)*calcprod1Seg3Payer2TierImpactR2</f>
        <v>0</v>
      </c>
      <c r="G420" s="511">
        <f>(calcProd1Seg3SampleAllocR2/calcProd1Seg3SampleAllocR1-1)*INDEX(datatblProd1Seg3Payer2,1,)*calcprod1Seg3Payer2TierImpactR2</f>
        <v>0</v>
      </c>
      <c r="H420" s="511">
        <f>(calcProd1Seg3SampleAllocR2/calcProd1Seg3SampleAllocR1-1)*INDEX(datatblProd1Seg3Payer2,1,)*calcprod1Seg3Payer2TierImpactR2</f>
        <v>0</v>
      </c>
      <c r="I420" s="511">
        <f>(calcProd1Seg3SampleAllocR2/calcProd1Seg3SampleAllocR1-1)*INDEX(datatblProd1Seg3Payer2,1,)*calcprod1Seg3Payer2TierImpactR2</f>
        <v>0</v>
      </c>
      <c r="J420" t="s">
        <v>3070</v>
      </c>
    </row>
    <row r="421" spans="3:10">
      <c r="C421" t="s">
        <v>517</v>
      </c>
      <c r="E421" s="511">
        <f>(calcProd1Seg3SpeakerAllocR2/calcProd1Seg3SpeakerAllocR1-1)*INDEX(datatblProd1Seg3Payer2,2,)*calcprod1Seg3Payer2TierImpactR2</f>
        <v>-2.8750000000000021E-5</v>
      </c>
      <c r="F421" s="511">
        <f>(calcProd1Seg3SpeakerAllocR2/calcProd1Seg3SpeakerAllocR1-1)*INDEX(datatblProd1Seg3Payer2,2,)*calcprod1Seg3Payer2TierImpactR2</f>
        <v>-2.8750000000000021E-5</v>
      </c>
      <c r="G421" s="511">
        <f>(calcProd1Seg3SpeakerAllocR2/calcProd1Seg3SpeakerAllocR1-1)*INDEX(datatblProd1Seg3Payer2,2,)*calcprod1Seg3Payer2TierImpactR2</f>
        <v>-2.8750000000000021E-5</v>
      </c>
      <c r="H421" s="511">
        <f>(calcProd1Seg3SpeakerAllocR2/calcProd1Seg3SpeakerAllocR1-1)*INDEX(datatblProd1Seg3Payer2,2,)*calcprod1Seg3Payer2TierImpactR2</f>
        <v>-2.8750000000000021E-5</v>
      </c>
      <c r="I421" s="511">
        <f>(calcProd1Seg3SpeakerAllocR2/calcProd1Seg3SpeakerAllocR1-1)*INDEX(datatblProd1Seg3Payer2,2,)*calcprod1Seg3Payer2TierImpactR2</f>
        <v>-2.8750000000000021E-5</v>
      </c>
      <c r="J421" t="s">
        <v>3071</v>
      </c>
    </row>
    <row r="422" spans="3:10">
      <c r="C422" t="s">
        <v>2333</v>
      </c>
      <c r="E422" s="511">
        <f>(calcProd1Seg3PromotionAllocR2/calcProd1Seg3PromotionAllocR1-1)*INDEX(datatblProd1Seg3Payer2,3,)*calcprod1Seg3Payer2TierImpactR2</f>
        <v>-5.7500000000000042E-5</v>
      </c>
      <c r="F422" s="511">
        <f>(calcProd1Seg3PromotionAllocR2/calcProd1Seg3PromotionAllocR1-1)*INDEX(datatblProd1Seg3Payer2,3,)*calcprod1Seg3Payer2TierImpactR2</f>
        <v>-5.7500000000000042E-5</v>
      </c>
      <c r="G422" s="511">
        <f>(calcProd1Seg3PromotionAllocR2/calcProd1Seg3PromotionAllocR1-1)*INDEX(datatblProd1Seg3Payer2,3,)*calcprod1Seg3Payer2TierImpactR2</f>
        <v>-5.7500000000000042E-5</v>
      </c>
      <c r="H422" s="511">
        <f>(calcProd1Seg3PromotionAllocR2/calcProd1Seg3PromotionAllocR1-1)*INDEX(datatblProd1Seg3Payer2,3,)*calcprod1Seg3Payer2TierImpactR2</f>
        <v>-5.7500000000000042E-5</v>
      </c>
      <c r="I422" s="511">
        <f>(calcProd1Seg3PromotionAllocR2/calcProd1Seg3PromotionAllocR1-1)*INDEX(datatblProd1Seg3Payer2,3,)*calcprod1Seg3Payer2TierImpactR2</f>
        <v>-5.7500000000000042E-5</v>
      </c>
      <c r="J422" t="s">
        <v>3072</v>
      </c>
    </row>
    <row r="423" spans="3:10">
      <c r="C423" t="s">
        <v>2646</v>
      </c>
      <c r="E423" s="511">
        <f>(calcProd1Seg3Rep1Payer2ImpactR2+calcProd1Seg3Rep2Payer2ImpactR2+calcProd1Seg3Rep3Payer2ImpactR2)*calcprod1Seg3Payer2TierImpactR2</f>
        <v>-1.1499999999999998E-3</v>
      </c>
      <c r="F423" s="511">
        <f>(calcProd1Seg3Rep1Payer2ImpactR2+calcProd1Seg3Rep2Payer2ImpactR2+calcProd1Seg3Rep3Payer2ImpactR2)*calcprod1Seg3Payer2TierImpactR2</f>
        <v>-1.1499999999999998E-3</v>
      </c>
      <c r="G423" s="511">
        <f>(calcProd1Seg3Rep1Payer2ImpactR2+calcProd1Seg3Rep2Payer2ImpactR2+calcProd1Seg3Rep3Payer2ImpactR2)*calcprod1Seg3Payer2TierImpactR2</f>
        <v>-1.1499999999999998E-3</v>
      </c>
      <c r="H423" s="511">
        <f>(calcProd1Seg3Rep1Payer2ImpactR2+calcProd1Seg3Rep2Payer2ImpactR2+calcProd1Seg3Rep3Payer2ImpactR2)*calcprod1Seg3Payer2TierImpactR2</f>
        <v>-1.1499999999999998E-3</v>
      </c>
      <c r="I423" s="511">
        <f>(calcProd1Seg3Rep1Payer2ImpactR2+calcProd1Seg3Rep2Payer2ImpactR2+calcProd1Seg3Rep3Payer2ImpactR2)*calcprod1Seg3Payer2TierImpactR2</f>
        <v>-1.1499999999999998E-3</v>
      </c>
      <c r="J423" t="s">
        <v>3073</v>
      </c>
    </row>
    <row r="425" spans="3:10" s="4" customFormat="1">
      <c r="C425" s="4" t="s">
        <v>1489</v>
      </c>
      <c r="E425" s="500">
        <f>SUM(E419:E424)</f>
        <v>-1.2362499999999999E-3</v>
      </c>
      <c r="F425" s="500">
        <f>SUM(F419:F424)</f>
        <v>-1.2362499999999999E-3</v>
      </c>
      <c r="G425" s="500">
        <f>SUM(G419:G424)</f>
        <v>-1.2362499999999999E-3</v>
      </c>
      <c r="H425" s="500">
        <f>SUM(H419:H424)</f>
        <v>-1.2362499999999999E-3</v>
      </c>
      <c r="I425" s="500">
        <f>SUM(I419:I424)</f>
        <v>-1.2362499999999999E-3</v>
      </c>
      <c r="J425" s="4" t="s">
        <v>1670</v>
      </c>
    </row>
    <row r="426" spans="3:10">
      <c r="C426" t="s">
        <v>1490</v>
      </c>
      <c r="E426" s="380">
        <f>MAX(calcProd1Seg3Payer2MarketRecurCustR2*calcProd1Seg3Payer2ShareRecurCustR2,0)</f>
        <v>0</v>
      </c>
      <c r="F426" s="380">
        <f>MAX(calcProd1Seg3Payer2MarketRecurCustR2*calcProd1Seg3Payer2ShareRecurCustR2,0)</f>
        <v>0</v>
      </c>
      <c r="G426" s="380">
        <f>MAX(calcProd1Seg3Payer2MarketRecurCustR2*calcProd1Seg3Payer2ShareRecurCustR2,0)</f>
        <v>0</v>
      </c>
      <c r="H426" s="380">
        <f>MAX(calcProd1Seg3Payer2MarketRecurCustR2*calcProd1Seg3Payer2ShareRecurCustR2,0)</f>
        <v>0</v>
      </c>
      <c r="I426" s="380">
        <f>MAX(calcProd1Seg3Payer2MarketRecurCustR2*calcProd1Seg3Payer2ShareRecurCustR2,0)</f>
        <v>0</v>
      </c>
      <c r="J426" t="s">
        <v>1671</v>
      </c>
    </row>
    <row r="428" spans="3:10">
      <c r="C428" t="s">
        <v>804</v>
      </c>
      <c r="E428" s="380">
        <f>INDEX(dataProd1Seg3Payer2NewVolume,,4)</f>
        <v>1072.2234599999999</v>
      </c>
      <c r="F428" s="380">
        <f>INDEX(dataProd1Seg3Payer2NewVolume,,4)</f>
        <v>1072.2234599999999</v>
      </c>
      <c r="G428" s="380">
        <f>INDEX(dataProd1Seg3Payer2NewVolume,,4)</f>
        <v>1072.2234599999999</v>
      </c>
      <c r="H428" s="380">
        <f>INDEX(dataProd1Seg3Payer2NewVolume,,4)</f>
        <v>1072.2234599999999</v>
      </c>
      <c r="I428" s="380">
        <f>INDEX(dataProd1Seg3Payer2NewVolume,,4)</f>
        <v>1072.2234599999999</v>
      </c>
      <c r="J428" t="s">
        <v>1672</v>
      </c>
    </row>
    <row r="430" spans="3:10">
      <c r="C430" t="s">
        <v>1486</v>
      </c>
      <c r="E430" s="465">
        <f>calcProd1Seg3Payer2ShareNewCustR1</f>
        <v>-1.1499999999999998E-3</v>
      </c>
      <c r="F430" s="465">
        <f>calcProd1Seg3Payer2ShareNewCustR1</f>
        <v>-1.1499999999999998E-3</v>
      </c>
      <c r="G430" s="465">
        <f>calcProd1Seg3Payer2ShareNewCustR1</f>
        <v>-1.1499999999999998E-3</v>
      </c>
      <c r="H430" s="465">
        <f>calcProd1Seg3Payer2ShareNewCustR1</f>
        <v>-1.1499999999999998E-3</v>
      </c>
      <c r="I430" s="465">
        <f>calcProd1Seg3Payer2ShareNewCustR1</f>
        <v>-1.1499999999999998E-3</v>
      </c>
    </row>
    <row r="431" spans="3:10">
      <c r="C431" t="s">
        <v>516</v>
      </c>
      <c r="E431" s="511">
        <f>(calcProd1Seg3SampleAllocR2/calcProd1Seg3SampleAllocR1-1)*INDEX(datatblProd1Seg3Payer2,1,)*calcprod1Seg3Payer2TierImpactR2</f>
        <v>0</v>
      </c>
      <c r="F431" s="511">
        <f>(calcProd1Seg3SampleAllocR2/calcProd1Seg3SampleAllocR1-1)*INDEX(datatblProd1Seg3Payer2,1,)*calcprod1Seg3Payer2TierImpactR2</f>
        <v>0</v>
      </c>
      <c r="G431" s="511">
        <f>(calcProd1Seg3SampleAllocR2/calcProd1Seg3SampleAllocR1-1)*INDEX(datatblProd1Seg3Payer2,1,)*calcprod1Seg3Payer2TierImpactR2</f>
        <v>0</v>
      </c>
      <c r="H431" s="511">
        <f>(calcProd1Seg3SampleAllocR2/calcProd1Seg3SampleAllocR1-1)*INDEX(datatblProd1Seg3Payer2,1,)*calcprod1Seg3Payer2TierImpactR2</f>
        <v>0</v>
      </c>
      <c r="I431" s="511">
        <f>(calcProd1Seg3SampleAllocR2/calcProd1Seg3SampleAllocR1-1)*INDEX(datatblProd1Seg3Payer2,1,)*calcprod1Seg3Payer2TierImpactR2</f>
        <v>0</v>
      </c>
      <c r="J431" t="s">
        <v>3167</v>
      </c>
    </row>
    <row r="432" spans="3:10">
      <c r="C432" t="s">
        <v>517</v>
      </c>
      <c r="E432" s="511">
        <f>(calcProd1Seg3SpeakerAllocR2/calcProd1Seg3SpeakerAllocR1-1)*INDEX(datatblProd1Seg3Payer2,2,)*calcprod1Seg3Payer2TierImpactR2</f>
        <v>-2.8750000000000021E-5</v>
      </c>
      <c r="F432" s="511">
        <f>(calcProd1Seg3SpeakerAllocR2/calcProd1Seg3SpeakerAllocR1-1)*INDEX(datatblProd1Seg3Payer2,2,)*calcprod1Seg3Payer2TierImpactR2</f>
        <v>-2.8750000000000021E-5</v>
      </c>
      <c r="G432" s="511">
        <f>(calcProd1Seg3SpeakerAllocR2/calcProd1Seg3SpeakerAllocR1-1)*INDEX(datatblProd1Seg3Payer2,2,)*calcprod1Seg3Payer2TierImpactR2</f>
        <v>-2.8750000000000021E-5</v>
      </c>
      <c r="H432" s="511">
        <f>(calcProd1Seg3SpeakerAllocR2/calcProd1Seg3SpeakerAllocR1-1)*INDEX(datatblProd1Seg3Payer2,2,)*calcprod1Seg3Payer2TierImpactR2</f>
        <v>-2.8750000000000021E-5</v>
      </c>
      <c r="I432" s="511">
        <f>(calcProd1Seg3SpeakerAllocR2/calcProd1Seg3SpeakerAllocR1-1)*INDEX(datatblProd1Seg3Payer2,2,)*calcprod1Seg3Payer2TierImpactR2</f>
        <v>-2.8750000000000021E-5</v>
      </c>
      <c r="J432" t="s">
        <v>3168</v>
      </c>
    </row>
    <row r="433" spans="1:10">
      <c r="C433" t="s">
        <v>2333</v>
      </c>
      <c r="E433" s="511">
        <f>(calcProd1Seg3PromotionAllocR2/calcProd1Seg3PromotionAllocR1-1)*INDEX(datatblProd1Seg3Payer2,3,)*calcprod1Seg3Payer2TierImpactR2</f>
        <v>-5.7500000000000042E-5</v>
      </c>
      <c r="F433" s="511">
        <f>(calcProd1Seg3PromotionAllocR2/calcProd1Seg3PromotionAllocR1-1)*INDEX(datatblProd1Seg3Payer2,3,)*calcprod1Seg3Payer2TierImpactR2</f>
        <v>-5.7500000000000042E-5</v>
      </c>
      <c r="G433" s="511">
        <f>(calcProd1Seg3PromotionAllocR2/calcProd1Seg3PromotionAllocR1-1)*INDEX(datatblProd1Seg3Payer2,3,)*calcprod1Seg3Payer2TierImpactR2</f>
        <v>-5.7500000000000042E-5</v>
      </c>
      <c r="H433" s="511">
        <f>(calcProd1Seg3PromotionAllocR2/calcProd1Seg3PromotionAllocR1-1)*INDEX(datatblProd1Seg3Payer2,3,)*calcprod1Seg3Payer2TierImpactR2</f>
        <v>-5.7500000000000042E-5</v>
      </c>
      <c r="I433" s="511">
        <f>(calcProd1Seg3PromotionAllocR2/calcProd1Seg3PromotionAllocR1-1)*INDEX(datatblProd1Seg3Payer2,3,)*calcprod1Seg3Payer2TierImpactR2</f>
        <v>-5.7500000000000042E-5</v>
      </c>
      <c r="J433" t="s">
        <v>3169</v>
      </c>
    </row>
    <row r="434" spans="1:10">
      <c r="C434" t="s">
        <v>2646</v>
      </c>
      <c r="E434" s="511">
        <f>(calcProd1Seg3Rep1Payer2ImpactR2+calcProd1Seg3Rep2Payer2ImpactR2+calcProd1Seg3Rep3Payer2ImpactR2)*calcprod1Seg3Payer2TierImpactR2</f>
        <v>-1.1499999999999998E-3</v>
      </c>
      <c r="F434" s="511">
        <f>(calcProd1Seg3Rep1Payer2ImpactR2+calcProd1Seg3Rep2Payer2ImpactR2+calcProd1Seg3Rep3Payer2ImpactR2)*calcprod1Seg3Payer2TierImpactR2</f>
        <v>-1.1499999999999998E-3</v>
      </c>
      <c r="G434" s="511">
        <f>(calcProd1Seg3Rep1Payer2ImpactR2+calcProd1Seg3Rep2Payer2ImpactR2+calcProd1Seg3Rep3Payer2ImpactR2)*calcprod1Seg3Payer2TierImpactR2</f>
        <v>-1.1499999999999998E-3</v>
      </c>
      <c r="H434" s="511">
        <f>(calcProd1Seg3Rep1Payer2ImpactR2+calcProd1Seg3Rep2Payer2ImpactR2+calcProd1Seg3Rep3Payer2ImpactR2)*calcprod1Seg3Payer2TierImpactR2</f>
        <v>-1.1499999999999998E-3</v>
      </c>
      <c r="I434" s="511">
        <f>(calcProd1Seg3Rep1Payer2ImpactR2+calcProd1Seg3Rep2Payer2ImpactR2+calcProd1Seg3Rep3Payer2ImpactR2)*calcprod1Seg3Payer2TierImpactR2</f>
        <v>-1.1499999999999998E-3</v>
      </c>
      <c r="J434" t="s">
        <v>3170</v>
      </c>
    </row>
    <row r="436" spans="1:10" s="4" customFormat="1">
      <c r="C436" s="4" t="s">
        <v>1534</v>
      </c>
      <c r="E436" s="500">
        <f>SUM(E430:E435)</f>
        <v>-2.3862499999999995E-3</v>
      </c>
      <c r="F436" s="500">
        <f>SUM(F430:F435)</f>
        <v>-2.3862499999999995E-3</v>
      </c>
      <c r="G436" s="500">
        <f>SUM(G430:G435)</f>
        <v>-2.3862499999999995E-3</v>
      </c>
      <c r="H436" s="500">
        <f>SUM(H430:H435)</f>
        <v>-2.3862499999999995E-3</v>
      </c>
      <c r="I436" s="500">
        <f>SUM(I430:I435)</f>
        <v>-2.3862499999999995E-3</v>
      </c>
      <c r="J436" s="4" t="s">
        <v>1673</v>
      </c>
    </row>
    <row r="437" spans="1:10">
      <c r="C437" t="s">
        <v>1490</v>
      </c>
      <c r="E437" s="380">
        <f>MAX(calcProd1Seg3Payer2MarketGrowthCustR2*calcProd1Seg3Payer2ShareNewCustR2,0)</f>
        <v>0</v>
      </c>
      <c r="F437" s="380">
        <f>MAX(calcProd1Seg3Payer2MarketGrowthCustR2*calcProd1Seg3Payer2ShareNewCustR2,0)</f>
        <v>0</v>
      </c>
      <c r="G437" s="380">
        <f>MAX(calcProd1Seg3Payer2MarketGrowthCustR2*calcProd1Seg3Payer2ShareNewCustR2,0)</f>
        <v>0</v>
      </c>
      <c r="H437" s="380">
        <f>MAX(calcProd1Seg3Payer2MarketGrowthCustR2*calcProd1Seg3Payer2ShareNewCustR2,0)</f>
        <v>0</v>
      </c>
      <c r="I437" s="380">
        <f>MAX(calcProd1Seg3Payer2MarketGrowthCustR2*calcProd1Seg3Payer2ShareNewCustR2,0)</f>
        <v>0</v>
      </c>
      <c r="J437" s="4" t="s">
        <v>1674</v>
      </c>
    </row>
    <row r="439" spans="1:10">
      <c r="C439" t="s">
        <v>1537</v>
      </c>
      <c r="E439" s="380">
        <f>calcProd1Seg3Payer2MarketRecurCustR2+calcProd1Seg3Payer2MarketGrowthCustR2</f>
        <v>15364.926079999996</v>
      </c>
      <c r="F439" s="380">
        <f>calcProd1Seg3Payer2MarketRecurCustR2+calcProd1Seg3Payer2MarketGrowthCustR2</f>
        <v>15364.926079999996</v>
      </c>
      <c r="G439" s="380">
        <f>calcProd1Seg3Payer2MarketRecurCustR2+calcProd1Seg3Payer2MarketGrowthCustR2</f>
        <v>15364.926079999996</v>
      </c>
      <c r="H439" s="380">
        <f>calcProd1Seg3Payer2MarketRecurCustR2+calcProd1Seg3Payer2MarketGrowthCustR2</f>
        <v>15364.926079999996</v>
      </c>
      <c r="I439" s="380">
        <f>calcProd1Seg3Payer2MarketRecurCustR2+calcProd1Seg3Payer2MarketGrowthCustR2</f>
        <v>15364.926079999996</v>
      </c>
      <c r="J439" t="s">
        <v>1675</v>
      </c>
    </row>
    <row r="440" spans="1:10">
      <c r="C440" t="s">
        <v>1539</v>
      </c>
      <c r="E440" s="380">
        <f>calcProd1Seg3Payer2VolumeRecurCustR2+calcProd1Seg3Payer2VolumeNewCustR2</f>
        <v>0</v>
      </c>
      <c r="F440" s="380">
        <f>calcProd1Seg3Payer2VolumeRecurCustR2+calcProd1Seg3Payer2VolumeNewCustR2</f>
        <v>0</v>
      </c>
      <c r="G440" s="380">
        <f>calcProd1Seg3Payer2VolumeRecurCustR2+calcProd1Seg3Payer2VolumeNewCustR2</f>
        <v>0</v>
      </c>
      <c r="H440" s="380">
        <f>calcProd1Seg3Payer2VolumeRecurCustR2+calcProd1Seg3Payer2VolumeNewCustR2</f>
        <v>0</v>
      </c>
      <c r="I440" s="380">
        <f>calcProd1Seg3Payer2VolumeRecurCustR2+calcProd1Seg3Payer2VolumeNewCustR2</f>
        <v>0</v>
      </c>
      <c r="J440" t="s">
        <v>1676</v>
      </c>
    </row>
    <row r="441" spans="1:10" s="4" customFormat="1">
      <c r="C441" s="4" t="s">
        <v>841</v>
      </c>
      <c r="E441" s="500">
        <f>calcProd1Seg3Payer2VolumeR1/calcProd1Seg3Payer2TotalVolumeR1</f>
        <v>0</v>
      </c>
      <c r="F441" s="500">
        <f>calcProd1Seg3Payer2VolumeR1/calcProd1Seg3Payer2TotalVolumeR1</f>
        <v>0</v>
      </c>
      <c r="G441" s="500">
        <f>calcProd1Seg3Payer2VolumeR1/calcProd1Seg3Payer2TotalVolumeR1</f>
        <v>0</v>
      </c>
      <c r="H441" s="500">
        <f>calcProd1Seg3Payer2VolumeR1/calcProd1Seg3Payer2TotalVolumeR1</f>
        <v>0</v>
      </c>
      <c r="I441" s="500">
        <f>calcProd1Seg3Payer2VolumeR1/calcProd1Seg3Payer2TotalVolumeR1</f>
        <v>0</v>
      </c>
      <c r="J441" s="4" t="s">
        <v>1677</v>
      </c>
    </row>
    <row r="443" spans="1:10" s="376" customFormat="1">
      <c r="A443" s="376" t="str">
        <f>nmPayer3</f>
        <v>Dragon Health</v>
      </c>
    </row>
    <row r="444" spans="1:10">
      <c r="A444" s="16" t="s">
        <v>1488</v>
      </c>
      <c r="C444" s="4" t="s">
        <v>803</v>
      </c>
      <c r="E444" s="380">
        <f>INDEX(dataProd1Seg3Payer3TotalVolume,,3)</f>
        <v>7942.3959999999988</v>
      </c>
      <c r="F444" s="380">
        <f>INDEX(dataProd1Seg3Payer3TotalVolume,,3)</f>
        <v>7942.3959999999988</v>
      </c>
      <c r="G444" s="380">
        <f>INDEX(dataProd1Seg3Payer3TotalVolume,,3)</f>
        <v>7942.3959999999988</v>
      </c>
      <c r="H444" s="380">
        <f>INDEX(dataProd1Seg3Payer3TotalVolume,,3)</f>
        <v>7942.3959999999988</v>
      </c>
      <c r="I444" s="380">
        <f>INDEX(dataProd1Seg3Payer3TotalVolume,,3)</f>
        <v>7942.3959999999988</v>
      </c>
      <c r="J444" t="s">
        <v>1678</v>
      </c>
    </row>
    <row r="445" spans="1:10">
      <c r="C445" t="s">
        <v>3253</v>
      </c>
      <c r="E445" t="str">
        <f>obalProd1Payer3Status</f>
        <v>T3 SGSE</v>
      </c>
      <c r="F445" t="str">
        <f>obalProd1Payer3Status</f>
        <v>T3 SGSE</v>
      </c>
      <c r="G445" t="str">
        <f>obalProd1Payer3Status</f>
        <v>T3 SGSE</v>
      </c>
      <c r="H445" t="str">
        <f>obalProd1Payer3Status</f>
        <v>T3 SGSE</v>
      </c>
      <c r="I445" t="str">
        <f>obalProd1Payer3Status</f>
        <v>T3 SGSE</v>
      </c>
    </row>
    <row r="446" spans="1:10">
      <c r="C446" t="s">
        <v>2887</v>
      </c>
      <c r="E446">
        <f>INDEX(dataTierVolumeImpact,MATCH(E445,MarketData!$K$12:$K$17,0),)</f>
        <v>0.9</v>
      </c>
      <c r="F446">
        <f>INDEX(dataTierVolumeImpact,MATCH(F445,MarketData!$K$12:$K$17,0),)</f>
        <v>0.9</v>
      </c>
      <c r="G446">
        <f>INDEX(dataTierVolumeImpact,MATCH(G445,MarketData!$K$12:$K$17,0),)</f>
        <v>0.9</v>
      </c>
      <c r="H446">
        <f>INDEX(dataTierVolumeImpact,MATCH(H445,MarketData!$K$12:$K$17,0),)</f>
        <v>0.9</v>
      </c>
      <c r="I446">
        <f>INDEX(dataTierVolumeImpact,MATCH(I445,MarketData!$K$12:$K$17,0),)</f>
        <v>0.9</v>
      </c>
      <c r="J446" t="s">
        <v>3270</v>
      </c>
    </row>
    <row r="447" spans="1:10">
      <c r="C447" t="s">
        <v>1487</v>
      </c>
      <c r="E447" s="465">
        <f>obalProd1Seg3Payer3Share</f>
        <v>3.7894736842105261E-3</v>
      </c>
      <c r="F447" s="465">
        <f>obalProd1Seg3Payer3Share</f>
        <v>3.7894736842105261E-3</v>
      </c>
      <c r="G447" s="465">
        <f>obalProd1Seg3Payer3Share</f>
        <v>3.7894736842105261E-3</v>
      </c>
      <c r="H447" s="465">
        <f>obalProd1Seg3Payer3Share</f>
        <v>3.7894736842105261E-3</v>
      </c>
      <c r="I447" s="465">
        <f>obalProd1Seg3Payer3Share</f>
        <v>3.7894736842105261E-3</v>
      </c>
    </row>
    <row r="448" spans="1:10">
      <c r="C448" t="s">
        <v>516</v>
      </c>
      <c r="E448" s="511">
        <f>(calcProd1Seg3SampleAllocR1/obalProd1Seg3SampleAlloc-1)*INDEX(datatblProd1Seg3Payer3,1,)*calcprod1Seg3Payer3TierImpactR1</f>
        <v>0</v>
      </c>
      <c r="F448" s="511">
        <f>(calcProd1Seg3SampleAllocR1/obalProd1Seg3SampleAlloc-1)*INDEX(datatblProd1Seg3Payer3,1,)</f>
        <v>0</v>
      </c>
      <c r="G448" s="511">
        <f>(calcProd1Seg3SampleAllocR1/obalProd1Seg3SampleAlloc-1)*INDEX(datatblProd1Seg3Payer3,1,)</f>
        <v>0</v>
      </c>
      <c r="H448" s="511">
        <f>(calcProd1Seg3SampleAllocR1/obalProd1Seg3SampleAlloc-1)*INDEX(datatblProd1Seg3Payer3,1,)</f>
        <v>0</v>
      </c>
      <c r="I448" s="511">
        <f>(calcProd1Seg3SampleAllocR1/obalProd1Seg3SampleAlloc-1)*INDEX(datatblProd1Seg3Payer3,1,)</f>
        <v>0</v>
      </c>
      <c r="J448" t="s">
        <v>2788</v>
      </c>
    </row>
    <row r="449" spans="3:10">
      <c r="C449" t="s">
        <v>517</v>
      </c>
      <c r="E449" s="511">
        <f>(calcProd1Seg3SpeakerAllocR1/obalProd1Seg3SpeakerAlloc-1)*INDEX(datatblProd1Seg3Payer3,2,)*(calcprod1Seg3Payer3TierImpactR1)</f>
        <v>0</v>
      </c>
      <c r="F449" s="511">
        <f>(calcProd1Seg3SpeakerAllocR1/obalProd1Seg3SpeakerAlloc-1)*INDEX(datatblProd1Seg3Payer3,2,)</f>
        <v>0</v>
      </c>
      <c r="G449" s="511">
        <f>(calcProd1Seg3SpeakerAllocR1/obalProd1Seg3SpeakerAlloc-1)*INDEX(datatblProd1Seg3Payer3,2,)</f>
        <v>0</v>
      </c>
      <c r="H449" s="511">
        <f>(calcProd1Seg3SpeakerAllocR1/obalProd1Seg3SpeakerAlloc-1)*INDEX(datatblProd1Seg3Payer3,2,)</f>
        <v>0</v>
      </c>
      <c r="I449" s="511">
        <f>(calcProd1Seg3SpeakerAllocR1/obalProd1Seg3SpeakerAlloc-1)*INDEX(datatblProd1Seg3Payer3,2,)</f>
        <v>0</v>
      </c>
      <c r="J449" t="s">
        <v>2789</v>
      </c>
    </row>
    <row r="450" spans="3:10">
      <c r="C450" t="s">
        <v>2333</v>
      </c>
      <c r="E450" s="511">
        <f>(calcProd1Seg3PromotionAllocR1/obalProd1Seg3PromotionAlloc-1)*INDEX(datatblProd1Seg3Payer3,3,)*calcprod1Seg3Payer3TierImpactR1</f>
        <v>0</v>
      </c>
      <c r="F450" s="511">
        <f>(calcProd1Seg3PromotionAllocR1/obalProd1Seg3PromotionAlloc-1)*INDEX(datatblProd1Seg3Payer3,3,)</f>
        <v>0</v>
      </c>
      <c r="G450" s="511">
        <f>(calcProd1Seg3PromotionAllocR1/obalProd1Seg3PromotionAlloc-1)*INDEX(datatblProd1Seg3Payer3,3,)</f>
        <v>0</v>
      </c>
      <c r="H450" s="511">
        <f>(calcProd1Seg3PromotionAllocR1/obalProd1Seg3PromotionAlloc-1)*INDEX(datatblProd1Seg3Payer3,3,)</f>
        <v>0</v>
      </c>
      <c r="I450" s="511">
        <f>(calcProd1Seg3PromotionAllocR1/obalProd1Seg3PromotionAlloc-1)*INDEX(datatblProd1Seg3Payer3,3,)</f>
        <v>0</v>
      </c>
      <c r="J450" t="s">
        <v>2790</v>
      </c>
    </row>
    <row r="451" spans="3:10">
      <c r="C451" t="s">
        <v>2646</v>
      </c>
      <c r="E451" s="511">
        <f>(calcProd1Seg3Rep1Payer3ImpactR1+calcProd1Seg3Rep2Payer3ImpactR1+calcProd1Seg3Rep3Payer3ImpactR1)*calcprod1Seg3Payer3TierImpactR1</f>
        <v>-8.9999999999999987E-4</v>
      </c>
      <c r="F451" s="511">
        <f>(calcProd1Seg3Rep1Payer3ImpactR1+calcProd1Seg3Rep2Payer3ImpactR1+calcProd1Seg3Rep3Payer3ImpactR1)*calcprod1Seg3Payer3TierImpactR1</f>
        <v>-8.9999999999999987E-4</v>
      </c>
      <c r="G451" s="511">
        <f>(calcProd1Seg3Rep1Payer3ImpactR1+calcProd1Seg3Rep2Payer3ImpactR1+calcProd1Seg3Rep3Payer3ImpactR1)*calcprod1Seg3Payer3TierImpactR1</f>
        <v>-8.9999999999999987E-4</v>
      </c>
      <c r="H451" s="511">
        <f>(calcProd1Seg3Rep1Payer3ImpactR1+calcProd1Seg3Rep2Payer3ImpactR1+calcProd1Seg3Rep3Payer3ImpactR1)*calcprod1Seg3Payer3TierImpactR1</f>
        <v>-8.9999999999999987E-4</v>
      </c>
      <c r="I451" s="511">
        <f>(calcProd1Seg3Rep1Payer3ImpactR1+calcProd1Seg3Rep2Payer3ImpactR1+calcProd1Seg3Rep3Payer3ImpactR1)*calcprod1Seg3Payer3TierImpactR1</f>
        <v>-8.9999999999999987E-4</v>
      </c>
      <c r="J451" t="s">
        <v>2791</v>
      </c>
    </row>
    <row r="452" spans="3:10" s="4" customFormat="1">
      <c r="C452" s="4" t="s">
        <v>1489</v>
      </c>
      <c r="E452" s="500">
        <f>SUM(E447:E451)</f>
        <v>2.8894736842105264E-3</v>
      </c>
      <c r="F452" s="500">
        <f t="shared" ref="F452:I452" si="8">SUM(F447:F451)</f>
        <v>2.8894736842105264E-3</v>
      </c>
      <c r="G452" s="500">
        <f t="shared" si="8"/>
        <v>2.8894736842105264E-3</v>
      </c>
      <c r="H452" s="500">
        <f t="shared" si="8"/>
        <v>2.8894736842105264E-3</v>
      </c>
      <c r="I452" s="500">
        <f t="shared" si="8"/>
        <v>2.8894736842105264E-3</v>
      </c>
      <c r="J452" s="4" t="s">
        <v>1679</v>
      </c>
    </row>
    <row r="453" spans="3:10">
      <c r="C453" t="s">
        <v>1490</v>
      </c>
      <c r="E453" s="380">
        <f>MAX(calcProd1Seg3Payer3MarketRecurCustR1*calcProd1Seg3Payer3ShareRecurCustR1,0)</f>
        <v>22.949344231578944</v>
      </c>
      <c r="F453" s="380">
        <f>MAX(calcProd1Seg3Payer3MarketRecurCustR1*calcProd1Seg3Payer3ShareRecurCustR1,0)</f>
        <v>22.949344231578944</v>
      </c>
      <c r="G453" s="380">
        <f>MAX(calcProd1Seg3Payer3MarketRecurCustR1*calcProd1Seg3Payer3ShareRecurCustR1,0)</f>
        <v>22.949344231578944</v>
      </c>
      <c r="H453" s="380">
        <f>MAX(calcProd1Seg3Payer3MarketRecurCustR1*calcProd1Seg3Payer3ShareRecurCustR1,0)</f>
        <v>22.949344231578944</v>
      </c>
      <c r="I453" s="380">
        <f>MAX(calcProd1Seg3Payer3MarketRecurCustR1*calcProd1Seg3Payer3ShareRecurCustR1,0)</f>
        <v>22.949344231578944</v>
      </c>
      <c r="J453" t="s">
        <v>1680</v>
      </c>
    </row>
    <row r="455" spans="3:10">
      <c r="C455" t="s">
        <v>804</v>
      </c>
      <c r="E455" s="380">
        <f>INDEX(dataProd1Seg3Payer3NewVolume,,3)</f>
        <v>576.95399999999995</v>
      </c>
      <c r="F455" s="380">
        <f>INDEX(dataProd1Seg3Payer3NewVolume,,3)</f>
        <v>576.95399999999995</v>
      </c>
      <c r="G455" s="380">
        <f>INDEX(dataProd1Seg3Payer3NewVolume,,3)</f>
        <v>576.95399999999995</v>
      </c>
      <c r="H455" s="380">
        <f>INDEX(dataProd1Seg3Payer3NewVolume,,3)</f>
        <v>576.95399999999995</v>
      </c>
      <c r="I455" s="380">
        <f>INDEX(dataProd1Seg3Payer3NewVolume,,3)</f>
        <v>576.95399999999995</v>
      </c>
      <c r="J455" t="s">
        <v>1681</v>
      </c>
    </row>
    <row r="457" spans="3:10">
      <c r="C457" t="s">
        <v>1486</v>
      </c>
      <c r="E457" s="465">
        <f>obalProd1Seg3Payer3Share</f>
        <v>3.7894736842105261E-3</v>
      </c>
      <c r="F457" s="465">
        <f>obalProd1Seg3Payer3Share</f>
        <v>3.7894736842105261E-3</v>
      </c>
      <c r="G457" s="465">
        <f>obalProd1Seg3Payer3Share</f>
        <v>3.7894736842105261E-3</v>
      </c>
      <c r="H457" s="465">
        <f>obalProd1Seg3Payer3Share</f>
        <v>3.7894736842105261E-3</v>
      </c>
      <c r="I457" s="465">
        <f>obalProd1Seg3Payer3Share</f>
        <v>3.7894736842105261E-3</v>
      </c>
    </row>
    <row r="458" spans="3:10">
      <c r="C458" t="s">
        <v>516</v>
      </c>
      <c r="E458" s="511">
        <f>(calcProd1Seg3SampleAllocR1/obalProd1Seg3SampleAlloc-1)*INDEX(datatblProd1Seg3Payer3,1,)*calcprod1Seg3Payer3TierImpactR1</f>
        <v>0</v>
      </c>
      <c r="F458" s="511">
        <f>(calcProd1Seg3SampleAllocR1/obalProd1Seg3SampleAlloc-1)*INDEX(datatblProd1Seg3Payer3,1,)*calcprod1Seg3Payer3TierImpactR1</f>
        <v>0</v>
      </c>
      <c r="G458" s="511">
        <f>(calcProd1Seg3SampleAllocR1/obalProd1Seg3SampleAlloc-1)*INDEX(datatblProd1Seg3Payer3,1,)*calcprod1Seg3Payer3TierImpactR1</f>
        <v>0</v>
      </c>
      <c r="H458" s="511">
        <f>(calcProd1Seg3SampleAllocR1/obalProd1Seg3SampleAlloc-1)*INDEX(datatblProd1Seg3Payer3,1,)*calcprod1Seg3Payer3TierImpactR1</f>
        <v>0</v>
      </c>
      <c r="I458" s="511">
        <f>(calcProd1Seg3SampleAllocR1/obalProd1Seg3SampleAlloc-1)*INDEX(datatblProd1Seg3Payer3,1,)*calcprod1Seg3Payer3TierImpactR1</f>
        <v>0</v>
      </c>
      <c r="J458" t="s">
        <v>3074</v>
      </c>
    </row>
    <row r="459" spans="3:10">
      <c r="C459" t="s">
        <v>517</v>
      </c>
      <c r="E459" s="511">
        <f>(calcProd1Seg3SpeakerAllocR1/obalProd1Seg3SpeakerAlloc-1)*INDEX(datatblProd1Seg3Payer3,2,)*calcprod1Seg3Payer3TierImpactR1</f>
        <v>0</v>
      </c>
      <c r="F459" s="511">
        <f>(calcProd1Seg3SpeakerAllocR1/obalProd1Seg3SpeakerAlloc-1)*INDEX(datatblProd1Seg3Payer3,2,)*calcprod1Seg3Payer3TierImpactR1</f>
        <v>0</v>
      </c>
      <c r="G459" s="511">
        <f>(calcProd1Seg3SpeakerAllocR1/obalProd1Seg3SpeakerAlloc-1)*INDEX(datatblProd1Seg3Payer3,2,)*calcprod1Seg3Payer3TierImpactR1</f>
        <v>0</v>
      </c>
      <c r="H459" s="511">
        <f>(calcProd1Seg3SpeakerAllocR1/obalProd1Seg3SpeakerAlloc-1)*INDEX(datatblProd1Seg3Payer3,2,)*calcprod1Seg3Payer3TierImpactR1</f>
        <v>0</v>
      </c>
      <c r="I459" s="511">
        <f>(calcProd1Seg3SpeakerAllocR1/obalProd1Seg3SpeakerAlloc-1)*INDEX(datatblProd1Seg3Payer3,2,)*calcprod1Seg3Payer3TierImpactR1</f>
        <v>0</v>
      </c>
      <c r="J459" t="s">
        <v>3075</v>
      </c>
    </row>
    <row r="460" spans="3:10">
      <c r="C460" t="s">
        <v>2333</v>
      </c>
      <c r="E460" s="511">
        <f>(calcProd1Seg3PromotionAllocR1/obalProd1Seg3PromotionAlloc-1)*INDEX(datatblProd1Seg3Payer3,3,)*calcprod1Seg3Payer3TierImpactR1</f>
        <v>0</v>
      </c>
      <c r="F460" s="511">
        <f>(calcProd1Seg3PromotionAllocR1/obalProd1Seg3PromotionAlloc-1)*INDEX(datatblProd1Seg3Payer3,3,)*calcprod1Seg3Payer3TierImpactR1</f>
        <v>0</v>
      </c>
      <c r="G460" s="511">
        <f>(calcProd1Seg3PromotionAllocR1/obalProd1Seg3PromotionAlloc-1)*INDEX(datatblProd1Seg3Payer3,3,)*calcprod1Seg3Payer3TierImpactR1</f>
        <v>0</v>
      </c>
      <c r="H460" s="511">
        <f>(calcProd1Seg3PromotionAllocR1/obalProd1Seg3PromotionAlloc-1)*INDEX(datatblProd1Seg3Payer3,3,)*calcprod1Seg3Payer3TierImpactR1</f>
        <v>0</v>
      </c>
      <c r="I460" s="511">
        <f>(calcProd1Seg3PromotionAllocR1/obalProd1Seg3PromotionAlloc-1)*INDEX(datatblProd1Seg3Payer3,3,)*calcprod1Seg3Payer3TierImpactR1</f>
        <v>0</v>
      </c>
      <c r="J460" t="s">
        <v>3076</v>
      </c>
    </row>
    <row r="461" spans="3:10">
      <c r="C461" t="s">
        <v>2646</v>
      </c>
      <c r="E461" s="511">
        <f>(calcProd1Seg3Rep1Payer3ImpactR1+calcProd1Seg3Rep2Payer3ImpactR1+calcProd1Seg3Rep3Payer3ImpactR1)*calcprod1Seg3Payer3TierImpactR1</f>
        <v>-8.9999999999999987E-4</v>
      </c>
      <c r="F461" s="511">
        <f>(calcProd1Seg3Rep1Payer3ImpactR1+calcProd1Seg3Rep2Payer3ImpactR1+calcProd1Seg3Rep3Payer3ImpactR1)*calcprod1Seg3Payer3TierImpactR1</f>
        <v>-8.9999999999999987E-4</v>
      </c>
      <c r="G461" s="511">
        <f>(calcProd1Seg3Rep1Payer3ImpactR1+calcProd1Seg3Rep2Payer3ImpactR1+calcProd1Seg3Rep3Payer3ImpactR1)*calcprod1Seg3Payer3TierImpactR1</f>
        <v>-8.9999999999999987E-4</v>
      </c>
      <c r="H461" s="511">
        <f>(calcProd1Seg3Rep1Payer3ImpactR1+calcProd1Seg3Rep2Payer3ImpactR1+calcProd1Seg3Rep3Payer3ImpactR1)*calcprod1Seg3Payer3TierImpactR1</f>
        <v>-8.9999999999999987E-4</v>
      </c>
      <c r="I461" s="511">
        <f>(calcProd1Seg3Rep1Payer3ImpactR1+calcProd1Seg3Rep2Payer3ImpactR1+calcProd1Seg3Rep3Payer3ImpactR1)*calcprod1Seg3Payer3TierImpactR1</f>
        <v>-8.9999999999999987E-4</v>
      </c>
      <c r="J461" t="s">
        <v>3077</v>
      </c>
    </row>
    <row r="462" spans="3:10">
      <c r="C462" t="s">
        <v>2905</v>
      </c>
    </row>
    <row r="463" spans="3:10" s="4" customFormat="1">
      <c r="C463" s="4" t="s">
        <v>1534</v>
      </c>
      <c r="E463" s="500">
        <f>SUM(E457:E462)</f>
        <v>2.8894736842105264E-3</v>
      </c>
      <c r="F463" s="500">
        <f>SUM(F457:F462)</f>
        <v>2.8894736842105264E-3</v>
      </c>
      <c r="G463" s="500">
        <f>SUM(G457:G462)</f>
        <v>2.8894736842105264E-3</v>
      </c>
      <c r="H463" s="500">
        <f>SUM(H457:H462)</f>
        <v>2.8894736842105264E-3</v>
      </c>
      <c r="I463" s="500">
        <f>SUM(I457:I462)</f>
        <v>2.8894736842105264E-3</v>
      </c>
      <c r="J463" s="4" t="s">
        <v>1682</v>
      </c>
    </row>
    <row r="464" spans="3:10">
      <c r="C464" t="s">
        <v>1490</v>
      </c>
      <c r="E464" s="380">
        <f>MAX(calcProd1Seg3Payer3MarketGrowthCustR1*calcProd1Seg3Payer3ShareNewCustR1,0)</f>
        <v>1.6670933999999999</v>
      </c>
      <c r="F464" s="380">
        <f>MAX(calcProd1Seg3Payer3MarketGrowthCustR1*calcProd1Seg3Payer3ShareNewCustR1,0)</f>
        <v>1.6670933999999999</v>
      </c>
      <c r="G464" s="380">
        <f>MAX(calcProd1Seg3Payer3MarketGrowthCustR1*calcProd1Seg3Payer3ShareNewCustR1,0)</f>
        <v>1.6670933999999999</v>
      </c>
      <c r="H464" s="380">
        <f>MAX(calcProd1Seg3Payer3MarketGrowthCustR1*calcProd1Seg3Payer3ShareNewCustR1,0)</f>
        <v>1.6670933999999999</v>
      </c>
      <c r="I464" s="380">
        <f>MAX(calcProd1Seg3Payer3MarketGrowthCustR1*calcProd1Seg3Payer3ShareNewCustR1,0)</f>
        <v>1.6670933999999999</v>
      </c>
      <c r="J464" s="4" t="s">
        <v>1683</v>
      </c>
    </row>
    <row r="466" spans="1:10">
      <c r="C466" s="179" t="s">
        <v>1537</v>
      </c>
      <c r="D466" s="179"/>
      <c r="E466" s="564">
        <f>calcProd1Seg3Payer3MarketRecurCustR1+calcProd1Seg3Payer3MarketGrowthCustR1</f>
        <v>8519.3499999999985</v>
      </c>
      <c r="F466" s="564">
        <f>calcProd1Seg3Payer3MarketRecurCustR1+calcProd1Seg3Payer3MarketGrowthCustR1</f>
        <v>8519.3499999999985</v>
      </c>
      <c r="G466" s="564">
        <f>calcProd1Seg3Payer3MarketRecurCustR1+calcProd1Seg3Payer3MarketGrowthCustR1</f>
        <v>8519.3499999999985</v>
      </c>
      <c r="H466" s="564">
        <f>calcProd1Seg3Payer3MarketRecurCustR1+calcProd1Seg3Payer3MarketGrowthCustR1</f>
        <v>8519.3499999999985</v>
      </c>
      <c r="I466" s="564">
        <f>calcProd1Seg3Payer3MarketRecurCustR1+calcProd1Seg3Payer3MarketGrowthCustR1</f>
        <v>8519.3499999999985</v>
      </c>
      <c r="J466" s="179" t="s">
        <v>1684</v>
      </c>
    </row>
    <row r="467" spans="1:10">
      <c r="B467" s="179"/>
      <c r="C467" s="179" t="s">
        <v>1539</v>
      </c>
      <c r="D467" s="179"/>
      <c r="E467" s="564">
        <f>calcProd1Seg3Payer3VolumeRecurCustR1+calcProd1Seg3Payer3VolumeNewCustR1</f>
        <v>24.616437631578943</v>
      </c>
      <c r="F467" s="564">
        <f>calcProd1Seg3Payer3VolumeRecurCustR1+calcProd1Seg3Payer3VolumeNewCustR1</f>
        <v>24.616437631578943</v>
      </c>
      <c r="G467" s="564">
        <f>calcProd1Seg3Payer3VolumeRecurCustR1+calcProd1Seg3Payer3VolumeNewCustR1</f>
        <v>24.616437631578943</v>
      </c>
      <c r="H467" s="564">
        <f>calcProd1Seg3Payer3VolumeRecurCustR1+calcProd1Seg3Payer3VolumeNewCustR1</f>
        <v>24.616437631578943</v>
      </c>
      <c r="I467" s="564">
        <f>calcProd1Seg3Payer3VolumeRecurCustR1+calcProd1Seg3Payer3VolumeNewCustR1</f>
        <v>24.616437631578943</v>
      </c>
      <c r="J467" s="179" t="s">
        <v>1685</v>
      </c>
    </row>
    <row r="468" spans="1:10" s="4" customFormat="1">
      <c r="C468" s="565" t="s">
        <v>841</v>
      </c>
      <c r="D468" s="565"/>
      <c r="E468" s="566">
        <f>calcProd1Seg3Payer3VolumeR1/calcProd1Seg3Payer3TotalVolumeR1</f>
        <v>2.8894736842105264E-3</v>
      </c>
      <c r="F468" s="566">
        <f>calcProd1Seg3Payer3VolumeR1/calcProd1Seg3Payer3TotalVolumeR1</f>
        <v>2.8894736842105264E-3</v>
      </c>
      <c r="G468" s="566">
        <f>calcProd1Seg3Payer3VolumeR1/calcProd1Seg3Payer3TotalVolumeR1</f>
        <v>2.8894736842105264E-3</v>
      </c>
      <c r="H468" s="566">
        <f>calcProd1Seg3Payer3VolumeR1/calcProd1Seg3Payer3TotalVolumeR1</f>
        <v>2.8894736842105264E-3</v>
      </c>
      <c r="I468" s="566">
        <f>calcProd1Seg3Payer3VolumeR1/calcProd1Seg3Payer3TotalVolumeR1</f>
        <v>2.8894736842105264E-3</v>
      </c>
      <c r="J468" s="565" t="s">
        <v>1686</v>
      </c>
    </row>
    <row r="470" spans="1:10">
      <c r="A470" s="16" t="s">
        <v>1551</v>
      </c>
      <c r="C470" t="s">
        <v>803</v>
      </c>
      <c r="E470" s="380">
        <f>INDEX(dataProd1Seg3Payer3TotalVolume,,4)</f>
        <v>8498.3637199999976</v>
      </c>
      <c r="F470" s="380">
        <f>INDEX(dataProd1Seg3Payer3TotalVolume,,4)</f>
        <v>8498.3637199999976</v>
      </c>
      <c r="G470" s="380">
        <f>INDEX(dataProd1Seg3Payer3TotalVolume,,4)</f>
        <v>8498.3637199999976</v>
      </c>
      <c r="H470" s="380">
        <f>INDEX(dataProd1Seg3Payer3TotalVolume,,4)</f>
        <v>8498.3637199999976</v>
      </c>
      <c r="I470" s="380">
        <f>INDEX(dataProd1Seg3Payer3TotalVolume,,4)</f>
        <v>8498.3637199999976</v>
      </c>
      <c r="J470" t="s">
        <v>1687</v>
      </c>
    </row>
    <row r="471" spans="1:10">
      <c r="C471" t="s">
        <v>3253</v>
      </c>
      <c r="E471" t="str">
        <f>cbalProd1Payer3Status</f>
        <v>T3 SGSE</v>
      </c>
      <c r="F471" t="str">
        <f>cbalProd1Payer3Status</f>
        <v>T3 SGSE</v>
      </c>
      <c r="G471" t="str">
        <f>cbalProd1Payer3Status</f>
        <v>T3 SGSE</v>
      </c>
      <c r="H471" t="str">
        <f>cbalProd1Payer3Status</f>
        <v>T3 SGSE</v>
      </c>
      <c r="I471" t="str">
        <f>cbalProd1Payer3Status</f>
        <v>T3 SGSE</v>
      </c>
    </row>
    <row r="472" spans="1:10">
      <c r="C472" t="s">
        <v>2887</v>
      </c>
      <c r="E472">
        <f>INDEX(dataTierVolumeImpact,MATCH(E471,MarketData!$K$12:$K$17,0),)</f>
        <v>0.9</v>
      </c>
      <c r="F472">
        <f>INDEX(dataTierVolumeImpact,MATCH(F471,MarketData!$K$12:$K$17,0),)</f>
        <v>0.9</v>
      </c>
      <c r="G472">
        <f>INDEX(dataTierVolumeImpact,MATCH(G471,MarketData!$K$12:$K$17,0),)</f>
        <v>0.9</v>
      </c>
      <c r="H472">
        <f>INDEX(dataTierVolumeImpact,MATCH(H471,MarketData!$K$12:$K$17,0),)</f>
        <v>0.9</v>
      </c>
      <c r="I472">
        <f>INDEX(dataTierVolumeImpact,MATCH(I471,MarketData!$K$12:$K$17,0),)</f>
        <v>0.9</v>
      </c>
      <c r="J472" t="s">
        <v>3271</v>
      </c>
    </row>
    <row r="473" spans="1:10">
      <c r="C473" t="s">
        <v>1487</v>
      </c>
      <c r="E473" s="465">
        <f>calcProd1Seg3Payer3ShareTotalCustR1</f>
        <v>2.8894736842105264E-3</v>
      </c>
      <c r="F473" s="465">
        <f>calcProd1Seg3Payer3ShareTotalCustR1</f>
        <v>2.8894736842105264E-3</v>
      </c>
      <c r="G473" s="465">
        <f>calcProd1Seg3Payer3ShareTotalCustR1</f>
        <v>2.8894736842105264E-3</v>
      </c>
      <c r="H473" s="465">
        <f>calcProd1Seg3Payer3ShareTotalCustR1</f>
        <v>2.8894736842105264E-3</v>
      </c>
      <c r="I473" s="465">
        <f>calcProd1Seg3Payer3ShareTotalCustR1</f>
        <v>2.8894736842105264E-3</v>
      </c>
    </row>
    <row r="474" spans="1:10">
      <c r="C474" t="s">
        <v>516</v>
      </c>
      <c r="E474" s="511">
        <f>(calcProd1Seg3SampleAllocR2/calcProd1Seg3SampleAllocR1-1)*INDEX(datatblProd1Seg3Payer3,1,)*calcprod1Seg3Payer3TierImpactR2</f>
        <v>0</v>
      </c>
      <c r="F474" s="511">
        <f>(calcProd1Seg3SampleAllocR2/calcProd1Seg3SampleAllocR1-1)*INDEX(datatblProd1Seg3Payer3,1,)*calcprod1Seg3Payer3TierImpactR2</f>
        <v>0</v>
      </c>
      <c r="G474" s="511">
        <f>(calcProd1Seg3SampleAllocR2/calcProd1Seg3SampleAllocR1-1)*INDEX(datatblProd1Seg3Payer3,1,)*calcprod1Seg3Payer3TierImpactR2</f>
        <v>0</v>
      </c>
      <c r="H474" s="511">
        <f>(calcProd1Seg3SampleAllocR2/calcProd1Seg3SampleAllocR1-1)*INDEX(datatblProd1Seg3Payer3,1,)*calcprod1Seg3Payer3TierImpactR2</f>
        <v>0</v>
      </c>
      <c r="I474" s="511">
        <f>(calcProd1Seg3SampleAllocR2/calcProd1Seg3SampleAllocR1-1)*INDEX(datatblProd1Seg3Payer3,1,)*calcprod1Seg3Payer3TierImpactR2</f>
        <v>0</v>
      </c>
      <c r="J474" t="s">
        <v>3078</v>
      </c>
    </row>
    <row r="475" spans="1:10">
      <c r="C475" t="s">
        <v>517</v>
      </c>
      <c r="E475" s="511">
        <f>(calcProd1Seg3SpeakerAllocR2/calcProd1Seg3SpeakerAllocR1-1)*INDEX(datatblProd1Seg3Payer3,2,)*calcprod1Seg3Payer3TierImpactR2</f>
        <v>-2.2500000000000018E-5</v>
      </c>
      <c r="F475" s="511">
        <f>(calcProd1Seg3SpeakerAllocR2/calcProd1Seg3SpeakerAllocR1-1)*INDEX(datatblProd1Seg3Payer3,2,)*calcprod1Seg3Payer3TierImpactR2</f>
        <v>-2.2500000000000018E-5</v>
      </c>
      <c r="G475" s="511">
        <f>(calcProd1Seg3SpeakerAllocR2/calcProd1Seg3SpeakerAllocR1-1)*INDEX(datatblProd1Seg3Payer3,2,)*calcprod1Seg3Payer3TierImpactR2</f>
        <v>-2.2500000000000018E-5</v>
      </c>
      <c r="H475" s="511">
        <f>(calcProd1Seg3SpeakerAllocR2/calcProd1Seg3SpeakerAllocR1-1)*INDEX(datatblProd1Seg3Payer3,2,)*calcprod1Seg3Payer3TierImpactR2</f>
        <v>-2.2500000000000018E-5</v>
      </c>
      <c r="I475" s="511">
        <f>(calcProd1Seg3SpeakerAllocR2/calcProd1Seg3SpeakerAllocR1-1)*INDEX(datatblProd1Seg3Payer3,2,)*calcprod1Seg3Payer3TierImpactR2</f>
        <v>-2.2500000000000018E-5</v>
      </c>
      <c r="J475" t="s">
        <v>3079</v>
      </c>
    </row>
    <row r="476" spans="1:10">
      <c r="C476" t="s">
        <v>2333</v>
      </c>
      <c r="E476" s="511">
        <f>(calcProd1Seg3PromotionAllocR2/calcProd1Seg3PromotionAllocR1-1)*INDEX(datatblProd1Seg3Payer3,3,)*calcprod1Seg3Payer3TierImpactR2</f>
        <v>-4.5000000000000037E-5</v>
      </c>
      <c r="F476" s="511">
        <f>(calcProd1Seg3PromotionAllocR2/calcProd1Seg3PromotionAllocR1-1)*INDEX(datatblProd1Seg3Payer3,3,)*calcprod1Seg3Payer3TierImpactR2</f>
        <v>-4.5000000000000037E-5</v>
      </c>
      <c r="G476" s="511">
        <f>(calcProd1Seg3PromotionAllocR2/calcProd1Seg3PromotionAllocR1-1)*INDEX(datatblProd1Seg3Payer3,3,)*calcprod1Seg3Payer3TierImpactR2</f>
        <v>-4.5000000000000037E-5</v>
      </c>
      <c r="H476" s="511">
        <f>(calcProd1Seg3PromotionAllocR2/calcProd1Seg3PromotionAllocR1-1)*INDEX(datatblProd1Seg3Payer3,3,)*calcprod1Seg3Payer3TierImpactR2</f>
        <v>-4.5000000000000037E-5</v>
      </c>
      <c r="I476" s="511">
        <f>(calcProd1Seg3PromotionAllocR2/calcProd1Seg3PromotionAllocR1-1)*INDEX(datatblProd1Seg3Payer3,3,)*calcprod1Seg3Payer3TierImpactR2</f>
        <v>-4.5000000000000037E-5</v>
      </c>
      <c r="J476" t="s">
        <v>3080</v>
      </c>
    </row>
    <row r="477" spans="1:10">
      <c r="C477" t="s">
        <v>2646</v>
      </c>
      <c r="E477" s="511">
        <f>(calcProd1Seg3Rep1Payer3ImpactR2+calcProd1Seg3Rep2Payer3ImpactR2+calcProd1Seg3Rep3Payer3ImpactR2)*calcprod1Seg3Payer3TierImpactR2</f>
        <v>-8.9999999999999987E-4</v>
      </c>
      <c r="F477" s="511">
        <f>(calcProd1Seg3Rep1Payer3ImpactR2+calcProd1Seg3Rep2Payer3ImpactR2+calcProd1Seg3Rep3Payer3ImpactR2)*calcprod1Seg3Payer3TierImpactR2</f>
        <v>-8.9999999999999987E-4</v>
      </c>
      <c r="G477" s="511">
        <f>(calcProd1Seg3Rep1Payer3ImpactR2+calcProd1Seg3Rep2Payer3ImpactR2+calcProd1Seg3Rep3Payer3ImpactR2)*calcprod1Seg3Payer3TierImpactR2</f>
        <v>-8.9999999999999987E-4</v>
      </c>
      <c r="H477" s="511">
        <f>(calcProd1Seg3Rep1Payer3ImpactR2+calcProd1Seg3Rep2Payer3ImpactR2+calcProd1Seg3Rep3Payer3ImpactR2)*calcprod1Seg3Payer3TierImpactR2</f>
        <v>-8.9999999999999987E-4</v>
      </c>
      <c r="I477" s="511">
        <f>(calcProd1Seg3Rep1Payer3ImpactR2+calcProd1Seg3Rep2Payer3ImpactR2+calcProd1Seg3Rep3Payer3ImpactR2)*calcprod1Seg3Payer3TierImpactR2</f>
        <v>-8.9999999999999987E-4</v>
      </c>
      <c r="J477" t="s">
        <v>3081</v>
      </c>
    </row>
    <row r="479" spans="1:10" s="4" customFormat="1">
      <c r="C479" s="4" t="s">
        <v>1489</v>
      </c>
      <c r="E479" s="500">
        <f>SUM(E473:E478)</f>
        <v>1.9219736842105268E-3</v>
      </c>
      <c r="F479" s="500">
        <f>SUM(F473:F478)</f>
        <v>1.9219736842105268E-3</v>
      </c>
      <c r="G479" s="500">
        <f>SUM(G473:G478)</f>
        <v>1.9219736842105268E-3</v>
      </c>
      <c r="H479" s="500">
        <f>SUM(H473:H478)</f>
        <v>1.9219736842105268E-3</v>
      </c>
      <c r="I479" s="500">
        <f>SUM(I473:I478)</f>
        <v>1.9219736842105268E-3</v>
      </c>
      <c r="J479" s="4" t="s">
        <v>1688</v>
      </c>
    </row>
    <row r="480" spans="1:10">
      <c r="C480" t="s">
        <v>1490</v>
      </c>
      <c r="E480" s="380">
        <f>MAX(calcProd1Seg3Payer3MarketRecurCustR2*calcProd1Seg3Payer3ShareRecurCustR2,0)</f>
        <v>16.333631428689472</v>
      </c>
      <c r="F480" s="380">
        <f>MAX(calcProd1Seg3Payer3MarketRecurCustR2*calcProd1Seg3Payer3ShareRecurCustR2,0)</f>
        <v>16.333631428689472</v>
      </c>
      <c r="G480" s="380">
        <f>MAX(calcProd1Seg3Payer3MarketRecurCustR2*calcProd1Seg3Payer3ShareRecurCustR2,0)</f>
        <v>16.333631428689472</v>
      </c>
      <c r="H480" s="380">
        <f>MAX(calcProd1Seg3Payer3MarketRecurCustR2*calcProd1Seg3Payer3ShareRecurCustR2,0)</f>
        <v>16.333631428689472</v>
      </c>
      <c r="I480" s="380">
        <f>MAX(calcProd1Seg3Payer3MarketRecurCustR2*calcProd1Seg3Payer3ShareRecurCustR2,0)</f>
        <v>16.333631428689472</v>
      </c>
      <c r="J480" t="s">
        <v>1689</v>
      </c>
    </row>
    <row r="482" spans="1:10">
      <c r="C482" t="s">
        <v>804</v>
      </c>
      <c r="E482" s="380">
        <f>INDEX(dataProd1Seg3Payer3NewVolume,,4)</f>
        <v>617.34077999999988</v>
      </c>
      <c r="F482" s="380">
        <f>INDEX(dataProd1Seg3Payer3NewVolume,,4)</f>
        <v>617.34077999999988</v>
      </c>
      <c r="G482" s="380">
        <f>INDEX(dataProd1Seg3Payer3NewVolume,,4)</f>
        <v>617.34077999999988</v>
      </c>
      <c r="H482" s="380">
        <f>INDEX(dataProd1Seg3Payer3NewVolume,,4)</f>
        <v>617.34077999999988</v>
      </c>
      <c r="I482" s="380">
        <f>INDEX(dataProd1Seg3Payer3NewVolume,,4)</f>
        <v>617.34077999999988</v>
      </c>
      <c r="J482" t="s">
        <v>1690</v>
      </c>
    </row>
    <row r="484" spans="1:10">
      <c r="C484" t="s">
        <v>1486</v>
      </c>
      <c r="E484" s="465">
        <f>calcProd1Seg3Payer3ShareNewCustR1</f>
        <v>2.8894736842105264E-3</v>
      </c>
      <c r="F484" s="465">
        <f>calcProd1Seg3Payer3ShareNewCustR1</f>
        <v>2.8894736842105264E-3</v>
      </c>
      <c r="G484" s="465">
        <f>calcProd1Seg3Payer3ShareNewCustR1</f>
        <v>2.8894736842105264E-3</v>
      </c>
      <c r="H484" s="465">
        <f>calcProd1Seg3Payer3ShareNewCustR1</f>
        <v>2.8894736842105264E-3</v>
      </c>
      <c r="I484" s="465">
        <f>calcProd1Seg3Payer3ShareNewCustR1</f>
        <v>2.8894736842105264E-3</v>
      </c>
    </row>
    <row r="485" spans="1:10">
      <c r="C485" t="s">
        <v>516</v>
      </c>
      <c r="E485" s="511">
        <f>(calcProd1Seg3SampleAllocR2/calcProd1Seg3SampleAllocR1-1)*INDEX(datatblProd1Seg3Payer3,1,)*calcprod1Seg3Payer3TierImpactR2</f>
        <v>0</v>
      </c>
      <c r="F485" s="511">
        <f>(calcProd1Seg3SampleAllocR2/calcProd1Seg3SampleAllocR1-1)*INDEX(datatblProd1Seg3Payer3,1,)*calcprod1Seg3Payer3TierImpactR2</f>
        <v>0</v>
      </c>
      <c r="G485" s="511">
        <f>(calcProd1Seg3SampleAllocR2/calcProd1Seg3SampleAllocR1-1)*INDEX(datatblProd1Seg3Payer3,1,)*calcprod1Seg3Payer3TierImpactR2</f>
        <v>0</v>
      </c>
      <c r="H485" s="511">
        <f>(calcProd1Seg3SampleAllocR2/calcProd1Seg3SampleAllocR1-1)*INDEX(datatblProd1Seg3Payer3,1,)*calcprod1Seg3Payer3TierImpactR2</f>
        <v>0</v>
      </c>
      <c r="I485" s="511">
        <f>(calcProd1Seg3SampleAllocR2/calcProd1Seg3SampleAllocR1-1)*INDEX(datatblProd1Seg3Payer3,1,)*calcprod1Seg3Payer3TierImpactR2</f>
        <v>0</v>
      </c>
      <c r="J485" t="s">
        <v>3171</v>
      </c>
    </row>
    <row r="486" spans="1:10">
      <c r="C486" t="s">
        <v>517</v>
      </c>
      <c r="E486" s="511">
        <f>(calcProd1Seg3SpeakerAllocR2/calcProd1Seg3SpeakerAllocR1-1)*INDEX(datatblProd1Seg3Payer3,2,)*calcprod1Seg3Payer3TierImpactR2</f>
        <v>-2.2500000000000018E-5</v>
      </c>
      <c r="F486" s="511">
        <f>(calcProd1Seg3SpeakerAllocR2/calcProd1Seg3SpeakerAllocR1-1)*INDEX(datatblProd1Seg3Payer3,2,)*calcprod1Seg3Payer3TierImpactR2</f>
        <v>-2.2500000000000018E-5</v>
      </c>
      <c r="G486" s="511">
        <f>(calcProd1Seg3SpeakerAllocR2/calcProd1Seg3SpeakerAllocR1-1)*INDEX(datatblProd1Seg3Payer3,2,)*calcprod1Seg3Payer3TierImpactR2</f>
        <v>-2.2500000000000018E-5</v>
      </c>
      <c r="H486" s="511">
        <f>(calcProd1Seg3SpeakerAllocR2/calcProd1Seg3SpeakerAllocR1-1)*INDEX(datatblProd1Seg3Payer3,2,)*calcprod1Seg3Payer3TierImpactR2</f>
        <v>-2.2500000000000018E-5</v>
      </c>
      <c r="I486" s="511">
        <f>(calcProd1Seg3SpeakerAllocR2/calcProd1Seg3SpeakerAllocR1-1)*INDEX(datatblProd1Seg3Payer3,2,)*calcprod1Seg3Payer3TierImpactR2</f>
        <v>-2.2500000000000018E-5</v>
      </c>
      <c r="J486" t="s">
        <v>3172</v>
      </c>
    </row>
    <row r="487" spans="1:10">
      <c r="C487" t="s">
        <v>2333</v>
      </c>
      <c r="E487" s="511">
        <f>(calcProd1Seg3PromotionAllocR2/calcProd1Seg3PromotionAllocR1-1)*INDEX(datatblProd1Seg3Payer3,3,)*calcprod1Seg3Payer3TierImpactR2</f>
        <v>-4.5000000000000037E-5</v>
      </c>
      <c r="F487" s="511">
        <f>(calcProd1Seg3PromotionAllocR2/calcProd1Seg3PromotionAllocR1-1)*INDEX(datatblProd1Seg3Payer3,3,)*calcprod1Seg3Payer3TierImpactR2</f>
        <v>-4.5000000000000037E-5</v>
      </c>
      <c r="G487" s="511">
        <f>(calcProd1Seg3PromotionAllocR2/calcProd1Seg3PromotionAllocR1-1)*INDEX(datatblProd1Seg3Payer3,3,)*calcprod1Seg3Payer3TierImpactR2</f>
        <v>-4.5000000000000037E-5</v>
      </c>
      <c r="H487" s="511">
        <f>(calcProd1Seg3PromotionAllocR2/calcProd1Seg3PromotionAllocR1-1)*INDEX(datatblProd1Seg3Payer3,3,)*calcprod1Seg3Payer3TierImpactR2</f>
        <v>-4.5000000000000037E-5</v>
      </c>
      <c r="I487" s="511">
        <f>(calcProd1Seg3PromotionAllocR2/calcProd1Seg3PromotionAllocR1-1)*INDEX(datatblProd1Seg3Payer3,3,)*calcprod1Seg3Payer3TierImpactR2</f>
        <v>-4.5000000000000037E-5</v>
      </c>
      <c r="J487" t="s">
        <v>3173</v>
      </c>
    </row>
    <row r="488" spans="1:10">
      <c r="C488" t="s">
        <v>2646</v>
      </c>
      <c r="E488" s="511">
        <f>(calcProd1Seg3Rep1Payer3ImpactR2+calcProd1Seg3Rep2Payer3ImpactR2+calcProd1Seg3Rep3Payer3ImpactR2)*calcprod1Seg3Payer3TierImpactR2</f>
        <v>-8.9999999999999987E-4</v>
      </c>
      <c r="F488" s="511">
        <f>(calcProd1Seg3Rep1Payer3ImpactR2+calcProd1Seg3Rep2Payer3ImpactR2+calcProd1Seg3Rep3Payer3ImpactR2)*calcprod1Seg3Payer3TierImpactR2</f>
        <v>-8.9999999999999987E-4</v>
      </c>
      <c r="G488" s="511">
        <f>(calcProd1Seg3Rep1Payer3ImpactR2+calcProd1Seg3Rep2Payer3ImpactR2+calcProd1Seg3Rep3Payer3ImpactR2)*calcprod1Seg3Payer3TierImpactR2</f>
        <v>-8.9999999999999987E-4</v>
      </c>
      <c r="H488" s="511">
        <f>(calcProd1Seg3Rep1Payer3ImpactR2+calcProd1Seg3Rep2Payer3ImpactR2+calcProd1Seg3Rep3Payer3ImpactR2)*calcprod1Seg3Payer3TierImpactR2</f>
        <v>-8.9999999999999987E-4</v>
      </c>
      <c r="I488" s="511">
        <f>(calcProd1Seg3Rep1Payer3ImpactR2+calcProd1Seg3Rep2Payer3ImpactR2+calcProd1Seg3Rep3Payer3ImpactR2)*calcprod1Seg3Payer3TierImpactR2</f>
        <v>-8.9999999999999987E-4</v>
      </c>
      <c r="J488" t="s">
        <v>3174</v>
      </c>
    </row>
    <row r="490" spans="1:10" s="4" customFormat="1">
      <c r="C490" s="4" t="s">
        <v>1534</v>
      </c>
      <c r="E490" s="500">
        <f>SUM(E484:E489)</f>
        <v>1.9219736842105268E-3</v>
      </c>
      <c r="F490" s="500">
        <f>SUM(F484:F489)</f>
        <v>1.9219736842105268E-3</v>
      </c>
      <c r="G490" s="500">
        <f>SUM(G484:G489)</f>
        <v>1.9219736842105268E-3</v>
      </c>
      <c r="H490" s="500">
        <f>SUM(H484:H489)</f>
        <v>1.9219736842105268E-3</v>
      </c>
      <c r="I490" s="500">
        <f>SUM(I484:I489)</f>
        <v>1.9219736842105268E-3</v>
      </c>
      <c r="J490" s="4" t="s">
        <v>1691</v>
      </c>
    </row>
    <row r="491" spans="1:10">
      <c r="C491" t="s">
        <v>1490</v>
      </c>
      <c r="E491" s="380">
        <f>MAX(calcProd1Seg3Payer3MarketGrowthCustR2*calcProd1Seg3Payer3ShareNewCustR2,0)</f>
        <v>1.1865127333500001</v>
      </c>
      <c r="F491" s="380">
        <f>MAX(calcProd1Seg3Payer3MarketGrowthCustR2*calcProd1Seg3Payer3ShareNewCustR2,0)</f>
        <v>1.1865127333500001</v>
      </c>
      <c r="G491" s="380">
        <f>MAX(calcProd1Seg3Payer3MarketGrowthCustR2*calcProd1Seg3Payer3ShareNewCustR2,0)</f>
        <v>1.1865127333500001</v>
      </c>
      <c r="H491" s="380">
        <f>MAX(calcProd1Seg3Payer3MarketGrowthCustR2*calcProd1Seg3Payer3ShareNewCustR2,0)</f>
        <v>1.1865127333500001</v>
      </c>
      <c r="I491" s="380">
        <f>MAX(calcProd1Seg3Payer3MarketGrowthCustR2*calcProd1Seg3Payer3ShareNewCustR2,0)</f>
        <v>1.1865127333500001</v>
      </c>
      <c r="J491" s="4" t="s">
        <v>1692</v>
      </c>
    </row>
    <row r="493" spans="1:10">
      <c r="C493" t="s">
        <v>1537</v>
      </c>
      <c r="E493" s="380">
        <f>calcProd1Seg3Payer3MarketRecurCustR2+calcProd1Seg3Payer3MarketGrowthCustR2</f>
        <v>9115.704499999998</v>
      </c>
      <c r="F493" s="380">
        <f>calcProd1Seg3Payer3MarketRecurCustR2+calcProd1Seg3Payer3MarketGrowthCustR2</f>
        <v>9115.704499999998</v>
      </c>
      <c r="G493" s="380">
        <f>calcProd1Seg3Payer3MarketRecurCustR2+calcProd1Seg3Payer3MarketGrowthCustR2</f>
        <v>9115.704499999998</v>
      </c>
      <c r="H493" s="380">
        <f>calcProd1Seg3Payer3MarketRecurCustR2+calcProd1Seg3Payer3MarketGrowthCustR2</f>
        <v>9115.704499999998</v>
      </c>
      <c r="I493" s="380">
        <f>calcProd1Seg3Payer3MarketRecurCustR2+calcProd1Seg3Payer3MarketGrowthCustR2</f>
        <v>9115.704499999998</v>
      </c>
      <c r="J493" t="s">
        <v>1693</v>
      </c>
    </row>
    <row r="494" spans="1:10">
      <c r="C494" t="s">
        <v>1539</v>
      </c>
      <c r="E494" s="380">
        <f>calcProd1Seg3Payer3VolumeRecurCustR2+calcProd1Seg3Payer3VolumeNewCustR2</f>
        <v>17.520144162039472</v>
      </c>
      <c r="F494" s="380">
        <f>calcProd1Seg3Payer3VolumeRecurCustR2+calcProd1Seg3Payer3VolumeNewCustR2</f>
        <v>17.520144162039472</v>
      </c>
      <c r="G494" s="380">
        <f>calcProd1Seg3Payer3VolumeRecurCustR2+calcProd1Seg3Payer3VolumeNewCustR2</f>
        <v>17.520144162039472</v>
      </c>
      <c r="H494" s="380">
        <f>calcProd1Seg3Payer3VolumeRecurCustR2+calcProd1Seg3Payer3VolumeNewCustR2</f>
        <v>17.520144162039472</v>
      </c>
      <c r="I494" s="380">
        <f>calcProd1Seg3Payer3VolumeRecurCustR2+calcProd1Seg3Payer3VolumeNewCustR2</f>
        <v>17.520144162039472</v>
      </c>
      <c r="J494" t="s">
        <v>1694</v>
      </c>
    </row>
    <row r="495" spans="1:10" s="4" customFormat="1">
      <c r="C495" s="4" t="s">
        <v>841</v>
      </c>
      <c r="E495" s="500">
        <f>calcProd1Seg3Payer3VolumeR1/calcProd1Seg3Payer3TotalVolumeR1</f>
        <v>2.8894736842105264E-3</v>
      </c>
      <c r="F495" s="500">
        <f>calcProd1Seg3Payer3VolumeR1/calcProd1Seg3Payer3TotalVolumeR1</f>
        <v>2.8894736842105264E-3</v>
      </c>
      <c r="G495" s="500">
        <f>calcProd1Seg3Payer3VolumeR1/calcProd1Seg3Payer3TotalVolumeR1</f>
        <v>2.8894736842105264E-3</v>
      </c>
      <c r="H495" s="500">
        <f>calcProd1Seg3Payer3VolumeR1/calcProd1Seg3Payer3TotalVolumeR1</f>
        <v>2.8894736842105264E-3</v>
      </c>
      <c r="I495" s="500">
        <f>calcProd1Seg3Payer3VolumeR1/calcProd1Seg3Payer3TotalVolumeR1</f>
        <v>2.8894736842105264E-3</v>
      </c>
      <c r="J495" s="4" t="s">
        <v>1695</v>
      </c>
    </row>
    <row r="496" spans="1:10">
      <c r="A496" s="4"/>
    </row>
    <row r="497" spans="1:10">
      <c r="A497" s="4" t="s">
        <v>1867</v>
      </c>
    </row>
    <row r="498" spans="1:10">
      <c r="A498" t="s">
        <v>622</v>
      </c>
      <c r="B498" t="str">
        <f>nmPayer1</f>
        <v>Blue Sword/Blue Shield</v>
      </c>
    </row>
    <row r="499" spans="1:10">
      <c r="C499" t="s">
        <v>1541</v>
      </c>
      <c r="E499" s="380">
        <f>calcProd1Seg1Payer1VolumeRecurCustR1+calcProd1Seg2Payer1VolumeRecurCustR1+calcProd1Seg3Payer1VolumeRecurCustR1</f>
        <v>240.91653456639995</v>
      </c>
      <c r="F499" s="380">
        <f>calcProd1Seg1Payer1VolumeRecurCustR1+calcProd1Seg2Payer1VolumeRecurCustR1+calcProd1Seg3Payer1VolumeRecurCustR1</f>
        <v>240.91653456639995</v>
      </c>
      <c r="G499" s="380">
        <f>calcProd1Seg1Payer1VolumeRecurCustR1+calcProd1Seg2Payer1VolumeRecurCustR1+calcProd1Seg3Payer1VolumeRecurCustR1</f>
        <v>240.91653456639995</v>
      </c>
      <c r="H499" s="380">
        <f>calcProd1Seg1Payer1VolumeRecurCustR1+calcProd1Seg2Payer1VolumeRecurCustR1+calcProd1Seg3Payer1VolumeRecurCustR1</f>
        <v>240.91653456639995</v>
      </c>
      <c r="I499" s="380">
        <f>calcProd1Seg1Payer1VolumeRecurCustR1+calcProd1Seg2Payer1VolumeRecurCustR1+calcProd1Seg3Payer1VolumeRecurCustR1</f>
        <v>240.91653456639995</v>
      </c>
      <c r="J499" t="s">
        <v>1858</v>
      </c>
    </row>
    <row r="500" spans="1:10">
      <c r="C500" t="s">
        <v>804</v>
      </c>
      <c r="E500" s="380">
        <f>calcProd1Seg1Payer1VolumeNewCustR1+calcProd1Seg2Payer1VolumeNewCustR1+calcProd1Seg3Payer1VolumeNewCustR1</f>
        <v>22.11312852</v>
      </c>
      <c r="F500" s="380">
        <f>calcProd1Seg1Payer1VolumeNewCustR1+calcProd1Seg2Payer1VolumeNewCustR1+calcProd1Seg3Payer1VolumeNewCustR1</f>
        <v>22.11312852</v>
      </c>
      <c r="G500" s="380">
        <f>calcProd1Seg1Payer1VolumeNewCustR1+calcProd1Seg2Payer1VolumeNewCustR1+calcProd1Seg3Payer1VolumeNewCustR1</f>
        <v>22.11312852</v>
      </c>
      <c r="H500" s="380">
        <f>calcProd1Seg1Payer1VolumeNewCustR1+calcProd1Seg2Payer1VolumeNewCustR1+calcProd1Seg3Payer1VolumeNewCustR1</f>
        <v>22.11312852</v>
      </c>
      <c r="I500" s="380">
        <f>calcProd1Seg1Payer1VolumeNewCustR1+calcProd1Seg2Payer1VolumeNewCustR1+calcProd1Seg3Payer1VolumeNewCustR1</f>
        <v>22.11312852</v>
      </c>
      <c r="J500" t="s">
        <v>1859</v>
      </c>
    </row>
    <row r="501" spans="1:10" s="4" customFormat="1">
      <c r="C501" s="4" t="s">
        <v>1860</v>
      </c>
      <c r="E501" s="457">
        <f>calcProd1Payer1RecurCustR1+calcProd1Payer1NewCustR1</f>
        <v>263.02966308639992</v>
      </c>
      <c r="F501" s="457">
        <f>calcProd1Payer1RecurCustR1+calcProd1Payer1NewCustR1</f>
        <v>263.02966308639992</v>
      </c>
      <c r="G501" s="457">
        <f>calcProd1Payer1RecurCustR1+calcProd1Payer1NewCustR1</f>
        <v>263.02966308639992</v>
      </c>
      <c r="H501" s="457">
        <f>calcProd1Payer1RecurCustR1+calcProd1Payer1NewCustR1</f>
        <v>263.02966308639992</v>
      </c>
      <c r="I501" s="457">
        <f>calcProd1Payer1RecurCustR1+calcProd1Payer1NewCustR1</f>
        <v>263.02966308639992</v>
      </c>
      <c r="J501" s="4" t="s">
        <v>1861</v>
      </c>
    </row>
    <row r="502" spans="1:10">
      <c r="C502" t="s">
        <v>1862</v>
      </c>
      <c r="E502">
        <f>calcProd1Seg1Payer1MarketGrowthCustR1+calcProd1Seg2Payer1MarketGrowthCustR1+calcProd1Seg3Payer1MarketGrowthCustR1</f>
        <v>3863.2300000000005</v>
      </c>
      <c r="F502">
        <f>calcProd1Seg1Payer1MarketGrowthCustR1+calcProd1Seg2Payer1MarketGrowthCustR1+calcProd1Seg3Payer1MarketGrowthCustR1</f>
        <v>3863.2300000000005</v>
      </c>
      <c r="G502">
        <f>calcProd1Seg1Payer1MarketGrowthCustR1+calcProd1Seg2Payer1MarketGrowthCustR1+calcProd1Seg3Payer1MarketGrowthCustR1</f>
        <v>3863.2300000000005</v>
      </c>
      <c r="H502">
        <f>calcProd1Seg1Payer1MarketGrowthCustR1+calcProd1Seg2Payer1MarketGrowthCustR1+calcProd1Seg3Payer1MarketGrowthCustR1</f>
        <v>3863.2300000000005</v>
      </c>
      <c r="I502">
        <f>calcProd1Seg1Payer1MarketGrowthCustR1+calcProd1Seg2Payer1MarketGrowthCustR1+calcProd1Seg3Payer1MarketGrowthCustR1</f>
        <v>3863.2300000000005</v>
      </c>
      <c r="J502" t="s">
        <v>1864</v>
      </c>
    </row>
    <row r="503" spans="1:10">
      <c r="C503" t="s">
        <v>1537</v>
      </c>
      <c r="E503">
        <f>calcProd1Seg1Payer1TotalVolumeR1+calcProd1Seg2Payer1TotalVolumeR1+calcProd1Seg3Payer1TotalVolumeR1</f>
        <v>46015.961600000002</v>
      </c>
      <c r="F503">
        <f>calcProd1Seg1Payer1TotalVolumeR1+calcProd1Seg2Payer1TotalVolumeR1+calcProd1Seg3Payer1TotalVolumeR1</f>
        <v>46015.961600000002</v>
      </c>
      <c r="G503">
        <f>calcProd1Seg1Payer1TotalVolumeR1+calcProd1Seg2Payer1TotalVolumeR1+calcProd1Seg3Payer1TotalVolumeR1</f>
        <v>46015.961600000002</v>
      </c>
      <c r="H503">
        <f>calcProd1Seg1Payer1TotalVolumeR1+calcProd1Seg2Payer1TotalVolumeR1+calcProd1Seg3Payer1TotalVolumeR1</f>
        <v>46015.961600000002</v>
      </c>
      <c r="I503">
        <f>calcProd1Seg1Payer1TotalVolumeR1+calcProd1Seg2Payer1TotalVolumeR1+calcProd1Seg3Payer1TotalVolumeR1</f>
        <v>46015.961600000002</v>
      </c>
      <c r="J503" t="s">
        <v>1863</v>
      </c>
    </row>
    <row r="504" spans="1:10">
      <c r="C504" t="s">
        <v>861</v>
      </c>
      <c r="E504" s="465">
        <f>calcProd1Payer1NewCustR1/calcProd1Payer1MarketGrowthCustR1</f>
        <v>5.7239999999999991E-3</v>
      </c>
      <c r="F504" s="465">
        <f>calcProd1Payer1NewCustR1/calcProd1Payer1MarketGrowthCustR1</f>
        <v>5.7239999999999991E-3</v>
      </c>
      <c r="G504" s="465">
        <f>calcProd1Payer1NewCustR1/calcProd1Payer1MarketGrowthCustR1</f>
        <v>5.7239999999999991E-3</v>
      </c>
      <c r="H504" s="465">
        <f>calcProd1Payer1NewCustR1/calcProd1Payer1MarketGrowthCustR1</f>
        <v>5.7239999999999991E-3</v>
      </c>
      <c r="I504" s="465">
        <f>calcProd1Payer1NewCustR1/calcProd1Payer1MarketGrowthCustR1</f>
        <v>5.7239999999999991E-3</v>
      </c>
      <c r="J504" s="465" t="s">
        <v>1865</v>
      </c>
    </row>
    <row r="505" spans="1:10">
      <c r="C505" t="s">
        <v>841</v>
      </c>
      <c r="E505" s="465">
        <f>calcProd1Payer1TotalCustR1/calcProd1Payer1TotalVolumeR1</f>
        <v>5.7160527334584686E-3</v>
      </c>
      <c r="F505" s="465">
        <f>calcProd1Payer1TotalCustR1/calcProd1Payer1TotalVolumeR1</f>
        <v>5.7160527334584686E-3</v>
      </c>
      <c r="G505" s="465">
        <f>calcProd1Payer1TotalCustR1/calcProd1Payer1TotalVolumeR1</f>
        <v>5.7160527334584686E-3</v>
      </c>
      <c r="H505" s="465">
        <f>calcProd1Payer1TotalCustR1/calcProd1Payer1TotalVolumeR1</f>
        <v>5.7160527334584686E-3</v>
      </c>
      <c r="I505" s="465">
        <f>calcProd1Payer1TotalCustR1/calcProd1Payer1TotalVolumeR1</f>
        <v>5.7160527334584686E-3</v>
      </c>
      <c r="J505" s="465" t="s">
        <v>1866</v>
      </c>
    </row>
    <row r="506" spans="1:10">
      <c r="A506" t="s">
        <v>623</v>
      </c>
    </row>
    <row r="507" spans="1:10">
      <c r="C507" t="s">
        <v>1541</v>
      </c>
      <c r="E507" s="380">
        <f>calcProd1Seg1Payer1VolumeRecurCustR2+calcProd1Seg2Payer1VolumeRecurCustR2+calcProd1Seg3Payer1VolumeRecurCustR2</f>
        <v>255.3281596007856</v>
      </c>
      <c r="F507" s="380">
        <f>calcProd1Seg1Payer1VolumeRecurCustR2+calcProd1Seg2Payer1VolumeRecurCustR2+calcProd1Seg3Payer1VolumeRecurCustR2</f>
        <v>255.3281596007856</v>
      </c>
      <c r="G507" s="380">
        <f>calcProd1Seg1Payer1VolumeRecurCustR2+calcProd1Seg2Payer1VolumeRecurCustR2+calcProd1Seg3Payer1VolumeRecurCustR2</f>
        <v>255.3281596007856</v>
      </c>
      <c r="H507" s="380">
        <f>calcProd1Seg1Payer1VolumeRecurCustR2+calcProd1Seg2Payer1VolumeRecurCustR2+calcProd1Seg3Payer1VolumeRecurCustR2</f>
        <v>255.3281596007856</v>
      </c>
      <c r="I507" s="380">
        <f>calcProd1Seg1Payer1VolumeRecurCustR2+calcProd1Seg2Payer1VolumeRecurCustR2+calcProd1Seg3Payer1VolumeRecurCustR2</f>
        <v>254.9248699694256</v>
      </c>
      <c r="J507" t="s">
        <v>1868</v>
      </c>
    </row>
    <row r="508" spans="1:10">
      <c r="C508" t="s">
        <v>804</v>
      </c>
      <c r="E508" s="380">
        <f>calcProd1Seg1Payer1VolumeNewCustR2+calcProd1Seg2Payer1VolumeNewCustR2+calcProd1Seg3Payer1VolumeNewCustR2</f>
        <v>32.041631954807997</v>
      </c>
      <c r="F508" s="380">
        <f>calcProd1Seg1Payer1VolumeNewCustR2+calcProd1Seg2Payer1VolumeNewCustR2+calcProd1Seg3Payer1VolumeNewCustR2</f>
        <v>32.041631954807997</v>
      </c>
      <c r="G508" s="380">
        <f>calcProd1Seg1Payer1VolumeNewCustR2+calcProd1Seg2Payer1VolumeNewCustR2+calcProd1Seg3Payer1VolumeNewCustR2</f>
        <v>32.041631954807997</v>
      </c>
      <c r="H508" s="380">
        <f>calcProd1Seg1Payer1VolumeNewCustR2+calcProd1Seg2Payer1VolumeNewCustR2+calcProd1Seg3Payer1VolumeNewCustR2</f>
        <v>32.041631954807997</v>
      </c>
      <c r="I508" s="380">
        <f>calcProd1Seg1Payer1VolumeNewCustR2+calcProd1Seg2Payer1VolumeNewCustR2+calcProd1Seg3Payer1VolumeNewCustR2</f>
        <v>31.986637914167993</v>
      </c>
      <c r="J508" t="s">
        <v>1869</v>
      </c>
    </row>
    <row r="509" spans="1:10" s="4" customFormat="1">
      <c r="C509" s="4" t="s">
        <v>1860</v>
      </c>
      <c r="E509" s="457">
        <f>calcProd1Payer1RecurCustR2+calcProd1Payer1NewCustR2</f>
        <v>287.36979155559357</v>
      </c>
      <c r="F509" s="457">
        <f>calcProd1Payer1RecurCustR2+calcProd1Payer1NewCustR2</f>
        <v>287.36979155559357</v>
      </c>
      <c r="G509" s="457">
        <f>calcProd1Payer1RecurCustR2+calcProd1Payer1NewCustR2</f>
        <v>287.36979155559357</v>
      </c>
      <c r="H509" s="457">
        <f>calcProd1Payer1RecurCustR2+calcProd1Payer1NewCustR2</f>
        <v>287.36979155559357</v>
      </c>
      <c r="I509" s="457">
        <f>calcProd1Payer1RecurCustR2+calcProd1Payer1NewCustR2</f>
        <v>286.91150788359357</v>
      </c>
      <c r="J509" s="4" t="s">
        <v>1870</v>
      </c>
    </row>
    <row r="510" spans="1:10">
      <c r="C510" t="s">
        <v>1862</v>
      </c>
      <c r="E510">
        <f>calcProd1Seg1Payer1MarketGrowthCustR2+calcProd1Seg2Payer1MarketGrowthCustR2+calcProd1Seg3Payer1MarketGrowthCustR2</f>
        <v>5781.38274</v>
      </c>
      <c r="F510">
        <f>calcProd1Seg1Payer1MarketGrowthCustR2+calcProd1Seg2Payer1MarketGrowthCustR2+calcProd1Seg3Payer1MarketGrowthCustR2</f>
        <v>5781.38274</v>
      </c>
      <c r="G510">
        <f>calcProd1Seg1Payer1MarketGrowthCustR2+calcProd1Seg2Payer1MarketGrowthCustR2+calcProd1Seg3Payer1MarketGrowthCustR2</f>
        <v>5781.38274</v>
      </c>
      <c r="H510">
        <f>calcProd1Seg1Payer1MarketGrowthCustR2+calcProd1Seg2Payer1MarketGrowthCustR2+calcProd1Seg3Payer1MarketGrowthCustR2</f>
        <v>5781.38274</v>
      </c>
      <c r="I510">
        <f>calcProd1Seg1Payer1MarketGrowthCustR2+calcProd1Seg2Payer1MarketGrowthCustR2+calcProd1Seg3Payer1MarketGrowthCustR2</f>
        <v>5781.38274</v>
      </c>
      <c r="J510" t="s">
        <v>1871</v>
      </c>
    </row>
    <row r="511" spans="1:10">
      <c r="C511" t="s">
        <v>1537</v>
      </c>
      <c r="E511">
        <f>calcProd1Seg1Payer1TotalVolumeR2+calcProd1Seg2Payer1TotalVolumeR2+calcProd1Seg3Payer1TotalVolumeR2</f>
        <v>52455.820928000001</v>
      </c>
      <c r="F511">
        <f>calcProd1Seg1Payer1TotalVolumeR2+calcProd1Seg2Payer1TotalVolumeR2+calcProd1Seg3Payer1TotalVolumeR2</f>
        <v>52455.820928000001</v>
      </c>
      <c r="G511">
        <f>calcProd1Seg1Payer1TotalVolumeR2+calcProd1Seg2Payer1TotalVolumeR2+calcProd1Seg3Payer1TotalVolumeR2</f>
        <v>52455.820928000001</v>
      </c>
      <c r="H511">
        <f>calcProd1Seg1Payer1TotalVolumeR2+calcProd1Seg2Payer1TotalVolumeR2+calcProd1Seg3Payer1TotalVolumeR2</f>
        <v>52455.820928000001</v>
      </c>
      <c r="I511">
        <f>calcProd1Seg1Payer1TotalVolumeR2+calcProd1Seg2Payer1TotalVolumeR2+calcProd1Seg3Payer1TotalVolumeR2</f>
        <v>52455.820928000001</v>
      </c>
      <c r="J511" t="s">
        <v>1874</v>
      </c>
    </row>
    <row r="512" spans="1:10">
      <c r="C512" t="s">
        <v>861</v>
      </c>
      <c r="E512" s="465">
        <f>calcProd1Payer1NewCustR2/calcProd1Payer1MarketGrowthCustR2</f>
        <v>5.5422090866116911E-3</v>
      </c>
      <c r="F512" s="465">
        <f>calcProd1Payer1NewCustR2/calcProd1Payer1MarketGrowthCustR2</f>
        <v>5.5422090866116911E-3</v>
      </c>
      <c r="G512" s="465">
        <f>calcProd1Payer1NewCustR2/calcProd1Payer1MarketGrowthCustR2</f>
        <v>5.5422090866116911E-3</v>
      </c>
      <c r="H512" s="465">
        <f>calcProd1Payer1NewCustR2/calcProd1Payer1MarketGrowthCustR2</f>
        <v>5.5422090866116911E-3</v>
      </c>
      <c r="I512" s="465">
        <f>calcProd1Payer1NewCustR2/calcProd1Payer1MarketGrowthCustR2</f>
        <v>5.5326968223120953E-3</v>
      </c>
      <c r="J512" s="465" t="s">
        <v>1872</v>
      </c>
    </row>
    <row r="513" spans="1:10">
      <c r="C513" t="s">
        <v>841</v>
      </c>
      <c r="E513" s="465">
        <f>calcProd1Payer1TotalCustR2/calcProd1Payer1TotalVolumeR2</f>
        <v>5.4783203555241779E-3</v>
      </c>
      <c r="F513" s="465">
        <f>calcProd1Payer1TotalCustR2/calcProd1Payer1TotalVolumeR2</f>
        <v>5.4783203555241779E-3</v>
      </c>
      <c r="G513" s="465">
        <f>calcProd1Payer1TotalCustR2/calcProd1Payer1TotalVolumeR2</f>
        <v>5.4783203555241779E-3</v>
      </c>
      <c r="H513" s="465">
        <f>calcProd1Payer1TotalCustR2/calcProd1Payer1TotalVolumeR2</f>
        <v>5.4783203555241779E-3</v>
      </c>
      <c r="I513" s="465">
        <f>calcProd1Payer1TotalCustR2/calcProd1Payer1TotalVolumeR2</f>
        <v>5.4695837908514218E-3</v>
      </c>
      <c r="J513" s="465" t="s">
        <v>1873</v>
      </c>
    </row>
    <row r="515" spans="1:10">
      <c r="A515" t="s">
        <v>622</v>
      </c>
      <c r="B515" t="str">
        <f>nmPayer2</f>
        <v>WesterAid</v>
      </c>
    </row>
    <row r="516" spans="1:10">
      <c r="C516" t="s">
        <v>1541</v>
      </c>
      <c r="E516" s="380">
        <f>calcProd1Seg1Payer2VolumeRecurCustR1+calcProd1Seg2Payer2VolumeRecurCustR1+calcProd1Seg3Payer2VolumeRecurCustR1</f>
        <v>4.0773642840000051</v>
      </c>
      <c r="F516" s="380">
        <f>calcProd1Seg1Payer2VolumeRecurCustR1+calcProd1Seg2Payer2VolumeRecurCustR1+calcProd1Seg3Payer2VolumeRecurCustR1</f>
        <v>4.0773642840000051</v>
      </c>
      <c r="G516" s="380">
        <f>calcProd1Seg1Payer2VolumeRecurCustR1+calcProd1Seg2Payer2VolumeRecurCustR1+calcProd1Seg3Payer2VolumeRecurCustR1</f>
        <v>4.0773642840000051</v>
      </c>
      <c r="H516" s="380">
        <f>calcProd1Seg1Payer2VolumeRecurCustR1+calcProd1Seg2Payer2VolumeRecurCustR1+calcProd1Seg3Payer2VolumeRecurCustR1</f>
        <v>4.0773642840000051</v>
      </c>
      <c r="I516" s="380">
        <f>calcProd1Seg1Payer2VolumeRecurCustR1+calcProd1Seg2Payer2VolumeRecurCustR1+calcProd1Seg3Payer2VolumeRecurCustR1</f>
        <v>4.0773642840000051</v>
      </c>
      <c r="J516" t="s">
        <v>1889</v>
      </c>
    </row>
    <row r="517" spans="1:10">
      <c r="C517" t="s">
        <v>804</v>
      </c>
      <c r="E517" s="380">
        <f>calcProd1Seg1Payer2VolumeNewCustR1+calcProd1Seg2Payer2VolumeNewCustR1+calcProd1Seg3Payer2VolumeNewCustR1</f>
        <v>0.38459551200000047</v>
      </c>
      <c r="F517" s="380">
        <f>calcProd1Seg1Payer2VolumeNewCustR1+calcProd1Seg2Payer2VolumeNewCustR1+calcProd1Seg3Payer2VolumeNewCustR1</f>
        <v>0.38459551200000047</v>
      </c>
      <c r="G517" s="380">
        <f>calcProd1Seg1Payer2VolumeNewCustR1+calcProd1Seg2Payer2VolumeNewCustR1+calcProd1Seg3Payer2VolumeNewCustR1</f>
        <v>0.38459551200000047</v>
      </c>
      <c r="H517" s="380">
        <f>calcProd1Seg1Payer2VolumeNewCustR1+calcProd1Seg2Payer2VolumeNewCustR1+calcProd1Seg3Payer2VolumeNewCustR1</f>
        <v>0.38459551200000047</v>
      </c>
      <c r="I517" s="380">
        <f>calcProd1Seg1Payer2VolumeNewCustR1+calcProd1Seg2Payer2VolumeNewCustR1+calcProd1Seg3Payer2VolumeNewCustR1</f>
        <v>0.38459551200000047</v>
      </c>
      <c r="J517" t="s">
        <v>1890</v>
      </c>
    </row>
    <row r="518" spans="1:10" s="4" customFormat="1">
      <c r="C518" s="4" t="s">
        <v>1860</v>
      </c>
      <c r="E518" s="457">
        <f>calcProd1Payer2RecurCustR1+calcProd1Payer2NewCustR1</f>
        <v>4.4619597960000057</v>
      </c>
      <c r="F518" s="457">
        <f>calcProd1Payer2RecurCustR1+calcProd1Payer2NewCustR1</f>
        <v>4.4619597960000057</v>
      </c>
      <c r="G518" s="457">
        <f>calcProd1Payer2RecurCustR1+calcProd1Payer2NewCustR1</f>
        <v>4.4619597960000057</v>
      </c>
      <c r="H518" s="457">
        <f>calcProd1Payer2RecurCustR1+calcProd1Payer2NewCustR1</f>
        <v>4.4619597960000057</v>
      </c>
      <c r="I518" s="457">
        <f>calcProd1Payer2RecurCustR1+calcProd1Payer2NewCustR1</f>
        <v>4.4619597960000057</v>
      </c>
      <c r="J518" s="4" t="s">
        <v>1891</v>
      </c>
    </row>
    <row r="519" spans="1:10">
      <c r="C519" t="s">
        <v>1862</v>
      </c>
      <c r="E519">
        <f>calcProd1Seg1Payer2MarketGrowthCustR1+calcProd1Seg2Payer2MarketGrowthCustR1+calcProd1Seg3Payer2MarketGrowthCustR1</f>
        <v>2506.8820000000001</v>
      </c>
      <c r="F519">
        <f>calcProd1Seg1Payer2MarketGrowthCustR1+calcProd1Seg2Payer2MarketGrowthCustR1+calcProd1Seg3Payer2MarketGrowthCustR1</f>
        <v>2506.8820000000001</v>
      </c>
      <c r="G519">
        <f>calcProd1Seg1Payer2MarketGrowthCustR1+calcProd1Seg2Payer2MarketGrowthCustR1+calcProd1Seg3Payer2MarketGrowthCustR1</f>
        <v>2506.8820000000001</v>
      </c>
      <c r="H519">
        <f>calcProd1Seg1Payer2MarketGrowthCustR1+calcProd1Seg2Payer2MarketGrowthCustR1+calcProd1Seg3Payer2MarketGrowthCustR1</f>
        <v>2506.8820000000001</v>
      </c>
      <c r="I519">
        <f>calcProd1Seg1Payer2MarketGrowthCustR1+calcProd1Seg2Payer2MarketGrowthCustR1+calcProd1Seg3Payer2MarketGrowthCustR1</f>
        <v>2506.8820000000001</v>
      </c>
      <c r="J519" t="s">
        <v>1892</v>
      </c>
    </row>
    <row r="520" spans="1:10">
      <c r="C520" t="s">
        <v>1537</v>
      </c>
      <c r="E520">
        <f>calcProd1Seg1Payer2TotalVolumeR1+calcProd1Seg2Payer2TotalVolumeR1+calcProd1Seg3Payer2TotalVolumeR1</f>
        <v>31266.858</v>
      </c>
      <c r="F520">
        <f>calcProd1Seg1Payer2TotalVolumeR1+calcProd1Seg2Payer2TotalVolumeR1+calcProd1Seg3Payer2TotalVolumeR1</f>
        <v>31266.858</v>
      </c>
      <c r="G520">
        <f>calcProd1Seg1Payer2TotalVolumeR1+calcProd1Seg2Payer2TotalVolumeR1+calcProd1Seg3Payer2TotalVolumeR1</f>
        <v>31266.858</v>
      </c>
      <c r="H520">
        <f>calcProd1Seg1Payer2TotalVolumeR1+calcProd1Seg2Payer2TotalVolumeR1+calcProd1Seg3Payer2TotalVolumeR1</f>
        <v>31266.858</v>
      </c>
      <c r="I520">
        <f>calcProd1Seg1Payer2TotalVolumeR1+calcProd1Seg2Payer2TotalVolumeR1+calcProd1Seg3Payer2TotalVolumeR1</f>
        <v>31266.858</v>
      </c>
      <c r="J520" t="s">
        <v>1893</v>
      </c>
    </row>
    <row r="521" spans="1:10">
      <c r="C521" t="s">
        <v>861</v>
      </c>
      <c r="E521" s="465">
        <f>calcProd1Payer2NewCustR1/calcProd1Payer2MarketGrowthCustR1</f>
        <v>1.534158815612384E-4</v>
      </c>
      <c r="F521" s="465">
        <f>calcProd1Payer2NewCustR1/calcProd1Payer2MarketGrowthCustR1</f>
        <v>1.534158815612384E-4</v>
      </c>
      <c r="G521" s="465">
        <f>calcProd1Payer2NewCustR1/calcProd1Payer2MarketGrowthCustR1</f>
        <v>1.534158815612384E-4</v>
      </c>
      <c r="H521" s="465">
        <f>calcProd1Payer2NewCustR1/calcProd1Payer2MarketGrowthCustR1</f>
        <v>1.534158815612384E-4</v>
      </c>
      <c r="I521" s="465">
        <f>calcProd1Payer2NewCustR1/calcProd1Payer2MarketGrowthCustR1</f>
        <v>1.534158815612384E-4</v>
      </c>
      <c r="J521" s="465" t="s">
        <v>1894</v>
      </c>
    </row>
    <row r="522" spans="1:10">
      <c r="C522" t="s">
        <v>841</v>
      </c>
      <c r="E522" s="465">
        <f>calcProd1Payer2TotalCustR1/calcProd1Payer2TotalVolumeR1</f>
        <v>1.4270573000971207E-4</v>
      </c>
      <c r="F522" s="465">
        <f>calcProd1Payer2TotalCustR1/calcProd1Payer2TotalVolumeR1</f>
        <v>1.4270573000971207E-4</v>
      </c>
      <c r="G522" s="465">
        <f>calcProd1Payer2TotalCustR1/calcProd1Payer2TotalVolumeR1</f>
        <v>1.4270573000971207E-4</v>
      </c>
      <c r="H522" s="465">
        <f>calcProd1Payer2TotalCustR1/calcProd1Payer2TotalVolumeR1</f>
        <v>1.4270573000971207E-4</v>
      </c>
      <c r="I522" s="465">
        <f>calcProd1Payer2TotalCustR1/calcProd1Payer2TotalVolumeR1</f>
        <v>1.4270573000971207E-4</v>
      </c>
      <c r="J522" s="465" t="s">
        <v>1895</v>
      </c>
    </row>
    <row r="523" spans="1:10">
      <c r="A523" t="s">
        <v>623</v>
      </c>
    </row>
    <row r="524" spans="1:10">
      <c r="C524" t="s">
        <v>1541</v>
      </c>
      <c r="E524" s="380">
        <f>calcProd1Seg1Payer2VolumeRecurCustR2+calcProd1Seg2Payer2VolumeRecurCustR2+calcProd1Seg3Payer2VolumeRecurCustR2</f>
        <v>3.6549506013300102</v>
      </c>
      <c r="F524" s="380">
        <f>calcProd1Seg1Payer2VolumeRecurCustR2+calcProd1Seg2Payer2VolumeRecurCustR2+calcProd1Seg3Payer2VolumeRecurCustR2</f>
        <v>3.6549506013300102</v>
      </c>
      <c r="G524" s="380">
        <f>calcProd1Seg1Payer2VolumeRecurCustR2+calcProd1Seg2Payer2VolumeRecurCustR2+calcProd1Seg3Payer2VolumeRecurCustR2</f>
        <v>3.6549506013300102</v>
      </c>
      <c r="H524" s="380">
        <f>calcProd1Seg1Payer2VolumeRecurCustR2+calcProd1Seg2Payer2VolumeRecurCustR2+calcProd1Seg3Payer2VolumeRecurCustR2</f>
        <v>3.6549506013300102</v>
      </c>
      <c r="I524" s="380">
        <f>calcProd1Seg1Payer2VolumeRecurCustR2+calcProd1Seg2Payer2VolumeRecurCustR2+calcProd1Seg3Payer2VolumeRecurCustR2</f>
        <v>3.4290822201300095</v>
      </c>
      <c r="J524" t="s">
        <v>1896</v>
      </c>
    </row>
    <row r="525" spans="1:10">
      <c r="C525" t="s">
        <v>804</v>
      </c>
      <c r="E525" s="380">
        <f>calcProd1Seg1Payer2VolumeNewCustR2+calcProd1Seg2Payer2VolumeNewCustR2+calcProd1Seg3Payer2VolumeNewCustR2</f>
        <v>0.49099658422500125</v>
      </c>
      <c r="F525" s="380">
        <f>calcProd1Seg1Payer2VolumeNewCustR2+calcProd1Seg2Payer2VolumeNewCustR2+calcProd1Seg3Payer2VolumeNewCustR2</f>
        <v>0.49099658422500125</v>
      </c>
      <c r="G525" s="380">
        <f>calcProd1Seg1Payer2VolumeNewCustR2+calcProd1Seg2Payer2VolumeNewCustR2+calcProd1Seg3Payer2VolumeNewCustR2</f>
        <v>0.49099658422500125</v>
      </c>
      <c r="H525" s="380">
        <f>calcProd1Seg1Payer2VolumeNewCustR2+calcProd1Seg2Payer2VolumeNewCustR2+calcProd1Seg3Payer2VolumeNewCustR2</f>
        <v>0.49099658422500125</v>
      </c>
      <c r="I525" s="380">
        <f>calcProd1Seg1Payer2VolumeNewCustR2+calcProd1Seg2Payer2VolumeNewCustR2+calcProd1Seg3Payer2VolumeNewCustR2</f>
        <v>0.46019635042500118</v>
      </c>
      <c r="J525" t="s">
        <v>1897</v>
      </c>
    </row>
    <row r="526" spans="1:10" s="4" customFormat="1">
      <c r="C526" s="4" t="s">
        <v>1860</v>
      </c>
      <c r="E526" s="457">
        <f>calcProd1Payer2RecurCustR2+calcProd1Payer2NewCustR2</f>
        <v>4.145947185555011</v>
      </c>
      <c r="F526" s="457">
        <f>calcProd1Payer2RecurCustR2+calcProd1Payer2NewCustR2</f>
        <v>4.145947185555011</v>
      </c>
      <c r="G526" s="457">
        <f>calcProd1Payer2RecurCustR2+calcProd1Payer2NewCustR2</f>
        <v>4.145947185555011</v>
      </c>
      <c r="H526" s="457">
        <f>calcProd1Payer2RecurCustR2+calcProd1Payer2NewCustR2</f>
        <v>4.145947185555011</v>
      </c>
      <c r="I526" s="457">
        <f>calcProd1Payer2RecurCustR2+calcProd1Payer2NewCustR2</f>
        <v>3.8892785705550108</v>
      </c>
      <c r="J526" s="4" t="s">
        <v>1898</v>
      </c>
    </row>
    <row r="527" spans="1:10">
      <c r="C527" t="s">
        <v>1862</v>
      </c>
      <c r="E527">
        <f>calcProd1Seg1Payer2MarketGrowthCustR2+calcProd1Seg2Payer2MarketGrowthCustR2+calcProd1Seg3Payer2MarketGrowthCustR2</f>
        <v>3490.87536</v>
      </c>
      <c r="F527">
        <f>calcProd1Seg1Payer2MarketGrowthCustR2+calcProd1Seg2Payer2MarketGrowthCustR2+calcProd1Seg3Payer2MarketGrowthCustR2</f>
        <v>3490.87536</v>
      </c>
      <c r="G527">
        <f>calcProd1Seg1Payer2MarketGrowthCustR2+calcProd1Seg2Payer2MarketGrowthCustR2+calcProd1Seg3Payer2MarketGrowthCustR2</f>
        <v>3490.87536</v>
      </c>
      <c r="H527">
        <f>calcProd1Seg1Payer2MarketGrowthCustR2+calcProd1Seg2Payer2MarketGrowthCustR2+calcProd1Seg3Payer2MarketGrowthCustR2</f>
        <v>3490.87536</v>
      </c>
      <c r="I527">
        <f>calcProd1Seg1Payer2MarketGrowthCustR2+calcProd1Seg2Payer2MarketGrowthCustR2+calcProd1Seg3Payer2MarketGrowthCustR2</f>
        <v>3490.87536</v>
      </c>
      <c r="J527" t="s">
        <v>1899</v>
      </c>
    </row>
    <row r="528" spans="1:10">
      <c r="C528" t="s">
        <v>1537</v>
      </c>
      <c r="E528">
        <f>calcProd1Seg1Payer2TotalVolumeR2+calcProd1Seg2Payer2TotalVolumeR2+calcProd1Seg3Payer2TotalVolumeR2</f>
        <v>35870.174899999998</v>
      </c>
      <c r="F528">
        <f>calcProd1Seg1Payer2TotalVolumeR2+calcProd1Seg2Payer2TotalVolumeR2+calcProd1Seg3Payer2TotalVolumeR2</f>
        <v>35870.174899999998</v>
      </c>
      <c r="G528">
        <f>calcProd1Seg1Payer2TotalVolumeR2+calcProd1Seg2Payer2TotalVolumeR2+calcProd1Seg3Payer2TotalVolumeR2</f>
        <v>35870.174899999998</v>
      </c>
      <c r="H528">
        <f>calcProd1Seg1Payer2TotalVolumeR2+calcProd1Seg2Payer2TotalVolumeR2+calcProd1Seg3Payer2TotalVolumeR2</f>
        <v>35870.174899999998</v>
      </c>
      <c r="I528">
        <f>calcProd1Seg1Payer2TotalVolumeR2+calcProd1Seg2Payer2TotalVolumeR2+calcProd1Seg3Payer2TotalVolumeR2</f>
        <v>35870.174899999998</v>
      </c>
      <c r="J528" t="s">
        <v>1900</v>
      </c>
    </row>
    <row r="529" spans="1:10">
      <c r="C529" t="s">
        <v>861</v>
      </c>
      <c r="E529" s="465">
        <f>calcProd1Payer2NewCustR2/calcProd1Payer2MarketGrowthCustR2</f>
        <v>1.4065142223382082E-4</v>
      </c>
      <c r="F529" s="465">
        <f>calcProd1Payer2NewCustR2/calcProd1Payer2MarketGrowthCustR2</f>
        <v>1.4065142223382082E-4</v>
      </c>
      <c r="G529" s="465">
        <f>calcProd1Payer2NewCustR2/calcProd1Payer2MarketGrowthCustR2</f>
        <v>1.4065142223382082E-4</v>
      </c>
      <c r="H529" s="465">
        <f>calcProd1Payer2NewCustR2/calcProd1Payer2MarketGrowthCustR2</f>
        <v>1.4065142223382082E-4</v>
      </c>
      <c r="I529" s="465">
        <f>calcProd1Payer2NewCustR2/calcProd1Payer2MarketGrowthCustR2</f>
        <v>1.3182835334029261E-4</v>
      </c>
      <c r="J529" s="465" t="s">
        <v>1901</v>
      </c>
    </row>
    <row r="530" spans="1:10">
      <c r="C530" t="s">
        <v>841</v>
      </c>
      <c r="E530" s="465">
        <f>calcProd1Payer2TotalCustR2/calcProd1Payer2TotalVolumeR2</f>
        <v>1.1558201757067571E-4</v>
      </c>
      <c r="F530" s="465">
        <f>calcProd1Payer2TotalCustR2/calcProd1Payer2TotalVolumeR2</f>
        <v>1.1558201757067571E-4</v>
      </c>
      <c r="G530" s="465">
        <f>calcProd1Payer2TotalCustR2/calcProd1Payer2TotalVolumeR2</f>
        <v>1.1558201757067571E-4</v>
      </c>
      <c r="H530" s="465">
        <f>calcProd1Payer2TotalCustR2/calcProd1Payer2TotalVolumeR2</f>
        <v>1.1558201757067571E-4</v>
      </c>
      <c r="I530" s="465">
        <f>calcProd1Payer2TotalCustR2/calcProd1Payer2TotalVolumeR2</f>
        <v>1.0842652932130004E-4</v>
      </c>
      <c r="J530" s="465" t="s">
        <v>1902</v>
      </c>
    </row>
    <row r="532" spans="1:10">
      <c r="A532" t="s">
        <v>622</v>
      </c>
      <c r="B532" t="str">
        <f>nmPayer3</f>
        <v>Dragon Health</v>
      </c>
    </row>
    <row r="533" spans="1:10">
      <c r="C533" t="s">
        <v>1541</v>
      </c>
      <c r="E533" s="380">
        <f>calcProd1Seg1Payer3VolumeRecurCustR1+calcProd1Seg2Payer3VolumeRecurCustR1+calcProd1Seg3Payer3VolumeRecurCustR1</f>
        <v>105.91189200037897</v>
      </c>
      <c r="F533" s="380">
        <f>calcProd1Seg1Payer3VolumeRecurCustR1+calcProd1Seg2Payer3VolumeRecurCustR1+calcProd1Seg3Payer3VolumeRecurCustR1</f>
        <v>105.91189200037897</v>
      </c>
      <c r="G533" s="380">
        <f>calcProd1Seg1Payer3VolumeRecurCustR1+calcProd1Seg2Payer3VolumeRecurCustR1+calcProd1Seg3Payer3VolumeRecurCustR1</f>
        <v>105.91189200037897</v>
      </c>
      <c r="H533" s="380">
        <f>calcProd1Seg1Payer3VolumeRecurCustR1+calcProd1Seg2Payer3VolumeRecurCustR1+calcProd1Seg3Payer3VolumeRecurCustR1</f>
        <v>105.91189200037897</v>
      </c>
      <c r="I533" s="380">
        <f>calcProd1Seg1Payer3VolumeRecurCustR1+calcProd1Seg2Payer3VolumeRecurCustR1+calcProd1Seg3Payer3VolumeRecurCustR1</f>
        <v>105.91189200037897</v>
      </c>
      <c r="J533" t="s">
        <v>1875</v>
      </c>
    </row>
    <row r="534" spans="1:10">
      <c r="C534" t="s">
        <v>804</v>
      </c>
      <c r="E534" s="380">
        <f>calcProd1Seg1Payer3VolumeNewCustR1+calcProd1Seg2Payer3VolumeNewCustR1+calcProd1Seg3Payer3VolumeNewCustR1</f>
        <v>9.4540289760000036</v>
      </c>
      <c r="F534" s="380">
        <f>calcProd1Seg1Payer3VolumeNewCustR1+calcProd1Seg2Payer3VolumeNewCustR1+calcProd1Seg3Payer3VolumeNewCustR1</f>
        <v>9.4540289760000036</v>
      </c>
      <c r="G534" s="380">
        <f>calcProd1Seg1Payer3VolumeNewCustR1+calcProd1Seg2Payer3VolumeNewCustR1+calcProd1Seg3Payer3VolumeNewCustR1</f>
        <v>9.4540289760000036</v>
      </c>
      <c r="H534" s="380">
        <f>calcProd1Seg1Payer3VolumeNewCustR1+calcProd1Seg2Payer3VolumeNewCustR1+calcProd1Seg3Payer3VolumeNewCustR1</f>
        <v>9.4540289760000036</v>
      </c>
      <c r="I534" s="380">
        <f>calcProd1Seg1Payer3VolumeNewCustR1+calcProd1Seg2Payer3VolumeNewCustR1+calcProd1Seg3Payer3VolumeNewCustR1</f>
        <v>9.4540289760000036</v>
      </c>
      <c r="J534" t="s">
        <v>1876</v>
      </c>
    </row>
    <row r="535" spans="1:10" s="4" customFormat="1">
      <c r="C535" s="4" t="s">
        <v>1860</v>
      </c>
      <c r="E535" s="457">
        <f>calcProd1Payer3RecurCustR1+calcProd1Payer3NewCustR1</f>
        <v>115.36592097637897</v>
      </c>
      <c r="F535" s="457">
        <f>calcProd1Payer3RecurCustR1+calcProd1Payer3NewCustR1</f>
        <v>115.36592097637897</v>
      </c>
      <c r="G535" s="457">
        <f>calcProd1Payer3RecurCustR1+calcProd1Payer3NewCustR1</f>
        <v>115.36592097637897</v>
      </c>
      <c r="H535" s="457">
        <f>calcProd1Payer3RecurCustR1+calcProd1Payer3NewCustR1</f>
        <v>115.36592097637897</v>
      </c>
      <c r="I535" s="457">
        <f>calcProd1Payer3RecurCustR1+calcProd1Payer3NewCustR1</f>
        <v>115.36592097637897</v>
      </c>
      <c r="J535" s="4" t="s">
        <v>1877</v>
      </c>
    </row>
    <row r="536" spans="1:10">
      <c r="C536" t="s">
        <v>1862</v>
      </c>
      <c r="E536">
        <f>calcProd1Seg1Payer3MarketGrowthCustR1+calcProd1Seg2Payer3MarketGrowthCustR1+calcProd1Seg3Payer3MarketGrowthCustR1</f>
        <v>3417.8620000000001</v>
      </c>
      <c r="F536">
        <f>calcProd1Seg1Payer3MarketGrowthCustR1+calcProd1Seg2Payer3MarketGrowthCustR1+calcProd1Seg3Payer3MarketGrowthCustR1</f>
        <v>3417.8620000000001</v>
      </c>
      <c r="G536">
        <f>calcProd1Seg1Payer3MarketGrowthCustR1+calcProd1Seg2Payer3MarketGrowthCustR1+calcProd1Seg3Payer3MarketGrowthCustR1</f>
        <v>3417.8620000000001</v>
      </c>
      <c r="H536">
        <f>calcProd1Seg1Payer3MarketGrowthCustR1+calcProd1Seg2Payer3MarketGrowthCustR1+calcProd1Seg3Payer3MarketGrowthCustR1</f>
        <v>3417.8620000000001</v>
      </c>
      <c r="I536">
        <f>calcProd1Seg1Payer3MarketGrowthCustR1+calcProd1Seg2Payer3MarketGrowthCustR1+calcProd1Seg3Payer3MarketGrowthCustR1</f>
        <v>3417.8620000000001</v>
      </c>
      <c r="J536" t="s">
        <v>1878</v>
      </c>
    </row>
    <row r="537" spans="1:10">
      <c r="C537" t="s">
        <v>1537</v>
      </c>
      <c r="E537">
        <f>calcProd1Seg1Payer3TotalVolumeR1+calcProd1Seg2Payer3TotalVolumeR1+calcProd1Seg3Payer3TotalVolumeR1</f>
        <v>41546.086399999993</v>
      </c>
      <c r="F537">
        <f>calcProd1Seg1Payer3TotalVolumeR1+calcProd1Seg2Payer3TotalVolumeR1+calcProd1Seg3Payer3TotalVolumeR1</f>
        <v>41546.086399999993</v>
      </c>
      <c r="G537">
        <f>calcProd1Seg1Payer3TotalVolumeR1+calcProd1Seg2Payer3TotalVolumeR1+calcProd1Seg3Payer3TotalVolumeR1</f>
        <v>41546.086399999993</v>
      </c>
      <c r="H537">
        <f>calcProd1Seg1Payer3TotalVolumeR1+calcProd1Seg2Payer3TotalVolumeR1+calcProd1Seg3Payer3TotalVolumeR1</f>
        <v>41546.086399999993</v>
      </c>
      <c r="I537">
        <f>calcProd1Seg1Payer3TotalVolumeR1+calcProd1Seg2Payer3TotalVolumeR1+calcProd1Seg3Payer3TotalVolumeR1</f>
        <v>41546.086399999993</v>
      </c>
      <c r="J537" t="s">
        <v>1879</v>
      </c>
    </row>
    <row r="538" spans="1:10">
      <c r="C538" t="s">
        <v>861</v>
      </c>
      <c r="E538" s="465">
        <f>calcProd1Payer3NewCustR1/calcProd1Payer3MarketGrowthCustR1</f>
        <v>2.7660651530108599E-3</v>
      </c>
      <c r="F538" s="465">
        <f>calcProd1Payer3NewCustR1/calcProd1Payer3MarketGrowthCustR1</f>
        <v>2.7660651530108599E-3</v>
      </c>
      <c r="G538" s="465">
        <f>calcProd1Payer3NewCustR1/calcProd1Payer3MarketGrowthCustR1</f>
        <v>2.7660651530108599E-3</v>
      </c>
      <c r="H538" s="465">
        <f>calcProd1Payer3NewCustR1/calcProd1Payer3MarketGrowthCustR1</f>
        <v>2.7660651530108599E-3</v>
      </c>
      <c r="I538" s="465">
        <f>calcProd1Payer3NewCustR1/calcProd1Payer3MarketGrowthCustR1</f>
        <v>2.7660651530108599E-3</v>
      </c>
      <c r="J538" s="465" t="s">
        <v>1880</v>
      </c>
    </row>
    <row r="539" spans="1:10">
      <c r="C539" t="s">
        <v>841</v>
      </c>
      <c r="E539" s="465">
        <f>calcProd1Payer3TotalCustR1/calcProd1Payer3TotalVolumeR1</f>
        <v>2.7768180103813337E-3</v>
      </c>
      <c r="F539" s="465">
        <f>calcProd1Payer3TotalCustR1/calcProd1Payer3TotalVolumeR1</f>
        <v>2.7768180103813337E-3</v>
      </c>
      <c r="G539" s="465">
        <f>calcProd1Payer3TotalCustR1/calcProd1Payer3TotalVolumeR1</f>
        <v>2.7768180103813337E-3</v>
      </c>
      <c r="H539" s="465">
        <f>calcProd1Payer3TotalCustR1/calcProd1Payer3TotalVolumeR1</f>
        <v>2.7768180103813337E-3</v>
      </c>
      <c r="I539" s="465">
        <f>calcProd1Payer3TotalCustR1/calcProd1Payer3TotalVolumeR1</f>
        <v>2.7768180103813337E-3</v>
      </c>
      <c r="J539" s="465" t="s">
        <v>1881</v>
      </c>
    </row>
    <row r="540" spans="1:10">
      <c r="A540" t="s">
        <v>623</v>
      </c>
    </row>
    <row r="541" spans="1:10">
      <c r="C541" t="s">
        <v>1541</v>
      </c>
      <c r="E541" s="380">
        <f>calcProd1Seg1Payer3VolumeRecurCustR2+calcProd1Seg2Payer3VolumeRecurCustR2+calcProd1Seg3Payer3VolumeRecurCustR2</f>
        <v>104.8971380365175</v>
      </c>
      <c r="F541" s="380">
        <f>calcProd1Seg1Payer3VolumeRecurCustR2+calcProd1Seg2Payer3VolumeRecurCustR2+calcProd1Seg3Payer3VolumeRecurCustR2</f>
        <v>104.8971380365175</v>
      </c>
      <c r="G541" s="380">
        <f>calcProd1Seg1Payer3VolumeRecurCustR2+calcProd1Seg2Payer3VolumeRecurCustR2+calcProd1Seg3Payer3VolumeRecurCustR2</f>
        <v>104.8971380365175</v>
      </c>
      <c r="H541" s="380">
        <f>calcProd1Seg1Payer3VolumeRecurCustR2+calcProd1Seg2Payer3VolumeRecurCustR2+calcProd1Seg3Payer3VolumeRecurCustR2</f>
        <v>104.8971380365175</v>
      </c>
      <c r="I541" s="380">
        <f>calcProd1Seg1Payer3VolumeRecurCustR2+calcProd1Seg2Payer3VolumeRecurCustR2+calcProd1Seg3Payer3VolumeRecurCustR2</f>
        <v>104.55342528251751</v>
      </c>
      <c r="J541" t="s">
        <v>1882</v>
      </c>
    </row>
    <row r="542" spans="1:10">
      <c r="C542" t="s">
        <v>804</v>
      </c>
      <c r="E542" s="380">
        <f>calcProd1Seg1Payer3VolumeNewCustR2+calcProd1Seg2Payer3VolumeNewCustR2+calcProd1Seg3Payer3VolumeNewCustR2</f>
        <v>13.085251129440003</v>
      </c>
      <c r="F542" s="380">
        <f>calcProd1Seg1Payer3VolumeNewCustR2+calcProd1Seg2Payer3VolumeNewCustR2+calcProd1Seg3Payer3VolumeNewCustR2</f>
        <v>13.085251129440003</v>
      </c>
      <c r="G542" s="380">
        <f>calcProd1Seg1Payer3VolumeNewCustR2+calcProd1Seg2Payer3VolumeNewCustR2+calcProd1Seg3Payer3VolumeNewCustR2</f>
        <v>13.085251129440003</v>
      </c>
      <c r="H542" s="380">
        <f>calcProd1Seg1Payer3VolumeNewCustR2+calcProd1Seg2Payer3VolumeNewCustR2+calcProd1Seg3Payer3VolumeNewCustR2</f>
        <v>13.085251129440003</v>
      </c>
      <c r="I542" s="380">
        <f>calcProd1Seg1Payer3VolumeNewCustR2+calcProd1Seg2Payer3VolumeNewCustR2+calcProd1Seg3Payer3VolumeNewCustR2</f>
        <v>13.038381208440004</v>
      </c>
      <c r="J542" t="s">
        <v>1883</v>
      </c>
    </row>
    <row r="543" spans="1:10" s="4" customFormat="1">
      <c r="C543" s="4" t="s">
        <v>1860</v>
      </c>
      <c r="E543" s="457">
        <f>calcProd1Payer3RecurCustR2+calcProd1Payer3NewCustR2</f>
        <v>117.9823891659575</v>
      </c>
      <c r="F543" s="457">
        <f>calcProd1Payer3RecurCustR2+calcProd1Payer3NewCustR2</f>
        <v>117.9823891659575</v>
      </c>
      <c r="G543" s="457">
        <f>calcProd1Payer3RecurCustR2+calcProd1Payer3NewCustR2</f>
        <v>117.9823891659575</v>
      </c>
      <c r="H543" s="457">
        <f>calcProd1Payer3RecurCustR2+calcProd1Payer3NewCustR2</f>
        <v>117.9823891659575</v>
      </c>
      <c r="I543" s="457">
        <f>calcProd1Payer3RecurCustR2+calcProd1Payer3NewCustR2</f>
        <v>117.59180649095751</v>
      </c>
      <c r="J543" s="4" t="s">
        <v>1884</v>
      </c>
    </row>
    <row r="544" spans="1:10">
      <c r="C544" t="s">
        <v>1862</v>
      </c>
      <c r="E544">
        <f>calcProd1Seg1Payer3MarketGrowthCustR2+calcProd1Seg2Payer3MarketGrowthCustR2+calcProd1Seg3Payer3MarketGrowthCustR2</f>
        <v>5145.2150399999991</v>
      </c>
      <c r="F544">
        <f>calcProd1Seg1Payer3MarketGrowthCustR2+calcProd1Seg2Payer3MarketGrowthCustR2+calcProd1Seg3Payer3MarketGrowthCustR2</f>
        <v>5145.2150399999991</v>
      </c>
      <c r="G544">
        <f>calcProd1Seg1Payer3MarketGrowthCustR2+calcProd1Seg2Payer3MarketGrowthCustR2+calcProd1Seg3Payer3MarketGrowthCustR2</f>
        <v>5145.2150399999991</v>
      </c>
      <c r="H544">
        <f>calcProd1Seg1Payer3MarketGrowthCustR2+calcProd1Seg2Payer3MarketGrowthCustR2+calcProd1Seg3Payer3MarketGrowthCustR2</f>
        <v>5145.2150399999991</v>
      </c>
      <c r="I544">
        <f>calcProd1Seg1Payer3MarketGrowthCustR2+calcProd1Seg2Payer3MarketGrowthCustR2+calcProd1Seg3Payer3MarketGrowthCustR2</f>
        <v>5145.2150399999991</v>
      </c>
      <c r="J544" t="s">
        <v>1885</v>
      </c>
    </row>
    <row r="545" spans="1:10">
      <c r="C545" t="s">
        <v>1537</v>
      </c>
      <c r="E545">
        <f>calcProd1Seg1Payer3TotalVolumeR2+calcProd1Seg2Payer3TotalVolumeR2+calcProd1Seg3Payer3TotalVolumeR2</f>
        <v>47232.787951999999</v>
      </c>
      <c r="F545">
        <f>calcProd1Seg1Payer3TotalVolumeR2+calcProd1Seg2Payer3TotalVolumeR2+calcProd1Seg3Payer3TotalVolumeR2</f>
        <v>47232.787951999999</v>
      </c>
      <c r="G545">
        <f>calcProd1Seg1Payer3TotalVolumeR2+calcProd1Seg2Payer3TotalVolumeR2+calcProd1Seg3Payer3TotalVolumeR2</f>
        <v>47232.787951999999</v>
      </c>
      <c r="H545">
        <f>calcProd1Seg1Payer3TotalVolumeR2+calcProd1Seg2Payer3TotalVolumeR2+calcProd1Seg3Payer3TotalVolumeR2</f>
        <v>47232.787951999999</v>
      </c>
      <c r="I545">
        <f>calcProd1Seg1Payer3TotalVolumeR2+calcProd1Seg2Payer3TotalVolumeR2+calcProd1Seg3Payer3TotalVolumeR2</f>
        <v>47232.787951999999</v>
      </c>
      <c r="J545" t="s">
        <v>1886</v>
      </c>
    </row>
    <row r="546" spans="1:10">
      <c r="C546" t="s">
        <v>861</v>
      </c>
      <c r="E546" s="465">
        <f>calcProd1Payer3NewCustR2/calcProd1Payer3MarketGrowthCustR2</f>
        <v>2.5431883852691226E-3</v>
      </c>
      <c r="F546" s="465">
        <f>calcProd1Payer3NewCustR2/calcProd1Payer3MarketGrowthCustR2</f>
        <v>2.5431883852691226E-3</v>
      </c>
      <c r="G546" s="465">
        <f>calcProd1Payer3NewCustR2/calcProd1Payer3MarketGrowthCustR2</f>
        <v>2.5431883852691226E-3</v>
      </c>
      <c r="H546" s="465">
        <f>calcProd1Payer3NewCustR2/calcProd1Payer3MarketGrowthCustR2</f>
        <v>2.5431883852691226E-3</v>
      </c>
      <c r="I546" s="465">
        <f>calcProd1Payer3NewCustR2/calcProd1Payer3MarketGrowthCustR2</f>
        <v>2.5340789660056669E-3</v>
      </c>
      <c r="J546" s="465" t="s">
        <v>1887</v>
      </c>
    </row>
    <row r="547" spans="1:10">
      <c r="C547" t="s">
        <v>841</v>
      </c>
      <c r="E547" s="465">
        <f>calcProd1Payer3TotalCustR2/calcProd1Payer3TotalVolumeR2</f>
        <v>2.4978917036584058E-3</v>
      </c>
      <c r="F547" s="465">
        <f>calcProd1Payer3TotalCustR2/calcProd1Payer3TotalVolumeR2</f>
        <v>2.4978917036584058E-3</v>
      </c>
      <c r="G547" s="465">
        <f>calcProd1Payer3TotalCustR2/calcProd1Payer3TotalVolumeR2</f>
        <v>2.4978917036584058E-3</v>
      </c>
      <c r="H547" s="465">
        <f>calcProd1Payer3TotalCustR2/calcProd1Payer3TotalVolumeR2</f>
        <v>2.4978917036584058E-3</v>
      </c>
      <c r="I547" s="465">
        <f>calcProd1Payer3TotalCustR2/calcProd1Payer3TotalVolumeR2</f>
        <v>2.4896223913451689E-3</v>
      </c>
      <c r="J547" s="465" t="s">
        <v>1888</v>
      </c>
    </row>
    <row r="549" spans="1:10">
      <c r="A549" s="4" t="s">
        <v>1945</v>
      </c>
    </row>
    <row r="550" spans="1:10">
      <c r="A550" t="s">
        <v>622</v>
      </c>
      <c r="B550" s="4" t="str">
        <f>nmProd1Seg1</f>
        <v>Riverrun Central</v>
      </c>
    </row>
    <row r="551" spans="1:10">
      <c r="C551" t="s">
        <v>804</v>
      </c>
      <c r="E551" s="380">
        <f>calcProd1Seg1Payer1VolumeNewCustR1+calcProd1Seg1Payer2VolumeNewCustR1+calcProd1Seg1Payer3VolumeNewCustR1</f>
        <v>13.473110784000003</v>
      </c>
      <c r="F551" s="380">
        <f>calcProd1Seg1Payer1VolumeNewCustR1+calcProd1Seg1Payer2VolumeNewCustR1+calcProd1Seg1Payer3VolumeNewCustR1</f>
        <v>13.473110784000003</v>
      </c>
      <c r="G551" s="380">
        <f>calcProd1Seg1Payer1VolumeNewCustR1+calcProd1Seg1Payer2VolumeNewCustR1+calcProd1Seg1Payer3VolumeNewCustR1</f>
        <v>13.473110784000003</v>
      </c>
      <c r="H551" s="380">
        <f>calcProd1Seg1Payer1VolumeNewCustR1+calcProd1Seg1Payer2VolumeNewCustR1+calcProd1Seg1Payer3VolumeNewCustR1</f>
        <v>13.473110784000003</v>
      </c>
      <c r="I551" s="380">
        <f>calcProd1Seg1Payer1VolumeNewCustR1+calcProd1Seg1Payer2VolumeNewCustR1+calcProd1Seg1Payer3VolumeNewCustR1</f>
        <v>13.473110784000003</v>
      </c>
      <c r="J551" t="s">
        <v>1951</v>
      </c>
    </row>
    <row r="552" spans="1:10">
      <c r="C552" t="s">
        <v>803</v>
      </c>
      <c r="E552" s="380">
        <f>calcProd1Seg1Payer1VolumeRecurCustR1+calcProd1Seg1Payer2VolumeRecurCustR1+calcProd1Seg1Payer3VolumeRecurCustR1</f>
        <v>145.50959646720003</v>
      </c>
      <c r="F552" s="380">
        <f>calcProd1Seg1Payer1VolumeRecurCustR1+calcProd1Seg1Payer2VolumeRecurCustR1+calcProd1Seg1Payer3VolumeRecurCustR1</f>
        <v>145.50959646720003</v>
      </c>
      <c r="G552" s="380">
        <f>calcProd1Seg1Payer1VolumeRecurCustR1+calcProd1Seg1Payer2VolumeRecurCustR1+calcProd1Seg1Payer3VolumeRecurCustR1</f>
        <v>145.50959646720003</v>
      </c>
      <c r="H552" s="380">
        <f>calcProd1Seg1Payer1VolumeRecurCustR1+calcProd1Seg1Payer2VolumeRecurCustR1+calcProd1Seg1Payer3VolumeRecurCustR1</f>
        <v>145.50959646720003</v>
      </c>
      <c r="I552" s="380">
        <f>calcProd1Seg1Payer1VolumeRecurCustR1+calcProd1Seg1Payer2VolumeRecurCustR1+calcProd1Seg1Payer3VolumeRecurCustR1</f>
        <v>145.50959646720003</v>
      </c>
      <c r="J552" t="s">
        <v>1949</v>
      </c>
    </row>
    <row r="553" spans="1:10" s="4" customFormat="1">
      <c r="C553" s="4" t="s">
        <v>1860</v>
      </c>
      <c r="E553" s="457">
        <f>calcProd1Seg1NewCustR1+calcProd1Seg1RecurCustR1</f>
        <v>158.98270725120003</v>
      </c>
      <c r="F553" s="457">
        <f>calcProd1Seg1NewCustR1+calcProd1Seg1RecurCustR1</f>
        <v>158.98270725120003</v>
      </c>
      <c r="G553" s="457">
        <f>calcProd1Seg1NewCustR1+calcProd1Seg1RecurCustR1</f>
        <v>158.98270725120003</v>
      </c>
      <c r="H553" s="457">
        <f>calcProd1Seg1NewCustR1+calcProd1Seg1RecurCustR1</f>
        <v>158.98270725120003</v>
      </c>
      <c r="I553" s="457">
        <f>calcProd1Seg1NewCustR1+calcProd1Seg1RecurCustR1</f>
        <v>158.98270725120003</v>
      </c>
      <c r="J553" s="4" t="s">
        <v>1947</v>
      </c>
    </row>
    <row r="554" spans="1:10">
      <c r="C554" t="s">
        <v>1862</v>
      </c>
      <c r="E554" s="380">
        <f>calcProd1Seg1Payer1MarketGrowthCustR1+calcProd1Seg1Payer2MarketGrowthCustR1+calcProd1Seg1Payer3MarketGrowthCustR1</f>
        <v>4048.8</v>
      </c>
      <c r="F554" s="380">
        <f>calcProd1Seg1Payer1MarketGrowthCustR1+calcProd1Seg1Payer2MarketGrowthCustR1+calcProd1Seg1Payer3MarketGrowthCustR1</f>
        <v>4048.8</v>
      </c>
      <c r="G554" s="380">
        <f>calcProd1Seg1Payer1MarketGrowthCustR1+calcProd1Seg1Payer2MarketGrowthCustR1+calcProd1Seg1Payer3MarketGrowthCustR1</f>
        <v>4048.8</v>
      </c>
      <c r="H554" s="380">
        <f>calcProd1Seg1Payer1MarketGrowthCustR1+calcProd1Seg1Payer2MarketGrowthCustR1+calcProd1Seg1Payer3MarketGrowthCustR1</f>
        <v>4048.8</v>
      </c>
      <c r="I554" s="380">
        <f>calcProd1Seg1Payer1MarketGrowthCustR1+calcProd1Seg1Payer2MarketGrowthCustR1+calcProd1Seg1Payer3MarketGrowthCustR1</f>
        <v>4048.8</v>
      </c>
      <c r="J554" t="s">
        <v>1948</v>
      </c>
    </row>
    <row r="555" spans="1:10">
      <c r="C555" t="s">
        <v>1537</v>
      </c>
      <c r="E555" s="380">
        <f>calcProd1Seg1Payer1TotalVolumeR1+calcProd1Seg1Payer2TotalVolumeR1+calcProd1Seg1Payer3TotalVolumeR1</f>
        <v>47775.840000000011</v>
      </c>
      <c r="F555" s="380">
        <f>calcProd1Seg1Payer1TotalVolumeR1+calcProd1Seg1Payer2TotalVolumeR1+calcProd1Seg1Payer3TotalVolumeR1</f>
        <v>47775.840000000011</v>
      </c>
      <c r="G555" s="380">
        <f>calcProd1Seg1Payer1TotalVolumeR1+calcProd1Seg1Payer2TotalVolumeR1+calcProd1Seg1Payer3TotalVolumeR1</f>
        <v>47775.840000000011</v>
      </c>
      <c r="H555" s="380">
        <f>calcProd1Seg1Payer1TotalVolumeR1+calcProd1Seg1Payer2TotalVolumeR1+calcProd1Seg1Payer3TotalVolumeR1</f>
        <v>47775.840000000011</v>
      </c>
      <c r="I555" s="380">
        <f>calcProd1Seg1Payer1TotalVolumeR1+calcProd1Seg1Payer2TotalVolumeR1+calcProd1Seg1Payer3TotalVolumeR1</f>
        <v>47775.840000000011</v>
      </c>
      <c r="J555" t="s">
        <v>1946</v>
      </c>
    </row>
    <row r="556" spans="1:10">
      <c r="A556" s="4"/>
      <c r="C556" t="s">
        <v>861</v>
      </c>
      <c r="E556" s="465">
        <f>calcProd1Seg1NewCustR1/calcProd1Seg1MarketGrowthCustR1</f>
        <v>3.3276800000000004E-3</v>
      </c>
      <c r="F556" s="465">
        <f>calcProd1Seg1NewCustR1/calcProd1Seg1MarketGrowthCustR1</f>
        <v>3.3276800000000004E-3</v>
      </c>
      <c r="G556" s="465">
        <f>calcProd1Seg1NewCustR1/calcProd1Seg1MarketGrowthCustR1</f>
        <v>3.3276800000000004E-3</v>
      </c>
      <c r="H556" s="465">
        <f>calcProd1Seg1NewCustR1/calcProd1Seg1MarketGrowthCustR1</f>
        <v>3.3276800000000004E-3</v>
      </c>
      <c r="I556" s="465">
        <f>calcProd1Seg1NewCustR1/calcProd1Seg1MarketGrowthCustR1</f>
        <v>3.3276800000000004E-3</v>
      </c>
      <c r="J556" t="s">
        <v>1950</v>
      </c>
    </row>
    <row r="557" spans="1:10">
      <c r="A557" s="4"/>
      <c r="C557" t="s">
        <v>841</v>
      </c>
      <c r="E557" s="465">
        <f>calcProd1Seg1VolumeTotalCustR1/calcProd1Seg1TotalVolumeR1</f>
        <v>3.32768E-3</v>
      </c>
      <c r="F557" s="465">
        <f>calcProd1Seg1VolumeTotalCustR1/calcProd1Seg1TotalVolumeR1</f>
        <v>3.32768E-3</v>
      </c>
      <c r="G557" s="465">
        <f>calcProd1Seg1VolumeTotalCustR1/calcProd1Seg1TotalVolumeR1</f>
        <v>3.32768E-3</v>
      </c>
      <c r="H557" s="465">
        <f>calcProd1Seg1VolumeTotalCustR1/calcProd1Seg1TotalVolumeR1</f>
        <v>3.32768E-3</v>
      </c>
      <c r="I557" s="465">
        <f>calcProd1Seg1VolumeTotalCustR1/calcProd1Seg1TotalVolumeR1</f>
        <v>3.32768E-3</v>
      </c>
      <c r="J557" t="s">
        <v>1952</v>
      </c>
    </row>
    <row r="558" spans="1:10">
      <c r="A558" t="s">
        <v>623</v>
      </c>
      <c r="B558" s="4"/>
    </row>
    <row r="559" spans="1:10">
      <c r="C559" t="s">
        <v>804</v>
      </c>
      <c r="E559" s="380">
        <f>calcProd1Seg1Payer1VolumeNewCustR2+calcProd1Seg1Payer2VolumeNewCustR2+calcProd1Seg1Payer3VolumeNewCustR2</f>
        <v>22.103808830208003</v>
      </c>
      <c r="F559" s="380">
        <f>calcProd1Seg1Payer1VolumeNewCustR2+calcProd1Seg1Payer2VolumeNewCustR2+calcProd1Seg1Payer3VolumeNewCustR2</f>
        <v>22.103808830208003</v>
      </c>
      <c r="G559" s="380">
        <f>calcProd1Seg1Payer1VolumeNewCustR2+calcProd1Seg1Payer2VolumeNewCustR2+calcProd1Seg1Payer3VolumeNewCustR2</f>
        <v>22.103808830208003</v>
      </c>
      <c r="H559" s="380">
        <f>calcProd1Seg1Payer1VolumeNewCustR2+calcProd1Seg1Payer2VolumeNewCustR2+calcProd1Seg1Payer3VolumeNewCustR2</f>
        <v>22.103808830208003</v>
      </c>
      <c r="I559" s="380">
        <f>calcProd1Seg1Payer1VolumeNewCustR2+calcProd1Seg1Payer2VolumeNewCustR2+calcProd1Seg1Payer3VolumeNewCustR2</f>
        <v>22.103808830208003</v>
      </c>
      <c r="J559" t="s">
        <v>1953</v>
      </c>
    </row>
    <row r="560" spans="1:10">
      <c r="C560" t="s">
        <v>803</v>
      </c>
      <c r="E560" s="380">
        <f>calcProd1Seg1Payer1VolumeRecurCustR2+calcProd1Seg1Payer2VolumeRecurCustR2+calcProd1Seg1Payer3VolumeRecurCustR2</f>
        <v>166.51535985423365</v>
      </c>
      <c r="F560" s="380">
        <f>calcProd1Seg1Payer1VolumeRecurCustR2+calcProd1Seg1Payer2VolumeRecurCustR2+calcProd1Seg1Payer3VolumeRecurCustR2</f>
        <v>166.51535985423365</v>
      </c>
      <c r="G560" s="380">
        <f>calcProd1Seg1Payer1VolumeRecurCustR2+calcProd1Seg1Payer2VolumeRecurCustR2+calcProd1Seg1Payer3VolumeRecurCustR2</f>
        <v>166.51535985423365</v>
      </c>
      <c r="H560" s="380">
        <f>calcProd1Seg1Payer1VolumeRecurCustR2+calcProd1Seg1Payer2VolumeRecurCustR2+calcProd1Seg1Payer3VolumeRecurCustR2</f>
        <v>166.51535985423365</v>
      </c>
      <c r="I560" s="380">
        <f>calcProd1Seg1Payer1VolumeRecurCustR2+calcProd1Seg1Payer2VolumeRecurCustR2+calcProd1Seg1Payer3VolumeRecurCustR2</f>
        <v>166.51535985423365</v>
      </c>
      <c r="J560" t="s">
        <v>1954</v>
      </c>
    </row>
    <row r="561" spans="1:10" s="4" customFormat="1">
      <c r="C561" s="4" t="s">
        <v>1860</v>
      </c>
      <c r="E561" s="457">
        <f>calcProd1Seg1NewCustR2+calcProd1Seg1RecurCustR2</f>
        <v>188.61916868444166</v>
      </c>
      <c r="F561" s="457">
        <f>calcProd1Seg1NewCustR2+calcProd1Seg1RecurCustR2</f>
        <v>188.61916868444166</v>
      </c>
      <c r="G561" s="457">
        <f>calcProd1Seg1NewCustR2+calcProd1Seg1RecurCustR2</f>
        <v>188.61916868444166</v>
      </c>
      <c r="H561" s="457">
        <f>calcProd1Seg1NewCustR2+calcProd1Seg1RecurCustR2</f>
        <v>188.61916868444166</v>
      </c>
      <c r="I561" s="457">
        <f>calcProd1Seg1NewCustR2+calcProd1Seg1RecurCustR2</f>
        <v>188.61916868444166</v>
      </c>
      <c r="J561" s="4" t="s">
        <v>1955</v>
      </c>
    </row>
    <row r="562" spans="1:10">
      <c r="C562" t="s">
        <v>1862</v>
      </c>
      <c r="E562" s="380">
        <f>calcProd1Seg1Payer1MarketGrowthCustR2+calcProd1Seg1Payer2MarketGrowthCustR2+calcProd1Seg1Payer3MarketGrowthCustR2</f>
        <v>6559.0560000000005</v>
      </c>
      <c r="F562" s="380">
        <f>calcProd1Seg1Payer1MarketGrowthCustR2+calcProd1Seg1Payer2MarketGrowthCustR2+calcProd1Seg1Payer3MarketGrowthCustR2</f>
        <v>6559.0560000000005</v>
      </c>
      <c r="G562" s="380">
        <f>calcProd1Seg1Payer1MarketGrowthCustR2+calcProd1Seg1Payer2MarketGrowthCustR2+calcProd1Seg1Payer3MarketGrowthCustR2</f>
        <v>6559.0560000000005</v>
      </c>
      <c r="H562" s="380">
        <f>calcProd1Seg1Payer1MarketGrowthCustR2+calcProd1Seg1Payer2MarketGrowthCustR2+calcProd1Seg1Payer3MarketGrowthCustR2</f>
        <v>6559.0560000000005</v>
      </c>
      <c r="I562" s="380">
        <f>calcProd1Seg1Payer1MarketGrowthCustR2+calcProd1Seg1Payer2MarketGrowthCustR2+calcProd1Seg1Payer3MarketGrowthCustR2</f>
        <v>6559.0560000000005</v>
      </c>
      <c r="J562" t="s">
        <v>1956</v>
      </c>
    </row>
    <row r="563" spans="1:10">
      <c r="C563" t="s">
        <v>1537</v>
      </c>
      <c r="E563" s="380">
        <f>calcProd1Seg1Payer1TotalVolumeR2+calcProd1Seg1Payer2TotalVolumeR2+calcProd1Seg1Payer3TotalVolumeR2</f>
        <v>55970.611199999999</v>
      </c>
      <c r="F563" s="380">
        <f>calcProd1Seg1Payer1TotalVolumeR2+calcProd1Seg1Payer2TotalVolumeR2+calcProd1Seg1Payer3TotalVolumeR2</f>
        <v>55970.611199999999</v>
      </c>
      <c r="G563" s="380">
        <f>calcProd1Seg1Payer1TotalVolumeR2+calcProd1Seg1Payer2TotalVolumeR2+calcProd1Seg1Payer3TotalVolumeR2</f>
        <v>55970.611199999999</v>
      </c>
      <c r="H563" s="380">
        <f>calcProd1Seg1Payer1TotalVolumeR2+calcProd1Seg1Payer2TotalVolumeR2+calcProd1Seg1Payer3TotalVolumeR2</f>
        <v>55970.611199999999</v>
      </c>
      <c r="I563" s="380">
        <f>calcProd1Seg1Payer1TotalVolumeR2+calcProd1Seg1Payer2TotalVolumeR2+calcProd1Seg1Payer3TotalVolumeR2</f>
        <v>55970.611199999999</v>
      </c>
      <c r="J563" t="s">
        <v>1959</v>
      </c>
    </row>
    <row r="564" spans="1:10">
      <c r="A564" s="4"/>
      <c r="C564" t="s">
        <v>861</v>
      </c>
      <c r="E564" s="465">
        <f>calcProd1Seg1NewCustR2/calcProd1Seg1MarketGrowthCustR2</f>
        <v>3.3699680000000001E-3</v>
      </c>
      <c r="F564" s="465">
        <f>calcProd1Seg1NewCustR2/calcProd1Seg1MarketGrowthCustR2</f>
        <v>3.3699680000000001E-3</v>
      </c>
      <c r="G564" s="465">
        <f>calcProd1Seg1NewCustR2/calcProd1Seg1MarketGrowthCustR2</f>
        <v>3.3699680000000001E-3</v>
      </c>
      <c r="H564" s="465">
        <f>calcProd1Seg1NewCustR2/calcProd1Seg1MarketGrowthCustR2</f>
        <v>3.3699680000000001E-3</v>
      </c>
      <c r="I564" s="465">
        <f>calcProd1Seg1NewCustR2/calcProd1Seg1MarketGrowthCustR2</f>
        <v>3.3699680000000001E-3</v>
      </c>
      <c r="J564" t="s">
        <v>1957</v>
      </c>
    </row>
    <row r="565" spans="1:10">
      <c r="A565" s="4"/>
      <c r="C565" t="s">
        <v>841</v>
      </c>
      <c r="E565" s="465">
        <f>calcProd1Seg1VolumeTotalCustR2/calcProd1Seg1TotalVolumeR2</f>
        <v>3.369968000000001E-3</v>
      </c>
      <c r="F565" s="465">
        <f>calcProd1Seg1VolumeTotalCustR2/calcProd1Seg1TotalVolumeR2</f>
        <v>3.369968000000001E-3</v>
      </c>
      <c r="G565" s="465">
        <f>calcProd1Seg1VolumeTotalCustR2/calcProd1Seg1TotalVolumeR2</f>
        <v>3.369968000000001E-3</v>
      </c>
      <c r="H565" s="465">
        <f>calcProd1Seg1VolumeTotalCustR2/calcProd1Seg1TotalVolumeR2</f>
        <v>3.369968000000001E-3</v>
      </c>
      <c r="I565" s="465">
        <f>calcProd1Seg1VolumeTotalCustR2/calcProd1Seg1TotalVolumeR2</f>
        <v>3.369968000000001E-3</v>
      </c>
      <c r="J565" t="s">
        <v>1958</v>
      </c>
    </row>
    <row r="566" spans="1:10">
      <c r="A566" s="4"/>
    </row>
    <row r="567" spans="1:10">
      <c r="A567" t="s">
        <v>622</v>
      </c>
      <c r="B567" s="4" t="str">
        <f>nmProd1Seg2</f>
        <v>Tullyville</v>
      </c>
    </row>
    <row r="568" spans="1:10">
      <c r="C568" t="s">
        <v>804</v>
      </c>
      <c r="E568" s="380">
        <f>calcProd1Seg2Payer1VolumeNewCustR1+calcProd1Seg2Payer2VolumeNewCustR1+calcProd1Seg2Payer3VolumeNewCustR1</f>
        <v>12.545125824000001</v>
      </c>
      <c r="F568" s="380">
        <f>calcProd1Seg2Payer1VolumeNewCustR1+calcProd1Seg2Payer2VolumeNewCustR1+calcProd1Seg2Payer3VolumeNewCustR1</f>
        <v>12.545125824000001</v>
      </c>
      <c r="G568" s="380">
        <f>calcProd1Seg2Payer1VolumeNewCustR1+calcProd1Seg2Payer2VolumeNewCustR1+calcProd1Seg2Payer3VolumeNewCustR1</f>
        <v>12.545125824000001</v>
      </c>
      <c r="H568" s="380">
        <f>calcProd1Seg2Payer1VolumeNewCustR1+calcProd1Seg2Payer2VolumeNewCustR1+calcProd1Seg2Payer3VolumeNewCustR1</f>
        <v>12.545125824000001</v>
      </c>
      <c r="I568" s="380">
        <f>calcProd1Seg2Payer1VolumeNewCustR1+calcProd1Seg2Payer2VolumeNewCustR1+calcProd1Seg2Payer3VolumeNewCustR1</f>
        <v>12.545125824000001</v>
      </c>
      <c r="J568" t="s">
        <v>1974</v>
      </c>
    </row>
    <row r="569" spans="1:10">
      <c r="C569" t="s">
        <v>803</v>
      </c>
      <c r="E569" s="380">
        <f>calcProd1Seg2Payer1VolumeRecurCustR1+calcProd1Seg2Payer2VolumeRecurCustR1+calcProd1Seg2Payer3VolumeRecurCustR1</f>
        <v>131.723821152</v>
      </c>
      <c r="F569" s="380">
        <f>calcProd1Seg2Payer1VolumeRecurCustR1+calcProd1Seg2Payer2VolumeRecurCustR1+calcProd1Seg2Payer3VolumeRecurCustR1</f>
        <v>131.723821152</v>
      </c>
      <c r="G569" s="380">
        <f>calcProd1Seg2Payer1VolumeRecurCustR1+calcProd1Seg2Payer2VolumeRecurCustR1+calcProd1Seg2Payer3VolumeRecurCustR1</f>
        <v>131.723821152</v>
      </c>
      <c r="H569" s="380">
        <f>calcProd1Seg2Payer1VolumeRecurCustR1+calcProd1Seg2Payer2VolumeRecurCustR1+calcProd1Seg2Payer3VolumeRecurCustR1</f>
        <v>131.723821152</v>
      </c>
      <c r="I569" s="380">
        <f>calcProd1Seg2Payer1VolumeRecurCustR1+calcProd1Seg2Payer2VolumeRecurCustR1+calcProd1Seg2Payer3VolumeRecurCustR1</f>
        <v>131.723821152</v>
      </c>
      <c r="J569" t="s">
        <v>1975</v>
      </c>
    </row>
    <row r="570" spans="1:10" s="4" customFormat="1">
      <c r="C570" s="4" t="s">
        <v>1860</v>
      </c>
      <c r="E570" s="457">
        <f>calcProd1Seg2NewCustR1+calcProd1Seg2RecurCustR1</f>
        <v>144.268946976</v>
      </c>
      <c r="F570" s="457">
        <f>calcProd1Seg2NewCustR1+calcProd1Seg2RecurCustR1</f>
        <v>144.268946976</v>
      </c>
      <c r="G570" s="457">
        <f>calcProd1Seg2NewCustR1+calcProd1Seg2RecurCustR1</f>
        <v>144.268946976</v>
      </c>
      <c r="H570" s="457">
        <f>calcProd1Seg2NewCustR1+calcProd1Seg2RecurCustR1</f>
        <v>144.268946976</v>
      </c>
      <c r="I570" s="457">
        <f>calcProd1Seg2NewCustR1+calcProd1Seg2RecurCustR1</f>
        <v>144.268946976</v>
      </c>
      <c r="J570" s="4" t="s">
        <v>1976</v>
      </c>
    </row>
    <row r="571" spans="1:10">
      <c r="C571" t="s">
        <v>1862</v>
      </c>
      <c r="E571" s="380">
        <f>calcProd1Seg2Payer1MarketGrowthCustR1+calcProd1Seg2Payer2MarketGrowthCustR1+calcProd1Seg2Payer3MarketGrowthCustR1</f>
        <v>3400.9920000000002</v>
      </c>
      <c r="F571" s="380">
        <f>calcProd1Seg2Payer1MarketGrowthCustR1+calcProd1Seg2Payer2MarketGrowthCustR1+calcProd1Seg2Payer3MarketGrowthCustR1</f>
        <v>3400.9920000000002</v>
      </c>
      <c r="G571" s="380">
        <f>calcProd1Seg2Payer1MarketGrowthCustR1+calcProd1Seg2Payer2MarketGrowthCustR1+calcProd1Seg2Payer3MarketGrowthCustR1</f>
        <v>3400.9920000000002</v>
      </c>
      <c r="H571" s="380">
        <f>calcProd1Seg2Payer1MarketGrowthCustR1+calcProd1Seg2Payer2MarketGrowthCustR1+calcProd1Seg2Payer3MarketGrowthCustR1</f>
        <v>3400.9920000000002</v>
      </c>
      <c r="I571" s="380">
        <f>calcProd1Seg2Payer1MarketGrowthCustR1+calcProd1Seg2Payer2MarketGrowthCustR1+calcProd1Seg2Payer3MarketGrowthCustR1</f>
        <v>3400.9920000000002</v>
      </c>
      <c r="J571" t="s">
        <v>1977</v>
      </c>
    </row>
    <row r="572" spans="1:10">
      <c r="C572" t="s">
        <v>1537</v>
      </c>
      <c r="E572" s="380">
        <f>calcProd1Seg2Payer1TotalVolumeR1+calcProd1Seg2Payer2TotalVolumeR1+calcProd1Seg2Payer3TotalVolumeR1</f>
        <v>39111.407999999996</v>
      </c>
      <c r="F572" s="380">
        <f>calcProd1Seg2Payer1TotalVolumeR1+calcProd1Seg2Payer2TotalVolumeR1+calcProd1Seg2Payer3TotalVolumeR1</f>
        <v>39111.407999999996</v>
      </c>
      <c r="G572" s="380">
        <f>calcProd1Seg2Payer1TotalVolumeR1+calcProd1Seg2Payer2TotalVolumeR1+calcProd1Seg2Payer3TotalVolumeR1</f>
        <v>39111.407999999996</v>
      </c>
      <c r="H572" s="380">
        <f>calcProd1Seg2Payer1TotalVolumeR1+calcProd1Seg2Payer2TotalVolumeR1+calcProd1Seg2Payer3TotalVolumeR1</f>
        <v>39111.407999999996</v>
      </c>
      <c r="I572" s="380">
        <f>calcProd1Seg2Payer1TotalVolumeR1+calcProd1Seg2Payer2TotalVolumeR1+calcProd1Seg2Payer3TotalVolumeR1</f>
        <v>39111.407999999996</v>
      </c>
      <c r="J572" t="s">
        <v>1978</v>
      </c>
    </row>
    <row r="573" spans="1:10">
      <c r="A573" s="4"/>
      <c r="C573" t="s">
        <v>861</v>
      </c>
      <c r="E573" s="465">
        <f>calcProd1Seg2NewCustR1/calcProd1Seg2MarketGrowthCustR1</f>
        <v>3.6886666666666669E-3</v>
      </c>
      <c r="F573" s="465">
        <f>calcProd1Seg2NewCustR1/calcProd1Seg2MarketGrowthCustR1</f>
        <v>3.6886666666666669E-3</v>
      </c>
      <c r="G573" s="465">
        <f>calcProd1Seg2NewCustR1/calcProd1Seg2MarketGrowthCustR1</f>
        <v>3.6886666666666669E-3</v>
      </c>
      <c r="H573" s="465">
        <f>calcProd1Seg2NewCustR1/calcProd1Seg2MarketGrowthCustR1</f>
        <v>3.6886666666666669E-3</v>
      </c>
      <c r="I573" s="465">
        <f>calcProd1Seg2NewCustR1/calcProd1Seg2MarketGrowthCustR1</f>
        <v>3.6886666666666669E-3</v>
      </c>
      <c r="J573" t="s">
        <v>1979</v>
      </c>
    </row>
    <row r="574" spans="1:10">
      <c r="A574" s="4"/>
      <c r="C574" t="s">
        <v>841</v>
      </c>
      <c r="E574" s="465">
        <f>calcProd1Seg2VolumeTotalCustR1/calcProd1Seg2TotalVolumeR1</f>
        <v>3.6886666666666669E-3</v>
      </c>
      <c r="F574" s="465">
        <f>calcProd1Seg2VolumeTotalCustR1/calcProd1Seg2TotalVolumeR1</f>
        <v>3.6886666666666669E-3</v>
      </c>
      <c r="G574" s="465">
        <f>calcProd1Seg2VolumeTotalCustR1/calcProd1Seg2TotalVolumeR1</f>
        <v>3.6886666666666669E-3</v>
      </c>
      <c r="H574" s="465">
        <f>calcProd1Seg2VolumeTotalCustR1/calcProd1Seg2TotalVolumeR1</f>
        <v>3.6886666666666669E-3</v>
      </c>
      <c r="I574" s="465">
        <f>calcProd1Seg2VolumeTotalCustR1/calcProd1Seg2TotalVolumeR1</f>
        <v>3.6886666666666669E-3</v>
      </c>
      <c r="J574" t="s">
        <v>1980</v>
      </c>
    </row>
    <row r="575" spans="1:10">
      <c r="A575" t="s">
        <v>623</v>
      </c>
      <c r="B575" s="4"/>
    </row>
    <row r="576" spans="1:10">
      <c r="C576" t="s">
        <v>804</v>
      </c>
      <c r="E576" s="380">
        <f>calcProd1Seg2Payer1VolumeNewCustR2+calcProd1Seg2Payer2VolumeNewCustR2+calcProd1Seg2Payer3VolumeNewCustR2</f>
        <v>18.530912307914996</v>
      </c>
      <c r="F576" s="380">
        <f>calcProd1Seg2Payer1VolumeNewCustR2+calcProd1Seg2Payer2VolumeNewCustR2+calcProd1Seg2Payer3VolumeNewCustR2</f>
        <v>18.530912307914996</v>
      </c>
      <c r="G576" s="380">
        <f>calcProd1Seg2Payer1VolumeNewCustR2+calcProd1Seg2Payer2VolumeNewCustR2+calcProd1Seg2Payer3VolumeNewCustR2</f>
        <v>18.530912307914996</v>
      </c>
      <c r="H576" s="380">
        <f>calcProd1Seg2Payer1VolumeNewCustR2+calcProd1Seg2Payer2VolumeNewCustR2+calcProd1Seg2Payer3VolumeNewCustR2</f>
        <v>18.530912307914996</v>
      </c>
      <c r="I576" s="380">
        <f>calcProd1Seg2Payer1VolumeNewCustR2+calcProd1Seg2Payer2VolumeNewCustR2+calcProd1Seg2Payer3VolumeNewCustR2</f>
        <v>18.398248112474999</v>
      </c>
      <c r="J576" t="s">
        <v>1981</v>
      </c>
    </row>
    <row r="577" spans="1:10">
      <c r="C577" t="s">
        <v>803</v>
      </c>
      <c r="E577" s="380">
        <f>calcProd1Seg2Payer1VolumeRecurCustR2+calcProd1Seg2Payer2VolumeRecurCustR2+calcProd1Seg2Payer3VolumeRecurCustR2</f>
        <v>135.89335692470996</v>
      </c>
      <c r="F577" s="380">
        <f>calcProd1Seg2Payer1VolumeRecurCustR2+calcProd1Seg2Payer2VolumeRecurCustR2+calcProd1Seg2Payer3VolumeRecurCustR2</f>
        <v>135.89335692470996</v>
      </c>
      <c r="G577" s="380">
        <f>calcProd1Seg2Payer1VolumeRecurCustR2+calcProd1Seg2Payer2VolumeRecurCustR2+calcProd1Seg2Payer3VolumeRecurCustR2</f>
        <v>135.89335692470996</v>
      </c>
      <c r="H577" s="380">
        <f>calcProd1Seg2Payer1VolumeRecurCustR2+calcProd1Seg2Payer2VolumeRecurCustR2+calcProd1Seg2Payer3VolumeRecurCustR2</f>
        <v>135.89335692470996</v>
      </c>
      <c r="I577" s="380">
        <f>calcProd1Seg2Payer1VolumeRecurCustR2+calcProd1Seg2Payer2VolumeRecurCustR2+calcProd1Seg2Payer3VolumeRecurCustR2</f>
        <v>134.92048615814997</v>
      </c>
      <c r="J577" t="s">
        <v>1982</v>
      </c>
    </row>
    <row r="578" spans="1:10" s="4" customFormat="1">
      <c r="C578" s="4" t="s">
        <v>1860</v>
      </c>
      <c r="E578" s="457">
        <f>calcProd1Seg2NewCustR2+calcProd1Seg2RecurCustR2</f>
        <v>154.42426923262497</v>
      </c>
      <c r="F578" s="457">
        <f>calcProd1Seg2NewCustR2+calcProd1Seg2RecurCustR2</f>
        <v>154.42426923262497</v>
      </c>
      <c r="G578" s="457">
        <f>calcProd1Seg2NewCustR2+calcProd1Seg2RecurCustR2</f>
        <v>154.42426923262497</v>
      </c>
      <c r="H578" s="457">
        <f>calcProd1Seg2NewCustR2+calcProd1Seg2RecurCustR2</f>
        <v>154.42426923262497</v>
      </c>
      <c r="I578" s="457">
        <f>calcProd1Seg2NewCustR2+calcProd1Seg2RecurCustR2</f>
        <v>153.31873427062496</v>
      </c>
      <c r="J578" s="4" t="s">
        <v>1983</v>
      </c>
    </row>
    <row r="579" spans="1:10">
      <c r="C579" t="s">
        <v>1862</v>
      </c>
      <c r="E579" s="380">
        <f>calcProd1Seg2Payer1MarketGrowthCustR2+calcProd1Seg2Payer2MarketGrowthCustR2+calcProd1Seg2Payer3MarketGrowthCustR2</f>
        <v>5356.5623999999989</v>
      </c>
      <c r="F579" s="380">
        <f>calcProd1Seg2Payer1MarketGrowthCustR2+calcProd1Seg2Payer2MarketGrowthCustR2+calcProd1Seg2Payer3MarketGrowthCustR2</f>
        <v>5356.5623999999989</v>
      </c>
      <c r="G579" s="380">
        <f>calcProd1Seg2Payer1MarketGrowthCustR2+calcProd1Seg2Payer2MarketGrowthCustR2+calcProd1Seg2Payer3MarketGrowthCustR2</f>
        <v>5356.5623999999989</v>
      </c>
      <c r="H579" s="380">
        <f>calcProd1Seg2Payer1MarketGrowthCustR2+calcProd1Seg2Payer2MarketGrowthCustR2+calcProd1Seg2Payer3MarketGrowthCustR2</f>
        <v>5356.5623999999989</v>
      </c>
      <c r="I579" s="380">
        <f>calcProd1Seg2Payer1MarketGrowthCustR2+calcProd1Seg2Payer2MarketGrowthCustR2+calcProd1Seg2Payer3MarketGrowthCustR2</f>
        <v>5356.5623999999989</v>
      </c>
      <c r="J579" t="s">
        <v>1984</v>
      </c>
    </row>
    <row r="580" spans="1:10">
      <c r="C580" t="s">
        <v>1537</v>
      </c>
      <c r="E580" s="380">
        <f>calcProd1Seg2Payer1TotalVolumeR2+calcProd1Seg2Payer2TotalVolumeR2+calcProd1Seg2Payer3TotalVolumeR2</f>
        <v>44638.02</v>
      </c>
      <c r="F580" s="380">
        <f>calcProd1Seg2Payer1TotalVolumeR2+calcProd1Seg2Payer2TotalVolumeR2+calcProd1Seg2Payer3TotalVolumeR2</f>
        <v>44638.02</v>
      </c>
      <c r="G580" s="380">
        <f>calcProd1Seg2Payer1TotalVolumeR2+calcProd1Seg2Payer2TotalVolumeR2+calcProd1Seg2Payer3TotalVolumeR2</f>
        <v>44638.02</v>
      </c>
      <c r="H580" s="380">
        <f>calcProd1Seg2Payer1TotalVolumeR2+calcProd1Seg2Payer2TotalVolumeR2+calcProd1Seg2Payer3TotalVolumeR2</f>
        <v>44638.02</v>
      </c>
      <c r="I580" s="380">
        <f>calcProd1Seg2Payer1TotalVolumeR2+calcProd1Seg2Payer2TotalVolumeR2+calcProd1Seg2Payer3TotalVolumeR2</f>
        <v>44638.02</v>
      </c>
      <c r="J580" t="s">
        <v>1985</v>
      </c>
    </row>
    <row r="581" spans="1:10">
      <c r="A581" s="4"/>
      <c r="C581" t="s">
        <v>861</v>
      </c>
      <c r="E581" s="465">
        <f>calcProd1Seg2NewCustR2/calcProd1Seg2MarketGrowthCustR2</f>
        <v>3.459478472222222E-3</v>
      </c>
      <c r="F581" s="465">
        <f>calcProd1Seg2NewCustR2/calcProd1Seg2MarketGrowthCustR2</f>
        <v>3.459478472222222E-3</v>
      </c>
      <c r="G581" s="465">
        <f>calcProd1Seg2NewCustR2/calcProd1Seg2MarketGrowthCustR2</f>
        <v>3.459478472222222E-3</v>
      </c>
      <c r="H581" s="465">
        <f>calcProd1Seg2NewCustR2/calcProd1Seg2MarketGrowthCustR2</f>
        <v>3.459478472222222E-3</v>
      </c>
      <c r="I581" s="465">
        <f>calcProd1Seg2NewCustR2/calcProd1Seg2MarketGrowthCustR2</f>
        <v>3.4347118055555559E-3</v>
      </c>
      <c r="J581" t="s">
        <v>1986</v>
      </c>
    </row>
    <row r="582" spans="1:10">
      <c r="A582" s="4"/>
      <c r="C582" t="s">
        <v>841</v>
      </c>
      <c r="E582" s="465">
        <f>calcProd1Seg2VolumeTotalCustR2/calcProd1Seg2TotalVolumeR2</f>
        <v>3.4594784722222216E-3</v>
      </c>
      <c r="F582" s="465">
        <f>calcProd1Seg2VolumeTotalCustR2/calcProd1Seg2TotalVolumeR2</f>
        <v>3.4594784722222216E-3</v>
      </c>
      <c r="G582" s="465">
        <f>calcProd1Seg2VolumeTotalCustR2/calcProd1Seg2TotalVolumeR2</f>
        <v>3.4594784722222216E-3</v>
      </c>
      <c r="H582" s="465">
        <f>calcProd1Seg2VolumeTotalCustR2/calcProd1Seg2TotalVolumeR2</f>
        <v>3.4594784722222216E-3</v>
      </c>
      <c r="I582" s="465">
        <f>calcProd1Seg2VolumeTotalCustR2/calcProd1Seg2TotalVolumeR2</f>
        <v>3.434711805555555E-3</v>
      </c>
      <c r="J582" t="s">
        <v>1987</v>
      </c>
    </row>
    <row r="583" spans="1:10">
      <c r="A583" s="4"/>
    </row>
    <row r="584" spans="1:10">
      <c r="A584" t="s">
        <v>622</v>
      </c>
      <c r="B584" s="4" t="str">
        <f>nmProd1Seg3</f>
        <v>Lordfrey City</v>
      </c>
    </row>
    <row r="585" spans="1:10">
      <c r="C585" t="s">
        <v>804</v>
      </c>
      <c r="E585" s="380">
        <f>calcProd1Seg3Payer1VolumeNewCustR1+calcProd1Seg3Payer2VolumeNewCustR1+calcProd1Seg3Payer3VolumeNewCustR1</f>
        <v>5.9335163999999985</v>
      </c>
      <c r="F585" s="380">
        <f>calcProd1Seg3Payer1VolumeNewCustR1+calcProd1Seg3Payer2VolumeNewCustR1+calcProd1Seg3Payer3VolumeNewCustR1</f>
        <v>5.9335163999999985</v>
      </c>
      <c r="G585" s="380">
        <f>calcProd1Seg3Payer1VolumeNewCustR1+calcProd1Seg3Payer2VolumeNewCustR1+calcProd1Seg3Payer3VolumeNewCustR1</f>
        <v>5.9335163999999985</v>
      </c>
      <c r="H585" s="380">
        <f>calcProd1Seg3Payer1VolumeNewCustR1+calcProd1Seg3Payer2VolumeNewCustR1+calcProd1Seg3Payer3VolumeNewCustR1</f>
        <v>5.9335163999999985</v>
      </c>
      <c r="I585" s="380">
        <f>calcProd1Seg3Payer1VolumeNewCustR1+calcProd1Seg3Payer2VolumeNewCustR1+calcProd1Seg3Payer3VolumeNewCustR1</f>
        <v>5.9335163999999985</v>
      </c>
      <c r="J585" t="s">
        <v>1960</v>
      </c>
    </row>
    <row r="586" spans="1:10">
      <c r="C586" t="s">
        <v>803</v>
      </c>
      <c r="E586" s="380">
        <f>calcProd1Seg3Payer1VolumeRecurCustR1+calcProd1Seg3Payer2VolumeRecurCustR1+calcProd1Seg3Payer3VolumeRecurCustR1</f>
        <v>73.672373231578916</v>
      </c>
      <c r="F586" s="380">
        <f>calcProd1Seg3Payer1VolumeRecurCustR1+calcProd1Seg3Payer2VolumeRecurCustR1+calcProd1Seg3Payer3VolumeRecurCustR1</f>
        <v>73.672373231578916</v>
      </c>
      <c r="G586" s="380">
        <f>calcProd1Seg3Payer1VolumeRecurCustR1+calcProd1Seg3Payer2VolumeRecurCustR1+calcProd1Seg3Payer3VolumeRecurCustR1</f>
        <v>73.672373231578916</v>
      </c>
      <c r="H586" s="380">
        <f>calcProd1Seg3Payer1VolumeRecurCustR1+calcProd1Seg3Payer2VolumeRecurCustR1+calcProd1Seg3Payer3VolumeRecurCustR1</f>
        <v>73.672373231578916</v>
      </c>
      <c r="I586" s="380">
        <f>calcProd1Seg3Payer1VolumeRecurCustR1+calcProd1Seg3Payer2VolumeRecurCustR1+calcProd1Seg3Payer3VolumeRecurCustR1</f>
        <v>73.672373231578916</v>
      </c>
      <c r="J586" t="s">
        <v>1961</v>
      </c>
    </row>
    <row r="587" spans="1:10" s="4" customFormat="1">
      <c r="C587" s="4" t="s">
        <v>1860</v>
      </c>
      <c r="E587" s="457">
        <f>calcProd1Seg3NewCustR1+calcProd1Seg3RecurCustR1</f>
        <v>79.605889631578918</v>
      </c>
      <c r="F587" s="457">
        <f>calcProd1Seg3NewCustR1+calcProd1Seg3RecurCustR1</f>
        <v>79.605889631578918</v>
      </c>
      <c r="G587" s="457">
        <f>calcProd1Seg3NewCustR1+calcProd1Seg3RecurCustR1</f>
        <v>79.605889631578918</v>
      </c>
      <c r="H587" s="457">
        <f>calcProd1Seg3NewCustR1+calcProd1Seg3RecurCustR1</f>
        <v>79.605889631578918</v>
      </c>
      <c r="I587" s="457">
        <f>calcProd1Seg3NewCustR1+calcProd1Seg3RecurCustR1</f>
        <v>79.605889631578918</v>
      </c>
      <c r="J587" s="4" t="s">
        <v>1962</v>
      </c>
    </row>
    <row r="588" spans="1:10">
      <c r="C588" t="s">
        <v>1862</v>
      </c>
      <c r="E588" s="380">
        <f>calcProd1Seg3Payer1MarketGrowthCustR1+calcProd1Seg3Payer2MarketGrowthCustR1+calcProd1Seg3Payer3MarketGrowthCustR1</f>
        <v>2338.1819999999998</v>
      </c>
      <c r="F588" s="380">
        <f>calcProd1Seg3Payer1MarketGrowthCustR1+calcProd1Seg3Payer2MarketGrowthCustR1+calcProd1Seg3Payer3MarketGrowthCustR1</f>
        <v>2338.1819999999998</v>
      </c>
      <c r="G588" s="380">
        <f>calcProd1Seg3Payer1MarketGrowthCustR1+calcProd1Seg3Payer2MarketGrowthCustR1+calcProd1Seg3Payer3MarketGrowthCustR1</f>
        <v>2338.1819999999998</v>
      </c>
      <c r="H588" s="380">
        <f>calcProd1Seg3Payer1MarketGrowthCustR1+calcProd1Seg3Payer2MarketGrowthCustR1+calcProd1Seg3Payer3MarketGrowthCustR1</f>
        <v>2338.1819999999998</v>
      </c>
      <c r="I588" s="380">
        <f>calcProd1Seg3Payer1MarketGrowthCustR1+calcProd1Seg3Payer2MarketGrowthCustR1+calcProd1Seg3Payer3MarketGrowthCustR1</f>
        <v>2338.1819999999998</v>
      </c>
      <c r="J588" t="s">
        <v>1963</v>
      </c>
    </row>
    <row r="589" spans="1:10">
      <c r="C589" t="s">
        <v>1537</v>
      </c>
      <c r="E589" s="380">
        <f>calcProd1Seg3Payer1TotalVolumeR1+calcProd1Seg3Payer2TotalVolumeR1+calcProd1Seg3Payer3TotalVolumeR1</f>
        <v>31941.657999999996</v>
      </c>
      <c r="F589" s="380">
        <f>calcProd1Seg3Payer1TotalVolumeR1+calcProd1Seg3Payer2TotalVolumeR1+calcProd1Seg3Payer3TotalVolumeR1</f>
        <v>31941.657999999996</v>
      </c>
      <c r="G589" s="380">
        <f>calcProd1Seg3Payer1TotalVolumeR1+calcProd1Seg3Payer2TotalVolumeR1+calcProd1Seg3Payer3TotalVolumeR1</f>
        <v>31941.657999999996</v>
      </c>
      <c r="H589" s="380">
        <f>calcProd1Seg3Payer1TotalVolumeR1+calcProd1Seg3Payer2TotalVolumeR1+calcProd1Seg3Payer3TotalVolumeR1</f>
        <v>31941.657999999996</v>
      </c>
      <c r="I589" s="380">
        <f>calcProd1Seg3Payer1TotalVolumeR1+calcProd1Seg3Payer2TotalVolumeR1+calcProd1Seg3Payer3TotalVolumeR1</f>
        <v>31941.657999999996</v>
      </c>
      <c r="J589" t="s">
        <v>1964</v>
      </c>
    </row>
    <row r="590" spans="1:10">
      <c r="A590" s="4"/>
      <c r="C590" t="s">
        <v>861</v>
      </c>
      <c r="E590" s="465">
        <f>calcProd1Seg3NewCustR1/calcProd1Seg3MarketGrowthCustR1</f>
        <v>2.5376623376623373E-3</v>
      </c>
      <c r="F590" s="465">
        <f>calcProd1Seg3NewCustR1/calcProd1Seg3MarketGrowthCustR1</f>
        <v>2.5376623376623373E-3</v>
      </c>
      <c r="G590" s="465">
        <f>calcProd1Seg3NewCustR1/calcProd1Seg3MarketGrowthCustR1</f>
        <v>2.5376623376623373E-3</v>
      </c>
      <c r="H590" s="465">
        <f>calcProd1Seg3NewCustR1/calcProd1Seg3MarketGrowthCustR1</f>
        <v>2.5376623376623373E-3</v>
      </c>
      <c r="I590" s="465">
        <f>calcProd1Seg3NewCustR1/calcProd1Seg3MarketGrowthCustR1</f>
        <v>2.5376623376623373E-3</v>
      </c>
      <c r="J590" t="s">
        <v>1965</v>
      </c>
    </row>
    <row r="591" spans="1:10">
      <c r="A591" s="4"/>
      <c r="C591" t="s">
        <v>841</v>
      </c>
      <c r="E591" s="465">
        <f>calcProd1Seg3VolumeTotalCustR1/calcProd1Seg3TotalVolumeR1</f>
        <v>2.4922278496494741E-3</v>
      </c>
      <c r="F591" s="465">
        <f>calcProd1Seg3VolumeTotalCustR1/calcProd1Seg3TotalVolumeR1</f>
        <v>2.4922278496494741E-3</v>
      </c>
      <c r="G591" s="465">
        <f>calcProd1Seg3VolumeTotalCustR1/calcProd1Seg3TotalVolumeR1</f>
        <v>2.4922278496494741E-3</v>
      </c>
      <c r="H591" s="465">
        <f>calcProd1Seg3VolumeTotalCustR1/calcProd1Seg3TotalVolumeR1</f>
        <v>2.4922278496494741E-3</v>
      </c>
      <c r="I591" s="465">
        <f>calcProd1Seg3VolumeTotalCustR1/calcProd1Seg3TotalVolumeR1</f>
        <v>2.4922278496494741E-3</v>
      </c>
      <c r="J591" t="s">
        <v>1966</v>
      </c>
    </row>
    <row r="592" spans="1:10">
      <c r="A592" t="s">
        <v>623</v>
      </c>
      <c r="B592" s="4"/>
    </row>
    <row r="593" spans="1:10">
      <c r="C593" t="s">
        <v>804</v>
      </c>
      <c r="E593" s="380">
        <f>calcProd1Seg3Payer1VolumeNewCustR2+calcProd1Seg3Payer2VolumeNewCustR2+calcProd1Seg3Payer3VolumeNewCustR2</f>
        <v>4.9831585303499981</v>
      </c>
      <c r="F593" s="380">
        <f>calcProd1Seg3Payer1VolumeNewCustR2+calcProd1Seg3Payer2VolumeNewCustR2+calcProd1Seg3Payer3VolumeNewCustR2</f>
        <v>4.9831585303499981</v>
      </c>
      <c r="G593" s="380">
        <f>calcProd1Seg3Payer1VolumeNewCustR2+calcProd1Seg3Payer2VolumeNewCustR2+calcProd1Seg3Payer3VolumeNewCustR2</f>
        <v>4.9831585303499981</v>
      </c>
      <c r="H593" s="380">
        <f>calcProd1Seg3Payer1VolumeNewCustR2+calcProd1Seg3Payer2VolumeNewCustR2+calcProd1Seg3Payer3VolumeNewCustR2</f>
        <v>4.9831585303499981</v>
      </c>
      <c r="I593" s="380">
        <f>calcProd1Seg3Payer1VolumeNewCustR2+calcProd1Seg3Payer2VolumeNewCustR2+calcProd1Seg3Payer3VolumeNewCustR2</f>
        <v>4.9831585303499981</v>
      </c>
      <c r="J593" t="s">
        <v>1967</v>
      </c>
    </row>
    <row r="594" spans="1:10">
      <c r="C594" t="s">
        <v>803</v>
      </c>
      <c r="E594" s="380">
        <f>calcProd1Seg3Payer1VolumeRecurCustR2+calcProd1Seg3Payer2VolumeRecurCustR2+calcProd1Seg3Payer3VolumeRecurCustR2</f>
        <v>61.471531459689452</v>
      </c>
      <c r="F594" s="380">
        <f>calcProd1Seg3Payer1VolumeRecurCustR2+calcProd1Seg3Payer2VolumeRecurCustR2+calcProd1Seg3Payer3VolumeRecurCustR2</f>
        <v>61.471531459689452</v>
      </c>
      <c r="G594" s="380">
        <f>calcProd1Seg3Payer1VolumeRecurCustR2+calcProd1Seg3Payer2VolumeRecurCustR2+calcProd1Seg3Payer3VolumeRecurCustR2</f>
        <v>61.471531459689452</v>
      </c>
      <c r="H594" s="380">
        <f>calcProd1Seg3Payer1VolumeRecurCustR2+calcProd1Seg3Payer2VolumeRecurCustR2+calcProd1Seg3Payer3VolumeRecurCustR2</f>
        <v>61.471531459689452</v>
      </c>
      <c r="I594" s="380">
        <f>calcProd1Seg3Payer1VolumeRecurCustR2+calcProd1Seg3Payer2VolumeRecurCustR2+calcProd1Seg3Payer3VolumeRecurCustR2</f>
        <v>61.471531459689452</v>
      </c>
      <c r="J594" t="s">
        <v>1968</v>
      </c>
    </row>
    <row r="595" spans="1:10" s="4" customFormat="1">
      <c r="C595" s="4" t="s">
        <v>1860</v>
      </c>
      <c r="E595" s="457">
        <f>calcProd1Seg3NewCustR2+calcProd1Seg3RecurCustR2</f>
        <v>66.454689990039455</v>
      </c>
      <c r="F595" s="457">
        <f>calcProd1Seg3NewCustR2+calcProd1Seg3RecurCustR2</f>
        <v>66.454689990039455</v>
      </c>
      <c r="G595" s="457">
        <f>calcProd1Seg3NewCustR2+calcProd1Seg3RecurCustR2</f>
        <v>66.454689990039455</v>
      </c>
      <c r="H595" s="457">
        <f>calcProd1Seg3NewCustR2+calcProd1Seg3RecurCustR2</f>
        <v>66.454689990039455</v>
      </c>
      <c r="I595" s="457">
        <f>calcProd1Seg3NewCustR2+calcProd1Seg3RecurCustR2</f>
        <v>66.454689990039455</v>
      </c>
      <c r="J595" s="4" t="s">
        <v>1969</v>
      </c>
    </row>
    <row r="596" spans="1:10">
      <c r="C596" t="s">
        <v>1862</v>
      </c>
      <c r="E596" s="380">
        <f>calcProd1Seg3Payer1MarketGrowthCustR2+calcProd1Seg3Payer2MarketGrowthCustR2+calcProd1Seg3Payer3MarketGrowthCustR2</f>
        <v>2501.8547399999998</v>
      </c>
      <c r="F596" s="380">
        <f>calcProd1Seg3Payer1MarketGrowthCustR2+calcProd1Seg3Payer2MarketGrowthCustR2+calcProd1Seg3Payer3MarketGrowthCustR2</f>
        <v>2501.8547399999998</v>
      </c>
      <c r="G596" s="380">
        <f>calcProd1Seg3Payer1MarketGrowthCustR2+calcProd1Seg3Payer2MarketGrowthCustR2+calcProd1Seg3Payer3MarketGrowthCustR2</f>
        <v>2501.8547399999998</v>
      </c>
      <c r="H596" s="380">
        <f>calcProd1Seg3Payer1MarketGrowthCustR2+calcProd1Seg3Payer2MarketGrowthCustR2+calcProd1Seg3Payer3MarketGrowthCustR2</f>
        <v>2501.8547399999998</v>
      </c>
      <c r="I596" s="380">
        <f>calcProd1Seg3Payer1MarketGrowthCustR2+calcProd1Seg3Payer2MarketGrowthCustR2+calcProd1Seg3Payer3MarketGrowthCustR2</f>
        <v>2501.8547399999998</v>
      </c>
      <c r="J596" t="s">
        <v>1970</v>
      </c>
    </row>
    <row r="597" spans="1:10">
      <c r="C597" t="s">
        <v>1537</v>
      </c>
      <c r="E597" s="380">
        <f>calcProd1Seg3Payer1TotalVolumeR2+calcProd1Seg3Payer2TotalVolumeR2+calcProd1Seg3Payer3TotalVolumeR2</f>
        <v>34950.152579999994</v>
      </c>
      <c r="F597" s="380">
        <f>calcProd1Seg3Payer1TotalVolumeR2+calcProd1Seg3Payer2TotalVolumeR2+calcProd1Seg3Payer3TotalVolumeR2</f>
        <v>34950.152579999994</v>
      </c>
      <c r="G597" s="380">
        <f>calcProd1Seg3Payer1TotalVolumeR2+calcProd1Seg3Payer2TotalVolumeR2+calcProd1Seg3Payer3TotalVolumeR2</f>
        <v>34950.152579999994</v>
      </c>
      <c r="H597" s="380">
        <f>calcProd1Seg3Payer1TotalVolumeR2+calcProd1Seg3Payer2TotalVolumeR2+calcProd1Seg3Payer3TotalVolumeR2</f>
        <v>34950.152579999994</v>
      </c>
      <c r="I597" s="380">
        <f>calcProd1Seg3Payer1TotalVolumeR2+calcProd1Seg3Payer2TotalVolumeR2+calcProd1Seg3Payer3TotalVolumeR2</f>
        <v>34950.152579999994</v>
      </c>
      <c r="J597" t="s">
        <v>1971</v>
      </c>
    </row>
    <row r="598" spans="1:10">
      <c r="A598" s="4"/>
      <c r="C598" t="s">
        <v>861</v>
      </c>
      <c r="E598" s="465">
        <f>calcProd1Seg3NewCustR2/calcProd1Seg3MarketGrowthCustR2</f>
        <v>1.9917857142857137E-3</v>
      </c>
      <c r="F598" s="465">
        <f>calcProd1Seg3NewCustR2/calcProd1Seg3MarketGrowthCustR2</f>
        <v>1.9917857142857137E-3</v>
      </c>
      <c r="G598" s="465">
        <f>calcProd1Seg3NewCustR2/calcProd1Seg3MarketGrowthCustR2</f>
        <v>1.9917857142857137E-3</v>
      </c>
      <c r="H598" s="465">
        <f>calcProd1Seg3NewCustR2/calcProd1Seg3MarketGrowthCustR2</f>
        <v>1.9917857142857137E-3</v>
      </c>
      <c r="I598" s="465">
        <f>calcProd1Seg3NewCustR2/calcProd1Seg3MarketGrowthCustR2</f>
        <v>1.9917857142857137E-3</v>
      </c>
      <c r="J598" t="s">
        <v>1972</v>
      </c>
    </row>
    <row r="599" spans="1:10">
      <c r="A599" s="4"/>
      <c r="C599" t="s">
        <v>841</v>
      </c>
      <c r="E599" s="465">
        <f>calcProd1Seg3VolumeTotalCustR2/calcProd1Seg3TotalVolumeR2</f>
        <v>1.9014134441309345E-3</v>
      </c>
      <c r="F599" s="465">
        <f>calcProd1Seg3VolumeTotalCustR2/calcProd1Seg3TotalVolumeR2</f>
        <v>1.9014134441309345E-3</v>
      </c>
      <c r="G599" s="465">
        <f>calcProd1Seg3VolumeTotalCustR2/calcProd1Seg3TotalVolumeR2</f>
        <v>1.9014134441309345E-3</v>
      </c>
      <c r="H599" s="465">
        <f>calcProd1Seg3VolumeTotalCustR2/calcProd1Seg3TotalVolumeR2</f>
        <v>1.9014134441309345E-3</v>
      </c>
      <c r="I599" s="465">
        <f>calcProd1Seg3VolumeTotalCustR2/calcProd1Seg3TotalVolumeR2</f>
        <v>1.9014134441309345E-3</v>
      </c>
      <c r="J599" t="s">
        <v>1973</v>
      </c>
    </row>
    <row r="600" spans="1:10">
      <c r="A600" s="4" t="s">
        <v>2030</v>
      </c>
    </row>
    <row r="601" spans="1:10">
      <c r="A601" t="str">
        <f>nmProd1</f>
        <v>Riverrun</v>
      </c>
    </row>
    <row r="602" spans="1:10">
      <c r="A602" t="s">
        <v>622</v>
      </c>
      <c r="C602" t="s">
        <v>803</v>
      </c>
      <c r="E602" s="380">
        <f>calcProd1Seg3RecurCustR1+calcProd1Seg2RecurCustR1+calcProd1Seg1RecurCustR1</f>
        <v>350.90579085077894</v>
      </c>
      <c r="F602" s="380">
        <f>calcProd1Seg3RecurCustR1+calcProd1Seg2RecurCustR1+calcProd1Seg1RecurCustR1</f>
        <v>350.90579085077894</v>
      </c>
      <c r="G602" s="380">
        <f>calcProd1Seg3RecurCustR1+calcProd1Seg2RecurCustR1+calcProd1Seg1RecurCustR1</f>
        <v>350.90579085077894</v>
      </c>
      <c r="H602" s="380">
        <f>calcProd1Seg3RecurCustR1+calcProd1Seg2RecurCustR1+calcProd1Seg1RecurCustR1</f>
        <v>350.90579085077894</v>
      </c>
      <c r="I602" s="380">
        <f>calcProd1Seg3RecurCustR1+calcProd1Seg2RecurCustR1+calcProd1Seg1RecurCustR1</f>
        <v>350.90579085077894</v>
      </c>
      <c r="J602" s="380" t="s">
        <v>2045</v>
      </c>
    </row>
    <row r="603" spans="1:10">
      <c r="C603" t="s">
        <v>804</v>
      </c>
      <c r="E603" s="380">
        <f>calcProd1Seg3NewCustR1+calcProd1Seg2NewCustR1+calcProd1Seg1NewCustR1</f>
        <v>31.951753008000001</v>
      </c>
      <c r="F603" s="380">
        <f>calcProd1Seg3NewCustR1+calcProd1Seg2NewCustR1+calcProd1Seg1NewCustR1</f>
        <v>31.951753008000001</v>
      </c>
      <c r="G603" s="380">
        <f>calcProd1Seg3NewCustR1+calcProd1Seg2NewCustR1+calcProd1Seg1NewCustR1</f>
        <v>31.951753008000001</v>
      </c>
      <c r="H603" s="380">
        <f>calcProd1Seg3NewCustR1+calcProd1Seg2NewCustR1+calcProd1Seg1NewCustR1</f>
        <v>31.951753008000001</v>
      </c>
      <c r="I603" s="380">
        <f>calcProd1Seg3NewCustR1+calcProd1Seg2NewCustR1+calcProd1Seg1NewCustR1</f>
        <v>31.951753008000001</v>
      </c>
      <c r="J603" s="380" t="s">
        <v>2046</v>
      </c>
    </row>
    <row r="604" spans="1:10">
      <c r="C604" t="s">
        <v>1860</v>
      </c>
      <c r="E604" s="380">
        <f>calcProd1RecurCustR1+calcProd1NewCustR1</f>
        <v>382.85754385877897</v>
      </c>
      <c r="F604" s="380">
        <f>calcProd1RecurCustR1+calcProd1NewCustR1</f>
        <v>382.85754385877897</v>
      </c>
      <c r="G604" s="380">
        <f>calcProd1RecurCustR1+calcProd1NewCustR1</f>
        <v>382.85754385877897</v>
      </c>
      <c r="H604" s="380">
        <f>calcProd1RecurCustR1+calcProd1NewCustR1</f>
        <v>382.85754385877897</v>
      </c>
      <c r="I604" s="380">
        <f>calcProd1RecurCustR1+calcProd1NewCustR1</f>
        <v>382.85754385877897</v>
      </c>
      <c r="J604" s="380" t="s">
        <v>2047</v>
      </c>
    </row>
    <row r="605" spans="1:10">
      <c r="C605" t="s">
        <v>1862</v>
      </c>
      <c r="E605" s="380">
        <f>calcProd1Seg3MarketGrowthCustR1+calcProd1Seg1MarketGrowthCustR1+calcProd1Seg2MarketGrowthCustR1</f>
        <v>9787.9740000000002</v>
      </c>
      <c r="F605" s="380">
        <f>calcProd1Seg3MarketGrowthCustR1+calcProd1Seg1MarketGrowthCustR1+calcProd1Seg2MarketGrowthCustR1</f>
        <v>9787.9740000000002</v>
      </c>
      <c r="G605" s="380">
        <f>calcProd1Seg3MarketGrowthCustR1+calcProd1Seg1MarketGrowthCustR1+calcProd1Seg2MarketGrowthCustR1</f>
        <v>9787.9740000000002</v>
      </c>
      <c r="H605" s="380">
        <f>calcProd1Seg3MarketGrowthCustR1+calcProd1Seg1MarketGrowthCustR1+calcProd1Seg2MarketGrowthCustR1</f>
        <v>9787.9740000000002</v>
      </c>
      <c r="I605" s="380">
        <f>calcProd1Seg3MarketGrowthCustR1+calcProd1Seg1MarketGrowthCustR1+calcProd1Seg2MarketGrowthCustR1</f>
        <v>9787.9740000000002</v>
      </c>
      <c r="J605" s="380" t="s">
        <v>2048</v>
      </c>
    </row>
    <row r="606" spans="1:10">
      <c r="C606" t="s">
        <v>1537</v>
      </c>
      <c r="E606" s="380">
        <f>calcProd1Seg3TotalVolumeR1+calcProd1Seg2TotalVolumeR1+calcProd1Seg1TotalVolumeR1</f>
        <v>118828.906</v>
      </c>
      <c r="F606" s="380">
        <f>calcProd1Seg3TotalVolumeR1+calcProd1Seg2TotalVolumeR1+calcProd1Seg1TotalVolumeR1</f>
        <v>118828.906</v>
      </c>
      <c r="G606" s="380">
        <f>calcProd1Seg3TotalVolumeR1+calcProd1Seg2TotalVolumeR1+calcProd1Seg1TotalVolumeR1</f>
        <v>118828.906</v>
      </c>
      <c r="H606" s="380">
        <f>calcProd1Seg3TotalVolumeR1+calcProd1Seg2TotalVolumeR1+calcProd1Seg1TotalVolumeR1</f>
        <v>118828.906</v>
      </c>
      <c r="I606" s="380">
        <f>calcProd1Seg3TotalVolumeR1+calcProd1Seg2TotalVolumeR1+calcProd1Seg1TotalVolumeR1</f>
        <v>118828.906</v>
      </c>
      <c r="J606" s="380" t="s">
        <v>2049</v>
      </c>
    </row>
    <row r="607" spans="1:10">
      <c r="C607" t="s">
        <v>861</v>
      </c>
      <c r="E607" s="465">
        <f>calcProd1NewCustR1/calcProd1MarketGrowthCustR1</f>
        <v>3.2643888314374354E-3</v>
      </c>
      <c r="F607" s="465">
        <f>calcProd1NewCustR1/calcProd1MarketGrowthCustR1</f>
        <v>3.2643888314374354E-3</v>
      </c>
      <c r="G607" s="465">
        <f>calcProd1NewCustR1/calcProd1MarketGrowthCustR1</f>
        <v>3.2643888314374354E-3</v>
      </c>
      <c r="H607" s="465">
        <f>calcProd1NewCustR1/calcProd1MarketGrowthCustR1</f>
        <v>3.2643888314374354E-3</v>
      </c>
      <c r="I607" s="465">
        <f>calcProd1NewCustR1/calcProd1MarketGrowthCustR1</f>
        <v>3.2643888314374354E-3</v>
      </c>
      <c r="J607" s="380" t="s">
        <v>2050</v>
      </c>
    </row>
    <row r="608" spans="1:10">
      <c r="C608" t="s">
        <v>841</v>
      </c>
      <c r="E608" s="465">
        <f>calcProd1VolumeTotalCustR1/calcProd1TotalVolumeR1</f>
        <v>3.2219226512005335E-3</v>
      </c>
      <c r="F608" s="465">
        <f>calcProd1VolumeTotalCustR1/calcProd1TotalVolumeR1</f>
        <v>3.2219226512005335E-3</v>
      </c>
      <c r="G608" s="465">
        <f>calcProd1VolumeTotalCustR1/calcProd1TotalVolumeR1</f>
        <v>3.2219226512005335E-3</v>
      </c>
      <c r="H608" s="465">
        <f>calcProd1VolumeTotalCustR1/calcProd1TotalVolumeR1</f>
        <v>3.2219226512005335E-3</v>
      </c>
      <c r="I608" s="465">
        <f>calcProd1VolumeTotalCustR1/calcProd1TotalVolumeR1</f>
        <v>3.2219226512005335E-3</v>
      </c>
      <c r="J608" s="380" t="s">
        <v>2051</v>
      </c>
    </row>
    <row r="610" spans="1:10">
      <c r="A610" t="s">
        <v>623</v>
      </c>
      <c r="C610" t="s">
        <v>803</v>
      </c>
      <c r="E610" s="380">
        <f>calcProd1Seg3RecurCustR2+calcProd1Seg2RecurCustR2+calcProd1Seg1RecurCustR2</f>
        <v>363.88024823863304</v>
      </c>
      <c r="F610" s="380">
        <f>calcProd1Seg3RecurCustR2+calcProd1Seg2RecurCustR2+calcProd1Seg1RecurCustR2</f>
        <v>363.88024823863304</v>
      </c>
      <c r="G610" s="380">
        <f>calcProd1Seg3RecurCustR2+calcProd1Seg2RecurCustR2+calcProd1Seg1RecurCustR2</f>
        <v>363.88024823863304</v>
      </c>
      <c r="H610" s="380">
        <f>calcProd1Seg3RecurCustR2+calcProd1Seg2RecurCustR2+calcProd1Seg1RecurCustR2</f>
        <v>363.88024823863304</v>
      </c>
      <c r="I610" s="380">
        <f>calcProd1Seg3RecurCustR2+calcProd1Seg2RecurCustR2+calcProd1Seg1RecurCustR2</f>
        <v>362.90737747207311</v>
      </c>
      <c r="J610" s="380" t="s">
        <v>2052</v>
      </c>
    </row>
    <row r="611" spans="1:10">
      <c r="C611" t="s">
        <v>804</v>
      </c>
      <c r="E611" s="380">
        <f>calcProd1Seg3NewCustR2+calcProd1Seg2NewCustR2+calcProd1Seg1NewCustR2</f>
        <v>45.617879668472995</v>
      </c>
      <c r="F611" s="380">
        <f>calcProd1Seg3NewCustR2+calcProd1Seg2NewCustR2+calcProd1Seg1NewCustR2</f>
        <v>45.617879668472995</v>
      </c>
      <c r="G611" s="380">
        <f>calcProd1Seg3NewCustR2+calcProd1Seg2NewCustR2+calcProd1Seg1NewCustR2</f>
        <v>45.617879668472995</v>
      </c>
      <c r="H611" s="380">
        <f>calcProd1Seg3NewCustR2+calcProd1Seg2NewCustR2+calcProd1Seg1NewCustR2</f>
        <v>45.617879668472995</v>
      </c>
      <c r="I611" s="380">
        <f>calcProd1Seg3NewCustR2+calcProd1Seg2NewCustR2+calcProd1Seg1NewCustR2</f>
        <v>45.485215473033001</v>
      </c>
      <c r="J611" s="380" t="s">
        <v>2053</v>
      </c>
    </row>
    <row r="612" spans="1:10">
      <c r="C612" t="s">
        <v>1860</v>
      </c>
      <c r="E612" s="380">
        <f>calcProd1RecurCustR2+calcProd1NewCustR2</f>
        <v>409.49812790710604</v>
      </c>
      <c r="F612" s="380">
        <f>calcProd1RecurCustR2+calcProd1NewCustR2</f>
        <v>409.49812790710604</v>
      </c>
      <c r="G612" s="380">
        <f>calcProd1RecurCustR2+calcProd1NewCustR2</f>
        <v>409.49812790710604</v>
      </c>
      <c r="H612" s="380">
        <f>calcProd1RecurCustR2+calcProd1NewCustR2</f>
        <v>409.49812790710604</v>
      </c>
      <c r="I612" s="380">
        <f>calcProd1RecurCustR2+calcProd1NewCustR2</f>
        <v>408.39259294510612</v>
      </c>
      <c r="J612" s="380" t="s">
        <v>2054</v>
      </c>
    </row>
    <row r="613" spans="1:10">
      <c r="C613" t="s">
        <v>1862</v>
      </c>
      <c r="E613" s="380">
        <f>calcProd1Seg3MarketGrowthCustR2+calcProd1Seg1MarketGrowthCustR2+calcProd1Seg2MarketGrowthCustR2</f>
        <v>14417.473139999998</v>
      </c>
      <c r="F613" s="380">
        <f>calcProd1Seg3MarketGrowthCustR2+calcProd1Seg1MarketGrowthCustR2+calcProd1Seg2MarketGrowthCustR2</f>
        <v>14417.473139999998</v>
      </c>
      <c r="G613" s="380">
        <f>calcProd1Seg3MarketGrowthCustR2+calcProd1Seg1MarketGrowthCustR2+calcProd1Seg2MarketGrowthCustR2</f>
        <v>14417.473139999998</v>
      </c>
      <c r="H613" s="380">
        <f>calcProd1Seg3MarketGrowthCustR2+calcProd1Seg1MarketGrowthCustR2+calcProd1Seg2MarketGrowthCustR2</f>
        <v>14417.473139999998</v>
      </c>
      <c r="I613" s="380">
        <f>calcProd1Seg3MarketGrowthCustR2+calcProd1Seg1MarketGrowthCustR2+calcProd1Seg2MarketGrowthCustR2</f>
        <v>14417.473139999998</v>
      </c>
      <c r="J613" s="380" t="s">
        <v>2055</v>
      </c>
    </row>
    <row r="614" spans="1:10">
      <c r="C614" t="s">
        <v>1537</v>
      </c>
      <c r="E614" s="380">
        <f>calcProd1Seg3TotalVolumeR2+calcProd1Seg2TotalVolumeR2+calcProd1Seg1TotalVolumeR2</f>
        <v>135558.78378</v>
      </c>
      <c r="F614" s="380">
        <f>calcProd1Seg3TotalVolumeR2+calcProd1Seg2TotalVolumeR2+calcProd1Seg1TotalVolumeR2</f>
        <v>135558.78378</v>
      </c>
      <c r="G614" s="380">
        <f>calcProd1Seg3TotalVolumeR2+calcProd1Seg2TotalVolumeR2+calcProd1Seg1TotalVolumeR2</f>
        <v>135558.78378</v>
      </c>
      <c r="H614" s="380">
        <f>calcProd1Seg3TotalVolumeR2+calcProd1Seg2TotalVolumeR2+calcProd1Seg1TotalVolumeR2</f>
        <v>135558.78378</v>
      </c>
      <c r="I614" s="380">
        <f>calcProd1Seg3TotalVolumeR2+calcProd1Seg2TotalVolumeR2+calcProd1Seg1TotalVolumeR2</f>
        <v>135558.78378</v>
      </c>
      <c r="J614" s="380" t="s">
        <v>2056</v>
      </c>
    </row>
    <row r="615" spans="1:10">
      <c r="C615" t="s">
        <v>861</v>
      </c>
      <c r="E615" s="465">
        <f>calcProd1NewCustR2/calcProd1MarketGrowthCustR2</f>
        <v>3.1640689894479666E-3</v>
      </c>
      <c r="F615" s="465">
        <f>calcProd1NewCustR2/calcProd1MarketGrowthCustR2</f>
        <v>3.1640689894479666E-3</v>
      </c>
      <c r="G615" s="465">
        <f>calcProd1NewCustR2/calcProd1MarketGrowthCustR2</f>
        <v>3.1640689894479666E-3</v>
      </c>
      <c r="H615" s="465">
        <f>calcProd1NewCustR2/calcProd1MarketGrowthCustR2</f>
        <v>3.1640689894479666E-3</v>
      </c>
      <c r="I615" s="465">
        <f>calcProd1NewCustR2/calcProd1MarketGrowthCustR2</f>
        <v>3.1548673634659539E-3</v>
      </c>
      <c r="J615" s="380" t="s">
        <v>2057</v>
      </c>
    </row>
    <row r="616" spans="1:10">
      <c r="C616" t="s">
        <v>841</v>
      </c>
      <c r="E616" s="465">
        <f>calcProd1VolumeTotalCustR2/calcProd1TotalVolumeR2</f>
        <v>3.0208158887858241E-3</v>
      </c>
      <c r="F616" s="465">
        <f>calcProd1VolumeTotalCustR2/calcProd1TotalVolumeR2</f>
        <v>3.0208158887858241E-3</v>
      </c>
      <c r="G616" s="465">
        <f>calcProd1VolumeTotalCustR2/calcProd1TotalVolumeR2</f>
        <v>3.0208158887858241E-3</v>
      </c>
      <c r="H616" s="465">
        <f>calcProd1VolumeTotalCustR2/calcProd1TotalVolumeR2</f>
        <v>3.0208158887858241E-3</v>
      </c>
      <c r="I616" s="465">
        <f>calcProd1VolumeTotalCustR2/calcProd1TotalVolumeR2</f>
        <v>3.0126604972193572E-3</v>
      </c>
      <c r="J616" s="380" t="s">
        <v>2058</v>
      </c>
    </row>
    <row r="618" spans="1:10" s="507" customFormat="1">
      <c r="A618" s="506" t="s">
        <v>2059</v>
      </c>
    </row>
    <row r="619" spans="1:10" s="509" customFormat="1">
      <c r="A619" s="508" t="str">
        <f>nmComp1</f>
        <v>Vibrant</v>
      </c>
    </row>
    <row r="620" spans="1:10">
      <c r="A620" s="4" t="str">
        <f>nmProd1</f>
        <v>Riverrun</v>
      </c>
    </row>
    <row r="621" spans="1:10">
      <c r="A621" s="4" t="str">
        <f>nmProd1Seg1</f>
        <v>Riverrun Central</v>
      </c>
    </row>
    <row r="622" spans="1:10">
      <c r="A622" s="4" t="s">
        <v>622</v>
      </c>
      <c r="B622" t="str">
        <f>nmPayer1</f>
        <v>Blue Sword/Blue Shield</v>
      </c>
      <c r="D622" t="s">
        <v>1486</v>
      </c>
      <c r="E622" s="511">
        <f>obalProd1Seg1Comp1Payer1Share</f>
        <v>1.0454545454545454E-2</v>
      </c>
      <c r="F622" s="511">
        <f>obalProd1Seg1Comp1Payer1Share</f>
        <v>1.0454545454545454E-2</v>
      </c>
      <c r="G622" s="511">
        <f>obalProd1Seg1Comp1Payer1Share</f>
        <v>1.0454545454545454E-2</v>
      </c>
      <c r="H622" s="511">
        <f>obalProd1Seg1Comp1Payer1Share</f>
        <v>1.0454545454545454E-2</v>
      </c>
      <c r="I622" s="511">
        <f>obalProd1Seg1Comp1Payer1Share</f>
        <v>1.0454545454545454E-2</v>
      </c>
    </row>
    <row r="623" spans="1:10">
      <c r="D623" t="s">
        <v>3745</v>
      </c>
      <c r="E623" s="511">
        <f>calcProd1Seg1Comp1Payer1ShareLostR1+calcProd1Seg1Comp1Payer1ShareWonR1</f>
        <v>-1.2320000000000039E-4</v>
      </c>
      <c r="F623" s="511">
        <f>calcProd1Seg1Comp1Payer1ShareLostR1+calcProd1Seg1Comp1Payer1ShareWonR1</f>
        <v>-1.2320000000000039E-4</v>
      </c>
      <c r="G623" s="511">
        <f>calcProd1Seg1Comp1Payer1ShareLostR1+calcProd1Seg1Comp1Payer1ShareWonR1</f>
        <v>-1.2320000000000039E-4</v>
      </c>
      <c r="H623" s="511">
        <f>calcProd1Seg1Comp1Payer1ShareLostR1+calcProd1Seg1Comp1Payer1ShareWonR1</f>
        <v>-1.2320000000000039E-4</v>
      </c>
      <c r="I623" s="511">
        <f>calcProd1Seg1Comp1Payer1ShareLostR1+calcProd1Seg1Comp1Payer1ShareWonR1</f>
        <v>-1.2320000000000039E-4</v>
      </c>
    </row>
    <row r="624" spans="1:10">
      <c r="E624" s="511"/>
      <c r="F624" s="511"/>
      <c r="G624" s="511"/>
      <c r="H624" s="511"/>
      <c r="I624" s="511"/>
    </row>
    <row r="625" spans="1:10" s="4" customFormat="1">
      <c r="D625" s="4" t="s">
        <v>1534</v>
      </c>
      <c r="E625" s="569">
        <f>SUM(E622:E624)</f>
        <v>1.0331345454545454E-2</v>
      </c>
      <c r="F625" s="569">
        <f t="shared" ref="F625:I625" si="9">SUM(F622:F624)</f>
        <v>1.0331345454545454E-2</v>
      </c>
      <c r="G625" s="569">
        <f t="shared" si="9"/>
        <v>1.0331345454545454E-2</v>
      </c>
      <c r="H625" s="569">
        <f t="shared" si="9"/>
        <v>1.0331345454545454E-2</v>
      </c>
      <c r="I625" s="569">
        <f t="shared" si="9"/>
        <v>1.0331345454545454E-2</v>
      </c>
      <c r="J625" s="4" t="s">
        <v>2060</v>
      </c>
    </row>
    <row r="626" spans="1:10">
      <c r="E626" s="511"/>
      <c r="F626" s="511"/>
      <c r="G626" s="511"/>
      <c r="H626" s="511"/>
      <c r="I626" s="511"/>
    </row>
    <row r="627" spans="1:10">
      <c r="A627" s="4" t="s">
        <v>623</v>
      </c>
      <c r="D627" t="s">
        <v>1486</v>
      </c>
      <c r="E627" s="511">
        <f>calcProd1Seg1Comp1Payer1TotalShareR1</f>
        <v>1.0331345454545454E-2</v>
      </c>
      <c r="F627" s="511">
        <f>calcProd1Seg1Comp1Payer1TotalShareR1</f>
        <v>1.0331345454545454E-2</v>
      </c>
      <c r="G627" s="511">
        <f>calcProd1Seg1Comp1Payer1TotalShareR1</f>
        <v>1.0331345454545454E-2</v>
      </c>
      <c r="H627" s="511">
        <f>calcProd1Seg1Comp1Payer1TotalShareR1</f>
        <v>1.0331345454545454E-2</v>
      </c>
      <c r="I627" s="511">
        <f>calcProd1Seg1Comp1Payer1TotalShareR1</f>
        <v>1.0331345454545454E-2</v>
      </c>
    </row>
    <row r="628" spans="1:10">
      <c r="D628" t="s">
        <v>3745</v>
      </c>
      <c r="E628" s="511">
        <f>calcProd1Seg1Comp1Payer1ShareLostR2+calcProd1Seg1Comp1Payer1ShareWonR2</f>
        <v>0</v>
      </c>
      <c r="F628" s="511">
        <f>calcProd1Seg1Comp1Payer1ShareLostR2+calcProd1Seg1Comp1Payer1ShareWonR2</f>
        <v>0</v>
      </c>
      <c r="G628" s="511">
        <f>calcProd1Seg1Comp1Payer1ShareLostR2+calcProd1Seg1Comp1Payer1ShareWonR2</f>
        <v>0</v>
      </c>
      <c r="H628" s="511">
        <f>calcProd1Seg1Comp1Payer1ShareLostR2+calcProd1Seg1Comp1Payer1ShareWonR2</f>
        <v>0</v>
      </c>
      <c r="I628" s="511">
        <f>calcProd1Seg1Comp1Payer1ShareLostR2+calcProd1Seg1Comp1Payer1ShareWonR2</f>
        <v>0</v>
      </c>
    </row>
    <row r="629" spans="1:10">
      <c r="E629" s="511"/>
      <c r="F629" s="511"/>
      <c r="G629" s="511"/>
      <c r="H629" s="511"/>
      <c r="I629" s="511"/>
    </row>
    <row r="630" spans="1:10" s="4" customFormat="1">
      <c r="D630" s="4" t="s">
        <v>1534</v>
      </c>
      <c r="E630" s="569">
        <f>SUM(E627:E629)</f>
        <v>1.0331345454545454E-2</v>
      </c>
      <c r="F630" s="569">
        <f t="shared" ref="F630" si="10">SUM(F627:F629)</f>
        <v>1.0331345454545454E-2</v>
      </c>
      <c r="G630" s="569">
        <f t="shared" ref="G630" si="11">SUM(G627:G629)</f>
        <v>1.0331345454545454E-2</v>
      </c>
      <c r="H630" s="569">
        <f t="shared" ref="H630" si="12">SUM(H627:H629)</f>
        <v>1.0331345454545454E-2</v>
      </c>
      <c r="I630" s="569">
        <f t="shared" ref="I630" si="13">SUM(I627:I629)</f>
        <v>1.0331345454545454E-2</v>
      </c>
      <c r="J630" s="4" t="s">
        <v>2061</v>
      </c>
    </row>
    <row r="631" spans="1:10">
      <c r="E631" s="511"/>
      <c r="F631" s="511"/>
      <c r="G631" s="511"/>
      <c r="H631" s="511"/>
      <c r="I631" s="511"/>
    </row>
    <row r="632" spans="1:10">
      <c r="A632" s="4" t="s">
        <v>622</v>
      </c>
      <c r="B632" t="str">
        <f>nmPayer2</f>
        <v>WesterAid</v>
      </c>
      <c r="D632" t="s">
        <v>1486</v>
      </c>
      <c r="E632" s="511">
        <f>obalProd1Seg1Comp1Payer2Share</f>
        <v>8.624999999999999E-3</v>
      </c>
      <c r="F632" s="511">
        <f>obalProd1Seg1Comp1Payer2Share</f>
        <v>8.624999999999999E-3</v>
      </c>
      <c r="G632" s="511">
        <f>obalProd1Seg1Comp1Payer2Share</f>
        <v>8.624999999999999E-3</v>
      </c>
      <c r="H632" s="511">
        <f>obalProd1Seg1Comp1Payer2Share</f>
        <v>8.624999999999999E-3</v>
      </c>
      <c r="I632" s="511">
        <f>obalProd1Seg1Comp1Payer2Share</f>
        <v>8.624999999999999E-3</v>
      </c>
    </row>
    <row r="633" spans="1:10">
      <c r="D633" t="s">
        <v>3745</v>
      </c>
      <c r="E633" s="511">
        <f>calcProd1Seg1Comp1Payer2ShareLostR1+calcProd1Seg1Comp1Payer2ShareWonR1</f>
        <v>-9.6600000000000207E-5</v>
      </c>
      <c r="F633" s="511">
        <f>calcProd1Seg1Comp1Payer2ShareLostR1+calcProd1Seg1Comp1Payer2ShareWonR1</f>
        <v>-9.6600000000000207E-5</v>
      </c>
      <c r="G633" s="511">
        <f>calcProd1Seg1Comp1Payer2ShareLostR1+calcProd1Seg1Comp1Payer2ShareWonR1</f>
        <v>-9.6600000000000207E-5</v>
      </c>
      <c r="H633" s="511">
        <f>calcProd1Seg1Comp1Payer2ShareLostR1+calcProd1Seg1Comp1Payer2ShareWonR1</f>
        <v>-9.6600000000000207E-5</v>
      </c>
      <c r="I633" s="511">
        <f>calcProd1Seg1Comp1Payer2ShareLostR1+calcProd1Seg1Comp1Payer2ShareWonR1</f>
        <v>-9.6600000000000207E-5</v>
      </c>
    </row>
    <row r="634" spans="1:10">
      <c r="E634" s="511"/>
      <c r="F634" s="511"/>
      <c r="G634" s="511"/>
      <c r="H634" s="511"/>
      <c r="I634" s="511"/>
    </row>
    <row r="635" spans="1:10" s="4" customFormat="1">
      <c r="D635" s="4" t="s">
        <v>1534</v>
      </c>
      <c r="E635" s="569">
        <f>SUM(E632:E634)</f>
        <v>8.5283999999999985E-3</v>
      </c>
      <c r="F635" s="569">
        <f t="shared" ref="F635:I635" si="14">SUM(F632:F634)</f>
        <v>8.5283999999999985E-3</v>
      </c>
      <c r="G635" s="569">
        <f t="shared" si="14"/>
        <v>8.5283999999999985E-3</v>
      </c>
      <c r="H635" s="569">
        <f t="shared" si="14"/>
        <v>8.5283999999999985E-3</v>
      </c>
      <c r="I635" s="569">
        <f t="shared" si="14"/>
        <v>8.5283999999999985E-3</v>
      </c>
      <c r="J635" s="4" t="s">
        <v>2062</v>
      </c>
    </row>
    <row r="636" spans="1:10">
      <c r="E636" s="511"/>
      <c r="F636" s="511"/>
      <c r="G636" s="511"/>
      <c r="H636" s="511"/>
      <c r="I636" s="511"/>
    </row>
    <row r="637" spans="1:10">
      <c r="A637" s="4" t="s">
        <v>623</v>
      </c>
      <c r="D637" t="s">
        <v>1486</v>
      </c>
      <c r="E637" s="511">
        <f>calcProd1Seg1Comp1Payer2TotalShareR1</f>
        <v>8.5283999999999985E-3</v>
      </c>
      <c r="F637" s="511">
        <f>calcProd1Seg1Comp1Payer2TotalShareR1</f>
        <v>8.5283999999999985E-3</v>
      </c>
      <c r="G637" s="511">
        <f>calcProd1Seg1Comp1Payer2TotalShareR1</f>
        <v>8.5283999999999985E-3</v>
      </c>
      <c r="H637" s="511">
        <f>calcProd1Seg1Comp1Payer2TotalShareR1</f>
        <v>8.5283999999999985E-3</v>
      </c>
      <c r="I637" s="511">
        <f>calcProd1Seg1Comp1Payer2TotalShareR1</f>
        <v>8.5283999999999985E-3</v>
      </c>
    </row>
    <row r="638" spans="1:10">
      <c r="D638" t="s">
        <v>3745</v>
      </c>
      <c r="E638" s="511">
        <f>calcProd1Seg1Comp1Payer2ShareLostR2+calcProd1Seg1Comp1Payer2ShareWonR2</f>
        <v>0</v>
      </c>
      <c r="F638" s="511">
        <f>calcProd1Seg1Comp1Payer2ShareLostR2+calcProd1Seg1Comp1Payer2ShareWonR2</f>
        <v>0</v>
      </c>
      <c r="G638" s="511">
        <f>calcProd1Seg1Comp1Payer2ShareLostR2+calcProd1Seg1Comp1Payer2ShareWonR2</f>
        <v>0</v>
      </c>
      <c r="H638" s="511">
        <f>calcProd1Seg1Comp1Payer2ShareLostR2+calcProd1Seg1Comp1Payer2ShareWonR2</f>
        <v>0</v>
      </c>
      <c r="I638" s="511">
        <f>calcProd1Seg1Comp1Payer2ShareLostR2+calcProd1Seg1Comp1Payer2ShareWonR2</f>
        <v>0</v>
      </c>
    </row>
    <row r="639" spans="1:10">
      <c r="E639" s="511"/>
      <c r="F639" s="511"/>
      <c r="G639" s="511"/>
      <c r="H639" s="511"/>
      <c r="I639" s="511"/>
    </row>
    <row r="640" spans="1:10" s="4" customFormat="1">
      <c r="D640" s="4" t="s">
        <v>1534</v>
      </c>
      <c r="E640" s="569">
        <f>SUM(E637:E639)</f>
        <v>8.5283999999999985E-3</v>
      </c>
      <c r="F640" s="569">
        <f t="shared" ref="F640:I640" si="15">SUM(F637:F639)</f>
        <v>8.5283999999999985E-3</v>
      </c>
      <c r="G640" s="569">
        <f t="shared" si="15"/>
        <v>8.5283999999999985E-3</v>
      </c>
      <c r="H640" s="569">
        <f t="shared" si="15"/>
        <v>8.5283999999999985E-3</v>
      </c>
      <c r="I640" s="569">
        <f t="shared" si="15"/>
        <v>8.5283999999999985E-3</v>
      </c>
      <c r="J640" s="4" t="s">
        <v>2063</v>
      </c>
    </row>
    <row r="641" spans="1:10">
      <c r="E641" s="511"/>
      <c r="F641" s="511"/>
      <c r="G641" s="511"/>
      <c r="H641" s="511"/>
      <c r="I641" s="511"/>
    </row>
    <row r="642" spans="1:10">
      <c r="A642" s="4" t="s">
        <v>622</v>
      </c>
      <c r="B642" t="str">
        <f>nmPayer3</f>
        <v>Dragon Health</v>
      </c>
      <c r="D642" t="s">
        <v>1486</v>
      </c>
      <c r="E642" s="511">
        <f>obalProd1Seg1Comp1Payer3Share</f>
        <v>7.8409090909090911E-3</v>
      </c>
      <c r="F642" s="511">
        <f>obalProd1Seg1Comp1Payer3Share</f>
        <v>7.8409090909090911E-3</v>
      </c>
      <c r="G642" s="511">
        <f>obalProd1Seg1Comp1Payer3Share</f>
        <v>7.8409090909090911E-3</v>
      </c>
      <c r="H642" s="511">
        <f>obalProd1Seg1Comp1Payer3Share</f>
        <v>7.8409090909090911E-3</v>
      </c>
      <c r="I642" s="511">
        <f>obalProd1Seg1Comp1Payer3Share</f>
        <v>7.8409090909090911E-3</v>
      </c>
    </row>
    <row r="643" spans="1:10">
      <c r="D643" t="s">
        <v>3745</v>
      </c>
      <c r="E643" s="511">
        <f>calcProd1Seg1Comp1Payer3ShareLostR1+calcProd1Seg1Comp1Payer3ShareWonR1</f>
        <v>-7.5600000000000672E-5</v>
      </c>
      <c r="F643" s="511">
        <f>calcProd1Seg1Comp1Payer3ShareLostR1+calcProd1Seg1Comp1Payer3ShareWonR1</f>
        <v>-7.5600000000000672E-5</v>
      </c>
      <c r="G643" s="511">
        <f>calcProd1Seg1Comp1Payer3ShareLostR1+calcProd1Seg1Comp1Payer3ShareWonR1</f>
        <v>-7.5600000000000672E-5</v>
      </c>
      <c r="H643" s="511">
        <f>calcProd1Seg1Comp1Payer3ShareLostR1+calcProd1Seg1Comp1Payer3ShareWonR1</f>
        <v>-7.5600000000000672E-5</v>
      </c>
      <c r="I643" s="511">
        <f>calcProd1Seg1Comp1Payer3ShareLostR1+calcProd1Seg1Comp1Payer3ShareWonR1</f>
        <v>-7.5600000000000672E-5</v>
      </c>
    </row>
    <row r="644" spans="1:10">
      <c r="E644" s="511"/>
      <c r="F644" s="511"/>
      <c r="G644" s="511"/>
      <c r="H644" s="511"/>
      <c r="I644" s="511"/>
    </row>
    <row r="645" spans="1:10" s="4" customFormat="1">
      <c r="D645" s="4" t="s">
        <v>1534</v>
      </c>
      <c r="E645" s="569">
        <f>SUM(E642:E644)</f>
        <v>7.7653090909090908E-3</v>
      </c>
      <c r="F645" s="569">
        <f t="shared" ref="F645:I645" si="16">SUM(F642:F644)</f>
        <v>7.7653090909090908E-3</v>
      </c>
      <c r="G645" s="569">
        <f t="shared" si="16"/>
        <v>7.7653090909090908E-3</v>
      </c>
      <c r="H645" s="569">
        <f t="shared" si="16"/>
        <v>7.7653090909090908E-3</v>
      </c>
      <c r="I645" s="569">
        <f t="shared" si="16"/>
        <v>7.7653090909090908E-3</v>
      </c>
      <c r="J645" s="4" t="s">
        <v>2064</v>
      </c>
    </row>
    <row r="646" spans="1:10">
      <c r="E646" s="511"/>
      <c r="F646" s="511"/>
      <c r="G646" s="511"/>
      <c r="H646" s="511"/>
      <c r="I646" s="511"/>
    </row>
    <row r="647" spans="1:10">
      <c r="A647" s="4" t="s">
        <v>623</v>
      </c>
      <c r="D647" t="s">
        <v>1486</v>
      </c>
      <c r="E647" s="511">
        <f>calcProd1Seg1Comp1Payer3TotalShareR1</f>
        <v>7.7653090909090908E-3</v>
      </c>
      <c r="F647" s="511">
        <f>calcProd1Seg1Comp1Payer3TotalShareR1</f>
        <v>7.7653090909090908E-3</v>
      </c>
      <c r="G647" s="511">
        <f>calcProd1Seg1Comp1Payer3TotalShareR1</f>
        <v>7.7653090909090908E-3</v>
      </c>
      <c r="H647" s="511">
        <f>calcProd1Seg1Comp1Payer3TotalShareR1</f>
        <v>7.7653090909090908E-3</v>
      </c>
      <c r="I647" s="511">
        <f>calcProd1Seg1Comp1Payer3TotalShareR1</f>
        <v>7.7653090909090908E-3</v>
      </c>
    </row>
    <row r="648" spans="1:10">
      <c r="D648" t="s">
        <v>3745</v>
      </c>
      <c r="E648" s="511">
        <f>calcProd1Seg1Comp1Payer3ShareLostR2+calcProd1Seg1Comp1Payer3ShareWonR2</f>
        <v>0</v>
      </c>
      <c r="F648" s="511">
        <f>calcProd1Seg1Comp1Payer3ShareLostR2+calcProd1Seg1Comp1Payer3ShareWonR2</f>
        <v>0</v>
      </c>
      <c r="G648" s="511">
        <f>calcProd1Seg1Comp1Payer3ShareLostR2+calcProd1Seg1Comp1Payer3ShareWonR2</f>
        <v>0</v>
      </c>
      <c r="H648" s="511">
        <f>calcProd1Seg1Comp1Payer3ShareLostR2+calcProd1Seg1Comp1Payer3ShareWonR2</f>
        <v>0</v>
      </c>
      <c r="I648" s="511">
        <f>calcProd1Seg1Comp1Payer3ShareLostR2+calcProd1Seg1Comp1Payer3ShareWonR2</f>
        <v>0</v>
      </c>
    </row>
    <row r="649" spans="1:10">
      <c r="E649" s="511"/>
      <c r="F649" s="511"/>
      <c r="G649" s="511"/>
      <c r="H649" s="511"/>
      <c r="I649" s="511"/>
    </row>
    <row r="650" spans="1:10" s="4" customFormat="1">
      <c r="D650" s="4" t="s">
        <v>1534</v>
      </c>
      <c r="E650" s="569">
        <f>SUM(E647:E649)</f>
        <v>7.7653090909090908E-3</v>
      </c>
      <c r="F650" s="569">
        <f t="shared" ref="F650:I650" si="17">SUM(F647:F649)</f>
        <v>7.7653090909090908E-3</v>
      </c>
      <c r="G650" s="569">
        <f t="shared" si="17"/>
        <v>7.7653090909090908E-3</v>
      </c>
      <c r="H650" s="569">
        <f t="shared" si="17"/>
        <v>7.7653090909090908E-3</v>
      </c>
      <c r="I650" s="569">
        <f t="shared" si="17"/>
        <v>7.7653090909090908E-3</v>
      </c>
      <c r="J650" s="4" t="s">
        <v>2065</v>
      </c>
    </row>
    <row r="651" spans="1:10">
      <c r="E651" s="511"/>
      <c r="F651" s="511"/>
      <c r="G651" s="511"/>
      <c r="H651" s="511"/>
      <c r="I651" s="511"/>
    </row>
    <row r="652" spans="1:10">
      <c r="A652" s="4" t="str">
        <f>nmProd1Seg2</f>
        <v>Tullyville</v>
      </c>
      <c r="E652" s="511"/>
      <c r="F652" s="511"/>
      <c r="G652" s="511"/>
      <c r="H652" s="511"/>
      <c r="I652" s="511"/>
    </row>
    <row r="653" spans="1:10">
      <c r="A653" s="4" t="s">
        <v>622</v>
      </c>
      <c r="B653" t="str">
        <f>nmPayer1</f>
        <v>Blue Sword/Blue Shield</v>
      </c>
      <c r="D653" t="s">
        <v>1486</v>
      </c>
      <c r="E653" s="511">
        <f>obalProd1Seg2Comp1Payer1Share</f>
        <v>1.232142857142857E-2</v>
      </c>
      <c r="F653" s="511">
        <f>obalProd1Seg2Comp1Payer1Share</f>
        <v>1.232142857142857E-2</v>
      </c>
      <c r="G653" s="511">
        <f>obalProd1Seg2Comp1Payer1Share</f>
        <v>1.232142857142857E-2</v>
      </c>
      <c r="H653" s="511">
        <f>obalProd1Seg2Comp1Payer1Share</f>
        <v>1.232142857142857E-2</v>
      </c>
      <c r="I653" s="511">
        <f>obalProd1Seg2Comp1Payer1Share</f>
        <v>1.232142857142857E-2</v>
      </c>
    </row>
    <row r="654" spans="1:10">
      <c r="D654" t="s">
        <v>3745</v>
      </c>
      <c r="E654" s="511">
        <f>calcProd1Seg2Comp1Payer1ShareLostR1+calcProd1Seg2Comp1Payer1ShareWonR1</f>
        <v>-3.4319999999999978E-4</v>
      </c>
      <c r="F654" s="511">
        <f>calcProd1Seg2Comp1Payer1ShareLostR1+calcProd1Seg2Comp1Payer1ShareWonR1</f>
        <v>-3.4319999999999978E-4</v>
      </c>
      <c r="G654" s="511">
        <f>calcProd1Seg2Comp1Payer1ShareLostR1+calcProd1Seg2Comp1Payer1ShareWonR1</f>
        <v>-3.4319999999999978E-4</v>
      </c>
      <c r="H654" s="511">
        <f>calcProd1Seg2Comp1Payer1ShareLostR1+calcProd1Seg2Comp1Payer1ShareWonR1</f>
        <v>-3.4319999999999978E-4</v>
      </c>
      <c r="I654" s="511">
        <f>calcProd1Seg2Comp1Payer1ShareLostR1+calcProd1Seg2Comp1Payer1ShareWonR1</f>
        <v>-3.4319999999999978E-4</v>
      </c>
    </row>
    <row r="655" spans="1:10">
      <c r="E655" s="511"/>
      <c r="F655" s="511"/>
      <c r="G655" s="511"/>
      <c r="H655" s="511"/>
      <c r="I655" s="511"/>
    </row>
    <row r="656" spans="1:10" s="4" customFormat="1">
      <c r="D656" s="4" t="s">
        <v>1534</v>
      </c>
      <c r="E656" s="569">
        <f>SUM(E653:E655)</f>
        <v>1.197822857142857E-2</v>
      </c>
      <c r="F656" s="569">
        <f t="shared" ref="F656:I656" si="18">SUM(F653:F655)</f>
        <v>1.197822857142857E-2</v>
      </c>
      <c r="G656" s="569">
        <f t="shared" si="18"/>
        <v>1.197822857142857E-2</v>
      </c>
      <c r="H656" s="569">
        <f t="shared" si="18"/>
        <v>1.197822857142857E-2</v>
      </c>
      <c r="I656" s="569">
        <f t="shared" si="18"/>
        <v>1.197822857142857E-2</v>
      </c>
      <c r="J656" s="4" t="s">
        <v>2066</v>
      </c>
    </row>
    <row r="657" spans="1:10">
      <c r="E657" s="511"/>
      <c r="F657" s="511"/>
      <c r="G657" s="511"/>
      <c r="H657" s="511"/>
      <c r="I657" s="511"/>
    </row>
    <row r="658" spans="1:10">
      <c r="A658" s="4" t="s">
        <v>623</v>
      </c>
      <c r="D658" t="s">
        <v>1486</v>
      </c>
      <c r="E658" s="511">
        <f>calcProd1Seg2Comp1Payer1TotalShareR1</f>
        <v>1.197822857142857E-2</v>
      </c>
      <c r="F658" s="511">
        <f>calcProd1Seg2Comp1Payer1TotalShareR1</f>
        <v>1.197822857142857E-2</v>
      </c>
      <c r="G658" s="511">
        <f>calcProd1Seg2Comp1Payer1TotalShareR1</f>
        <v>1.197822857142857E-2</v>
      </c>
      <c r="H658" s="511">
        <f>calcProd1Seg2Comp1Payer1TotalShareR1</f>
        <v>1.197822857142857E-2</v>
      </c>
      <c r="I658" s="511">
        <f>calcProd1Seg2Comp1Payer1TotalShareR1</f>
        <v>1.197822857142857E-2</v>
      </c>
    </row>
    <row r="659" spans="1:10">
      <c r="D659" t="s">
        <v>3745</v>
      </c>
      <c r="E659" s="511">
        <f>calcProd1Seg2Comp1Payer1ShareLostR2+calcProd1Seg2Comp1Payer1ShareWonR2</f>
        <v>0</v>
      </c>
      <c r="F659" s="511">
        <f>calcProd1Seg2Comp1Payer1ShareLostR2+calcProd1Seg2Comp1Payer1ShareWonR2</f>
        <v>0</v>
      </c>
      <c r="G659" s="511">
        <f>calcProd1Seg2Comp1Payer1ShareLostR2+calcProd1Seg2Comp1Payer1ShareWonR2</f>
        <v>0</v>
      </c>
      <c r="H659" s="511">
        <f>calcProd1Seg2Comp1Payer1ShareLostR2+calcProd1Seg2Comp1Payer1ShareWonR2</f>
        <v>0</v>
      </c>
      <c r="I659" s="511">
        <f>calcProd1Seg2Comp1Payer1ShareLostR2+calcProd1Seg2Comp1Payer1ShareWonR2</f>
        <v>0</v>
      </c>
    </row>
    <row r="660" spans="1:10">
      <c r="E660" s="511"/>
      <c r="F660" s="511"/>
      <c r="G660" s="511"/>
      <c r="H660" s="511"/>
      <c r="I660" s="511"/>
    </row>
    <row r="661" spans="1:10" s="4" customFormat="1">
      <c r="D661" s="4" t="s">
        <v>1534</v>
      </c>
      <c r="E661" s="569">
        <f>SUM(E658:E660)</f>
        <v>1.197822857142857E-2</v>
      </c>
      <c r="F661" s="569">
        <f t="shared" ref="F661:I661" si="19">SUM(F658:F660)</f>
        <v>1.197822857142857E-2</v>
      </c>
      <c r="G661" s="569">
        <f t="shared" si="19"/>
        <v>1.197822857142857E-2</v>
      </c>
      <c r="H661" s="569">
        <f t="shared" si="19"/>
        <v>1.197822857142857E-2</v>
      </c>
      <c r="I661" s="569">
        <f t="shared" si="19"/>
        <v>1.197822857142857E-2</v>
      </c>
      <c r="J661" s="4" t="s">
        <v>2067</v>
      </c>
    </row>
    <row r="662" spans="1:10">
      <c r="E662" s="511"/>
      <c r="F662" s="511"/>
      <c r="G662" s="511"/>
      <c r="H662" s="511"/>
      <c r="I662" s="511"/>
    </row>
    <row r="663" spans="1:10">
      <c r="A663" s="4" t="s">
        <v>622</v>
      </c>
      <c r="B663" t="str">
        <f>nmPayer2</f>
        <v>WesterAid</v>
      </c>
      <c r="D663" t="s">
        <v>1486</v>
      </c>
      <c r="E663" s="511">
        <f>obalProd1Seg2Comp1Payer2Share</f>
        <v>1.9166666666666669E-2</v>
      </c>
      <c r="F663" s="511">
        <f>obalProd1Seg2Comp1Payer2Share</f>
        <v>1.9166666666666669E-2</v>
      </c>
      <c r="G663" s="511">
        <f>obalProd1Seg2Comp1Payer2Share</f>
        <v>1.9166666666666669E-2</v>
      </c>
      <c r="H663" s="511">
        <f>obalProd1Seg2Comp1Payer2Share</f>
        <v>1.9166666666666669E-2</v>
      </c>
      <c r="I663" s="511">
        <f>obalProd1Seg2Comp1Payer2Share</f>
        <v>1.9166666666666669E-2</v>
      </c>
    </row>
    <row r="664" spans="1:10">
      <c r="D664" t="s">
        <v>3745</v>
      </c>
      <c r="E664" s="511">
        <f>calcProd1Seg2Comp1Payer2ShareLostR1+calcProd1Seg2Comp1Payer2ShareWonR1</f>
        <v>-4.7840000000000046E-4</v>
      </c>
      <c r="F664" s="511">
        <f>calcProd1Seg2Comp1Payer2ShareLostR1+calcProd1Seg2Comp1Payer2ShareWonR1</f>
        <v>-4.7840000000000046E-4</v>
      </c>
      <c r="G664" s="511">
        <f>calcProd1Seg2Comp1Payer2ShareLostR1+calcProd1Seg2Comp1Payer2ShareWonR1</f>
        <v>-4.7840000000000046E-4</v>
      </c>
      <c r="H664" s="511">
        <f>calcProd1Seg2Comp1Payer2ShareLostR1+calcProd1Seg2Comp1Payer2ShareWonR1</f>
        <v>-4.7840000000000046E-4</v>
      </c>
      <c r="I664" s="511">
        <f>calcProd1Seg2Comp1Payer2ShareLostR1+calcProd1Seg2Comp1Payer2ShareWonR1</f>
        <v>-4.7840000000000046E-4</v>
      </c>
    </row>
    <row r="665" spans="1:10">
      <c r="E665" s="511"/>
      <c r="F665" s="511"/>
      <c r="G665" s="511"/>
      <c r="H665" s="511"/>
      <c r="I665" s="511"/>
    </row>
    <row r="666" spans="1:10" s="4" customFormat="1">
      <c r="D666" s="4" t="s">
        <v>1534</v>
      </c>
      <c r="E666" s="569">
        <f>SUM(E663:E665)</f>
        <v>1.8688266666666668E-2</v>
      </c>
      <c r="F666" s="569">
        <f t="shared" ref="F666:I666" si="20">SUM(F663:F665)</f>
        <v>1.8688266666666668E-2</v>
      </c>
      <c r="G666" s="569">
        <f t="shared" si="20"/>
        <v>1.8688266666666668E-2</v>
      </c>
      <c r="H666" s="569">
        <f t="shared" si="20"/>
        <v>1.8688266666666668E-2</v>
      </c>
      <c r="I666" s="569">
        <f t="shared" si="20"/>
        <v>1.8688266666666668E-2</v>
      </c>
      <c r="J666" s="4" t="s">
        <v>2068</v>
      </c>
    </row>
    <row r="667" spans="1:10">
      <c r="E667" s="511"/>
      <c r="F667" s="511"/>
      <c r="G667" s="511"/>
      <c r="H667" s="511"/>
      <c r="I667" s="511"/>
    </row>
    <row r="668" spans="1:10">
      <c r="A668" s="4" t="s">
        <v>623</v>
      </c>
      <c r="D668" t="s">
        <v>1486</v>
      </c>
      <c r="E668" s="511">
        <f>calcProd1Seg2Comp1Payer2TotalShareR1</f>
        <v>1.8688266666666668E-2</v>
      </c>
      <c r="F668" s="511">
        <f>calcProd1Seg2Comp1Payer2TotalShareR1</f>
        <v>1.8688266666666668E-2</v>
      </c>
      <c r="G668" s="511">
        <f>calcProd1Seg2Comp1Payer2TotalShareR1</f>
        <v>1.8688266666666668E-2</v>
      </c>
      <c r="H668" s="511">
        <f>calcProd1Seg2Comp1Payer2TotalShareR1</f>
        <v>1.8688266666666668E-2</v>
      </c>
      <c r="I668" s="511">
        <f>calcProd1Seg2Comp1Payer2TotalShareR1</f>
        <v>1.8688266666666668E-2</v>
      </c>
    </row>
    <row r="669" spans="1:10">
      <c r="D669" t="s">
        <v>3745</v>
      </c>
      <c r="E669" s="511">
        <f>calcProd1Seg2Comp1Payer2ShareLostR2+calcProd1Seg2Comp1Payer2ShareWonR2</f>
        <v>0</v>
      </c>
      <c r="F669" s="511">
        <f>calcProd1Seg2Comp1Payer2ShareLostR2+calcProd1Seg2Comp1Payer2ShareWonR2</f>
        <v>0</v>
      </c>
      <c r="G669" s="511">
        <f>calcProd1Seg2Comp1Payer2ShareLostR2+calcProd1Seg2Comp1Payer2ShareWonR2</f>
        <v>0</v>
      </c>
      <c r="H669" s="511">
        <f>calcProd1Seg2Comp1Payer2ShareLostR2+calcProd1Seg2Comp1Payer2ShareWonR2</f>
        <v>0</v>
      </c>
      <c r="I669" s="511">
        <f>calcProd1Seg2Comp1Payer2ShareLostR2+calcProd1Seg2Comp1Payer2ShareWonR2</f>
        <v>0</v>
      </c>
    </row>
    <row r="670" spans="1:10">
      <c r="E670" s="511"/>
      <c r="F670" s="511"/>
      <c r="G670" s="511"/>
      <c r="H670" s="511"/>
      <c r="I670" s="511"/>
    </row>
    <row r="671" spans="1:10" s="4" customFormat="1">
      <c r="D671" s="4" t="s">
        <v>1534</v>
      </c>
      <c r="E671" s="569">
        <f>SUM(E668:E670)</f>
        <v>1.8688266666666668E-2</v>
      </c>
      <c r="F671" s="569">
        <f t="shared" ref="F671:I671" si="21">SUM(F668:F670)</f>
        <v>1.8688266666666668E-2</v>
      </c>
      <c r="G671" s="569">
        <f t="shared" si="21"/>
        <v>1.8688266666666668E-2</v>
      </c>
      <c r="H671" s="569">
        <f t="shared" si="21"/>
        <v>1.8688266666666668E-2</v>
      </c>
      <c r="I671" s="569">
        <f t="shared" si="21"/>
        <v>1.8688266666666668E-2</v>
      </c>
      <c r="J671" s="4" t="s">
        <v>2069</v>
      </c>
    </row>
    <row r="672" spans="1:10">
      <c r="E672" s="511"/>
      <c r="F672" s="511"/>
      <c r="G672" s="511"/>
      <c r="H672" s="511"/>
      <c r="I672" s="511"/>
    </row>
    <row r="673" spans="1:10">
      <c r="A673" s="4" t="s">
        <v>622</v>
      </c>
      <c r="B673" t="str">
        <f>nmPayer3</f>
        <v>Dragon Health</v>
      </c>
      <c r="D673" t="s">
        <v>1486</v>
      </c>
      <c r="E673" s="511">
        <f>obalProd1Seg2Comp1Payer3Share</f>
        <v>4.9285714285714289E-3</v>
      </c>
      <c r="F673" s="511">
        <f>obalProd1Seg2Comp1Payer3Share</f>
        <v>4.9285714285714289E-3</v>
      </c>
      <c r="G673" s="511">
        <f>obalProd1Seg2Comp1Payer3Share</f>
        <v>4.9285714285714289E-3</v>
      </c>
      <c r="H673" s="511">
        <f>obalProd1Seg2Comp1Payer3Share</f>
        <v>4.9285714285714289E-3</v>
      </c>
      <c r="I673" s="511">
        <f>obalProd1Seg2Comp1Payer3Share</f>
        <v>4.9285714285714289E-3</v>
      </c>
    </row>
    <row r="674" spans="1:10">
      <c r="D674" t="s">
        <v>3745</v>
      </c>
      <c r="E674" s="511">
        <f>calcProd1Seg2Comp1Payer3ShareLostR1+calcProd1Seg2Comp1Payer3ShareWonR1</f>
        <v>-1.8720000000000021E-4</v>
      </c>
      <c r="F674" s="511">
        <f>calcProd1Seg2Comp1Payer3ShareLostR1+calcProd1Seg2Comp1Payer3ShareWonR1</f>
        <v>-1.8720000000000021E-4</v>
      </c>
      <c r="G674" s="511">
        <f>calcProd1Seg2Comp1Payer3ShareLostR1+calcProd1Seg2Comp1Payer3ShareWonR1</f>
        <v>-1.8720000000000021E-4</v>
      </c>
      <c r="H674" s="511">
        <f>calcProd1Seg2Comp1Payer3ShareLostR1+calcProd1Seg2Comp1Payer3ShareWonR1</f>
        <v>-1.8720000000000021E-4</v>
      </c>
      <c r="I674" s="511">
        <f>calcProd1Seg2Comp1Payer3ShareLostR1+calcProd1Seg2Comp1Payer3ShareWonR1</f>
        <v>-1.8720000000000021E-4</v>
      </c>
    </row>
    <row r="675" spans="1:10">
      <c r="E675" s="511"/>
      <c r="F675" s="511"/>
      <c r="G675" s="511"/>
      <c r="H675" s="511"/>
      <c r="I675" s="511"/>
    </row>
    <row r="676" spans="1:10" s="4" customFormat="1">
      <c r="D676" s="4" t="s">
        <v>1534</v>
      </c>
      <c r="E676" s="569">
        <f>SUM(E673:E675)</f>
        <v>4.7413714285714286E-3</v>
      </c>
      <c r="F676" s="569">
        <f t="shared" ref="F676:I676" si="22">SUM(F673:F675)</f>
        <v>4.7413714285714286E-3</v>
      </c>
      <c r="G676" s="569">
        <f t="shared" si="22"/>
        <v>4.7413714285714286E-3</v>
      </c>
      <c r="H676" s="569">
        <f t="shared" si="22"/>
        <v>4.7413714285714286E-3</v>
      </c>
      <c r="I676" s="569">
        <f t="shared" si="22"/>
        <v>4.7413714285714286E-3</v>
      </c>
      <c r="J676" s="4" t="s">
        <v>2070</v>
      </c>
    </row>
    <row r="677" spans="1:10">
      <c r="E677" s="511"/>
      <c r="F677" s="511"/>
      <c r="G677" s="511"/>
      <c r="H677" s="511"/>
      <c r="I677" s="511"/>
    </row>
    <row r="678" spans="1:10">
      <c r="A678" s="4" t="s">
        <v>623</v>
      </c>
      <c r="D678" t="s">
        <v>1486</v>
      </c>
      <c r="E678" s="511">
        <f>calcProd1Seg2Comp1Payer3TotalShareR1</f>
        <v>4.7413714285714286E-3</v>
      </c>
      <c r="F678" s="511">
        <f>calcProd1Seg2Comp1Payer3TotalShareR1</f>
        <v>4.7413714285714286E-3</v>
      </c>
      <c r="G678" s="511">
        <f>calcProd1Seg2Comp1Payer3TotalShareR1</f>
        <v>4.7413714285714286E-3</v>
      </c>
      <c r="H678" s="511">
        <f>calcProd1Seg2Comp1Payer3TotalShareR1</f>
        <v>4.7413714285714286E-3</v>
      </c>
      <c r="I678" s="511">
        <f>calcProd1Seg2Comp1Payer3TotalShareR1</f>
        <v>4.7413714285714286E-3</v>
      </c>
    </row>
    <row r="679" spans="1:10">
      <c r="D679" t="s">
        <v>3745</v>
      </c>
      <c r="E679" s="511">
        <f>calcProd1Seg2Comp1Payer3ShareLostR2+calcProd1Seg2Comp1Payer3ShareWonR2</f>
        <v>0</v>
      </c>
      <c r="F679" s="511">
        <f>calcProd1Seg2Comp1Payer3ShareLostR2+calcProd1Seg2Comp1Payer3ShareWonR2</f>
        <v>0</v>
      </c>
      <c r="G679" s="511">
        <f>calcProd1Seg2Comp1Payer3ShareLostR2+calcProd1Seg2Comp1Payer3ShareWonR2</f>
        <v>0</v>
      </c>
      <c r="H679" s="511">
        <f>calcProd1Seg2Comp1Payer3ShareLostR2+calcProd1Seg2Comp1Payer3ShareWonR2</f>
        <v>0</v>
      </c>
      <c r="I679" s="511">
        <f>calcProd1Seg2Comp1Payer3ShareLostR2+calcProd1Seg2Comp1Payer3ShareWonR2</f>
        <v>0</v>
      </c>
    </row>
    <row r="680" spans="1:10">
      <c r="E680" s="511"/>
      <c r="F680" s="511"/>
      <c r="G680" s="511"/>
      <c r="H680" s="511"/>
      <c r="I680" s="511"/>
    </row>
    <row r="681" spans="1:10" s="4" customFormat="1">
      <c r="D681" s="4" t="s">
        <v>1534</v>
      </c>
      <c r="E681" s="569">
        <f>SUM(E678:E680)</f>
        <v>4.7413714285714286E-3</v>
      </c>
      <c r="F681" s="569">
        <f t="shared" ref="F681:I681" si="23">SUM(F678:F680)</f>
        <v>4.7413714285714286E-3</v>
      </c>
      <c r="G681" s="569">
        <f t="shared" si="23"/>
        <v>4.7413714285714286E-3</v>
      </c>
      <c r="H681" s="569">
        <f t="shared" si="23"/>
        <v>4.7413714285714286E-3</v>
      </c>
      <c r="I681" s="569">
        <f t="shared" si="23"/>
        <v>4.7413714285714286E-3</v>
      </c>
      <c r="J681" s="4" t="s">
        <v>2071</v>
      </c>
    </row>
    <row r="682" spans="1:10">
      <c r="A682" s="4" t="str">
        <f>nmProd1Seg3</f>
        <v>Lordfrey City</v>
      </c>
      <c r="E682" s="511"/>
      <c r="F682" s="511"/>
      <c r="G682" s="511"/>
      <c r="H682" s="511"/>
      <c r="I682" s="511"/>
    </row>
    <row r="683" spans="1:10">
      <c r="A683" s="4" t="s">
        <v>622</v>
      </c>
      <c r="B683" t="str">
        <f>nmPayer1</f>
        <v>Blue Sword/Blue Shield</v>
      </c>
      <c r="D683" t="s">
        <v>1486</v>
      </c>
      <c r="E683" s="511">
        <f>obalProd1Seg3Comp1Payer1Share</f>
        <v>1.3799999999999998E-2</v>
      </c>
      <c r="F683" s="511">
        <f>obalProd1Seg3Comp1Payer1Share</f>
        <v>1.3799999999999998E-2</v>
      </c>
      <c r="G683" s="511">
        <f>obalProd1Seg3Comp1Payer1Share</f>
        <v>1.3799999999999998E-2</v>
      </c>
      <c r="H683" s="511">
        <f>obalProd1Seg3Comp1Payer1Share</f>
        <v>1.3799999999999998E-2</v>
      </c>
      <c r="I683" s="511">
        <f>obalProd1Seg3Comp1Payer1Share</f>
        <v>1.3799999999999998E-2</v>
      </c>
    </row>
    <row r="684" spans="1:10">
      <c r="D684" t="s">
        <v>3745</v>
      </c>
      <c r="E684" s="511">
        <f>calcProd1Seg3Comp1Payer1ShareLostR1+calcProd1Seg3Comp1Payer1ShareWonR1</f>
        <v>2.2000000000000006E-4</v>
      </c>
      <c r="F684" s="511">
        <f>calcProd1Seg3Comp1Payer1ShareLostR1+calcProd1Seg3Comp1Payer1ShareWonR1</f>
        <v>2.2000000000000006E-4</v>
      </c>
      <c r="G684" s="511">
        <f>calcProd1Seg3Comp1Payer1ShareLostR1+calcProd1Seg3Comp1Payer1ShareWonR1</f>
        <v>2.2000000000000006E-4</v>
      </c>
      <c r="H684" s="511">
        <f>calcProd1Seg3Comp1Payer1ShareLostR1+calcProd1Seg3Comp1Payer1ShareWonR1</f>
        <v>2.2000000000000006E-4</v>
      </c>
      <c r="I684" s="511">
        <f>calcProd1Seg3Comp1Payer1ShareLostR1+calcProd1Seg3Comp1Payer1ShareWonR1</f>
        <v>2.2000000000000006E-4</v>
      </c>
    </row>
    <row r="685" spans="1:10">
      <c r="E685" s="511"/>
      <c r="F685" s="511"/>
      <c r="G685" s="511"/>
      <c r="H685" s="511"/>
      <c r="I685" s="511"/>
    </row>
    <row r="686" spans="1:10" s="4" customFormat="1">
      <c r="D686" s="4" t="s">
        <v>1534</v>
      </c>
      <c r="E686" s="569">
        <f>SUM(E683:E685)</f>
        <v>1.4019999999999998E-2</v>
      </c>
      <c r="F686" s="569">
        <f t="shared" ref="F686:I686" si="24">SUM(F683:F685)</f>
        <v>1.4019999999999998E-2</v>
      </c>
      <c r="G686" s="569">
        <f t="shared" si="24"/>
        <v>1.4019999999999998E-2</v>
      </c>
      <c r="H686" s="569">
        <f t="shared" si="24"/>
        <v>1.4019999999999998E-2</v>
      </c>
      <c r="I686" s="569">
        <f t="shared" si="24"/>
        <v>1.4019999999999998E-2</v>
      </c>
      <c r="J686" s="4" t="s">
        <v>2072</v>
      </c>
    </row>
    <row r="687" spans="1:10">
      <c r="E687" s="511"/>
      <c r="F687" s="511"/>
      <c r="G687" s="511"/>
      <c r="H687" s="511"/>
      <c r="I687" s="511"/>
    </row>
    <row r="688" spans="1:10">
      <c r="A688" s="4" t="s">
        <v>623</v>
      </c>
      <c r="D688" t="s">
        <v>1486</v>
      </c>
      <c r="E688" s="511">
        <f>calcProd1Seg3Comp1Payer1TotalShareR1</f>
        <v>1.4019999999999998E-2</v>
      </c>
      <c r="F688" s="511">
        <f>calcProd1Seg3Comp1Payer1TotalShareR1</f>
        <v>1.4019999999999998E-2</v>
      </c>
      <c r="G688" s="511">
        <f>calcProd1Seg3Comp1Payer1TotalShareR1</f>
        <v>1.4019999999999998E-2</v>
      </c>
      <c r="H688" s="511">
        <f>calcProd1Seg3Comp1Payer1TotalShareR1</f>
        <v>1.4019999999999998E-2</v>
      </c>
      <c r="I688" s="511">
        <f>calcProd1Seg3Comp1Payer1TotalShareR1</f>
        <v>1.4019999999999998E-2</v>
      </c>
    </row>
    <row r="689" spans="1:10">
      <c r="D689" t="s">
        <v>3745</v>
      </c>
      <c r="E689" s="511">
        <f>calcProd1Seg3Comp1Payer1ShareLostR2+calcProd1Seg3Comp1Payer1ShareWonR2</f>
        <v>0</v>
      </c>
      <c r="F689" s="511">
        <f>calcProd1Seg3Comp1Payer1ShareLostR2+calcProd1Seg3Comp1Payer1ShareWonR2</f>
        <v>0</v>
      </c>
      <c r="G689" s="511">
        <f>calcProd1Seg3Comp1Payer1ShareLostR2+calcProd1Seg3Comp1Payer1ShareWonR2</f>
        <v>0</v>
      </c>
      <c r="H689" s="511">
        <f>calcProd1Seg3Comp1Payer1ShareLostR2+calcProd1Seg3Comp1Payer1ShareWonR2</f>
        <v>0</v>
      </c>
      <c r="I689" s="511">
        <f>calcProd1Seg3Comp1Payer1ShareLostR2+calcProd1Seg3Comp1Payer1ShareWonR2</f>
        <v>0</v>
      </c>
    </row>
    <row r="690" spans="1:10">
      <c r="E690" s="511"/>
      <c r="F690" s="511"/>
      <c r="G690" s="511"/>
      <c r="H690" s="511"/>
      <c r="I690" s="511"/>
    </row>
    <row r="691" spans="1:10" s="4" customFormat="1">
      <c r="D691" s="4" t="s">
        <v>1534</v>
      </c>
      <c r="E691" s="569">
        <f>SUM(E688:E690)</f>
        <v>1.4019999999999998E-2</v>
      </c>
      <c r="F691" s="569">
        <f t="shared" ref="F691:I691" si="25">SUM(F688:F690)</f>
        <v>1.4019999999999998E-2</v>
      </c>
      <c r="G691" s="569">
        <f t="shared" si="25"/>
        <v>1.4019999999999998E-2</v>
      </c>
      <c r="H691" s="569">
        <f t="shared" si="25"/>
        <v>1.4019999999999998E-2</v>
      </c>
      <c r="I691" s="569">
        <f t="shared" si="25"/>
        <v>1.4019999999999998E-2</v>
      </c>
      <c r="J691" s="4" t="s">
        <v>2073</v>
      </c>
    </row>
    <row r="692" spans="1:10">
      <c r="E692" s="511"/>
      <c r="F692" s="511"/>
      <c r="G692" s="511"/>
      <c r="H692" s="511"/>
      <c r="I692" s="511"/>
    </row>
    <row r="693" spans="1:10">
      <c r="A693" s="4" t="s">
        <v>622</v>
      </c>
      <c r="B693" t="str">
        <f>nmPayer2</f>
        <v>WesterAid</v>
      </c>
      <c r="D693" t="s">
        <v>1486</v>
      </c>
      <c r="E693" s="511">
        <f>obalProd1Seg3Comp1Payer2Share</f>
        <v>5.2272727272727262E-3</v>
      </c>
      <c r="F693" s="511">
        <f>obalProd1Seg3Comp1Payer2Share</f>
        <v>5.2272727272727262E-3</v>
      </c>
      <c r="G693" s="511">
        <f>obalProd1Seg3Comp1Payer2Share</f>
        <v>5.2272727272727262E-3</v>
      </c>
      <c r="H693" s="511">
        <f>obalProd1Seg3Comp1Payer2Share</f>
        <v>5.2272727272727262E-3</v>
      </c>
      <c r="I693" s="511">
        <f>obalProd1Seg3Comp1Payer2Share</f>
        <v>5.2272727272727262E-3</v>
      </c>
    </row>
    <row r="694" spans="1:10">
      <c r="D694" t="s">
        <v>3745</v>
      </c>
      <c r="E694" s="511">
        <f>calcProd1Seg3Comp1Payer2ShareLostR1+calcProd1Seg3Comp1Payer2ShareWonR1</f>
        <v>0</v>
      </c>
      <c r="F694" s="511">
        <f>calcProd1Seg3Comp1Payer2ShareLostR1+calcProd1Seg3Comp1Payer2ShareWonR1</f>
        <v>0</v>
      </c>
      <c r="G694" s="511">
        <f>calcProd1Seg3Comp1Payer2ShareLostR1+calcProd1Seg3Comp1Payer2ShareWonR1</f>
        <v>0</v>
      </c>
      <c r="H694" s="511">
        <f>calcProd1Seg3Comp1Payer2ShareLostR1+calcProd1Seg3Comp1Payer2ShareWonR1</f>
        <v>0</v>
      </c>
      <c r="I694" s="511">
        <f>calcProd1Seg3Comp1Payer2ShareLostR1+calcProd1Seg3Comp1Payer2ShareWonR1</f>
        <v>0</v>
      </c>
    </row>
    <row r="695" spans="1:10">
      <c r="E695" s="511"/>
      <c r="F695" s="511"/>
      <c r="G695" s="511"/>
      <c r="H695" s="511"/>
      <c r="I695" s="511"/>
    </row>
    <row r="696" spans="1:10" s="4" customFormat="1">
      <c r="D696" s="4" t="s">
        <v>1534</v>
      </c>
      <c r="E696" s="569">
        <f>SUM(E693:E695)</f>
        <v>5.2272727272727262E-3</v>
      </c>
      <c r="F696" s="569">
        <f t="shared" ref="F696:I696" si="26">SUM(F693:F695)</f>
        <v>5.2272727272727262E-3</v>
      </c>
      <c r="G696" s="569">
        <f t="shared" si="26"/>
        <v>5.2272727272727262E-3</v>
      </c>
      <c r="H696" s="569">
        <f t="shared" si="26"/>
        <v>5.2272727272727262E-3</v>
      </c>
      <c r="I696" s="569">
        <f t="shared" si="26"/>
        <v>5.2272727272727262E-3</v>
      </c>
      <c r="J696" s="4" t="s">
        <v>2074</v>
      </c>
    </row>
    <row r="697" spans="1:10">
      <c r="E697" s="511"/>
      <c r="F697" s="511"/>
      <c r="G697" s="511"/>
      <c r="H697" s="511"/>
      <c r="I697" s="511"/>
    </row>
    <row r="698" spans="1:10">
      <c r="A698" s="4" t="s">
        <v>623</v>
      </c>
      <c r="D698" t="s">
        <v>1486</v>
      </c>
      <c r="E698" s="511">
        <f>calcProd1Seg3Comp1Payer2TotalShareR1</f>
        <v>5.2272727272727262E-3</v>
      </c>
      <c r="F698" s="511">
        <f>calcProd1Seg3Comp1Payer2TotalShareR1</f>
        <v>5.2272727272727262E-3</v>
      </c>
      <c r="G698" s="511">
        <f>calcProd1Seg3Comp1Payer2TotalShareR1</f>
        <v>5.2272727272727262E-3</v>
      </c>
      <c r="H698" s="511">
        <f>calcProd1Seg3Comp1Payer2TotalShareR1</f>
        <v>5.2272727272727262E-3</v>
      </c>
      <c r="I698" s="511">
        <f>calcProd1Seg3Comp1Payer2TotalShareR1</f>
        <v>5.2272727272727262E-3</v>
      </c>
    </row>
    <row r="699" spans="1:10">
      <c r="D699" t="s">
        <v>3745</v>
      </c>
      <c r="E699" s="511">
        <f>calcProd1Seg3Comp1Payer2ShareLostR2+calcProd1Seg3Comp1Payer2ShareWonR2</f>
        <v>0</v>
      </c>
      <c r="F699" s="511">
        <f>calcProd1Seg3Comp1Payer2ShareLostR2+calcProd1Seg3Comp1Payer2ShareWonR2</f>
        <v>0</v>
      </c>
      <c r="G699" s="511">
        <f>calcProd1Seg3Comp1Payer2ShareLostR2+calcProd1Seg3Comp1Payer2ShareWonR2</f>
        <v>0</v>
      </c>
      <c r="H699" s="511">
        <f>calcProd1Seg3Comp1Payer2ShareLostR2+calcProd1Seg3Comp1Payer2ShareWonR2</f>
        <v>0</v>
      </c>
      <c r="I699" s="511">
        <f>calcProd1Seg3Comp1Payer2ShareLostR2+calcProd1Seg3Comp1Payer2ShareWonR2</f>
        <v>0</v>
      </c>
    </row>
    <row r="700" spans="1:10">
      <c r="E700" s="511"/>
      <c r="F700" s="511"/>
      <c r="G700" s="511"/>
      <c r="H700" s="511"/>
      <c r="I700" s="511"/>
    </row>
    <row r="701" spans="1:10" s="4" customFormat="1">
      <c r="D701" s="4" t="s">
        <v>1534</v>
      </c>
      <c r="E701" s="569">
        <f>SUM(E698:E700)</f>
        <v>5.2272727272727262E-3</v>
      </c>
      <c r="F701" s="569">
        <f t="shared" ref="F701:I701" si="27">SUM(F698:F700)</f>
        <v>5.2272727272727262E-3</v>
      </c>
      <c r="G701" s="569">
        <f t="shared" si="27"/>
        <v>5.2272727272727262E-3</v>
      </c>
      <c r="H701" s="569">
        <f t="shared" si="27"/>
        <v>5.2272727272727262E-3</v>
      </c>
      <c r="I701" s="569">
        <f t="shared" si="27"/>
        <v>5.2272727272727262E-3</v>
      </c>
      <c r="J701" s="4" t="s">
        <v>2075</v>
      </c>
    </row>
    <row r="702" spans="1:10">
      <c r="E702" s="511"/>
      <c r="F702" s="511"/>
      <c r="G702" s="511"/>
      <c r="H702" s="511"/>
      <c r="I702" s="511"/>
    </row>
    <row r="703" spans="1:10">
      <c r="A703" s="4" t="s">
        <v>622</v>
      </c>
      <c r="B703" t="str">
        <f>nmPayer3</f>
        <v>Dragon Health</v>
      </c>
      <c r="D703" t="s">
        <v>1486</v>
      </c>
      <c r="E703" s="511">
        <f>obalProd1Seg3Comp1Payer3Share</f>
        <v>9.078947368421051E-3</v>
      </c>
      <c r="F703" s="511">
        <f>obalProd1Seg3Comp1Payer3Share</f>
        <v>9.078947368421051E-3</v>
      </c>
      <c r="G703" s="511">
        <f>obalProd1Seg3Comp1Payer3Share</f>
        <v>9.078947368421051E-3</v>
      </c>
      <c r="H703" s="511">
        <f>obalProd1Seg3Comp1Payer3Share</f>
        <v>9.078947368421051E-3</v>
      </c>
      <c r="I703" s="511">
        <f>obalProd1Seg3Comp1Payer3Share</f>
        <v>9.078947368421051E-3</v>
      </c>
    </row>
    <row r="704" spans="1:10">
      <c r="D704" t="s">
        <v>3745</v>
      </c>
      <c r="E704" s="511">
        <f>calcProd1Seg3Comp1Payer3ShareLostR1+calcProd1Seg3Comp1Payer3ShareWonR1</f>
        <v>1.7999999999999996E-4</v>
      </c>
      <c r="F704" s="511">
        <f>calcProd1Seg3Comp1Payer3ShareLostR1+calcProd1Seg3Comp1Payer3ShareWonR1</f>
        <v>1.7999999999999996E-4</v>
      </c>
      <c r="G704" s="511">
        <f>calcProd1Seg3Comp1Payer3ShareLostR1+calcProd1Seg3Comp1Payer3ShareWonR1</f>
        <v>1.7999999999999996E-4</v>
      </c>
      <c r="H704" s="511">
        <f>calcProd1Seg3Comp1Payer3ShareLostR1+calcProd1Seg3Comp1Payer3ShareWonR1</f>
        <v>1.7999999999999996E-4</v>
      </c>
      <c r="I704" s="511">
        <f>calcProd1Seg3Comp1Payer3ShareLostR1+calcProd1Seg3Comp1Payer3ShareWonR1</f>
        <v>1.7999999999999996E-4</v>
      </c>
    </row>
    <row r="705" spans="1:10">
      <c r="E705" s="511"/>
      <c r="F705" s="511"/>
      <c r="G705" s="511"/>
      <c r="H705" s="511"/>
      <c r="I705" s="511"/>
    </row>
    <row r="706" spans="1:10" s="4" customFormat="1">
      <c r="D706" s="4" t="s">
        <v>1534</v>
      </c>
      <c r="E706" s="569">
        <f>SUM(E703:E705)</f>
        <v>9.2589473684210506E-3</v>
      </c>
      <c r="F706" s="569">
        <f t="shared" ref="F706:I706" si="28">SUM(F703:F705)</f>
        <v>9.2589473684210506E-3</v>
      </c>
      <c r="G706" s="569">
        <f t="shared" si="28"/>
        <v>9.2589473684210506E-3</v>
      </c>
      <c r="H706" s="569">
        <f t="shared" si="28"/>
        <v>9.2589473684210506E-3</v>
      </c>
      <c r="I706" s="569">
        <f t="shared" si="28"/>
        <v>9.2589473684210506E-3</v>
      </c>
      <c r="J706" s="4" t="s">
        <v>2076</v>
      </c>
    </row>
    <row r="707" spans="1:10">
      <c r="E707" s="511"/>
      <c r="F707" s="511"/>
      <c r="G707" s="511"/>
      <c r="H707" s="511"/>
      <c r="I707" s="511"/>
    </row>
    <row r="708" spans="1:10">
      <c r="A708" s="4" t="s">
        <v>623</v>
      </c>
      <c r="D708" t="s">
        <v>1486</v>
      </c>
      <c r="E708" s="511">
        <f>calcProd1Seg3Comp1Payer3TotalShareR1</f>
        <v>9.2589473684210506E-3</v>
      </c>
      <c r="F708" s="511">
        <f>calcProd1Seg3Comp1Payer3TotalShareR1</f>
        <v>9.2589473684210506E-3</v>
      </c>
      <c r="G708" s="511">
        <f>calcProd1Seg3Comp1Payer3TotalShareR1</f>
        <v>9.2589473684210506E-3</v>
      </c>
      <c r="H708" s="511">
        <f>calcProd1Seg3Comp1Payer3TotalShareR1</f>
        <v>9.2589473684210506E-3</v>
      </c>
      <c r="I708" s="511">
        <f>calcProd1Seg3Comp1Payer3TotalShareR1</f>
        <v>9.2589473684210506E-3</v>
      </c>
    </row>
    <row r="709" spans="1:10">
      <c r="D709" t="s">
        <v>3745</v>
      </c>
      <c r="E709" s="511">
        <f>calcProd1Seg3Comp1Payer3ShareLostR2+calcProd1Seg3Comp1Payer3ShareWonR2</f>
        <v>0</v>
      </c>
      <c r="F709" s="511">
        <f>calcProd1Seg3Comp1Payer3ShareLostR2+calcProd1Seg3Comp1Payer3ShareWonR2</f>
        <v>0</v>
      </c>
      <c r="G709" s="511">
        <f>calcProd1Seg3Comp1Payer3ShareLostR2+calcProd1Seg3Comp1Payer3ShareWonR2</f>
        <v>0</v>
      </c>
      <c r="H709" s="511">
        <f>calcProd1Seg3Comp1Payer3ShareLostR2+calcProd1Seg3Comp1Payer3ShareWonR2</f>
        <v>0</v>
      </c>
      <c r="I709" s="511">
        <f>calcProd1Seg3Comp1Payer3ShareLostR2+calcProd1Seg3Comp1Payer3ShareWonR2</f>
        <v>0</v>
      </c>
    </row>
    <row r="710" spans="1:10">
      <c r="E710" s="511"/>
      <c r="F710" s="511"/>
      <c r="G710" s="511"/>
      <c r="H710" s="511"/>
      <c r="I710" s="511"/>
    </row>
    <row r="711" spans="1:10" s="4" customFormat="1">
      <c r="D711" s="4" t="s">
        <v>1534</v>
      </c>
      <c r="E711" s="569">
        <f>SUM(E708:E710)</f>
        <v>9.2589473684210506E-3</v>
      </c>
      <c r="F711" s="569">
        <f t="shared" ref="F711:I711" si="29">SUM(F708:F710)</f>
        <v>9.2589473684210506E-3</v>
      </c>
      <c r="G711" s="569">
        <f t="shared" si="29"/>
        <v>9.2589473684210506E-3</v>
      </c>
      <c r="H711" s="569">
        <f t="shared" si="29"/>
        <v>9.2589473684210506E-3</v>
      </c>
      <c r="I711" s="569">
        <f t="shared" si="29"/>
        <v>9.2589473684210506E-3</v>
      </c>
      <c r="J711" s="4" t="s">
        <v>2077</v>
      </c>
    </row>
    <row r="712" spans="1:10">
      <c r="E712" s="511"/>
      <c r="F712" s="511"/>
      <c r="G712" s="511"/>
      <c r="H712" s="511"/>
      <c r="I712" s="511"/>
    </row>
    <row r="713" spans="1:10" s="509" customFormat="1">
      <c r="A713" s="508" t="str">
        <f>nmComp2</f>
        <v>Pristine</v>
      </c>
      <c r="E713" s="570"/>
      <c r="F713" s="570"/>
      <c r="G713" s="570"/>
      <c r="H713" s="570"/>
      <c r="I713" s="570"/>
    </row>
    <row r="714" spans="1:10">
      <c r="A714" s="4" t="str">
        <f>nmProd1</f>
        <v>Riverrun</v>
      </c>
      <c r="E714" s="511"/>
      <c r="F714" s="511"/>
      <c r="G714" s="511"/>
      <c r="H714" s="511"/>
      <c r="I714" s="511"/>
    </row>
    <row r="715" spans="1:10">
      <c r="A715" s="4" t="str">
        <f>nmProd1Seg1</f>
        <v>Riverrun Central</v>
      </c>
      <c r="E715" s="511"/>
      <c r="F715" s="511"/>
      <c r="G715" s="511"/>
      <c r="H715" s="511"/>
      <c r="I715" s="511"/>
    </row>
    <row r="716" spans="1:10">
      <c r="A716" s="4" t="s">
        <v>622</v>
      </c>
      <c r="B716" t="str">
        <f>nmPayer1</f>
        <v>Blue Sword/Blue Shield</v>
      </c>
      <c r="D716" t="s">
        <v>1486</v>
      </c>
      <c r="E716" s="511">
        <f>obalProd1Seg1Comp2Payer1Share</f>
        <v>2.7878787878787878E-2</v>
      </c>
      <c r="F716" s="511">
        <f>obalProd1Seg1Comp2Payer1Share</f>
        <v>2.7878787878787878E-2</v>
      </c>
      <c r="G716" s="511">
        <f>obalProd1Seg1Comp2Payer1Share</f>
        <v>2.7878787878787878E-2</v>
      </c>
      <c r="H716" s="511">
        <f>obalProd1Seg1Comp2Payer1Share</f>
        <v>2.7878787878787878E-2</v>
      </c>
      <c r="I716" s="511">
        <f>obalProd1Seg1Comp2Payer1Share</f>
        <v>2.7878787878787878E-2</v>
      </c>
    </row>
    <row r="717" spans="1:10">
      <c r="D717" t="s">
        <v>3745</v>
      </c>
      <c r="E717" s="511">
        <f>calcProd1Seg1Comp2Payer1ShareLostR1+calcProd1Seg1Comp2Payer1ShareWonR1</f>
        <v>-3.0800000000000091E-5</v>
      </c>
      <c r="F717" s="511">
        <f>calcProd1Seg1Comp2Payer1ShareLostR1+calcProd1Seg1Comp2Payer1ShareWonR1</f>
        <v>-3.0800000000000091E-5</v>
      </c>
      <c r="G717" s="511">
        <f>calcProd1Seg1Comp2Payer1ShareLostR1+calcProd1Seg1Comp2Payer1ShareWonR1</f>
        <v>-3.0800000000000091E-5</v>
      </c>
      <c r="H717" s="511">
        <f>calcProd1Seg1Comp2Payer1ShareLostR1+calcProd1Seg1Comp2Payer1ShareWonR1</f>
        <v>-3.0800000000000091E-5</v>
      </c>
      <c r="I717" s="511">
        <f>calcProd1Seg1Comp2Payer1ShareLostR1+calcProd1Seg1Comp2Payer1ShareWonR1</f>
        <v>-3.0800000000000091E-5</v>
      </c>
    </row>
    <row r="718" spans="1:10">
      <c r="E718" s="511"/>
      <c r="F718" s="511"/>
      <c r="G718" s="511"/>
      <c r="H718" s="511"/>
      <c r="I718" s="511"/>
    </row>
    <row r="719" spans="1:10" s="4" customFormat="1">
      <c r="D719" s="4" t="s">
        <v>1534</v>
      </c>
      <c r="E719" s="569">
        <f>SUM(E716:E718)</f>
        <v>2.7847987878787877E-2</v>
      </c>
      <c r="F719" s="569">
        <f t="shared" ref="F719:I719" si="30">SUM(F716:F718)</f>
        <v>2.7847987878787877E-2</v>
      </c>
      <c r="G719" s="569">
        <f t="shared" si="30"/>
        <v>2.7847987878787877E-2</v>
      </c>
      <c r="H719" s="569">
        <f t="shared" si="30"/>
        <v>2.7847987878787877E-2</v>
      </c>
      <c r="I719" s="569">
        <f t="shared" si="30"/>
        <v>2.7847987878787877E-2</v>
      </c>
      <c r="J719" s="4" t="s">
        <v>2078</v>
      </c>
    </row>
    <row r="720" spans="1:10">
      <c r="E720" s="511"/>
      <c r="F720" s="511"/>
      <c r="G720" s="511"/>
      <c r="H720" s="511"/>
      <c r="I720" s="511"/>
    </row>
    <row r="721" spans="1:10">
      <c r="A721" s="4" t="s">
        <v>623</v>
      </c>
      <c r="D721" t="s">
        <v>1486</v>
      </c>
      <c r="E721" s="511">
        <f>calcProd1Seg1Comp2Payer1TotalShareR1</f>
        <v>2.7847987878787877E-2</v>
      </c>
      <c r="F721" s="511">
        <f>calcProd1Seg1Comp2Payer1TotalShareR1</f>
        <v>2.7847987878787877E-2</v>
      </c>
      <c r="G721" s="511">
        <f>calcProd1Seg1Comp2Payer1TotalShareR1</f>
        <v>2.7847987878787877E-2</v>
      </c>
      <c r="H721" s="511">
        <f>calcProd1Seg1Comp2Payer1TotalShareR1</f>
        <v>2.7847987878787877E-2</v>
      </c>
      <c r="I721" s="511">
        <f>calcProd1Seg1Comp2Payer1TotalShareR1</f>
        <v>2.7847987878787877E-2</v>
      </c>
    </row>
    <row r="722" spans="1:10">
      <c r="D722" t="s">
        <v>3745</v>
      </c>
      <c r="E722" s="511">
        <f>calcProd1Seg1Comp2Payer1ShareLostR2+calcProd1Seg1Comp2Payer1ShareWonR2</f>
        <v>0</v>
      </c>
      <c r="F722" s="511">
        <f>calcProd1Seg1Comp2Payer1ShareLostR2+calcProd1Seg1Comp2Payer1ShareWonR2</f>
        <v>0</v>
      </c>
      <c r="G722" s="511">
        <f>calcProd1Seg1Comp2Payer1ShareLostR2+calcProd1Seg1Comp2Payer1ShareWonR2</f>
        <v>0</v>
      </c>
      <c r="H722" s="511">
        <f>calcProd1Seg1Comp2Payer1ShareLostR2+calcProd1Seg1Comp2Payer1ShareWonR2</f>
        <v>0</v>
      </c>
      <c r="I722" s="511">
        <f>calcProd1Seg1Comp2Payer1ShareLostR2+calcProd1Seg1Comp2Payer1ShareWonR2</f>
        <v>0</v>
      </c>
    </row>
    <row r="723" spans="1:10">
      <c r="E723" s="511"/>
      <c r="F723" s="511"/>
      <c r="G723" s="511"/>
      <c r="H723" s="511"/>
      <c r="I723" s="511"/>
    </row>
    <row r="724" spans="1:10" s="4" customFormat="1">
      <c r="D724" s="4" t="s">
        <v>1534</v>
      </c>
      <c r="E724" s="569">
        <f>SUM(E721:E723)</f>
        <v>2.7847987878787877E-2</v>
      </c>
      <c r="F724" s="569">
        <f t="shared" ref="F724:I724" si="31">SUM(F721:F723)</f>
        <v>2.7847987878787877E-2</v>
      </c>
      <c r="G724" s="569">
        <f t="shared" si="31"/>
        <v>2.7847987878787877E-2</v>
      </c>
      <c r="H724" s="569">
        <f t="shared" si="31"/>
        <v>2.7847987878787877E-2</v>
      </c>
      <c r="I724" s="569">
        <f t="shared" si="31"/>
        <v>2.7847987878787877E-2</v>
      </c>
      <c r="J724" s="4" t="s">
        <v>2079</v>
      </c>
    </row>
    <row r="725" spans="1:10">
      <c r="E725" s="511"/>
      <c r="F725" s="511"/>
      <c r="G725" s="511"/>
      <c r="H725" s="511"/>
      <c r="I725" s="511"/>
    </row>
    <row r="726" spans="1:10">
      <c r="A726" s="4" t="s">
        <v>622</v>
      </c>
      <c r="B726" t="str">
        <f>nmPayer2</f>
        <v>WesterAid</v>
      </c>
      <c r="D726" t="s">
        <v>1486</v>
      </c>
      <c r="E726" s="511">
        <f>obalProd1Seg1Comp2Payer2Share</f>
        <v>2.3E-2</v>
      </c>
      <c r="F726" s="511">
        <f>obalProd1Seg1Comp2Payer2Share</f>
        <v>2.3E-2</v>
      </c>
      <c r="G726" s="511">
        <f>obalProd1Seg1Comp2Payer2Share</f>
        <v>2.3E-2</v>
      </c>
      <c r="H726" s="511">
        <f>obalProd1Seg1Comp2Payer2Share</f>
        <v>2.3E-2</v>
      </c>
      <c r="I726" s="511">
        <f>obalProd1Seg1Comp2Payer2Share</f>
        <v>2.3E-2</v>
      </c>
    </row>
    <row r="727" spans="1:10">
      <c r="D727" t="s">
        <v>3745</v>
      </c>
      <c r="E727" s="511">
        <f>calcProd1Seg1Comp2Payer2ShareLostR1+calcProd1Seg1Comp2Payer2ShareWonR1</f>
        <v>-2.4150000000000045E-5</v>
      </c>
      <c r="F727" s="511">
        <f>calcProd1Seg1Comp2Payer2ShareLostR1+calcProd1Seg1Comp2Payer2ShareWonR1</f>
        <v>-2.4150000000000045E-5</v>
      </c>
      <c r="G727" s="511">
        <f>calcProd1Seg1Comp2Payer2ShareLostR1+calcProd1Seg1Comp2Payer2ShareWonR1</f>
        <v>-2.4150000000000045E-5</v>
      </c>
      <c r="H727" s="511">
        <f>calcProd1Seg1Comp2Payer2ShareLostR1+calcProd1Seg1Comp2Payer2ShareWonR1</f>
        <v>-2.4150000000000045E-5</v>
      </c>
      <c r="I727" s="511">
        <f>calcProd1Seg1Comp2Payer2ShareLostR1+calcProd1Seg1Comp2Payer2ShareWonR1</f>
        <v>-2.4150000000000045E-5</v>
      </c>
    </row>
    <row r="728" spans="1:10">
      <c r="E728" s="511"/>
      <c r="F728" s="511"/>
      <c r="G728" s="511"/>
      <c r="H728" s="511"/>
      <c r="I728" s="511"/>
    </row>
    <row r="729" spans="1:10" s="4" customFormat="1">
      <c r="D729" s="4" t="s">
        <v>1534</v>
      </c>
      <c r="E729" s="569">
        <f>SUM(E726:E728)</f>
        <v>2.2975849999999999E-2</v>
      </c>
      <c r="F729" s="569">
        <f t="shared" ref="F729:I729" si="32">SUM(F726:F728)</f>
        <v>2.2975849999999999E-2</v>
      </c>
      <c r="G729" s="569">
        <f t="shared" si="32"/>
        <v>2.2975849999999999E-2</v>
      </c>
      <c r="H729" s="569">
        <f t="shared" si="32"/>
        <v>2.2975849999999999E-2</v>
      </c>
      <c r="I729" s="569">
        <f t="shared" si="32"/>
        <v>2.2975849999999999E-2</v>
      </c>
      <c r="J729" s="4" t="s">
        <v>2080</v>
      </c>
    </row>
    <row r="730" spans="1:10">
      <c r="E730" s="511"/>
      <c r="F730" s="511"/>
      <c r="G730" s="511"/>
      <c r="H730" s="511"/>
      <c r="I730" s="511"/>
    </row>
    <row r="731" spans="1:10">
      <c r="A731" s="4" t="s">
        <v>623</v>
      </c>
      <c r="D731" t="s">
        <v>1486</v>
      </c>
      <c r="E731" s="511">
        <f>calcProd1Seg1Comp2Payer2TotalShareR1</f>
        <v>2.2975849999999999E-2</v>
      </c>
      <c r="F731" s="511">
        <f>calcProd1Seg1Comp2Payer2TotalShareR1</f>
        <v>2.2975849999999999E-2</v>
      </c>
      <c r="G731" s="511">
        <f>calcProd1Seg1Comp2Payer2TotalShareR1</f>
        <v>2.2975849999999999E-2</v>
      </c>
      <c r="H731" s="511">
        <f>calcProd1Seg1Comp2Payer2TotalShareR1</f>
        <v>2.2975849999999999E-2</v>
      </c>
      <c r="I731" s="511">
        <f>calcProd1Seg1Comp2Payer2TotalShareR1</f>
        <v>2.2975849999999999E-2</v>
      </c>
    </row>
    <row r="732" spans="1:10">
      <c r="D732" t="s">
        <v>3745</v>
      </c>
      <c r="E732" s="511">
        <f>calcProd1Seg1Comp2Payer2ShareLostR2+calcProd1Seg1Comp2Payer2ShareWonR2</f>
        <v>0</v>
      </c>
      <c r="F732" s="511">
        <f>calcProd1Seg1Comp2Payer2ShareLostR2+calcProd1Seg1Comp2Payer2ShareWonR2</f>
        <v>0</v>
      </c>
      <c r="G732" s="511">
        <f>calcProd1Seg1Comp2Payer2ShareLostR2+calcProd1Seg1Comp2Payer2ShareWonR2</f>
        <v>0</v>
      </c>
      <c r="H732" s="511">
        <f>calcProd1Seg1Comp2Payer2ShareLostR2+calcProd1Seg1Comp2Payer2ShareWonR2</f>
        <v>0</v>
      </c>
      <c r="I732" s="511">
        <f>calcProd1Seg1Comp2Payer2ShareLostR2+calcProd1Seg1Comp2Payer2ShareWonR2</f>
        <v>0</v>
      </c>
    </row>
    <row r="733" spans="1:10">
      <c r="E733" s="511"/>
      <c r="F733" s="511"/>
      <c r="G733" s="511"/>
      <c r="H733" s="511"/>
      <c r="I733" s="511"/>
    </row>
    <row r="734" spans="1:10" s="4" customFormat="1">
      <c r="D734" s="4" t="s">
        <v>1534</v>
      </c>
      <c r="E734" s="569">
        <f>SUM(E731:E733)</f>
        <v>2.2975849999999999E-2</v>
      </c>
      <c r="F734" s="569">
        <f t="shared" ref="F734:I734" si="33">SUM(F731:F733)</f>
        <v>2.2975849999999999E-2</v>
      </c>
      <c r="G734" s="569">
        <f t="shared" si="33"/>
        <v>2.2975849999999999E-2</v>
      </c>
      <c r="H734" s="569">
        <f t="shared" si="33"/>
        <v>2.2975849999999999E-2</v>
      </c>
      <c r="I734" s="569">
        <f t="shared" si="33"/>
        <v>2.2975849999999999E-2</v>
      </c>
      <c r="J734" s="4" t="s">
        <v>2081</v>
      </c>
    </row>
    <row r="735" spans="1:10">
      <c r="E735" s="511"/>
      <c r="F735" s="511"/>
      <c r="G735" s="511"/>
      <c r="H735" s="511"/>
      <c r="I735" s="511"/>
    </row>
    <row r="736" spans="1:10">
      <c r="A736" s="4" t="s">
        <v>622</v>
      </c>
      <c r="B736" t="str">
        <f>nmPayer3</f>
        <v>Dragon Health</v>
      </c>
      <c r="D736" t="s">
        <v>1486</v>
      </c>
      <c r="E736" s="511">
        <f>obalProd1Seg1Comp2Payer3Share</f>
        <v>2.0909090909090912E-2</v>
      </c>
      <c r="F736" s="511">
        <f>obalProd1Seg1Comp2Payer3Share</f>
        <v>2.0909090909090912E-2</v>
      </c>
      <c r="G736" s="511">
        <f>obalProd1Seg1Comp2Payer3Share</f>
        <v>2.0909090909090912E-2</v>
      </c>
      <c r="H736" s="511">
        <f>obalProd1Seg1Comp2Payer3Share</f>
        <v>2.0909090909090912E-2</v>
      </c>
      <c r="I736" s="511">
        <f>obalProd1Seg1Comp2Payer3Share</f>
        <v>2.0909090909090912E-2</v>
      </c>
    </row>
    <row r="737" spans="1:10">
      <c r="D737" t="s">
        <v>3745</v>
      </c>
      <c r="E737" s="511">
        <f>calcProd1Seg1Comp2Payer3ShareLostR1+calcProd1Seg1Comp2Payer3ShareWonR1</f>
        <v>-1.8900000000000161E-5</v>
      </c>
      <c r="F737" s="511">
        <f>calcProd1Seg1Comp2Payer3ShareLostR1+calcProd1Seg1Comp2Payer3ShareWonR1</f>
        <v>-1.8900000000000161E-5</v>
      </c>
      <c r="G737" s="511">
        <f>calcProd1Seg1Comp2Payer3ShareLostR1+calcProd1Seg1Comp2Payer3ShareWonR1</f>
        <v>-1.8900000000000161E-5</v>
      </c>
      <c r="H737" s="511">
        <f>calcProd1Seg1Comp2Payer3ShareLostR1+calcProd1Seg1Comp2Payer3ShareWonR1</f>
        <v>-1.8900000000000161E-5</v>
      </c>
      <c r="I737" s="511">
        <f>calcProd1Seg1Comp2Payer3ShareLostR1+calcProd1Seg1Comp2Payer3ShareWonR1</f>
        <v>-1.8900000000000161E-5</v>
      </c>
    </row>
    <row r="738" spans="1:10">
      <c r="E738" s="511"/>
      <c r="F738" s="511"/>
      <c r="G738" s="511"/>
      <c r="H738" s="511"/>
      <c r="I738" s="511"/>
    </row>
    <row r="739" spans="1:10" s="4" customFormat="1">
      <c r="D739" s="4" t="s">
        <v>1534</v>
      </c>
      <c r="E739" s="569">
        <f>SUM(E736:E738)</f>
        <v>2.0890190909090913E-2</v>
      </c>
      <c r="F739" s="569">
        <f t="shared" ref="F739:I739" si="34">SUM(F736:F738)</f>
        <v>2.0890190909090913E-2</v>
      </c>
      <c r="G739" s="569">
        <f t="shared" si="34"/>
        <v>2.0890190909090913E-2</v>
      </c>
      <c r="H739" s="569">
        <f t="shared" si="34"/>
        <v>2.0890190909090913E-2</v>
      </c>
      <c r="I739" s="569">
        <f t="shared" si="34"/>
        <v>2.0890190909090913E-2</v>
      </c>
      <c r="J739" s="4" t="s">
        <v>2082</v>
      </c>
    </row>
    <row r="740" spans="1:10">
      <c r="E740" s="511"/>
      <c r="F740" s="511"/>
      <c r="G740" s="511"/>
      <c r="H740" s="511"/>
      <c r="I740" s="511"/>
    </row>
    <row r="741" spans="1:10">
      <c r="A741" s="4" t="s">
        <v>623</v>
      </c>
      <c r="D741" t="s">
        <v>1486</v>
      </c>
      <c r="E741" s="511">
        <f>calcProd1Seg1Comp2Payer3TotalShareR1</f>
        <v>2.0890190909090913E-2</v>
      </c>
      <c r="F741" s="511">
        <f>calcProd1Seg1Comp2Payer3TotalShareR1</f>
        <v>2.0890190909090913E-2</v>
      </c>
      <c r="G741" s="511">
        <f>calcProd1Seg1Comp2Payer3TotalShareR1</f>
        <v>2.0890190909090913E-2</v>
      </c>
      <c r="H741" s="511">
        <f>calcProd1Seg1Comp2Payer3TotalShareR1</f>
        <v>2.0890190909090913E-2</v>
      </c>
      <c r="I741" s="511">
        <f>calcProd1Seg1Comp2Payer3TotalShareR1</f>
        <v>2.0890190909090913E-2</v>
      </c>
    </row>
    <row r="742" spans="1:10">
      <c r="D742" t="s">
        <v>3745</v>
      </c>
      <c r="E742" s="511">
        <f>calcProd1Seg1Comp2Payer3ShareLostR2+calcProd1Seg1Comp2Payer3ShareWonR2</f>
        <v>0</v>
      </c>
      <c r="F742" s="511">
        <f>calcProd1Seg1Comp2Payer3ShareLostR2+calcProd1Seg1Comp2Payer3ShareWonR2</f>
        <v>0</v>
      </c>
      <c r="G742" s="511">
        <f>calcProd1Seg1Comp2Payer3ShareLostR2+calcProd1Seg1Comp2Payer3ShareWonR2</f>
        <v>0</v>
      </c>
      <c r="H742" s="511">
        <f>calcProd1Seg1Comp2Payer3ShareLostR2+calcProd1Seg1Comp2Payer3ShareWonR2</f>
        <v>0</v>
      </c>
      <c r="I742" s="511">
        <f>calcProd1Seg1Comp2Payer3ShareLostR2+calcProd1Seg1Comp2Payer3ShareWonR2</f>
        <v>0</v>
      </c>
    </row>
    <row r="743" spans="1:10">
      <c r="E743" s="511"/>
      <c r="F743" s="511"/>
      <c r="G743" s="511"/>
      <c r="H743" s="511"/>
      <c r="I743" s="511"/>
    </row>
    <row r="744" spans="1:10" s="4" customFormat="1">
      <c r="D744" s="4" t="s">
        <v>1534</v>
      </c>
      <c r="E744" s="569">
        <f>SUM(E741:E743)</f>
        <v>2.0890190909090913E-2</v>
      </c>
      <c r="F744" s="569">
        <f t="shared" ref="F744:I744" si="35">SUM(F741:F743)</f>
        <v>2.0890190909090913E-2</v>
      </c>
      <c r="G744" s="569">
        <f t="shared" si="35"/>
        <v>2.0890190909090913E-2</v>
      </c>
      <c r="H744" s="569">
        <f t="shared" si="35"/>
        <v>2.0890190909090913E-2</v>
      </c>
      <c r="I744" s="569">
        <f t="shared" si="35"/>
        <v>2.0890190909090913E-2</v>
      </c>
      <c r="J744" s="4" t="s">
        <v>2083</v>
      </c>
    </row>
    <row r="745" spans="1:10">
      <c r="E745" s="511"/>
      <c r="F745" s="511"/>
      <c r="G745" s="511"/>
      <c r="H745" s="511"/>
      <c r="I745" s="511"/>
    </row>
    <row r="746" spans="1:10">
      <c r="A746" s="4" t="str">
        <f>nmProd1Seg2</f>
        <v>Tullyville</v>
      </c>
      <c r="E746" s="511"/>
      <c r="F746" s="511"/>
      <c r="G746" s="511"/>
      <c r="H746" s="511"/>
      <c r="I746" s="511"/>
    </row>
    <row r="747" spans="1:10">
      <c r="A747" s="4" t="s">
        <v>622</v>
      </c>
      <c r="B747" t="str">
        <f>nmPayer1</f>
        <v>Blue Sword/Blue Shield</v>
      </c>
      <c r="D747" t="s">
        <v>1486</v>
      </c>
      <c r="E747" s="511">
        <f>obalProd1Seg2Comp2Payer1Share</f>
        <v>3.2857142857142849E-2</v>
      </c>
      <c r="F747" s="511">
        <f>obalProd1Seg2Comp2Payer1Share</f>
        <v>3.2857142857142849E-2</v>
      </c>
      <c r="G747" s="511">
        <f>obalProd1Seg2Comp2Payer1Share</f>
        <v>3.2857142857142849E-2</v>
      </c>
      <c r="H747" s="511">
        <f>obalProd1Seg2Comp2Payer1Share</f>
        <v>3.2857142857142849E-2</v>
      </c>
      <c r="I747" s="511">
        <f>obalProd1Seg2Comp2Payer1Share</f>
        <v>3.2857142857142849E-2</v>
      </c>
    </row>
    <row r="748" spans="1:10">
      <c r="D748" t="s">
        <v>3745</v>
      </c>
      <c r="E748" s="511">
        <f>calcProd1Seg2Comp2Payer1ShareLostR1+calcProd1Seg2Comp2Payer1ShareWonR1</f>
        <v>-8.5799999999999917E-5</v>
      </c>
      <c r="F748" s="511">
        <f>calcProd1Seg2Comp2Payer1ShareLostR1+calcProd1Seg2Comp2Payer1ShareWonR1</f>
        <v>-8.5799999999999917E-5</v>
      </c>
      <c r="G748" s="511">
        <f>calcProd1Seg2Comp2Payer1ShareLostR1+calcProd1Seg2Comp2Payer1ShareWonR1</f>
        <v>-8.5799999999999917E-5</v>
      </c>
      <c r="H748" s="511">
        <f>calcProd1Seg2Comp2Payer1ShareLostR1+calcProd1Seg2Comp2Payer1ShareWonR1</f>
        <v>-8.5799999999999917E-5</v>
      </c>
      <c r="I748" s="511">
        <f>calcProd1Seg2Comp2Payer1ShareLostR1+calcProd1Seg2Comp2Payer1ShareWonR1</f>
        <v>-8.5799999999999917E-5</v>
      </c>
    </row>
    <row r="749" spans="1:10">
      <c r="E749" s="511"/>
      <c r="F749" s="511"/>
      <c r="G749" s="511"/>
      <c r="H749" s="511"/>
      <c r="I749" s="511"/>
    </row>
    <row r="750" spans="1:10" s="4" customFormat="1">
      <c r="D750" s="4" t="s">
        <v>1534</v>
      </c>
      <c r="E750" s="569">
        <f>SUM(E747:E749)</f>
        <v>3.2771342857142852E-2</v>
      </c>
      <c r="F750" s="569">
        <f t="shared" ref="F750:I750" si="36">SUM(F747:F749)</f>
        <v>3.2771342857142852E-2</v>
      </c>
      <c r="G750" s="569">
        <f t="shared" si="36"/>
        <v>3.2771342857142852E-2</v>
      </c>
      <c r="H750" s="569">
        <f t="shared" si="36"/>
        <v>3.2771342857142852E-2</v>
      </c>
      <c r="I750" s="569">
        <f t="shared" si="36"/>
        <v>3.2771342857142852E-2</v>
      </c>
      <c r="J750" s="4" t="s">
        <v>2084</v>
      </c>
    </row>
    <row r="751" spans="1:10">
      <c r="E751" s="511"/>
      <c r="F751" s="511"/>
      <c r="G751" s="511"/>
      <c r="H751" s="511"/>
      <c r="I751" s="511"/>
    </row>
    <row r="752" spans="1:10">
      <c r="A752" s="4" t="s">
        <v>623</v>
      </c>
      <c r="D752" t="s">
        <v>1486</v>
      </c>
      <c r="E752" s="511">
        <f>calcProd1Seg2Comp2Payer1TotalShareR1</f>
        <v>3.2771342857142852E-2</v>
      </c>
      <c r="F752" s="511">
        <f>calcProd1Seg2Comp2Payer1TotalShareR1</f>
        <v>3.2771342857142852E-2</v>
      </c>
      <c r="G752" s="511">
        <f>calcProd1Seg2Comp2Payer1TotalShareR1</f>
        <v>3.2771342857142852E-2</v>
      </c>
      <c r="H752" s="511">
        <f>calcProd1Seg2Comp2Payer1TotalShareR1</f>
        <v>3.2771342857142852E-2</v>
      </c>
      <c r="I752" s="511">
        <f>calcProd1Seg2Comp2Payer1TotalShareR1</f>
        <v>3.2771342857142852E-2</v>
      </c>
    </row>
    <row r="753" spans="1:10">
      <c r="D753" t="s">
        <v>3745</v>
      </c>
      <c r="E753" s="511">
        <f>calcProd1Seg2Comp2Payer1ShareLostR2+calcProd1Seg2Comp2Payer1ShareWonR2</f>
        <v>0</v>
      </c>
      <c r="F753" s="511">
        <f>calcProd1Seg2Comp2Payer1ShareLostR2+calcProd1Seg2Comp2Payer1ShareWonR2</f>
        <v>0</v>
      </c>
      <c r="G753" s="511">
        <f>calcProd1Seg2Comp2Payer1ShareLostR2+calcProd1Seg2Comp2Payer1ShareWonR2</f>
        <v>0</v>
      </c>
      <c r="H753" s="511">
        <f>calcProd1Seg2Comp2Payer1ShareLostR2+calcProd1Seg2Comp2Payer1ShareWonR2</f>
        <v>0</v>
      </c>
      <c r="I753" s="511">
        <f>calcProd1Seg2Comp2Payer1ShareLostR2+calcProd1Seg2Comp2Payer1ShareWonR2</f>
        <v>0</v>
      </c>
    </row>
    <row r="754" spans="1:10">
      <c r="E754" s="511"/>
      <c r="F754" s="511"/>
      <c r="G754" s="511"/>
      <c r="H754" s="511"/>
      <c r="I754" s="511"/>
    </row>
    <row r="755" spans="1:10" s="4" customFormat="1">
      <c r="D755" s="4" t="s">
        <v>1534</v>
      </c>
      <c r="E755" s="569">
        <f>SUM(E752:E754)</f>
        <v>3.2771342857142852E-2</v>
      </c>
      <c r="F755" s="569">
        <f t="shared" ref="F755:I755" si="37">SUM(F752:F754)</f>
        <v>3.2771342857142852E-2</v>
      </c>
      <c r="G755" s="569">
        <f t="shared" si="37"/>
        <v>3.2771342857142852E-2</v>
      </c>
      <c r="H755" s="569">
        <f t="shared" si="37"/>
        <v>3.2771342857142852E-2</v>
      </c>
      <c r="I755" s="569">
        <f t="shared" si="37"/>
        <v>3.2771342857142852E-2</v>
      </c>
      <c r="J755" s="4" t="s">
        <v>2085</v>
      </c>
    </row>
    <row r="756" spans="1:10">
      <c r="E756" s="511"/>
      <c r="F756" s="511"/>
      <c r="G756" s="511"/>
      <c r="H756" s="511"/>
      <c r="I756" s="511"/>
    </row>
    <row r="757" spans="1:10">
      <c r="A757" s="4" t="s">
        <v>622</v>
      </c>
      <c r="B757" t="str">
        <f>nmPayer2</f>
        <v>WesterAid</v>
      </c>
      <c r="D757" t="s">
        <v>1486</v>
      </c>
      <c r="E757" s="511">
        <f>obalProd1Seg2Comp2Payer2Share</f>
        <v>5.1111111111111114E-2</v>
      </c>
      <c r="F757" s="511">
        <f>obalProd1Seg2Comp2Payer2Share</f>
        <v>5.1111111111111114E-2</v>
      </c>
      <c r="G757" s="511">
        <f>obalProd1Seg2Comp2Payer2Share</f>
        <v>5.1111111111111114E-2</v>
      </c>
      <c r="H757" s="511">
        <f>obalProd1Seg2Comp2Payer2Share</f>
        <v>5.1111111111111114E-2</v>
      </c>
      <c r="I757" s="511">
        <f>obalProd1Seg2Comp2Payer2Share</f>
        <v>5.1111111111111114E-2</v>
      </c>
    </row>
    <row r="758" spans="1:10">
      <c r="D758" t="s">
        <v>3745</v>
      </c>
      <c r="E758" s="511">
        <f>calcProd1Seg2Comp2Payer2ShareLostR1+calcProd1Seg2Comp2Payer2ShareWonR1</f>
        <v>-1.1960000000000009E-4</v>
      </c>
      <c r="F758" s="511">
        <f>calcProd1Seg2Comp2Payer2ShareLostR1+calcProd1Seg2Comp2Payer2ShareWonR1</f>
        <v>-1.1960000000000009E-4</v>
      </c>
      <c r="G758" s="511">
        <f>calcProd1Seg2Comp2Payer2ShareLostR1+calcProd1Seg2Comp2Payer2ShareWonR1</f>
        <v>-1.1960000000000009E-4</v>
      </c>
      <c r="H758" s="511">
        <f>calcProd1Seg2Comp2Payer2ShareLostR1+calcProd1Seg2Comp2Payer2ShareWonR1</f>
        <v>-1.1960000000000009E-4</v>
      </c>
      <c r="I758" s="511">
        <f>calcProd1Seg2Comp2Payer2ShareLostR1+calcProd1Seg2Comp2Payer2ShareWonR1</f>
        <v>-1.1960000000000009E-4</v>
      </c>
    </row>
    <row r="759" spans="1:10">
      <c r="E759" s="511"/>
      <c r="F759" s="511"/>
      <c r="G759" s="511"/>
      <c r="H759" s="511"/>
      <c r="I759" s="511"/>
    </row>
    <row r="760" spans="1:10" s="4" customFormat="1">
      <c r="D760" s="4" t="s">
        <v>1534</v>
      </c>
      <c r="E760" s="569">
        <f>SUM(E757:E759)</f>
        <v>5.0991511111111117E-2</v>
      </c>
      <c r="F760" s="569">
        <f t="shared" ref="F760:I760" si="38">SUM(F757:F759)</f>
        <v>5.0991511111111117E-2</v>
      </c>
      <c r="G760" s="569">
        <f t="shared" si="38"/>
        <v>5.0991511111111117E-2</v>
      </c>
      <c r="H760" s="569">
        <f t="shared" si="38"/>
        <v>5.0991511111111117E-2</v>
      </c>
      <c r="I760" s="569">
        <f t="shared" si="38"/>
        <v>5.0991511111111117E-2</v>
      </c>
      <c r="J760" s="4" t="s">
        <v>2086</v>
      </c>
    </row>
    <row r="761" spans="1:10">
      <c r="E761" s="511"/>
      <c r="F761" s="511"/>
      <c r="G761" s="511"/>
      <c r="H761" s="511"/>
      <c r="I761" s="511"/>
    </row>
    <row r="762" spans="1:10">
      <c r="A762" s="4" t="s">
        <v>623</v>
      </c>
      <c r="D762" t="s">
        <v>1486</v>
      </c>
      <c r="E762" s="511">
        <f>calcProd1Seg2Comp2Payer2TotalShareR1</f>
        <v>5.0991511111111117E-2</v>
      </c>
      <c r="F762" s="511">
        <f>calcProd1Seg2Comp2Payer2TotalShareR1</f>
        <v>5.0991511111111117E-2</v>
      </c>
      <c r="G762" s="511">
        <f>calcProd1Seg2Comp2Payer2TotalShareR1</f>
        <v>5.0991511111111117E-2</v>
      </c>
      <c r="H762" s="511">
        <f>calcProd1Seg2Comp2Payer2TotalShareR1</f>
        <v>5.0991511111111117E-2</v>
      </c>
      <c r="I762" s="511">
        <f>calcProd1Seg2Comp2Payer2TotalShareR1</f>
        <v>5.0991511111111117E-2</v>
      </c>
    </row>
    <row r="763" spans="1:10">
      <c r="D763" t="s">
        <v>3745</v>
      </c>
      <c r="E763" s="511">
        <f>calcProd1Seg2Comp2Payer2ShareLostR2+calcProd1Seg2Comp2Payer2ShareWonR2</f>
        <v>0</v>
      </c>
      <c r="F763" s="511">
        <f>calcProd1Seg2Comp2Payer2ShareLostR2+calcProd1Seg2Comp2Payer2ShareWonR2</f>
        <v>0</v>
      </c>
      <c r="G763" s="511">
        <f>calcProd1Seg2Comp2Payer2ShareLostR2+calcProd1Seg2Comp2Payer2ShareWonR2</f>
        <v>0</v>
      </c>
      <c r="H763" s="511">
        <f>calcProd1Seg2Comp2Payer2ShareLostR2+calcProd1Seg2Comp2Payer2ShareWonR2</f>
        <v>0</v>
      </c>
      <c r="I763" s="511">
        <f>calcProd1Seg2Comp2Payer2ShareLostR2+calcProd1Seg2Comp2Payer2ShareWonR2</f>
        <v>0</v>
      </c>
    </row>
    <row r="764" spans="1:10">
      <c r="E764" s="511"/>
      <c r="F764" s="511"/>
      <c r="G764" s="511"/>
      <c r="H764" s="511"/>
      <c r="I764" s="511"/>
    </row>
    <row r="765" spans="1:10" s="4" customFormat="1">
      <c r="D765" s="4" t="s">
        <v>1534</v>
      </c>
      <c r="E765" s="569">
        <f>SUM(E762:E764)</f>
        <v>5.0991511111111117E-2</v>
      </c>
      <c r="F765" s="569">
        <f t="shared" ref="F765:I765" si="39">SUM(F762:F764)</f>
        <v>5.0991511111111117E-2</v>
      </c>
      <c r="G765" s="569">
        <f t="shared" si="39"/>
        <v>5.0991511111111117E-2</v>
      </c>
      <c r="H765" s="569">
        <f t="shared" si="39"/>
        <v>5.0991511111111117E-2</v>
      </c>
      <c r="I765" s="569">
        <f t="shared" si="39"/>
        <v>5.0991511111111117E-2</v>
      </c>
      <c r="J765" s="4" t="s">
        <v>2087</v>
      </c>
    </row>
    <row r="766" spans="1:10">
      <c r="E766" s="511"/>
      <c r="F766" s="511"/>
      <c r="G766" s="511"/>
      <c r="H766" s="511"/>
      <c r="I766" s="511"/>
    </row>
    <row r="767" spans="1:10">
      <c r="A767" s="4" t="s">
        <v>622</v>
      </c>
      <c r="B767" t="str">
        <f>nmPayer3</f>
        <v>Dragon Health</v>
      </c>
      <c r="D767" t="s">
        <v>1486</v>
      </c>
      <c r="E767" s="511">
        <f>obalProd1Seg2Comp2Payer3Share</f>
        <v>1.3142857142857144E-2</v>
      </c>
      <c r="F767" s="511">
        <f>obalProd1Seg2Comp2Payer3Share</f>
        <v>1.3142857142857144E-2</v>
      </c>
      <c r="G767" s="511">
        <f>obalProd1Seg2Comp2Payer3Share</f>
        <v>1.3142857142857144E-2</v>
      </c>
      <c r="H767" s="511">
        <f>obalProd1Seg2Comp2Payer3Share</f>
        <v>1.3142857142857144E-2</v>
      </c>
      <c r="I767" s="511">
        <f>obalProd1Seg2Comp2Payer3Share</f>
        <v>1.3142857142857144E-2</v>
      </c>
    </row>
    <row r="768" spans="1:10">
      <c r="D768" t="s">
        <v>3745</v>
      </c>
      <c r="E768" s="511">
        <f>calcProd1Seg2Comp2Payer3ShareLostR1+calcProd1Seg2Comp2Payer3ShareWonR1</f>
        <v>-4.680000000000004E-5</v>
      </c>
      <c r="F768" s="511">
        <f>calcProd1Seg2Comp2Payer3ShareLostR1+calcProd1Seg2Comp2Payer3ShareWonR1</f>
        <v>-4.680000000000004E-5</v>
      </c>
      <c r="G768" s="511">
        <f>calcProd1Seg2Comp2Payer3ShareLostR1+calcProd1Seg2Comp2Payer3ShareWonR1</f>
        <v>-4.680000000000004E-5</v>
      </c>
      <c r="H768" s="511">
        <f>calcProd1Seg2Comp2Payer3ShareLostR1+calcProd1Seg2Comp2Payer3ShareWonR1</f>
        <v>-4.680000000000004E-5</v>
      </c>
      <c r="I768" s="511">
        <f>calcProd1Seg2Comp2Payer3ShareLostR1+calcProd1Seg2Comp2Payer3ShareWonR1</f>
        <v>-4.680000000000004E-5</v>
      </c>
    </row>
    <row r="769" spans="1:10">
      <c r="E769" s="511"/>
      <c r="F769" s="511"/>
      <c r="G769" s="511"/>
      <c r="H769" s="511"/>
      <c r="I769" s="511"/>
    </row>
    <row r="770" spans="1:10" s="4" customFormat="1">
      <c r="D770" s="4" t="s">
        <v>1534</v>
      </c>
      <c r="E770" s="569">
        <f>SUM(E767:E769)</f>
        <v>1.3096057142857144E-2</v>
      </c>
      <c r="F770" s="569">
        <f t="shared" ref="F770:I770" si="40">SUM(F767:F769)</f>
        <v>1.3096057142857144E-2</v>
      </c>
      <c r="G770" s="569">
        <f t="shared" si="40"/>
        <v>1.3096057142857144E-2</v>
      </c>
      <c r="H770" s="569">
        <f t="shared" si="40"/>
        <v>1.3096057142857144E-2</v>
      </c>
      <c r="I770" s="569">
        <f t="shared" si="40"/>
        <v>1.3096057142857144E-2</v>
      </c>
      <c r="J770" s="4" t="s">
        <v>2088</v>
      </c>
    </row>
    <row r="771" spans="1:10">
      <c r="E771" s="511"/>
      <c r="F771" s="511"/>
      <c r="G771" s="511"/>
      <c r="H771" s="511"/>
      <c r="I771" s="511"/>
    </row>
    <row r="772" spans="1:10">
      <c r="A772" s="4" t="s">
        <v>623</v>
      </c>
      <c r="D772" t="s">
        <v>1486</v>
      </c>
      <c r="E772" s="511">
        <f>calcProd1Seg2Comp2Payer3TotalShareR1</f>
        <v>1.3096057142857144E-2</v>
      </c>
      <c r="F772" s="511">
        <f>calcProd1Seg2Comp2Payer3TotalShareR1</f>
        <v>1.3096057142857144E-2</v>
      </c>
      <c r="G772" s="511">
        <f>calcProd1Seg2Comp2Payer3TotalShareR1</f>
        <v>1.3096057142857144E-2</v>
      </c>
      <c r="H772" s="511">
        <f>calcProd1Seg2Comp2Payer3TotalShareR1</f>
        <v>1.3096057142857144E-2</v>
      </c>
      <c r="I772" s="511">
        <f>calcProd1Seg2Comp2Payer3TotalShareR1</f>
        <v>1.3096057142857144E-2</v>
      </c>
    </row>
    <row r="773" spans="1:10">
      <c r="D773" t="s">
        <v>3745</v>
      </c>
      <c r="E773" s="511">
        <f>calcProd1Seg2Comp2Payer3ShareLostR2+calcProd1Seg2Comp2Payer3ShareWonR2</f>
        <v>0</v>
      </c>
      <c r="F773" s="511">
        <f>calcProd1Seg2Comp2Payer3ShareLostR2+calcProd1Seg2Comp2Payer3ShareWonR2</f>
        <v>0</v>
      </c>
      <c r="G773" s="511">
        <f>calcProd1Seg2Comp2Payer3ShareLostR2+calcProd1Seg2Comp2Payer3ShareWonR2</f>
        <v>0</v>
      </c>
      <c r="H773" s="511">
        <f>calcProd1Seg2Comp2Payer3ShareLostR2+calcProd1Seg2Comp2Payer3ShareWonR2</f>
        <v>0</v>
      </c>
      <c r="I773" s="511">
        <f>calcProd1Seg2Comp2Payer3ShareLostR2+calcProd1Seg2Comp2Payer3ShareWonR2</f>
        <v>0</v>
      </c>
    </row>
    <row r="774" spans="1:10">
      <c r="E774" s="511"/>
      <c r="F774" s="511"/>
      <c r="G774" s="511"/>
      <c r="H774" s="511"/>
      <c r="I774" s="511"/>
    </row>
    <row r="775" spans="1:10" s="4" customFormat="1">
      <c r="D775" s="4" t="s">
        <v>1534</v>
      </c>
      <c r="E775" s="569">
        <f>SUM(E772:E774)</f>
        <v>1.3096057142857144E-2</v>
      </c>
      <c r="F775" s="569">
        <f t="shared" ref="F775:I775" si="41">SUM(F772:F774)</f>
        <v>1.3096057142857144E-2</v>
      </c>
      <c r="G775" s="569">
        <f t="shared" si="41"/>
        <v>1.3096057142857144E-2</v>
      </c>
      <c r="H775" s="569">
        <f t="shared" si="41"/>
        <v>1.3096057142857144E-2</v>
      </c>
      <c r="I775" s="569">
        <f t="shared" si="41"/>
        <v>1.3096057142857144E-2</v>
      </c>
      <c r="J775" s="4" t="s">
        <v>2089</v>
      </c>
    </row>
    <row r="776" spans="1:10">
      <c r="A776" s="4" t="str">
        <f>nmProd1Seg3</f>
        <v>Lordfrey City</v>
      </c>
      <c r="E776" s="511"/>
      <c r="F776" s="511"/>
      <c r="G776" s="511"/>
      <c r="H776" s="511"/>
      <c r="I776" s="511"/>
    </row>
    <row r="777" spans="1:10">
      <c r="A777" s="4" t="s">
        <v>622</v>
      </c>
      <c r="B777" t="str">
        <f>nmPayer1</f>
        <v>Blue Sword/Blue Shield</v>
      </c>
      <c r="D777" t="s">
        <v>1486</v>
      </c>
      <c r="E777" s="511">
        <f>obalProd1Seg3Comp2Payer1Share</f>
        <v>3.6799999999999999E-2</v>
      </c>
      <c r="F777" s="511">
        <f>obalProd1Seg3Comp2Payer1Share</f>
        <v>3.6799999999999999E-2</v>
      </c>
      <c r="G777" s="511">
        <f>obalProd1Seg3Comp2Payer1Share</f>
        <v>3.6799999999999999E-2</v>
      </c>
      <c r="H777" s="511">
        <f>obalProd1Seg3Comp2Payer1Share</f>
        <v>3.6799999999999999E-2</v>
      </c>
      <c r="I777" s="511">
        <f>obalProd1Seg3Comp2Payer1Share</f>
        <v>3.6799999999999999E-2</v>
      </c>
    </row>
    <row r="778" spans="1:10">
      <c r="D778" t="s">
        <v>3745</v>
      </c>
      <c r="E778" s="511">
        <f>calcProd1Seg3Comp2Payer1ShareLostR1+calcProd1Seg3Comp2Payer1ShareWonR1</f>
        <v>8.8000000000000025E-4</v>
      </c>
      <c r="F778" s="511">
        <f>calcProd1Seg3Comp2Payer1ShareLostR1+calcProd1Seg3Comp2Payer1ShareWonR1</f>
        <v>8.8000000000000025E-4</v>
      </c>
      <c r="G778" s="511">
        <f>calcProd1Seg3Comp2Payer1ShareLostR1+calcProd1Seg3Comp2Payer1ShareWonR1</f>
        <v>8.8000000000000025E-4</v>
      </c>
      <c r="H778" s="511">
        <f>calcProd1Seg3Comp2Payer1ShareLostR1+calcProd1Seg3Comp2Payer1ShareWonR1</f>
        <v>8.8000000000000025E-4</v>
      </c>
      <c r="I778" s="511">
        <f>calcProd1Seg3Comp2Payer1ShareLostR1+calcProd1Seg3Comp2Payer1ShareWonR1</f>
        <v>8.8000000000000025E-4</v>
      </c>
    </row>
    <row r="779" spans="1:10">
      <c r="E779" s="511"/>
      <c r="F779" s="511"/>
      <c r="G779" s="511"/>
      <c r="H779" s="511"/>
      <c r="I779" s="511"/>
    </row>
    <row r="780" spans="1:10" s="4" customFormat="1">
      <c r="D780" s="4" t="s">
        <v>1534</v>
      </c>
      <c r="E780" s="569">
        <f>SUM(E777:E779)</f>
        <v>3.7679999999999998E-2</v>
      </c>
      <c r="F780" s="569">
        <f t="shared" ref="F780:I780" si="42">SUM(F777:F779)</f>
        <v>3.7679999999999998E-2</v>
      </c>
      <c r="G780" s="569">
        <f t="shared" si="42"/>
        <v>3.7679999999999998E-2</v>
      </c>
      <c r="H780" s="569">
        <f t="shared" si="42"/>
        <v>3.7679999999999998E-2</v>
      </c>
      <c r="I780" s="569">
        <f t="shared" si="42"/>
        <v>3.7679999999999998E-2</v>
      </c>
      <c r="J780" s="4" t="s">
        <v>2090</v>
      </c>
    </row>
    <row r="781" spans="1:10">
      <c r="E781" s="511"/>
      <c r="F781" s="511"/>
      <c r="G781" s="511"/>
      <c r="H781" s="511"/>
      <c r="I781" s="511"/>
    </row>
    <row r="782" spans="1:10">
      <c r="A782" s="4" t="s">
        <v>623</v>
      </c>
      <c r="D782" t="s">
        <v>1486</v>
      </c>
      <c r="E782" s="511">
        <f>calcProd1Seg3Comp2Payer1TotalShareR1</f>
        <v>3.7679999999999998E-2</v>
      </c>
      <c r="F782" s="511">
        <f>calcProd1Seg3Comp2Payer1TotalShareR1</f>
        <v>3.7679999999999998E-2</v>
      </c>
      <c r="G782" s="511">
        <f>calcProd1Seg3Comp2Payer1TotalShareR1</f>
        <v>3.7679999999999998E-2</v>
      </c>
      <c r="H782" s="511">
        <f>calcProd1Seg3Comp2Payer1TotalShareR1</f>
        <v>3.7679999999999998E-2</v>
      </c>
      <c r="I782" s="511">
        <f>calcProd1Seg3Comp2Payer1TotalShareR1</f>
        <v>3.7679999999999998E-2</v>
      </c>
    </row>
    <row r="783" spans="1:10">
      <c r="D783" t="s">
        <v>3745</v>
      </c>
      <c r="E783" s="511">
        <f>calcProd1Seg3Comp2Payer1ShareLostR2+calcProd1Seg3Comp2Payer1ShareWonR2</f>
        <v>0</v>
      </c>
      <c r="F783" s="511">
        <f>calcProd1Seg3Comp2Payer1ShareLostR2+calcProd1Seg3Comp2Payer1ShareWonR2</f>
        <v>0</v>
      </c>
      <c r="G783" s="511">
        <f>calcProd1Seg3Comp2Payer1ShareLostR2+calcProd1Seg3Comp2Payer1ShareWonR2</f>
        <v>0</v>
      </c>
      <c r="H783" s="511">
        <f>calcProd1Seg3Comp2Payer1ShareLostR2+calcProd1Seg3Comp2Payer1ShareWonR2</f>
        <v>0</v>
      </c>
      <c r="I783" s="511">
        <f>calcProd1Seg3Comp2Payer1ShareLostR2+calcProd1Seg3Comp2Payer1ShareWonR2</f>
        <v>0</v>
      </c>
    </row>
    <row r="784" spans="1:10">
      <c r="E784" s="511"/>
      <c r="F784" s="511"/>
      <c r="G784" s="511"/>
      <c r="H784" s="511"/>
      <c r="I784" s="511"/>
    </row>
    <row r="785" spans="1:10" s="4" customFormat="1">
      <c r="D785" s="4" t="s">
        <v>1534</v>
      </c>
      <c r="E785" s="569">
        <f>SUM(E782:E784)</f>
        <v>3.7679999999999998E-2</v>
      </c>
      <c r="F785" s="569">
        <f t="shared" ref="F785:I785" si="43">SUM(F782:F784)</f>
        <v>3.7679999999999998E-2</v>
      </c>
      <c r="G785" s="569">
        <f t="shared" si="43"/>
        <v>3.7679999999999998E-2</v>
      </c>
      <c r="H785" s="569">
        <f t="shared" si="43"/>
        <v>3.7679999999999998E-2</v>
      </c>
      <c r="I785" s="569">
        <f t="shared" si="43"/>
        <v>3.7679999999999998E-2</v>
      </c>
      <c r="J785" s="4" t="s">
        <v>2091</v>
      </c>
    </row>
    <row r="786" spans="1:10">
      <c r="E786" s="511"/>
      <c r="F786" s="511"/>
      <c r="G786" s="511"/>
      <c r="H786" s="511"/>
      <c r="I786" s="511"/>
    </row>
    <row r="787" spans="1:10">
      <c r="A787" s="4" t="s">
        <v>622</v>
      </c>
      <c r="B787" t="str">
        <f>nmPayer2</f>
        <v>WesterAid</v>
      </c>
      <c r="D787" t="s">
        <v>1486</v>
      </c>
      <c r="E787" s="511">
        <f>obalProd1Seg3Comp2Payer2Share</f>
        <v>1.3939393939393939E-2</v>
      </c>
      <c r="F787" s="511">
        <f>obalProd1Seg3Comp2Payer2Share</f>
        <v>1.3939393939393939E-2</v>
      </c>
      <c r="G787" s="511">
        <f>obalProd1Seg3Comp2Payer2Share</f>
        <v>1.3939393939393939E-2</v>
      </c>
      <c r="H787" s="511">
        <f>obalProd1Seg3Comp2Payer2Share</f>
        <v>1.3939393939393939E-2</v>
      </c>
      <c r="I787" s="511">
        <f>obalProd1Seg3Comp2Payer2Share</f>
        <v>1.3939393939393939E-2</v>
      </c>
    </row>
    <row r="788" spans="1:10">
      <c r="D788" t="s">
        <v>3745</v>
      </c>
      <c r="E788" s="511">
        <f>calcProd1Seg3Comp2Payer2ShareLostR1+calcProd1Seg3Comp2Payer2ShareWonR1</f>
        <v>0</v>
      </c>
      <c r="F788" s="511">
        <f>calcProd1Seg3Comp2Payer2ShareLostR1+calcProd1Seg3Comp2Payer2ShareWonR1</f>
        <v>0</v>
      </c>
      <c r="G788" s="511">
        <f>calcProd1Seg3Comp2Payer2ShareLostR1+calcProd1Seg3Comp2Payer2ShareWonR1</f>
        <v>0</v>
      </c>
      <c r="H788" s="511">
        <f>calcProd1Seg3Comp2Payer2ShareLostR1+calcProd1Seg3Comp2Payer2ShareWonR1</f>
        <v>0</v>
      </c>
      <c r="I788" s="511">
        <f>calcProd1Seg3Comp2Payer2ShareLostR1+calcProd1Seg3Comp2Payer2ShareWonR1</f>
        <v>0</v>
      </c>
    </row>
    <row r="789" spans="1:10">
      <c r="E789" s="511"/>
      <c r="F789" s="511"/>
      <c r="G789" s="511"/>
      <c r="H789" s="511"/>
      <c r="I789" s="511"/>
    </row>
    <row r="790" spans="1:10" s="4" customFormat="1">
      <c r="D790" s="4" t="s">
        <v>1534</v>
      </c>
      <c r="E790" s="569">
        <f>SUM(E787:E789)</f>
        <v>1.3939393939393939E-2</v>
      </c>
      <c r="F790" s="569">
        <f t="shared" ref="F790:I790" si="44">SUM(F787:F789)</f>
        <v>1.3939393939393939E-2</v>
      </c>
      <c r="G790" s="569">
        <f t="shared" si="44"/>
        <v>1.3939393939393939E-2</v>
      </c>
      <c r="H790" s="569">
        <f t="shared" si="44"/>
        <v>1.3939393939393939E-2</v>
      </c>
      <c r="I790" s="569">
        <f t="shared" si="44"/>
        <v>1.3939393939393939E-2</v>
      </c>
      <c r="J790" s="4" t="s">
        <v>2092</v>
      </c>
    </row>
    <row r="791" spans="1:10">
      <c r="E791" s="511"/>
      <c r="F791" s="511"/>
      <c r="G791" s="511"/>
      <c r="H791" s="511"/>
      <c r="I791" s="511"/>
    </row>
    <row r="792" spans="1:10">
      <c r="A792" s="4" t="s">
        <v>623</v>
      </c>
      <c r="D792" t="s">
        <v>1486</v>
      </c>
      <c r="E792" s="511">
        <f>calcProd1Seg3Comp2Payer2TotalShareR1</f>
        <v>1.3939393939393939E-2</v>
      </c>
      <c r="F792" s="511">
        <f>calcProd1Seg3Comp2Payer2TotalShareR1</f>
        <v>1.3939393939393939E-2</v>
      </c>
      <c r="G792" s="511">
        <f>calcProd1Seg3Comp2Payer2TotalShareR1</f>
        <v>1.3939393939393939E-2</v>
      </c>
      <c r="H792" s="511">
        <f>calcProd1Seg3Comp2Payer2TotalShareR1</f>
        <v>1.3939393939393939E-2</v>
      </c>
      <c r="I792" s="511">
        <f>calcProd1Seg3Comp2Payer2TotalShareR1</f>
        <v>1.3939393939393939E-2</v>
      </c>
    </row>
    <row r="793" spans="1:10">
      <c r="D793" t="s">
        <v>3745</v>
      </c>
      <c r="E793" s="511">
        <f>calcProd1Seg3Comp2Payer2ShareLostR2+calcProd1Seg3Comp2Payer2ShareWonR2</f>
        <v>0</v>
      </c>
      <c r="F793" s="511">
        <f>calcProd1Seg3Comp2Payer2ShareLostR2+calcProd1Seg3Comp2Payer2ShareWonR2</f>
        <v>0</v>
      </c>
      <c r="G793" s="511">
        <f>calcProd1Seg3Comp2Payer2ShareLostR2+calcProd1Seg3Comp2Payer2ShareWonR2</f>
        <v>0</v>
      </c>
      <c r="H793" s="511">
        <f>calcProd1Seg3Comp2Payer2ShareLostR2+calcProd1Seg3Comp2Payer2ShareWonR2</f>
        <v>0</v>
      </c>
      <c r="I793" s="511">
        <f>calcProd1Seg3Comp2Payer2ShareLostR2+calcProd1Seg3Comp2Payer2ShareWonR2</f>
        <v>0</v>
      </c>
    </row>
    <row r="794" spans="1:10">
      <c r="E794" s="511"/>
      <c r="F794" s="511"/>
      <c r="G794" s="511"/>
      <c r="H794" s="511"/>
      <c r="I794" s="511"/>
    </row>
    <row r="795" spans="1:10" s="4" customFormat="1">
      <c r="D795" s="4" t="s">
        <v>1534</v>
      </c>
      <c r="E795" s="569">
        <f>SUM(E792:E794)</f>
        <v>1.3939393939393939E-2</v>
      </c>
      <c r="F795" s="569">
        <f t="shared" ref="F795:I795" si="45">SUM(F792:F794)</f>
        <v>1.3939393939393939E-2</v>
      </c>
      <c r="G795" s="569">
        <f t="shared" si="45"/>
        <v>1.3939393939393939E-2</v>
      </c>
      <c r="H795" s="569">
        <f t="shared" si="45"/>
        <v>1.3939393939393939E-2</v>
      </c>
      <c r="I795" s="569">
        <f t="shared" si="45"/>
        <v>1.3939393939393939E-2</v>
      </c>
      <c r="J795" s="4" t="s">
        <v>2093</v>
      </c>
    </row>
    <row r="796" spans="1:10">
      <c r="E796" s="511"/>
      <c r="F796" s="511"/>
      <c r="G796" s="511"/>
      <c r="H796" s="511"/>
      <c r="I796" s="511"/>
    </row>
    <row r="797" spans="1:10">
      <c r="A797" s="4" t="s">
        <v>622</v>
      </c>
      <c r="B797" t="str">
        <f>nmPayer3</f>
        <v>Dragon Health</v>
      </c>
      <c r="D797" t="s">
        <v>1486</v>
      </c>
      <c r="E797" s="511">
        <f>obalProd1Seg3Comp2Payer3Share</f>
        <v>2.4210526315789474E-2</v>
      </c>
      <c r="F797" s="511">
        <f>obalProd1Seg3Comp2Payer3Share</f>
        <v>2.4210526315789474E-2</v>
      </c>
      <c r="G797" s="511">
        <f>obalProd1Seg3Comp2Payer3Share</f>
        <v>2.4210526315789474E-2</v>
      </c>
      <c r="H797" s="511">
        <f>obalProd1Seg3Comp2Payer3Share</f>
        <v>2.4210526315789474E-2</v>
      </c>
      <c r="I797" s="511">
        <f>obalProd1Seg3Comp2Payer3Share</f>
        <v>2.4210526315789474E-2</v>
      </c>
    </row>
    <row r="798" spans="1:10">
      <c r="D798" t="s">
        <v>3745</v>
      </c>
      <c r="E798" s="511">
        <f>calcProd1Seg3Comp2Payer3ShareLostR1+calcProd1Seg3Comp2Payer3ShareWonR1</f>
        <v>7.1999999999999983E-4</v>
      </c>
      <c r="F798" s="511">
        <f>calcProd1Seg3Comp2Payer3ShareLostR1+calcProd1Seg3Comp2Payer3ShareWonR1</f>
        <v>7.1999999999999983E-4</v>
      </c>
      <c r="G798" s="511">
        <f>calcProd1Seg3Comp2Payer3ShareLostR1+calcProd1Seg3Comp2Payer3ShareWonR1</f>
        <v>7.1999999999999983E-4</v>
      </c>
      <c r="H798" s="511">
        <f>calcProd1Seg3Comp2Payer3ShareLostR1+calcProd1Seg3Comp2Payer3ShareWonR1</f>
        <v>7.1999999999999983E-4</v>
      </c>
      <c r="I798" s="511">
        <f>calcProd1Seg3Comp2Payer3ShareLostR1+calcProd1Seg3Comp2Payer3ShareWonR1</f>
        <v>7.1999999999999983E-4</v>
      </c>
    </row>
    <row r="799" spans="1:10">
      <c r="E799" s="511"/>
      <c r="F799" s="511"/>
      <c r="G799" s="511"/>
      <c r="H799" s="511"/>
      <c r="I799" s="511"/>
    </row>
    <row r="800" spans="1:10" s="4" customFormat="1">
      <c r="D800" s="4" t="s">
        <v>1534</v>
      </c>
      <c r="E800" s="569">
        <f>SUM(E797:E799)</f>
        <v>2.4930526315789472E-2</v>
      </c>
      <c r="F800" s="569">
        <f t="shared" ref="F800:I800" si="46">SUM(F797:F799)</f>
        <v>2.4930526315789472E-2</v>
      </c>
      <c r="G800" s="569">
        <f t="shared" si="46"/>
        <v>2.4930526315789472E-2</v>
      </c>
      <c r="H800" s="569">
        <f t="shared" si="46"/>
        <v>2.4930526315789472E-2</v>
      </c>
      <c r="I800" s="569">
        <f t="shared" si="46"/>
        <v>2.4930526315789472E-2</v>
      </c>
      <c r="J800" s="4" t="s">
        <v>2094</v>
      </c>
    </row>
    <row r="801" spans="1:10">
      <c r="E801" s="511"/>
      <c r="F801" s="511"/>
      <c r="G801" s="511"/>
      <c r="H801" s="511"/>
      <c r="I801" s="511"/>
    </row>
    <row r="802" spans="1:10">
      <c r="A802" s="4" t="s">
        <v>623</v>
      </c>
      <c r="D802" t="s">
        <v>1486</v>
      </c>
      <c r="E802" s="511">
        <f>calcProd1Seg3Comp2Payer3TotalShareR1</f>
        <v>2.4930526315789472E-2</v>
      </c>
      <c r="F802" s="511">
        <f>calcProd1Seg3Comp2Payer3TotalShareR1</f>
        <v>2.4930526315789472E-2</v>
      </c>
      <c r="G802" s="511">
        <f>calcProd1Seg3Comp2Payer3TotalShareR1</f>
        <v>2.4930526315789472E-2</v>
      </c>
      <c r="H802" s="511">
        <f>calcProd1Seg3Comp2Payer3TotalShareR1</f>
        <v>2.4930526315789472E-2</v>
      </c>
      <c r="I802" s="511">
        <f>calcProd1Seg3Comp2Payer3TotalShareR1</f>
        <v>2.4930526315789472E-2</v>
      </c>
    </row>
    <row r="803" spans="1:10">
      <c r="D803" t="s">
        <v>3745</v>
      </c>
      <c r="E803" s="511">
        <f>calcProd1Seg3Comp2Payer3ShareLostR2+calcProd1Seg3Comp2Payer3ShareWonR2</f>
        <v>0</v>
      </c>
      <c r="F803" s="511">
        <f>calcProd1Seg3Comp2Payer3ShareLostR2+calcProd1Seg3Comp2Payer3ShareWonR2</f>
        <v>0</v>
      </c>
      <c r="G803" s="511">
        <f>calcProd1Seg3Comp2Payer3ShareLostR2+calcProd1Seg3Comp2Payer3ShareWonR2</f>
        <v>0</v>
      </c>
      <c r="H803" s="511">
        <f>calcProd1Seg3Comp2Payer3ShareLostR2+calcProd1Seg3Comp2Payer3ShareWonR2</f>
        <v>0</v>
      </c>
      <c r="I803" s="511">
        <f>calcProd1Seg3Comp2Payer3ShareLostR2+calcProd1Seg3Comp2Payer3ShareWonR2</f>
        <v>0</v>
      </c>
    </row>
    <row r="804" spans="1:10">
      <c r="E804" s="511"/>
      <c r="F804" s="511"/>
      <c r="G804" s="511"/>
      <c r="H804" s="511"/>
      <c r="I804" s="511"/>
    </row>
    <row r="805" spans="1:10" s="4" customFormat="1">
      <c r="D805" s="4" t="s">
        <v>1534</v>
      </c>
      <c r="E805" s="569">
        <f>SUM(E802:E804)</f>
        <v>2.4930526315789472E-2</v>
      </c>
      <c r="F805" s="569">
        <f t="shared" ref="F805:I805" si="47">SUM(F802:F804)</f>
        <v>2.4930526315789472E-2</v>
      </c>
      <c r="G805" s="569">
        <f t="shared" si="47"/>
        <v>2.4930526315789472E-2</v>
      </c>
      <c r="H805" s="569">
        <f t="shared" si="47"/>
        <v>2.4930526315789472E-2</v>
      </c>
      <c r="I805" s="569">
        <f t="shared" si="47"/>
        <v>2.4930526315789472E-2</v>
      </c>
      <c r="J805" s="4" t="s">
        <v>2095</v>
      </c>
    </row>
    <row r="807" spans="1:10">
      <c r="A807" s="4" t="s">
        <v>1945</v>
      </c>
    </row>
    <row r="808" spans="1:10">
      <c r="A808" t="s">
        <v>622</v>
      </c>
      <c r="B808" s="4" t="str">
        <f>nmProd1Seg1</f>
        <v>Riverrun Central</v>
      </c>
    </row>
    <row r="809" spans="1:10">
      <c r="B809" s="4"/>
      <c r="C809" t="str">
        <f>nmPayer1</f>
        <v>Blue Sword/Blue Shield</v>
      </c>
      <c r="E809">
        <f>(calcProd1Seg1Comp1Payer1TotalShareR1*calcProd1Seg1Payer1TotalVolumeR1)</f>
        <v>217.17903126528</v>
      </c>
      <c r="F809">
        <f>(calcProd1Seg1Comp1Payer1TotalShareR1*calcProd1Seg1Payer1TotalVolumeR1)</f>
        <v>217.17903126528</v>
      </c>
      <c r="G809">
        <f>(calcProd1Seg1Comp1Payer1TotalShareR1*calcProd1Seg1Payer1TotalVolumeR1)</f>
        <v>217.17903126528</v>
      </c>
      <c r="H809">
        <f>(calcProd1Seg1Comp1Payer1TotalShareR1*calcProd1Seg1Payer1TotalVolumeR1)</f>
        <v>217.17903126528</v>
      </c>
      <c r="I809">
        <f>(calcProd1Seg1Comp1Payer1TotalShareR1*calcProd1Seg1Payer1TotalVolumeR1)</f>
        <v>217.17903126528</v>
      </c>
      <c r="J809" t="s">
        <v>2232</v>
      </c>
    </row>
    <row r="810" spans="1:10">
      <c r="B810" s="4"/>
      <c r="C810" t="str">
        <f>nmPayer2</f>
        <v>WesterAid</v>
      </c>
      <c r="E810">
        <f>(calcProd1Seg1Comp1Payer2TotalShareR1*calcProd1Seg1Payer2TotalVolumeR1)</f>
        <v>108.65372636159999</v>
      </c>
      <c r="F810">
        <f>(calcProd1Seg1Comp1Payer2TotalShareR1*calcProd1Seg1Payer2TotalVolumeR1)</f>
        <v>108.65372636159999</v>
      </c>
      <c r="G810">
        <f>(calcProd1Seg1Comp1Payer2TotalShareR1*calcProd1Seg1Payer2TotalVolumeR1)</f>
        <v>108.65372636159999</v>
      </c>
      <c r="H810">
        <f>(calcProd1Seg1Comp1Payer2TotalShareR1*calcProd1Seg1Payer2TotalVolumeR1)</f>
        <v>108.65372636159999</v>
      </c>
      <c r="I810">
        <f>(calcProd1Seg1Comp1Payer2TotalShareR1*calcProd1Seg1Payer2TotalVolumeR1)</f>
        <v>108.65372636159999</v>
      </c>
      <c r="J810" t="s">
        <v>2233</v>
      </c>
    </row>
    <row r="811" spans="1:10">
      <c r="B811" s="4"/>
      <c r="C811" t="str">
        <f>nmPayer3</f>
        <v>Dragon Health</v>
      </c>
      <c r="E811">
        <f>(calcProd1Seg1Comp1Payer3TotalShareR1*calcProd1Seg1Payer3TotalVolumeR1)</f>
        <v>108.82495497216</v>
      </c>
      <c r="F811">
        <f>(calcProd1Seg1Comp1Payer3TotalShareR1*calcProd1Seg1Payer3TotalVolumeR1)</f>
        <v>108.82495497216</v>
      </c>
      <c r="G811">
        <f>(calcProd1Seg1Comp1Payer3TotalShareR1*calcProd1Seg1Payer3TotalVolumeR1)</f>
        <v>108.82495497216</v>
      </c>
      <c r="H811">
        <f>(calcProd1Seg1Comp1Payer3TotalShareR1*calcProd1Seg1Payer3TotalVolumeR1)</f>
        <v>108.82495497216</v>
      </c>
      <c r="I811">
        <f>(calcProd1Seg1Comp1Payer3TotalShareR1*calcProd1Seg1Payer3TotalVolumeR1)</f>
        <v>108.82495497216</v>
      </c>
      <c r="J811" t="s">
        <v>2234</v>
      </c>
    </row>
    <row r="812" spans="1:10" s="4" customFormat="1">
      <c r="C812" s="4" t="s">
        <v>1860</v>
      </c>
      <c r="E812" s="457">
        <f>calcProd1Seg1Comp1Payer1TotalCustR1+calcProd1Seg1Comp1Payer2TotalCustR1+calcProd1Seg1Comp1Payer3TotalCustR1</f>
        <v>434.65771259904</v>
      </c>
      <c r="F812" s="457">
        <f>calcProd1Seg1Comp1Payer1TotalCustR1+calcProd1Seg1Comp1Payer2TotalCustR1+calcProd1Seg1Comp1Payer3TotalCustR1</f>
        <v>434.65771259904</v>
      </c>
      <c r="G812" s="457">
        <f>calcProd1Seg1Comp1Payer1TotalCustR1+calcProd1Seg1Comp1Payer2TotalCustR1+calcProd1Seg1Comp1Payer3TotalCustR1</f>
        <v>434.65771259904</v>
      </c>
      <c r="H812" s="457">
        <f>calcProd1Seg1Comp1Payer1TotalCustR1+calcProd1Seg1Comp1Payer2TotalCustR1+calcProd1Seg1Comp1Payer3TotalCustR1</f>
        <v>434.65771259904</v>
      </c>
      <c r="I812" s="457">
        <f>calcProd1Seg1Comp1Payer1TotalCustR1+calcProd1Seg1Comp1Payer2TotalCustR1+calcProd1Seg1Comp1Payer3TotalCustR1</f>
        <v>434.65771259904</v>
      </c>
      <c r="J812" s="4" t="s">
        <v>2235</v>
      </c>
    </row>
    <row r="813" spans="1:10">
      <c r="B813" s="4"/>
      <c r="E813" s="511">
        <f>calcProd1Seg1Comp1TotalCustR1/calcProd1Seg1TotalVolumeR1</f>
        <v>9.0978559999999979E-3</v>
      </c>
      <c r="F813" s="511">
        <f>calcProd1Seg1Comp1TotalCustR1/calcProd1Seg1TotalVolumeR1</f>
        <v>9.0978559999999979E-3</v>
      </c>
      <c r="G813" s="511">
        <f>calcProd1Seg1Comp1TotalCustR1/calcProd1Seg1TotalVolumeR1</f>
        <v>9.0978559999999979E-3</v>
      </c>
      <c r="H813" s="511">
        <f>calcProd1Seg1Comp1TotalCustR1/calcProd1Seg1TotalVolumeR1</f>
        <v>9.0978559999999979E-3</v>
      </c>
      <c r="I813" s="511">
        <f>calcProd1Seg1Comp1TotalCustR1/calcProd1Seg1TotalVolumeR1</f>
        <v>9.0978559999999979E-3</v>
      </c>
      <c r="J813" t="s">
        <v>2236</v>
      </c>
    </row>
    <row r="814" spans="1:10">
      <c r="A814" s="510" t="s">
        <v>623</v>
      </c>
      <c r="B814" s="4"/>
      <c r="C814" t="str">
        <f>nmPayer1</f>
        <v>Blue Sword/Blue Shield</v>
      </c>
      <c r="E814">
        <f>(calcProd1Seg1Comp1Payer1TotalShareR2*calcProd1Seg1Payer1TotalVolumeR2)</f>
        <v>254.43075662807038</v>
      </c>
      <c r="F814">
        <f>(calcProd1Seg1Comp1Payer1TotalShareR2*calcProd1Seg1Payer1TotalVolumeR2)</f>
        <v>254.43075662807038</v>
      </c>
      <c r="G814">
        <f>(calcProd1Seg1Comp1Payer1TotalShareR2*calcProd1Seg1Payer1TotalVolumeR2)</f>
        <v>254.43075662807038</v>
      </c>
      <c r="H814">
        <f>(calcProd1Seg1Comp1Payer1TotalShareR2*calcProd1Seg1Payer1TotalVolumeR2)</f>
        <v>254.43075662807038</v>
      </c>
      <c r="I814">
        <f>(calcProd1Seg1Comp1Payer1TotalShareR2*calcProd1Seg1Payer1TotalVolumeR2)</f>
        <v>254.43075662807038</v>
      </c>
      <c r="J814" t="s">
        <v>2237</v>
      </c>
    </row>
    <row r="815" spans="1:10">
      <c r="B815" s="4"/>
      <c r="C815" t="str">
        <f>nmPayer2</f>
        <v>WesterAid</v>
      </c>
      <c r="E815">
        <f>(calcProd1Seg1Comp1Payer2TotalShareR2*calcProd1Seg1Payer2TotalVolumeR2)</f>
        <v>127.29060281548797</v>
      </c>
      <c r="F815">
        <f>(calcProd1Seg1Comp1Payer2TotalShareR2*calcProd1Seg1Payer2TotalVolumeR2)</f>
        <v>127.29060281548797</v>
      </c>
      <c r="G815">
        <f>(calcProd1Seg1Comp1Payer2TotalShareR2*calcProd1Seg1Payer2TotalVolumeR2)</f>
        <v>127.29060281548797</v>
      </c>
      <c r="H815">
        <f>(calcProd1Seg1Comp1Payer2TotalShareR2*calcProd1Seg1Payer2TotalVolumeR2)</f>
        <v>127.29060281548797</v>
      </c>
      <c r="I815">
        <f>(calcProd1Seg1Comp1Payer2TotalShareR2*calcProd1Seg1Payer2TotalVolumeR2)</f>
        <v>127.29060281548797</v>
      </c>
      <c r="J815" t="s">
        <v>2238</v>
      </c>
    </row>
    <row r="816" spans="1:10">
      <c r="B816" s="4"/>
      <c r="C816" t="str">
        <f>nmPayer3</f>
        <v>Dragon Health</v>
      </c>
      <c r="E816">
        <f>(calcProd1Seg1Comp1Payer3TotalShareR2*calcProd1Seg1Payer3TotalVolumeR2)</f>
        <v>127.4912014860288</v>
      </c>
      <c r="F816">
        <f>(calcProd1Seg1Comp1Payer3TotalShareR2*calcProd1Seg1Payer3TotalVolumeR2)</f>
        <v>127.4912014860288</v>
      </c>
      <c r="G816">
        <f>(calcProd1Seg1Comp1Payer3TotalShareR2*calcProd1Seg1Payer3TotalVolumeR2)</f>
        <v>127.4912014860288</v>
      </c>
      <c r="H816">
        <f>(calcProd1Seg1Comp1Payer3TotalShareR2*calcProd1Seg1Payer3TotalVolumeR2)</f>
        <v>127.4912014860288</v>
      </c>
      <c r="I816">
        <f>(calcProd1Seg1Comp1Payer3TotalShareR2*calcProd1Seg1Payer3TotalVolumeR2)</f>
        <v>127.4912014860288</v>
      </c>
      <c r="J816" t="s">
        <v>2239</v>
      </c>
    </row>
    <row r="817" spans="1:10" s="4" customFormat="1">
      <c r="C817" s="4" t="s">
        <v>1860</v>
      </c>
      <c r="E817" s="457">
        <f>calcProd1Seg1Comp1Payer1TotalCustR2+calcProd1Seg1Comp1Payer2TotalCustR2+calcProd1Seg1Comp1Payer3TotalCustR2</f>
        <v>509.21256092958714</v>
      </c>
      <c r="F817" s="457">
        <f>calcProd1Seg1Comp1Payer1TotalCustR2+calcProd1Seg1Comp1Payer2TotalCustR2+calcProd1Seg1Comp1Payer3TotalCustR2</f>
        <v>509.21256092958714</v>
      </c>
      <c r="G817" s="457">
        <f>calcProd1Seg1Comp1Payer1TotalCustR2+calcProd1Seg1Comp1Payer2TotalCustR2+calcProd1Seg1Comp1Payer3TotalCustR2</f>
        <v>509.21256092958714</v>
      </c>
      <c r="H817" s="457">
        <f>calcProd1Seg1Comp1Payer1TotalCustR2+calcProd1Seg1Comp1Payer2TotalCustR2+calcProd1Seg1Comp1Payer3TotalCustR2</f>
        <v>509.21256092958714</v>
      </c>
      <c r="I817" s="457">
        <f>calcProd1Seg1Comp1Payer1TotalCustR2+calcProd1Seg1Comp1Payer2TotalCustR2+calcProd1Seg1Comp1Payer3TotalCustR2</f>
        <v>509.21256092958714</v>
      </c>
      <c r="J817" s="4" t="s">
        <v>2240</v>
      </c>
    </row>
    <row r="818" spans="1:10">
      <c r="B818" s="4"/>
      <c r="E818" s="511">
        <f>calcProd1Seg1Comp1TotalCustR2/calcProd1Seg1TotalVolumeR2</f>
        <v>9.0978559999999997E-3</v>
      </c>
      <c r="F818" s="511">
        <f>calcProd1Seg1Comp1TotalCustR2/calcProd1Seg1TotalVolumeR2</f>
        <v>9.0978559999999997E-3</v>
      </c>
      <c r="G818" s="511">
        <f>calcProd1Seg1Comp1TotalCustR2/calcProd1Seg1TotalVolumeR2</f>
        <v>9.0978559999999997E-3</v>
      </c>
      <c r="H818" s="511">
        <f>calcProd1Seg1Comp1TotalCustR2/calcProd1Seg1TotalVolumeR2</f>
        <v>9.0978559999999997E-3</v>
      </c>
      <c r="I818" s="511">
        <f>calcProd1Seg1Comp1TotalCustR2/calcProd1Seg1TotalVolumeR2</f>
        <v>9.0978559999999997E-3</v>
      </c>
      <c r="J818" t="s">
        <v>2241</v>
      </c>
    </row>
    <row r="819" spans="1:10">
      <c r="A819" t="s">
        <v>622</v>
      </c>
      <c r="B819" s="4" t="str">
        <f>nmProd1Seg2</f>
        <v>Tullyville</v>
      </c>
    </row>
    <row r="820" spans="1:10">
      <c r="B820" s="4"/>
      <c r="C820" t="str">
        <f>nmPayer1</f>
        <v>Blue Sword/Blue Shield</v>
      </c>
      <c r="E820">
        <f>(calcProd1Seg2Comp1Payer1TotalShareR1*calcProd1Seg2Payer1TotalVolumeR1)</f>
        <v>182.18876074559998</v>
      </c>
      <c r="F820">
        <f>(calcProd1Seg2Comp1Payer1TotalShareR1*calcProd1Seg2Payer1TotalVolumeR1)</f>
        <v>182.18876074559998</v>
      </c>
      <c r="G820">
        <f>(calcProd1Seg2Comp1Payer1TotalShareR1*calcProd1Seg2Payer1TotalVolumeR1)</f>
        <v>182.18876074559998</v>
      </c>
      <c r="H820">
        <f>(calcProd1Seg2Comp1Payer1TotalShareR1*calcProd1Seg2Payer1TotalVolumeR1)</f>
        <v>182.18876074559998</v>
      </c>
      <c r="I820">
        <f>(calcProd1Seg2Comp1Payer1TotalShareR1*calcProd1Seg2Payer1TotalVolumeR1)</f>
        <v>182.18876074559998</v>
      </c>
      <c r="J820" t="s">
        <v>2242</v>
      </c>
    </row>
    <row r="821" spans="1:10">
      <c r="B821" s="4"/>
      <c r="C821" t="str">
        <f>nmPayer2</f>
        <v>WesterAid</v>
      </c>
      <c r="E821">
        <f>(calcProd1Seg2Comp1Payer2TotalShareR1*calcProd1Seg2Payer2TotalVolumeR1)</f>
        <v>91.365552801600003</v>
      </c>
      <c r="F821">
        <f>(calcProd1Seg2Comp1Payer2TotalShareR1*calcProd1Seg2Payer2TotalVolumeR1)</f>
        <v>91.365552801600003</v>
      </c>
      <c r="G821">
        <f>(calcProd1Seg2Comp1Payer2TotalShareR1*calcProd1Seg2Payer2TotalVolumeR1)</f>
        <v>91.365552801600003</v>
      </c>
      <c r="H821">
        <f>(calcProd1Seg2Comp1Payer2TotalShareR1*calcProd1Seg2Payer2TotalVolumeR1)</f>
        <v>91.365552801600003</v>
      </c>
      <c r="I821">
        <f>(calcProd1Seg2Comp1Payer2TotalShareR1*calcProd1Seg2Payer2TotalVolumeR1)</f>
        <v>91.365552801600003</v>
      </c>
      <c r="J821" t="s">
        <v>2243</v>
      </c>
    </row>
    <row r="822" spans="1:10">
      <c r="B822" s="4"/>
      <c r="C822" t="str">
        <f>nmPayer3</f>
        <v>Dragon Health</v>
      </c>
      <c r="E822">
        <f>(calcProd1Seg2Comp1Payer3TotalShareR1*calcProd1Seg2Payer3TotalVolumeR1)</f>
        <v>90.145276871999968</v>
      </c>
      <c r="F822">
        <f>(calcProd1Seg2Comp1Payer3TotalShareR1*calcProd1Seg2Payer3TotalVolumeR1)</f>
        <v>90.145276871999968</v>
      </c>
      <c r="G822">
        <f>(calcProd1Seg2Comp1Payer3TotalShareR1*calcProd1Seg2Payer3TotalVolumeR1)</f>
        <v>90.145276871999968</v>
      </c>
      <c r="H822">
        <f>(calcProd1Seg2Comp1Payer3TotalShareR1*calcProd1Seg2Payer3TotalVolumeR1)</f>
        <v>90.145276871999968</v>
      </c>
      <c r="I822">
        <f>(calcProd1Seg2Comp1Payer3TotalShareR1*calcProd1Seg2Payer3TotalVolumeR1)</f>
        <v>90.145276871999968</v>
      </c>
      <c r="J822" t="s">
        <v>2244</v>
      </c>
    </row>
    <row r="823" spans="1:10" s="4" customFormat="1">
      <c r="C823" s="4" t="s">
        <v>1860</v>
      </c>
      <c r="E823" s="457">
        <f>calcProd1Seg2Comp1Payer1TotalCustR1+calcProd1Seg2Comp1Payer2TotalCustR1+calcProd1Seg2Comp1Payer3TotalCustR1</f>
        <v>363.69959041919992</v>
      </c>
      <c r="F823" s="457">
        <f>calcProd1Seg2Comp1Payer1TotalCustR1+calcProd1Seg2Comp1Payer2TotalCustR1+calcProd1Seg2Comp1Payer3TotalCustR1</f>
        <v>363.69959041919992</v>
      </c>
      <c r="G823" s="457">
        <f>calcProd1Seg2Comp1Payer1TotalCustR1+calcProd1Seg2Comp1Payer2TotalCustR1+calcProd1Seg2Comp1Payer3TotalCustR1</f>
        <v>363.69959041919992</v>
      </c>
      <c r="H823" s="457">
        <f>calcProd1Seg2Comp1Payer1TotalCustR1+calcProd1Seg2Comp1Payer2TotalCustR1+calcProd1Seg2Comp1Payer3TotalCustR1</f>
        <v>363.69959041919992</v>
      </c>
      <c r="I823" s="457">
        <f>calcProd1Seg2Comp1Payer1TotalCustR1+calcProd1Seg2Comp1Payer2TotalCustR1+calcProd1Seg2Comp1Payer3TotalCustR1</f>
        <v>363.69959041919992</v>
      </c>
      <c r="J823" s="4" t="s">
        <v>2245</v>
      </c>
    </row>
    <row r="824" spans="1:10">
      <c r="B824" s="4"/>
      <c r="E824" s="511">
        <f>calcProd1Seg2Comp1TotalCustR1/calcProd1Seg2TotalVolumeR1</f>
        <v>9.2990666666666662E-3</v>
      </c>
      <c r="F824" s="511">
        <f>calcProd1Seg2Comp1TotalCustR1/calcProd1Seg2TotalVolumeR1</f>
        <v>9.2990666666666662E-3</v>
      </c>
      <c r="G824" s="511">
        <f>calcProd1Seg2Comp1TotalCustR1/calcProd1Seg2TotalVolumeR1</f>
        <v>9.2990666666666662E-3</v>
      </c>
      <c r="H824" s="511">
        <f>calcProd1Seg2Comp1TotalCustR1/calcProd1Seg2TotalVolumeR1</f>
        <v>9.2990666666666662E-3</v>
      </c>
      <c r="I824" s="511">
        <f>calcProd1Seg2Comp1TotalCustR1/calcProd1Seg2TotalVolumeR1</f>
        <v>9.2990666666666662E-3</v>
      </c>
      <c r="J824" t="s">
        <v>2246</v>
      </c>
    </row>
    <row r="825" spans="1:10">
      <c r="A825" s="510" t="s">
        <v>623</v>
      </c>
      <c r="B825" s="4"/>
      <c r="C825" t="str">
        <f>nmPayer1</f>
        <v>Blue Sword/Blue Shield</v>
      </c>
      <c r="E825">
        <f>(calcProd1Seg2Comp1Payer1TotalShareR2*calcProd1Seg2Payer1TotalVolumeR2)</f>
        <v>207.93282476399997</v>
      </c>
      <c r="F825">
        <f>(calcProd1Seg2Comp1Payer1TotalShareR2*calcProd1Seg2Payer1TotalVolumeR2)</f>
        <v>207.93282476399997</v>
      </c>
      <c r="G825">
        <f>(calcProd1Seg2Comp1Payer1TotalShareR2*calcProd1Seg2Payer1TotalVolumeR2)</f>
        <v>207.93282476399997</v>
      </c>
      <c r="H825">
        <f>(calcProd1Seg2Comp1Payer1TotalShareR2*calcProd1Seg2Payer1TotalVolumeR2)</f>
        <v>207.93282476399997</v>
      </c>
      <c r="I825">
        <f>(calcProd1Seg2Comp1Payer1TotalShareR2*calcProd1Seg2Payer1TotalVolumeR2)</f>
        <v>207.93282476399997</v>
      </c>
      <c r="J825" t="s">
        <v>2247</v>
      </c>
    </row>
    <row r="826" spans="1:10">
      <c r="B826" s="4"/>
      <c r="C826" t="str">
        <f>nmPayer2</f>
        <v>WesterAid</v>
      </c>
      <c r="E826">
        <f>(calcProd1Seg2Comp1Payer2TotalShareR2*calcProd1Seg2Payer2TotalVolumeR2)</f>
        <v>104.27590265399998</v>
      </c>
      <c r="F826">
        <f>(calcProd1Seg2Comp1Payer2TotalShareR2*calcProd1Seg2Payer2TotalVolumeR2)</f>
        <v>104.27590265399998</v>
      </c>
      <c r="G826">
        <f>(calcProd1Seg2Comp1Payer2TotalShareR2*calcProd1Seg2Payer2TotalVolumeR2)</f>
        <v>104.27590265399998</v>
      </c>
      <c r="H826">
        <f>(calcProd1Seg2Comp1Payer2TotalShareR2*calcProd1Seg2Payer2TotalVolumeR2)</f>
        <v>104.27590265399998</v>
      </c>
      <c r="I826">
        <f>(calcProd1Seg2Comp1Payer2TotalShareR2*calcProd1Seg2Payer2TotalVolumeR2)</f>
        <v>104.27590265399998</v>
      </c>
      <c r="J826" t="s">
        <v>2248</v>
      </c>
    </row>
    <row r="827" spans="1:10">
      <c r="B827" s="4"/>
      <c r="C827" t="str">
        <f>nmPayer3</f>
        <v>Dragon Health</v>
      </c>
      <c r="E827">
        <f>(calcProd1Seg2Comp1Payer3TotalShareR2*calcProd1Seg2Payer3TotalVolumeR2)</f>
        <v>102.88319643</v>
      </c>
      <c r="F827">
        <f>(calcProd1Seg2Comp1Payer3TotalShareR2*calcProd1Seg2Payer3TotalVolumeR2)</f>
        <v>102.88319643</v>
      </c>
      <c r="G827">
        <f>(calcProd1Seg2Comp1Payer3TotalShareR2*calcProd1Seg2Payer3TotalVolumeR2)</f>
        <v>102.88319643</v>
      </c>
      <c r="H827">
        <f>(calcProd1Seg2Comp1Payer3TotalShareR2*calcProd1Seg2Payer3TotalVolumeR2)</f>
        <v>102.88319643</v>
      </c>
      <c r="I827">
        <f>(calcProd1Seg2Comp1Payer3TotalShareR2*calcProd1Seg2Payer3TotalVolumeR2)</f>
        <v>102.88319643</v>
      </c>
      <c r="J827" t="s">
        <v>2249</v>
      </c>
    </row>
    <row r="828" spans="1:10" s="4" customFormat="1">
      <c r="C828" s="4" t="s">
        <v>1860</v>
      </c>
      <c r="E828" s="457">
        <f>calcProd1Seg2Comp1Payer1TotalCustR2+calcProd1Seg2Comp1Payer2TotalCustR2+calcProd1Seg2Comp1Payer3TotalCustR2</f>
        <v>415.09192384799996</v>
      </c>
      <c r="F828" s="457">
        <f>calcProd1Seg2Comp1Payer1TotalCustR2+calcProd1Seg2Comp1Payer2TotalCustR2+calcProd1Seg2Comp1Payer3TotalCustR2</f>
        <v>415.09192384799996</v>
      </c>
      <c r="G828" s="457">
        <f>calcProd1Seg2Comp1Payer1TotalCustR2+calcProd1Seg2Comp1Payer2TotalCustR2+calcProd1Seg2Comp1Payer3TotalCustR2</f>
        <v>415.09192384799996</v>
      </c>
      <c r="H828" s="457">
        <f>calcProd1Seg2Comp1Payer1TotalCustR2+calcProd1Seg2Comp1Payer2TotalCustR2+calcProd1Seg2Comp1Payer3TotalCustR2</f>
        <v>415.09192384799996</v>
      </c>
      <c r="I828" s="457">
        <f>calcProd1Seg2Comp1Payer1TotalCustR2+calcProd1Seg2Comp1Payer2TotalCustR2+calcProd1Seg2Comp1Payer3TotalCustR2</f>
        <v>415.09192384799996</v>
      </c>
      <c r="J828" s="4" t="s">
        <v>2250</v>
      </c>
    </row>
    <row r="829" spans="1:10">
      <c r="B829" s="4"/>
      <c r="E829" s="511">
        <f>calcProd1Seg2Comp1TotalCustR2/calcProd1Seg2TotalVolumeR2</f>
        <v>9.2990666666666662E-3</v>
      </c>
      <c r="F829" s="511">
        <f>calcProd1Seg2Comp1TotalCustR2/calcProd1Seg2TotalVolumeR2</f>
        <v>9.2990666666666662E-3</v>
      </c>
      <c r="G829" s="511">
        <f>calcProd1Seg2Comp1TotalCustR2/calcProd1Seg2TotalVolumeR2</f>
        <v>9.2990666666666662E-3</v>
      </c>
      <c r="H829" s="511">
        <f>calcProd1Seg2Comp1TotalCustR2/calcProd1Seg2TotalVolumeR2</f>
        <v>9.2990666666666662E-3</v>
      </c>
      <c r="I829" s="511">
        <f>calcProd1Seg2Comp1TotalCustR2/calcProd1Seg2TotalVolumeR2</f>
        <v>9.2990666666666662E-3</v>
      </c>
      <c r="J829" t="s">
        <v>2251</v>
      </c>
    </row>
    <row r="830" spans="1:10">
      <c r="A830" t="s">
        <v>622</v>
      </c>
      <c r="B830" s="4" t="str">
        <f>nmProd1Seg3</f>
        <v>Lordfrey City</v>
      </c>
    </row>
    <row r="831" spans="1:10">
      <c r="B831" s="4"/>
      <c r="C831" t="str">
        <f>nmPayer1</f>
        <v>Blue Sword/Blue Shield</v>
      </c>
      <c r="E831">
        <f>(calcProd1Seg3Comp1Payer1TotalShareR1*calcProd1Seg3Payer1TotalVolumeR1)</f>
        <v>137.18009199999995</v>
      </c>
      <c r="F831">
        <f>(calcProd1Seg3Comp1Payer1TotalShareR1*calcProd1Seg3Payer1TotalVolumeR1)</f>
        <v>137.18009199999995</v>
      </c>
      <c r="G831">
        <f>(calcProd1Seg3Comp1Payer1TotalShareR1*calcProd1Seg3Payer1TotalVolumeR1)</f>
        <v>137.18009199999995</v>
      </c>
      <c r="H831">
        <f>(calcProd1Seg3Comp1Payer1TotalShareR1*calcProd1Seg3Payer1TotalVolumeR1)</f>
        <v>137.18009199999995</v>
      </c>
      <c r="I831">
        <f>(calcProd1Seg3Comp1Payer1TotalShareR1*calcProd1Seg3Payer1TotalVolumeR1)</f>
        <v>137.18009199999995</v>
      </c>
      <c r="J831" t="s">
        <v>2252</v>
      </c>
    </row>
    <row r="832" spans="1:10">
      <c r="B832" s="4"/>
      <c r="C832" t="str">
        <f>nmPayer2</f>
        <v>WesterAid</v>
      </c>
      <c r="E832">
        <f>(calcProd1Seg3Comp1Payer2TotalShareR1*calcProd1Seg3Payer2TotalVolumeR1)</f>
        <v>71.28801909090906</v>
      </c>
      <c r="F832">
        <f>(calcProd1Seg3Comp1Payer2TotalShareR1*calcProd1Seg3Payer2TotalVolumeR1)</f>
        <v>71.28801909090906</v>
      </c>
      <c r="G832">
        <f>(calcProd1Seg3Comp1Payer2TotalShareR1*calcProd1Seg3Payer2TotalVolumeR1)</f>
        <v>71.28801909090906</v>
      </c>
      <c r="H832">
        <f>(calcProd1Seg3Comp1Payer2TotalShareR1*calcProd1Seg3Payer2TotalVolumeR1)</f>
        <v>71.28801909090906</v>
      </c>
      <c r="I832">
        <f>(calcProd1Seg3Comp1Payer2TotalShareR1*calcProd1Seg3Payer2TotalVolumeR1)</f>
        <v>71.28801909090906</v>
      </c>
      <c r="J832" t="s">
        <v>2253</v>
      </c>
    </row>
    <row r="833" spans="1:10">
      <c r="B833" s="4"/>
      <c r="C833" t="str">
        <f>nmPayer3</f>
        <v>Dragon Health</v>
      </c>
      <c r="E833">
        <f>(calcProd1Seg3Comp1Payer3TotalShareR1*calcProd1Seg3Payer3TotalVolumeR1)</f>
        <v>78.88021326315787</v>
      </c>
      <c r="F833">
        <f>(calcProd1Seg3Comp1Payer3TotalShareR1*calcProd1Seg3Payer3TotalVolumeR1)</f>
        <v>78.88021326315787</v>
      </c>
      <c r="G833">
        <f>(calcProd1Seg3Comp1Payer3TotalShareR1*calcProd1Seg3Payer3TotalVolumeR1)</f>
        <v>78.88021326315787</v>
      </c>
      <c r="H833">
        <f>(calcProd1Seg3Comp1Payer3TotalShareR1*calcProd1Seg3Payer3TotalVolumeR1)</f>
        <v>78.88021326315787</v>
      </c>
      <c r="I833">
        <f>(calcProd1Seg3Comp1Payer3TotalShareR1*calcProd1Seg3Payer3TotalVolumeR1)</f>
        <v>78.88021326315787</v>
      </c>
      <c r="J833" t="s">
        <v>2254</v>
      </c>
    </row>
    <row r="834" spans="1:10" s="4" customFormat="1">
      <c r="C834" s="4" t="s">
        <v>1860</v>
      </c>
      <c r="E834" s="457">
        <f>calcProd1Seg3Comp1Payer1TotalCustR1+calcProd1Seg3Comp1Payer2TotalCustR1+calcProd1Seg3Comp1Payer3TotalCustR1</f>
        <v>287.3483243540669</v>
      </c>
      <c r="F834" s="457">
        <f>calcProd1Seg3Comp1Payer1TotalCustR1+calcProd1Seg3Comp1Payer2TotalCustR1+calcProd1Seg3Comp1Payer3TotalCustR1</f>
        <v>287.3483243540669</v>
      </c>
      <c r="G834" s="457">
        <f>calcProd1Seg3Comp1Payer1TotalCustR1+calcProd1Seg3Comp1Payer2TotalCustR1+calcProd1Seg3Comp1Payer3TotalCustR1</f>
        <v>287.3483243540669</v>
      </c>
      <c r="H834" s="457">
        <f>calcProd1Seg3Comp1Payer1TotalCustR1+calcProd1Seg3Comp1Payer2TotalCustR1+calcProd1Seg3Comp1Payer3TotalCustR1</f>
        <v>287.3483243540669</v>
      </c>
      <c r="I834" s="457">
        <f>calcProd1Seg3Comp1Payer1TotalCustR1+calcProd1Seg3Comp1Payer2TotalCustR1+calcProd1Seg3Comp1Payer3TotalCustR1</f>
        <v>287.3483243540669</v>
      </c>
      <c r="J834" s="4" t="s">
        <v>2255</v>
      </c>
    </row>
    <row r="835" spans="1:10">
      <c r="B835" s="4"/>
      <c r="E835" s="511">
        <f>calcProd1Seg3Comp1TotalCustR1/calcProd1Seg3TotalVolumeR1</f>
        <v>8.9960365975387674E-3</v>
      </c>
      <c r="F835" s="511">
        <f>calcProd1Seg3Comp1TotalCustR1/calcProd1Seg3TotalVolumeR1</f>
        <v>8.9960365975387674E-3</v>
      </c>
      <c r="G835" s="511">
        <f>calcProd1Seg3Comp1TotalCustR1/calcProd1Seg3TotalVolumeR1</f>
        <v>8.9960365975387674E-3</v>
      </c>
      <c r="H835" s="511">
        <f>calcProd1Seg3Comp1TotalCustR1/calcProd1Seg3TotalVolumeR1</f>
        <v>8.9960365975387674E-3</v>
      </c>
      <c r="I835" s="511">
        <f>calcProd1Seg3Comp1TotalCustR1/calcProd1Seg3TotalVolumeR1</f>
        <v>8.9960365975387674E-3</v>
      </c>
      <c r="J835" t="s">
        <v>2256</v>
      </c>
    </row>
    <row r="836" spans="1:10">
      <c r="A836" s="510" t="s">
        <v>623</v>
      </c>
      <c r="B836" s="4"/>
      <c r="C836" t="str">
        <f>nmPayer1</f>
        <v>Blue Sword/Blue Shield</v>
      </c>
      <c r="E836">
        <f>(calcProd1Seg3Comp1Payer1TotalShareR2*calcProd1Seg3Payer1TotalVolumeR2)</f>
        <v>146.78269843999993</v>
      </c>
      <c r="F836">
        <f>(calcProd1Seg3Comp1Payer1TotalShareR2*calcProd1Seg3Payer1TotalVolumeR2)</f>
        <v>146.78269843999993</v>
      </c>
      <c r="G836">
        <f>(calcProd1Seg3Comp1Payer1TotalShareR2*calcProd1Seg3Payer1TotalVolumeR2)</f>
        <v>146.78269843999993</v>
      </c>
      <c r="H836">
        <f>(calcProd1Seg3Comp1Payer1TotalShareR2*calcProd1Seg3Payer1TotalVolumeR2)</f>
        <v>146.78269843999993</v>
      </c>
      <c r="I836">
        <f>(calcProd1Seg3Comp1Payer1TotalShareR2*calcProd1Seg3Payer1TotalVolumeR2)</f>
        <v>146.78269843999993</v>
      </c>
      <c r="J836" t="s">
        <v>2257</v>
      </c>
    </row>
    <row r="837" spans="1:10">
      <c r="B837" s="4"/>
      <c r="C837" t="str">
        <f>nmPayer2</f>
        <v>WesterAid</v>
      </c>
      <c r="E837">
        <f>(calcProd1Seg3Comp1Payer2TotalShareR2*calcProd1Seg3Payer2TotalVolumeR2)</f>
        <v>80.316659054545411</v>
      </c>
      <c r="F837">
        <f>(calcProd1Seg3Comp1Payer2TotalShareR2*calcProd1Seg3Payer2TotalVolumeR2)</f>
        <v>80.316659054545411</v>
      </c>
      <c r="G837">
        <f>(calcProd1Seg3Comp1Payer2TotalShareR2*calcProd1Seg3Payer2TotalVolumeR2)</f>
        <v>80.316659054545411</v>
      </c>
      <c r="H837">
        <f>(calcProd1Seg3Comp1Payer2TotalShareR2*calcProd1Seg3Payer2TotalVolumeR2)</f>
        <v>80.316659054545411</v>
      </c>
      <c r="I837">
        <f>(calcProd1Seg3Comp1Payer2TotalShareR2*calcProd1Seg3Payer2TotalVolumeR2)</f>
        <v>80.316659054545411</v>
      </c>
      <c r="J837" t="s">
        <v>2258</v>
      </c>
    </row>
    <row r="838" spans="1:10">
      <c r="B838" s="4"/>
      <c r="C838" t="str">
        <f>nmPayer3</f>
        <v>Dragon Health</v>
      </c>
      <c r="E838">
        <f>(calcProd1Seg3Comp1Payer3TotalShareR2*calcProd1Seg3Payer3TotalVolumeR2)</f>
        <v>84.401828191578915</v>
      </c>
      <c r="F838">
        <f>(calcProd1Seg3Comp1Payer3TotalShareR2*calcProd1Seg3Payer3TotalVolumeR2)</f>
        <v>84.401828191578915</v>
      </c>
      <c r="G838">
        <f>(calcProd1Seg3Comp1Payer3TotalShareR2*calcProd1Seg3Payer3TotalVolumeR2)</f>
        <v>84.401828191578915</v>
      </c>
      <c r="H838">
        <f>(calcProd1Seg3Comp1Payer3TotalShareR2*calcProd1Seg3Payer3TotalVolumeR2)</f>
        <v>84.401828191578915</v>
      </c>
      <c r="I838">
        <f>(calcProd1Seg3Comp1Payer3TotalShareR2*calcProd1Seg3Payer3TotalVolumeR2)</f>
        <v>84.401828191578915</v>
      </c>
      <c r="J838" t="s">
        <v>2259</v>
      </c>
    </row>
    <row r="839" spans="1:10" s="4" customFormat="1">
      <c r="C839" s="4" t="s">
        <v>1860</v>
      </c>
      <c r="E839" s="457">
        <f>calcProd1Seg3Comp1Payer1TotalCustR2+calcProd1Seg3Comp1Payer2TotalCustR2+calcProd1Seg3Comp1Payer3TotalCustR2</f>
        <v>311.50118568612424</v>
      </c>
      <c r="F839" s="457">
        <f>calcProd1Seg3Comp1Payer1TotalCustR2+calcProd1Seg3Comp1Payer2TotalCustR2+calcProd1Seg3Comp1Payer3TotalCustR2</f>
        <v>311.50118568612424</v>
      </c>
      <c r="G839" s="457">
        <f>calcProd1Seg3Comp1Payer1TotalCustR2+calcProd1Seg3Comp1Payer2TotalCustR2+calcProd1Seg3Comp1Payer3TotalCustR2</f>
        <v>311.50118568612424</v>
      </c>
      <c r="H839" s="457">
        <f>calcProd1Seg3Comp1Payer1TotalCustR2+calcProd1Seg3Comp1Payer2TotalCustR2+calcProd1Seg3Comp1Payer3TotalCustR2</f>
        <v>311.50118568612424</v>
      </c>
      <c r="I839" s="457">
        <f>calcProd1Seg3Comp1Payer1TotalCustR2+calcProd1Seg3Comp1Payer2TotalCustR2+calcProd1Seg3Comp1Payer3TotalCustR2</f>
        <v>311.50118568612424</v>
      </c>
      <c r="J839" s="4" t="s">
        <v>2260</v>
      </c>
    </row>
    <row r="840" spans="1:10">
      <c r="B840" s="4"/>
      <c r="E840" s="511">
        <f>calcProd1Seg3Comp1TotalCustR2/calcProd1Seg3TotalVolumeR2</f>
        <v>8.9127274901906681E-3</v>
      </c>
      <c r="F840" s="511">
        <f>calcProd1Seg3Comp1TotalCustR2/calcProd1Seg3TotalVolumeR2</f>
        <v>8.9127274901906681E-3</v>
      </c>
      <c r="G840" s="511">
        <f>calcProd1Seg3Comp1TotalCustR2/calcProd1Seg3TotalVolumeR2</f>
        <v>8.9127274901906681E-3</v>
      </c>
      <c r="H840" s="511">
        <f>calcProd1Seg3Comp1TotalCustR2/calcProd1Seg3TotalVolumeR2</f>
        <v>8.9127274901906681E-3</v>
      </c>
      <c r="I840" s="511">
        <f>calcProd1Seg3Comp1TotalCustR2/calcProd1Seg3TotalVolumeR2</f>
        <v>8.9127274901906681E-3</v>
      </c>
      <c r="J840" t="s">
        <v>2261</v>
      </c>
    </row>
    <row r="841" spans="1:10">
      <c r="A841" t="s">
        <v>2192</v>
      </c>
      <c r="B841" s="4"/>
      <c r="E841" s="511"/>
      <c r="F841" s="511"/>
      <c r="G841" s="511"/>
      <c r="H841" s="511"/>
      <c r="I841" s="511"/>
    </row>
    <row r="842" spans="1:10">
      <c r="A842" s="4" t="s">
        <v>622</v>
      </c>
      <c r="B842" s="4"/>
      <c r="C842" t="str">
        <f>nmPayer1</f>
        <v>Blue Sword/Blue Shield</v>
      </c>
      <c r="E842" s="511">
        <f>(calcProd1Seg1Comp1Payer1TotalCustR1+calcProd1Seg2Comp1Payer1TotalCustR1+calcProd1Seg3Comp1Payer1TotalCustR1)/calcProd1Payer1TotalVolumeR1</f>
        <v>1.1660038503050208E-2</v>
      </c>
      <c r="F842" s="511">
        <f>(calcProd1Seg1Comp1Payer1TotalCustR1+calcProd1Seg2Comp1Payer1TotalCustR1+calcProd1Seg3Comp1Payer1TotalCustR1)/calcProd1Payer1TotalVolumeR1</f>
        <v>1.1660038503050208E-2</v>
      </c>
      <c r="G842" s="511">
        <f>(calcProd1Seg1Comp1Payer1TotalCustR1+calcProd1Seg2Comp1Payer1TotalCustR1+calcProd1Seg3Comp1Payer1TotalCustR1)/calcProd1Payer1TotalVolumeR1</f>
        <v>1.1660038503050208E-2</v>
      </c>
      <c r="H842" s="511">
        <f>(calcProd1Seg1Comp1Payer1TotalCustR1+calcProd1Seg2Comp1Payer1TotalCustR1+calcProd1Seg3Comp1Payer1TotalCustR1)/calcProd1Payer1TotalVolumeR1</f>
        <v>1.1660038503050208E-2</v>
      </c>
      <c r="I842" s="511">
        <f>(calcProd1Seg1Comp1Payer1TotalCustR1+calcProd1Seg2Comp1Payer1TotalCustR1+calcProd1Seg3Comp1Payer1TotalCustR1)/calcProd1Payer1TotalVolumeR1</f>
        <v>1.1660038503050208E-2</v>
      </c>
      <c r="J842" t="s">
        <v>2262</v>
      </c>
    </row>
    <row r="843" spans="1:10">
      <c r="B843" s="4"/>
      <c r="C843" t="str">
        <f>nmPayer2</f>
        <v>WesterAid</v>
      </c>
      <c r="E843" s="511">
        <f>(calcProd1Seg1Comp1Payer2TotalCustR1+calcProd1Seg2Comp1Payer2TotalCustR1+calcProd1Seg3Comp1Payer2TotalCustR1)/calcProd1Payer2TotalVolumeR1</f>
        <v>8.6771526020973724E-3</v>
      </c>
      <c r="F843" s="511">
        <f>(calcProd1Seg1Comp1Payer2TotalCustR1+calcProd1Seg2Comp1Payer2TotalCustR1+calcProd1Seg3Comp1Payer2TotalCustR1)/calcProd1Payer2TotalVolumeR1</f>
        <v>8.6771526020973724E-3</v>
      </c>
      <c r="G843" s="511">
        <f>(calcProd1Seg1Comp1Payer2TotalCustR1+calcProd1Seg2Comp1Payer2TotalCustR1+calcProd1Seg3Comp1Payer2TotalCustR1)/calcProd1Payer2TotalVolumeR1</f>
        <v>8.6771526020973724E-3</v>
      </c>
      <c r="H843" s="511">
        <f>(calcProd1Seg1Comp1Payer2TotalCustR1+calcProd1Seg2Comp1Payer2TotalCustR1+calcProd1Seg3Comp1Payer2TotalCustR1)/calcProd1Payer2TotalVolumeR1</f>
        <v>8.6771526020973724E-3</v>
      </c>
      <c r="I843" s="511">
        <f>(calcProd1Seg1Comp1Payer2TotalCustR1+calcProd1Seg2Comp1Payer2TotalCustR1+calcProd1Seg3Comp1Payer2TotalCustR1)/calcProd1Payer2TotalVolumeR1</f>
        <v>8.6771526020973724E-3</v>
      </c>
      <c r="J843" t="s">
        <v>2263</v>
      </c>
    </row>
    <row r="844" spans="1:10">
      <c r="B844" s="4"/>
      <c r="C844" t="str">
        <f>nmPayer3</f>
        <v>Dragon Health</v>
      </c>
      <c r="E844" s="511">
        <f>(calcProd1Seg1Comp1Payer3TotalCustR1+calcProd1Seg2Comp1Payer3TotalCustR1+calcProd1Seg3Comp1Payer3TotalCustR1)/calcProd1Payer3TotalVolumeR1</f>
        <v>6.6877645810537257E-3</v>
      </c>
      <c r="F844" s="511">
        <f>(calcProd1Seg1Comp1Payer3TotalCustR1+calcProd1Seg2Comp1Payer3TotalCustR1+calcProd1Seg3Comp1Payer3TotalCustR1)/calcProd1Payer3TotalVolumeR1</f>
        <v>6.6877645810537257E-3</v>
      </c>
      <c r="G844" s="511">
        <f>(calcProd1Seg1Comp1Payer3TotalCustR1+calcProd1Seg2Comp1Payer3TotalCustR1+calcProd1Seg3Comp1Payer3TotalCustR1)/calcProd1Payer3TotalVolumeR1</f>
        <v>6.6877645810537257E-3</v>
      </c>
      <c r="H844" s="511">
        <f>(calcProd1Seg1Comp1Payer3TotalCustR1+calcProd1Seg2Comp1Payer3TotalCustR1+calcProd1Seg3Comp1Payer3TotalCustR1)/calcProd1Payer3TotalVolumeR1</f>
        <v>6.6877645810537257E-3</v>
      </c>
      <c r="I844" s="511">
        <f>(calcProd1Seg1Comp1Payer3TotalCustR1+calcProd1Seg2Comp1Payer3TotalCustR1+calcProd1Seg3Comp1Payer3TotalCustR1)/calcProd1Payer3TotalVolumeR1</f>
        <v>6.6877645810537257E-3</v>
      </c>
      <c r="J844" t="s">
        <v>2264</v>
      </c>
    </row>
    <row r="845" spans="1:10">
      <c r="B845" s="4"/>
      <c r="E845" s="511"/>
      <c r="F845" s="511"/>
      <c r="G845" s="511"/>
      <c r="H845" s="511"/>
      <c r="I845" s="511"/>
    </row>
    <row r="846" spans="1:10">
      <c r="A846" s="4" t="s">
        <v>623</v>
      </c>
      <c r="B846" s="4"/>
      <c r="C846" t="str">
        <f>nmPayer1</f>
        <v>Blue Sword/Blue Shield</v>
      </c>
      <c r="E846" s="511">
        <f>(calcProd1Seg1Comp1Payer1TotalCustR2+calcProd1Seg2Comp1Payer1TotalCustR2+calcProd1Seg3Comp1Payer1TotalCustR2)/calcProd1Payer1TotalVolumeR2</f>
        <v>1.1612558321566916E-2</v>
      </c>
      <c r="F846" s="511">
        <f>(calcProd1Seg1Comp1Payer1TotalCustR2+calcProd1Seg2Comp1Payer1TotalCustR2+calcProd1Seg3Comp1Payer1TotalCustR2)/calcProd1Payer1TotalVolumeR2</f>
        <v>1.1612558321566916E-2</v>
      </c>
      <c r="G846" s="511">
        <f>(calcProd1Seg1Comp1Payer1TotalCustR2+calcProd1Seg2Comp1Payer1TotalCustR2+calcProd1Seg3Comp1Payer1TotalCustR2)/calcProd1Payer1TotalVolumeR2</f>
        <v>1.1612558321566916E-2</v>
      </c>
      <c r="H846" s="511">
        <f>(calcProd1Seg1Comp1Payer1TotalCustR2+calcProd1Seg2Comp1Payer1TotalCustR2+calcProd1Seg3Comp1Payer1TotalCustR2)/calcProd1Payer1TotalVolumeR2</f>
        <v>1.1612558321566916E-2</v>
      </c>
      <c r="I846" s="511">
        <f>(calcProd1Seg1Comp1Payer1TotalCustR2+calcProd1Seg2Comp1Payer1TotalCustR2+calcProd1Seg3Comp1Payer1TotalCustR2)/calcProd1Payer1TotalVolumeR2</f>
        <v>1.1612558321566916E-2</v>
      </c>
      <c r="J846" t="s">
        <v>2265</v>
      </c>
    </row>
    <row r="847" spans="1:10">
      <c r="B847" s="4"/>
      <c r="C847" t="str">
        <f>nmPayer2</f>
        <v>WesterAid</v>
      </c>
      <c r="E847" s="511">
        <f>(calcProd1Seg1Comp1Payer2TotalCustR2+calcProd1Seg2Comp1Payer2TotalCustR2+calcProd1Seg3Comp1Payer2TotalCustR2)/calcProd1Payer2TotalVolumeR2</f>
        <v>8.6947767997650159E-3</v>
      </c>
      <c r="F847" s="511">
        <f>(calcProd1Seg1Comp1Payer2TotalCustR2+calcProd1Seg2Comp1Payer2TotalCustR2+calcProd1Seg3Comp1Payer2TotalCustR2)/calcProd1Payer2TotalVolumeR2</f>
        <v>8.6947767997650159E-3</v>
      </c>
      <c r="G847" s="511">
        <f>(calcProd1Seg1Comp1Payer2TotalCustR2+calcProd1Seg2Comp1Payer2TotalCustR2+calcProd1Seg3Comp1Payer2TotalCustR2)/calcProd1Payer2TotalVolumeR2</f>
        <v>8.6947767997650159E-3</v>
      </c>
      <c r="H847" s="511">
        <f>(calcProd1Seg1Comp1Payer2TotalCustR2+calcProd1Seg2Comp1Payer2TotalCustR2+calcProd1Seg3Comp1Payer2TotalCustR2)/calcProd1Payer2TotalVolumeR2</f>
        <v>8.6947767997650159E-3</v>
      </c>
      <c r="I847" s="511">
        <f>(calcProd1Seg1Comp1Payer2TotalCustR2+calcProd1Seg2Comp1Payer2TotalCustR2+calcProd1Seg3Comp1Payer2TotalCustR2)/calcProd1Payer2TotalVolumeR2</f>
        <v>8.6947767997650159E-3</v>
      </c>
      <c r="J847" t="s">
        <v>2266</v>
      </c>
    </row>
    <row r="848" spans="1:10">
      <c r="B848" s="4"/>
      <c r="C848" t="str">
        <f>nmPayer3</f>
        <v>Dragon Health</v>
      </c>
      <c r="E848" s="511">
        <f>(calcProd1Seg1Comp1Payer3TotalCustR2+calcProd1Seg2Comp1Payer3TotalCustR2+calcProd1Seg3Comp1Payer3TotalCustR2)/calcProd1Payer3TotalVolumeR2</f>
        <v>6.6643583780719639E-3</v>
      </c>
      <c r="F848" s="511">
        <f>(calcProd1Seg1Comp1Payer3TotalCustR2+calcProd1Seg2Comp1Payer3TotalCustR2+calcProd1Seg3Comp1Payer3TotalCustR2)/calcProd1Payer3TotalVolumeR2</f>
        <v>6.6643583780719639E-3</v>
      </c>
      <c r="G848" s="511">
        <f>(calcProd1Seg1Comp1Payer3TotalCustR2+calcProd1Seg2Comp1Payer3TotalCustR2+calcProd1Seg3Comp1Payer3TotalCustR2)/calcProd1Payer3TotalVolumeR2</f>
        <v>6.6643583780719639E-3</v>
      </c>
      <c r="H848" s="511">
        <f>(calcProd1Seg1Comp1Payer3TotalCustR2+calcProd1Seg2Comp1Payer3TotalCustR2+calcProd1Seg3Comp1Payer3TotalCustR2)/calcProd1Payer3TotalVolumeR2</f>
        <v>6.6643583780719639E-3</v>
      </c>
      <c r="I848" s="511">
        <f>(calcProd1Seg1Comp1Payer3TotalCustR2+calcProd1Seg2Comp1Payer3TotalCustR2+calcProd1Seg3Comp1Payer3TotalCustR2)/calcProd1Payer3TotalVolumeR2</f>
        <v>6.6643583780719639E-3</v>
      </c>
      <c r="J848" t="s">
        <v>2267</v>
      </c>
    </row>
    <row r="849" spans="1:10">
      <c r="B849" s="4"/>
      <c r="E849" s="511"/>
      <c r="F849" s="511"/>
      <c r="G849" s="511"/>
      <c r="H849" s="511"/>
      <c r="I849" s="511"/>
    </row>
    <row r="850" spans="1:10">
      <c r="B850" s="4" t="s">
        <v>1860</v>
      </c>
      <c r="E850" s="517">
        <f>calcProd1Seg1Comp1TotalCustR1+calcProd1Seg2Comp1TotalCustR1+calcProd1Seg3Comp1TotalCustR1</f>
        <v>1085.7056273723069</v>
      </c>
      <c r="F850" s="517">
        <f t="shared" ref="F850:I851" si="48">calcProd1Seg1Comp1TotalCustR2+calcProd1Seg2Comp1TotalCustR2+calcProd1Seg3Comp1TotalCustR2</f>
        <v>1235.8056704637113</v>
      </c>
      <c r="G850" s="517">
        <f t="shared" si="48"/>
        <v>1235.8056704637113</v>
      </c>
      <c r="H850" s="517">
        <f t="shared" si="48"/>
        <v>1235.8056704637113</v>
      </c>
      <c r="I850" s="517">
        <f t="shared" si="48"/>
        <v>1235.8056704637113</v>
      </c>
      <c r="J850" t="s">
        <v>2228</v>
      </c>
    </row>
    <row r="851" spans="1:10">
      <c r="B851" s="4" t="s">
        <v>1860</v>
      </c>
      <c r="E851" s="517">
        <f>calcProd1Seg1Comp1TotalCustR2+calcProd1Seg2Comp1TotalCustR2+calcProd1Seg3Comp1TotalCustR2</f>
        <v>1235.8056704637113</v>
      </c>
      <c r="F851" s="517">
        <f t="shared" si="48"/>
        <v>1235.8056704637113</v>
      </c>
      <c r="G851" s="517">
        <f t="shared" si="48"/>
        <v>1235.8056704637113</v>
      </c>
      <c r="H851" s="517">
        <f t="shared" si="48"/>
        <v>1235.8056704637113</v>
      </c>
      <c r="I851" s="517">
        <f t="shared" si="48"/>
        <v>1235.8056704637113</v>
      </c>
      <c r="J851" t="s">
        <v>2229</v>
      </c>
    </row>
    <row r="852" spans="1:10">
      <c r="B852" s="4"/>
      <c r="E852" s="511"/>
      <c r="F852" s="511"/>
      <c r="G852" s="511"/>
      <c r="H852" s="511"/>
      <c r="I852" s="511"/>
    </row>
    <row r="853" spans="1:10">
      <c r="A853" s="4" t="s">
        <v>1945</v>
      </c>
    </row>
    <row r="854" spans="1:10">
      <c r="A854" t="s">
        <v>622</v>
      </c>
      <c r="B854" s="4" t="str">
        <f>nmProd1Seg1</f>
        <v>Riverrun Central</v>
      </c>
    </row>
    <row r="855" spans="1:10">
      <c r="B855" s="4"/>
      <c r="C855" t="str">
        <f>nmPayer1</f>
        <v>Blue Sword/Blue Shield</v>
      </c>
      <c r="E855">
        <f>(calcProd1Seg1Comp2Payer1TotalShareR1*calcProd1Seg1Payer1TotalVolumeR1)</f>
        <v>585.40284581632</v>
      </c>
      <c r="F855">
        <f>(calcProd1Seg1Comp2Payer1TotalShareR1*calcProd1Seg1Payer1TotalVolumeR1)</f>
        <v>585.40284581632</v>
      </c>
      <c r="G855">
        <f>(calcProd1Seg1Comp2Payer1TotalShareR1*calcProd1Seg1Payer1TotalVolumeR1)</f>
        <v>585.40284581632</v>
      </c>
      <c r="H855">
        <f>(calcProd1Seg1Comp2Payer1TotalShareR1*calcProd1Seg1Payer1TotalVolumeR1)</f>
        <v>585.40284581632</v>
      </c>
      <c r="I855">
        <f>(calcProd1Seg1Comp2Payer1TotalShareR1*calcProd1Seg1Payer1TotalVolumeR1)</f>
        <v>585.40284581632</v>
      </c>
      <c r="J855" t="s">
        <v>2268</v>
      </c>
    </row>
    <row r="856" spans="1:10">
      <c r="B856" s="4"/>
      <c r="C856" t="str">
        <f>nmPayer2</f>
        <v>WesterAid</v>
      </c>
      <c r="E856">
        <f>(calcProd1Seg1Comp2Payer2TotalShareR1*calcProd1Seg1Payer2TotalVolumeR1)</f>
        <v>292.71747559040006</v>
      </c>
      <c r="F856">
        <f>(calcProd1Seg1Comp2Payer2TotalShareR1*calcProd1Seg1Payer2TotalVolumeR1)</f>
        <v>292.71747559040006</v>
      </c>
      <c r="G856">
        <f>(calcProd1Seg1Comp2Payer2TotalShareR1*calcProd1Seg1Payer2TotalVolumeR1)</f>
        <v>292.71747559040006</v>
      </c>
      <c r="H856">
        <f>(calcProd1Seg1Comp2Payer2TotalShareR1*calcProd1Seg1Payer2TotalVolumeR1)</f>
        <v>292.71747559040006</v>
      </c>
      <c r="I856">
        <f>(calcProd1Seg1Comp2Payer2TotalShareR1*calcProd1Seg1Payer2TotalVolumeR1)</f>
        <v>292.71747559040006</v>
      </c>
      <c r="J856" t="s">
        <v>2269</v>
      </c>
    </row>
    <row r="857" spans="1:10">
      <c r="B857" s="4"/>
      <c r="C857" t="str">
        <f>nmPayer3</f>
        <v>Dragon Health</v>
      </c>
      <c r="E857">
        <f>(calcProd1Seg1Comp2Payer3TotalShareR1*calcProd1Seg1Payer3TotalVolumeR1)</f>
        <v>292.76028274304008</v>
      </c>
      <c r="F857">
        <f>(calcProd1Seg1Comp2Payer3TotalShareR1*calcProd1Seg1Payer3TotalVolumeR1)</f>
        <v>292.76028274304008</v>
      </c>
      <c r="G857">
        <f>(calcProd1Seg1Comp2Payer3TotalShareR1*calcProd1Seg1Payer3TotalVolumeR1)</f>
        <v>292.76028274304008</v>
      </c>
      <c r="H857">
        <f>(calcProd1Seg1Comp2Payer3TotalShareR1*calcProd1Seg1Payer3TotalVolumeR1)</f>
        <v>292.76028274304008</v>
      </c>
      <c r="I857">
        <f>(calcProd1Seg1Comp2Payer3TotalShareR1*calcProd1Seg1Payer3TotalVolumeR1)</f>
        <v>292.76028274304008</v>
      </c>
      <c r="J857" t="s">
        <v>2270</v>
      </c>
    </row>
    <row r="858" spans="1:10" s="4" customFormat="1">
      <c r="C858" s="4" t="s">
        <v>1860</v>
      </c>
      <c r="E858" s="457">
        <f>calcProd1Seg1Comp2Payer1TotalCustR1+calcProd1Seg1Comp2Payer2TotalCustR1+calcProd1Seg1Comp2Payer3TotalCustR1</f>
        <v>1170.8806041497601</v>
      </c>
      <c r="F858" s="457">
        <f>calcProd1Seg1Comp2Payer1TotalCustR1+calcProd1Seg1Comp2Payer2TotalCustR1+calcProd1Seg1Comp2Payer3TotalCustR1</f>
        <v>1170.8806041497601</v>
      </c>
      <c r="G858" s="457">
        <f>calcProd1Seg1Comp2Payer1TotalCustR1+calcProd1Seg1Comp2Payer2TotalCustR1+calcProd1Seg1Comp2Payer3TotalCustR1</f>
        <v>1170.8806041497601</v>
      </c>
      <c r="H858" s="457">
        <f>calcProd1Seg1Comp2Payer1TotalCustR1+calcProd1Seg1Comp2Payer2TotalCustR1+calcProd1Seg1Comp2Payer3TotalCustR1</f>
        <v>1170.8806041497601</v>
      </c>
      <c r="I858" s="457">
        <f>calcProd1Seg1Comp2Payer1TotalCustR1+calcProd1Seg1Comp2Payer2TotalCustR1+calcProd1Seg1Comp2Payer3TotalCustR1</f>
        <v>1170.8806041497601</v>
      </c>
      <c r="J858" s="4" t="s">
        <v>2271</v>
      </c>
    </row>
    <row r="859" spans="1:10">
      <c r="B859" s="4"/>
      <c r="E859" s="511">
        <f>calcProd1Seg1Comp2TotalCustR1/calcProd1Seg1TotalVolumeR1</f>
        <v>2.4507797333333328E-2</v>
      </c>
      <c r="F859" s="511">
        <f>calcProd1Seg1Comp2TotalCustR1/calcProd1Seg1TotalVolumeR1</f>
        <v>2.4507797333333328E-2</v>
      </c>
      <c r="G859" s="511">
        <f>calcProd1Seg1Comp2TotalCustR1/calcProd1Seg1TotalVolumeR1</f>
        <v>2.4507797333333328E-2</v>
      </c>
      <c r="H859" s="511">
        <f>calcProd1Seg1Comp2TotalCustR1/calcProd1Seg1TotalVolumeR1</f>
        <v>2.4507797333333328E-2</v>
      </c>
      <c r="I859" s="511">
        <f>calcProd1Seg1Comp2TotalCustR1/calcProd1Seg1TotalVolumeR1</f>
        <v>2.4507797333333328E-2</v>
      </c>
      <c r="J859" t="s">
        <v>2272</v>
      </c>
    </row>
    <row r="860" spans="1:10">
      <c r="A860" s="510" t="s">
        <v>623</v>
      </c>
      <c r="B860" s="4"/>
      <c r="C860" t="str">
        <f>nmPayer1</f>
        <v>Blue Sword/Blue Shield</v>
      </c>
      <c r="E860">
        <f>(calcProd1Seg1Comp2Payer1TotalShareR2*calcProd1Seg1Payer1TotalVolumeR2)</f>
        <v>685.81431699701761</v>
      </c>
      <c r="F860">
        <f>(calcProd1Seg1Comp2Payer1TotalShareR2*calcProd1Seg1Payer1TotalVolumeR2)</f>
        <v>685.81431699701761</v>
      </c>
      <c r="G860">
        <f>(calcProd1Seg1Comp2Payer1TotalShareR2*calcProd1Seg1Payer1TotalVolumeR2)</f>
        <v>685.81431699701761</v>
      </c>
      <c r="H860">
        <f>(calcProd1Seg1Comp2Payer1TotalShareR2*calcProd1Seg1Payer1TotalVolumeR2)</f>
        <v>685.81431699701761</v>
      </c>
      <c r="I860">
        <f>(calcProd1Seg1Comp2Payer1TotalShareR2*calcProd1Seg1Payer1TotalVolumeR2)</f>
        <v>685.81431699701761</v>
      </c>
      <c r="J860" t="s">
        <v>2273</v>
      </c>
    </row>
    <row r="861" spans="1:10">
      <c r="B861" s="4"/>
      <c r="C861" t="str">
        <f>nmPayer2</f>
        <v>WesterAid</v>
      </c>
      <c r="E861">
        <f>(calcProd1Seg1Comp2Payer2TotalShareR2*calcProd1Seg1Payer2TotalVolumeR2)</f>
        <v>342.92596462387201</v>
      </c>
      <c r="F861">
        <f>(calcProd1Seg1Comp2Payer2TotalShareR2*calcProd1Seg1Payer2TotalVolumeR2)</f>
        <v>342.92596462387201</v>
      </c>
      <c r="G861">
        <f>(calcProd1Seg1Comp2Payer2TotalShareR2*calcProd1Seg1Payer2TotalVolumeR2)</f>
        <v>342.92596462387201</v>
      </c>
      <c r="H861">
        <f>(calcProd1Seg1Comp2Payer2TotalShareR2*calcProd1Seg1Payer2TotalVolumeR2)</f>
        <v>342.92596462387201</v>
      </c>
      <c r="I861">
        <f>(calcProd1Seg1Comp2Payer2TotalShareR2*calcProd1Seg1Payer2TotalVolumeR2)</f>
        <v>342.92596462387201</v>
      </c>
      <c r="J861" t="s">
        <v>2274</v>
      </c>
    </row>
    <row r="862" spans="1:10">
      <c r="B862" s="4"/>
      <c r="C862" t="str">
        <f>nmPayer3</f>
        <v>Dragon Health</v>
      </c>
      <c r="E862">
        <f>(calcProd1Seg1Comp2Payer3TotalShareR2*calcProd1Seg1Payer3TotalVolumeR2)</f>
        <v>342.97611429150726</v>
      </c>
      <c r="F862">
        <f>(calcProd1Seg1Comp2Payer3TotalShareR2*calcProd1Seg1Payer3TotalVolumeR2)</f>
        <v>342.97611429150726</v>
      </c>
      <c r="G862">
        <f>(calcProd1Seg1Comp2Payer3TotalShareR2*calcProd1Seg1Payer3TotalVolumeR2)</f>
        <v>342.97611429150726</v>
      </c>
      <c r="H862">
        <f>(calcProd1Seg1Comp2Payer3TotalShareR2*calcProd1Seg1Payer3TotalVolumeR2)</f>
        <v>342.97611429150726</v>
      </c>
      <c r="I862">
        <f>(calcProd1Seg1Comp2Payer3TotalShareR2*calcProd1Seg1Payer3TotalVolumeR2)</f>
        <v>342.97611429150726</v>
      </c>
      <c r="J862" t="s">
        <v>2275</v>
      </c>
    </row>
    <row r="863" spans="1:10" s="4" customFormat="1">
      <c r="C863" s="4" t="s">
        <v>1860</v>
      </c>
      <c r="E863" s="457">
        <f>calcProd1Seg1Comp2Payer1TotalCustR2+calcProd1Seg1Comp2Payer2TotalCustR2+calcProd1Seg1Comp2Payer3TotalCustR2</f>
        <v>1371.7163959123968</v>
      </c>
      <c r="F863" s="457">
        <f>calcProd1Seg1Comp2Payer1TotalCustR2+calcProd1Seg1Comp2Payer2TotalCustR2+calcProd1Seg1Comp2Payer3TotalCustR2</f>
        <v>1371.7163959123968</v>
      </c>
      <c r="G863" s="457">
        <f>calcProd1Seg1Comp2Payer1TotalCustR2+calcProd1Seg1Comp2Payer2TotalCustR2+calcProd1Seg1Comp2Payer3TotalCustR2</f>
        <v>1371.7163959123968</v>
      </c>
      <c r="H863" s="457">
        <f>calcProd1Seg1Comp2Payer1TotalCustR2+calcProd1Seg1Comp2Payer2TotalCustR2+calcProd1Seg1Comp2Payer3TotalCustR2</f>
        <v>1371.7163959123968</v>
      </c>
      <c r="I863" s="457">
        <f>calcProd1Seg1Comp2Payer1TotalCustR2+calcProd1Seg1Comp2Payer2TotalCustR2+calcProd1Seg1Comp2Payer3TotalCustR2</f>
        <v>1371.7163959123968</v>
      </c>
      <c r="J863" s="4" t="s">
        <v>2276</v>
      </c>
    </row>
    <row r="864" spans="1:10">
      <c r="B864" s="4"/>
      <c r="E864" s="511">
        <f>calcProd1Seg1Comp2TotalCustR2/calcProd1Seg1TotalVolumeR2</f>
        <v>2.4507797333333334E-2</v>
      </c>
      <c r="F864" s="511">
        <f>calcProd1Seg1Comp2TotalCustR2/calcProd1Seg1TotalVolumeR2</f>
        <v>2.4507797333333334E-2</v>
      </c>
      <c r="G864" s="511">
        <f>calcProd1Seg1Comp2TotalCustR2/calcProd1Seg1TotalVolumeR2</f>
        <v>2.4507797333333334E-2</v>
      </c>
      <c r="H864" s="511">
        <f>calcProd1Seg1Comp2TotalCustR2/calcProd1Seg1TotalVolumeR2</f>
        <v>2.4507797333333334E-2</v>
      </c>
      <c r="I864" s="511">
        <f>calcProd1Seg1Comp2TotalCustR2/calcProd1Seg1TotalVolumeR2</f>
        <v>2.4507797333333334E-2</v>
      </c>
      <c r="J864" t="s">
        <v>2277</v>
      </c>
    </row>
    <row r="865" spans="1:10">
      <c r="A865" t="s">
        <v>622</v>
      </c>
      <c r="B865" s="4" t="str">
        <f>nmProd1Seg2</f>
        <v>Tullyville</v>
      </c>
    </row>
    <row r="866" spans="1:10">
      <c r="B866" s="4"/>
      <c r="C866" t="str">
        <f>nmPayer1</f>
        <v>Blue Sword/Blue Shield</v>
      </c>
      <c r="E866">
        <f>(calcProd1Seg2Comp2Payer1TotalShareR1*calcProd1Seg2Payer1TotalVolumeR1)</f>
        <v>498.45186268639992</v>
      </c>
      <c r="F866">
        <f>(calcProd1Seg2Comp2Payer1TotalShareR1*calcProd1Seg2Payer1TotalVolumeR1)</f>
        <v>498.45186268639992</v>
      </c>
      <c r="G866">
        <f>(calcProd1Seg2Comp2Payer1TotalShareR1*calcProd1Seg2Payer1TotalVolumeR1)</f>
        <v>498.45186268639992</v>
      </c>
      <c r="H866">
        <f>(calcProd1Seg2Comp2Payer1TotalShareR1*calcProd1Seg2Payer1TotalVolumeR1)</f>
        <v>498.45186268639992</v>
      </c>
      <c r="I866">
        <f>(calcProd1Seg2Comp2Payer1TotalShareR1*calcProd1Seg2Payer1TotalVolumeR1)</f>
        <v>498.45186268639992</v>
      </c>
      <c r="J866" t="s">
        <v>2278</v>
      </c>
    </row>
    <row r="867" spans="1:10">
      <c r="B867" s="4"/>
      <c r="C867" t="str">
        <f>nmPayer2</f>
        <v>WesterAid</v>
      </c>
      <c r="E867">
        <f>(calcProd1Seg2Comp2Payer2TotalShareR1*calcProd1Seg2Payer2TotalVolumeR1)</f>
        <v>249.29372445039999</v>
      </c>
      <c r="F867">
        <f>(calcProd1Seg2Comp2Payer2TotalShareR1*calcProd1Seg2Payer2TotalVolumeR1)</f>
        <v>249.29372445039999</v>
      </c>
      <c r="G867">
        <f>(calcProd1Seg2Comp2Payer2TotalShareR1*calcProd1Seg2Payer2TotalVolumeR1)</f>
        <v>249.29372445039999</v>
      </c>
      <c r="H867">
        <f>(calcProd1Seg2Comp2Payer2TotalShareR1*calcProd1Seg2Payer2TotalVolumeR1)</f>
        <v>249.29372445039999</v>
      </c>
      <c r="I867">
        <f>(calcProd1Seg2Comp2Payer2TotalShareR1*calcProd1Seg2Payer2TotalVolumeR1)</f>
        <v>249.29372445039999</v>
      </c>
      <c r="J867" t="s">
        <v>2279</v>
      </c>
    </row>
    <row r="868" spans="1:10">
      <c r="B868" s="4"/>
      <c r="C868" t="str">
        <f>nmPayer3</f>
        <v>Dragon Health</v>
      </c>
      <c r="E868">
        <f>(calcProd1Seg2Comp2Payer3TotalShareR1*calcProd1Seg2Payer3TotalVolumeR1)</f>
        <v>248.98865546799993</v>
      </c>
      <c r="F868">
        <f>(calcProd1Seg2Comp2Payer3TotalShareR1*calcProd1Seg2Payer3TotalVolumeR1)</f>
        <v>248.98865546799993</v>
      </c>
      <c r="G868">
        <f>(calcProd1Seg2Comp2Payer3TotalShareR1*calcProd1Seg2Payer3TotalVolumeR1)</f>
        <v>248.98865546799993</v>
      </c>
      <c r="H868">
        <f>(calcProd1Seg2Comp2Payer3TotalShareR1*calcProd1Seg2Payer3TotalVolumeR1)</f>
        <v>248.98865546799993</v>
      </c>
      <c r="I868">
        <f>(calcProd1Seg2Comp2Payer3TotalShareR1*calcProd1Seg2Payer3TotalVolumeR1)</f>
        <v>248.98865546799993</v>
      </c>
      <c r="J868" t="s">
        <v>2280</v>
      </c>
    </row>
    <row r="869" spans="1:10" s="4" customFormat="1">
      <c r="C869" s="4" t="s">
        <v>1860</v>
      </c>
      <c r="E869" s="457">
        <f>calcProd1Seg2Comp2Payer1TotalCustR1+calcProd1Seg2Comp2Payer2TotalCustR1+calcProd1Seg2Comp2Payer3TotalCustR1</f>
        <v>996.73424260479987</v>
      </c>
      <c r="F869" s="457">
        <f>calcProd1Seg2Comp2Payer1TotalCustR1+calcProd1Seg2Comp2Payer2TotalCustR1+calcProd1Seg2Comp2Payer3TotalCustR1</f>
        <v>996.73424260479987</v>
      </c>
      <c r="G869" s="457">
        <f>calcProd1Seg2Comp2Payer1TotalCustR1+calcProd1Seg2Comp2Payer2TotalCustR1+calcProd1Seg2Comp2Payer3TotalCustR1</f>
        <v>996.73424260479987</v>
      </c>
      <c r="H869" s="457">
        <f>calcProd1Seg2Comp2Payer1TotalCustR1+calcProd1Seg2Comp2Payer2TotalCustR1+calcProd1Seg2Comp2Payer3TotalCustR1</f>
        <v>996.73424260479987</v>
      </c>
      <c r="I869" s="457">
        <f>calcProd1Seg2Comp2Payer1TotalCustR1+calcProd1Seg2Comp2Payer2TotalCustR1+calcProd1Seg2Comp2Payer3TotalCustR1</f>
        <v>996.73424260479987</v>
      </c>
      <c r="J869" s="4" t="s">
        <v>2281</v>
      </c>
    </row>
    <row r="870" spans="1:10">
      <c r="B870" s="4"/>
      <c r="E870" s="511">
        <f>calcProd1Seg2Comp2TotalCustR1/calcProd1Seg2TotalVolumeR1</f>
        <v>2.5484488888888889E-2</v>
      </c>
      <c r="F870" s="511">
        <f>calcProd1Seg2Comp2TotalCustR1/calcProd1Seg2TotalVolumeR1</f>
        <v>2.5484488888888889E-2</v>
      </c>
      <c r="G870" s="511">
        <f>calcProd1Seg2Comp2TotalCustR1/calcProd1Seg2TotalVolumeR1</f>
        <v>2.5484488888888889E-2</v>
      </c>
      <c r="H870" s="511">
        <f>calcProd1Seg2Comp2TotalCustR1/calcProd1Seg2TotalVolumeR1</f>
        <v>2.5484488888888889E-2</v>
      </c>
      <c r="I870" s="511">
        <f>calcProd1Seg2Comp2TotalCustR1/calcProd1Seg2TotalVolumeR1</f>
        <v>2.5484488888888889E-2</v>
      </c>
      <c r="J870" t="s">
        <v>2282</v>
      </c>
    </row>
    <row r="871" spans="1:10">
      <c r="A871" s="510" t="s">
        <v>623</v>
      </c>
      <c r="B871" s="4"/>
      <c r="C871" t="str">
        <f>nmPayer1</f>
        <v>Blue Sword/Blue Shield</v>
      </c>
      <c r="E871">
        <f>(calcProd1Seg2Comp2Payer1TotalShareR2*calcProd1Seg2Payer1TotalVolumeR2)</f>
        <v>568.88527806599984</v>
      </c>
      <c r="F871">
        <f>(calcProd1Seg2Comp2Payer1TotalShareR2*calcProd1Seg2Payer1TotalVolumeR2)</f>
        <v>568.88527806599984</v>
      </c>
      <c r="G871">
        <f>(calcProd1Seg2Comp2Payer1TotalShareR2*calcProd1Seg2Payer1TotalVolumeR2)</f>
        <v>568.88527806599984</v>
      </c>
      <c r="H871">
        <f>(calcProd1Seg2Comp2Payer1TotalShareR2*calcProd1Seg2Payer1TotalVolumeR2)</f>
        <v>568.88527806599984</v>
      </c>
      <c r="I871">
        <f>(calcProd1Seg2Comp2Payer1TotalShareR2*calcProd1Seg2Payer1TotalVolumeR2)</f>
        <v>568.88527806599984</v>
      </c>
      <c r="J871" t="s">
        <v>2283</v>
      </c>
    </row>
    <row r="872" spans="1:10">
      <c r="B872" s="4"/>
      <c r="C872" t="str">
        <f>nmPayer2</f>
        <v>WesterAid</v>
      </c>
      <c r="E872">
        <f>(calcProd1Seg2Comp2Payer2TotalShareR2*calcProd1Seg2Payer2TotalVolumeR2)</f>
        <v>284.52001160099996</v>
      </c>
      <c r="F872">
        <f>(calcProd1Seg2Comp2Payer2TotalShareR2*calcProd1Seg2Payer2TotalVolumeR2)</f>
        <v>284.52001160099996</v>
      </c>
      <c r="G872">
        <f>(calcProd1Seg2Comp2Payer2TotalShareR2*calcProd1Seg2Payer2TotalVolumeR2)</f>
        <v>284.52001160099996</v>
      </c>
      <c r="H872">
        <f>(calcProd1Seg2Comp2Payer2TotalShareR2*calcProd1Seg2Payer2TotalVolumeR2)</f>
        <v>284.52001160099996</v>
      </c>
      <c r="I872">
        <f>(calcProd1Seg2Comp2Payer2TotalShareR2*calcProd1Seg2Payer2TotalVolumeR2)</f>
        <v>284.52001160099996</v>
      </c>
      <c r="J872" t="s">
        <v>2284</v>
      </c>
    </row>
    <row r="873" spans="1:10">
      <c r="B873" s="4"/>
      <c r="C873" t="str">
        <f>nmPayer3</f>
        <v>Dragon Health</v>
      </c>
      <c r="E873">
        <f>(calcProd1Seg2Comp2Payer3TotalShareR2*calcProd1Seg2Payer3TotalVolumeR2)</f>
        <v>284.17183504500002</v>
      </c>
      <c r="F873">
        <f>(calcProd1Seg2Comp2Payer3TotalShareR2*calcProd1Seg2Payer3TotalVolumeR2)</f>
        <v>284.17183504500002</v>
      </c>
      <c r="G873">
        <f>(calcProd1Seg2Comp2Payer3TotalShareR2*calcProd1Seg2Payer3TotalVolumeR2)</f>
        <v>284.17183504500002</v>
      </c>
      <c r="H873">
        <f>(calcProd1Seg2Comp2Payer3TotalShareR2*calcProd1Seg2Payer3TotalVolumeR2)</f>
        <v>284.17183504500002</v>
      </c>
      <c r="I873">
        <f>(calcProd1Seg2Comp2Payer3TotalShareR2*calcProd1Seg2Payer3TotalVolumeR2)</f>
        <v>284.17183504500002</v>
      </c>
      <c r="J873" t="s">
        <v>2285</v>
      </c>
    </row>
    <row r="874" spans="1:10" s="4" customFormat="1">
      <c r="C874" s="4" t="s">
        <v>1860</v>
      </c>
      <c r="E874" s="457">
        <f>calcProd1Seg2Comp2Payer1TotalCustR2+calcProd1Seg2Comp2Payer2TotalCustR2+calcProd1Seg2Comp2Payer3TotalCustR2</f>
        <v>1137.5771247119999</v>
      </c>
      <c r="F874" s="457">
        <f>calcProd1Seg2Comp2Payer1TotalCustR2+calcProd1Seg2Comp2Payer2TotalCustR2+calcProd1Seg2Comp2Payer3TotalCustR2</f>
        <v>1137.5771247119999</v>
      </c>
      <c r="G874" s="457">
        <f>calcProd1Seg2Comp2Payer1TotalCustR2+calcProd1Seg2Comp2Payer2TotalCustR2+calcProd1Seg2Comp2Payer3TotalCustR2</f>
        <v>1137.5771247119999</v>
      </c>
      <c r="H874" s="457">
        <f>calcProd1Seg2Comp2Payer1TotalCustR2+calcProd1Seg2Comp2Payer2TotalCustR2+calcProd1Seg2Comp2Payer3TotalCustR2</f>
        <v>1137.5771247119999</v>
      </c>
      <c r="I874" s="457">
        <f>calcProd1Seg2Comp2Payer1TotalCustR2+calcProd1Seg2Comp2Payer2TotalCustR2+calcProd1Seg2Comp2Payer3TotalCustR2</f>
        <v>1137.5771247119999</v>
      </c>
      <c r="J874" s="4" t="s">
        <v>2286</v>
      </c>
    </row>
    <row r="875" spans="1:10">
      <c r="B875" s="4"/>
      <c r="E875" s="511">
        <f>calcProd1Seg2Comp2TotalCustR2/calcProd1Seg2TotalVolumeR2</f>
        <v>2.5484488888888889E-2</v>
      </c>
      <c r="F875" s="511">
        <f>calcProd1Seg2Comp2TotalCustR2/calcProd1Seg2TotalVolumeR2</f>
        <v>2.5484488888888889E-2</v>
      </c>
      <c r="G875" s="511">
        <f>calcProd1Seg2Comp2TotalCustR2/calcProd1Seg2TotalVolumeR2</f>
        <v>2.5484488888888889E-2</v>
      </c>
      <c r="H875" s="511">
        <f>calcProd1Seg2Comp2TotalCustR2/calcProd1Seg2TotalVolumeR2</f>
        <v>2.5484488888888889E-2</v>
      </c>
      <c r="I875" s="511">
        <f>calcProd1Seg2Comp2TotalCustR2/calcProd1Seg2TotalVolumeR2</f>
        <v>2.5484488888888889E-2</v>
      </c>
      <c r="J875" t="s">
        <v>2287</v>
      </c>
    </row>
    <row r="876" spans="1:10">
      <c r="A876" t="s">
        <v>622</v>
      </c>
      <c r="B876" s="4" t="str">
        <f>nmProd1Seg3</f>
        <v>Lordfrey City</v>
      </c>
    </row>
    <row r="877" spans="1:10">
      <c r="B877" s="4"/>
      <c r="C877" t="str">
        <f>nmPayer1</f>
        <v>Blue Sword/Blue Shield</v>
      </c>
      <c r="E877">
        <f>(calcProd1Seg3Comp2Payer1TotalShareR1*calcProd1Seg3Payer1TotalVolumeR1)</f>
        <v>368.68372799999992</v>
      </c>
      <c r="F877">
        <f>(calcProd1Seg3Comp2Payer1TotalShareR1*calcProd1Seg3Payer1TotalVolumeR1)</f>
        <v>368.68372799999992</v>
      </c>
      <c r="G877">
        <f>(calcProd1Seg3Comp2Payer1TotalShareR1*calcProd1Seg3Payer1TotalVolumeR1)</f>
        <v>368.68372799999992</v>
      </c>
      <c r="H877">
        <f>(calcProd1Seg3Comp2Payer1TotalShareR1*calcProd1Seg3Payer1TotalVolumeR1)</f>
        <v>368.68372799999992</v>
      </c>
      <c r="I877">
        <f>(calcProd1Seg3Comp2Payer1TotalShareR1*calcProd1Seg3Payer1TotalVolumeR1)</f>
        <v>368.68372799999992</v>
      </c>
      <c r="J877" t="s">
        <v>2288</v>
      </c>
    </row>
    <row r="878" spans="1:10">
      <c r="B878" s="4"/>
      <c r="C878" t="str">
        <f>nmPayer2</f>
        <v>WesterAid</v>
      </c>
      <c r="E878">
        <f>(calcProd1Seg3Comp2Payer2TotalShareR1*calcProd1Seg3Payer2TotalVolumeR1)</f>
        <v>190.10138424242419</v>
      </c>
      <c r="F878">
        <f>(calcProd1Seg3Comp2Payer2TotalShareR1*calcProd1Seg3Payer2TotalVolumeR1)</f>
        <v>190.10138424242419</v>
      </c>
      <c r="G878">
        <f>(calcProd1Seg3Comp2Payer2TotalShareR1*calcProd1Seg3Payer2TotalVolumeR1)</f>
        <v>190.10138424242419</v>
      </c>
      <c r="H878">
        <f>(calcProd1Seg3Comp2Payer2TotalShareR1*calcProd1Seg3Payer2TotalVolumeR1)</f>
        <v>190.10138424242419</v>
      </c>
      <c r="I878">
        <f>(calcProd1Seg3Comp2Payer2TotalShareR1*calcProd1Seg3Payer2TotalVolumeR1)</f>
        <v>190.10138424242419</v>
      </c>
      <c r="J878" t="s">
        <v>2289</v>
      </c>
    </row>
    <row r="879" spans="1:10">
      <c r="B879" s="4"/>
      <c r="C879" t="str">
        <f>nmPayer3</f>
        <v>Dragon Health</v>
      </c>
      <c r="E879">
        <f>(calcProd1Seg3Comp2Payer3TotalShareR1*calcProd1Seg3Payer3TotalVolumeR1)</f>
        <v>212.391879368421</v>
      </c>
      <c r="F879">
        <f>(calcProd1Seg3Comp2Payer3TotalShareR1*calcProd1Seg3Payer3TotalVolumeR1)</f>
        <v>212.391879368421</v>
      </c>
      <c r="G879">
        <f>(calcProd1Seg3Comp2Payer3TotalShareR1*calcProd1Seg3Payer3TotalVolumeR1)</f>
        <v>212.391879368421</v>
      </c>
      <c r="H879">
        <f>(calcProd1Seg3Comp2Payer3TotalShareR1*calcProd1Seg3Payer3TotalVolumeR1)</f>
        <v>212.391879368421</v>
      </c>
      <c r="I879">
        <f>(calcProd1Seg3Comp2Payer3TotalShareR1*calcProd1Seg3Payer3TotalVolumeR1)</f>
        <v>212.391879368421</v>
      </c>
      <c r="J879" t="s">
        <v>2290</v>
      </c>
    </row>
    <row r="880" spans="1:10" s="4" customFormat="1">
      <c r="C880" s="4" t="s">
        <v>1860</v>
      </c>
      <c r="E880" s="457">
        <f>calcProd1Seg3Comp2Payer1TotalCustR1+calcProd1Seg3Comp2Payer2TotalCustR1+calcProd1Seg3Comp2Payer3TotalCustR1</f>
        <v>771.17699161084511</v>
      </c>
      <c r="F880" s="457">
        <f>calcProd1Seg3Comp2Payer1TotalCustR1+calcProd1Seg3Comp2Payer2TotalCustR1+calcProd1Seg3Comp2Payer3TotalCustR1</f>
        <v>771.17699161084511</v>
      </c>
      <c r="G880" s="457">
        <f>calcProd1Seg3Comp2Payer1TotalCustR1+calcProd1Seg3Comp2Payer2TotalCustR1+calcProd1Seg3Comp2Payer3TotalCustR1</f>
        <v>771.17699161084511</v>
      </c>
      <c r="H880" s="457">
        <f>calcProd1Seg3Comp2Payer1TotalCustR1+calcProd1Seg3Comp2Payer2TotalCustR1+calcProd1Seg3Comp2Payer3TotalCustR1</f>
        <v>771.17699161084511</v>
      </c>
      <c r="I880" s="457">
        <f>calcProd1Seg3Comp2Payer1TotalCustR1+calcProd1Seg3Comp2Payer2TotalCustR1+calcProd1Seg3Comp2Payer3TotalCustR1</f>
        <v>771.17699161084511</v>
      </c>
      <c r="J880" s="4" t="s">
        <v>2291</v>
      </c>
    </row>
    <row r="881" spans="1:10">
      <c r="B881" s="4"/>
      <c r="E881" s="511">
        <f>calcProd1Seg3Comp2TotalCustR1/calcProd1Seg3TotalVolumeR1</f>
        <v>2.4143298748325624E-2</v>
      </c>
      <c r="F881" s="511">
        <f>calcProd1Seg3Comp2TotalCustR1/calcProd1Seg3TotalVolumeR1</f>
        <v>2.4143298748325624E-2</v>
      </c>
      <c r="G881" s="511">
        <f>calcProd1Seg3Comp2TotalCustR1/calcProd1Seg3TotalVolumeR1</f>
        <v>2.4143298748325624E-2</v>
      </c>
      <c r="H881" s="511">
        <f>calcProd1Seg3Comp2TotalCustR1/calcProd1Seg3TotalVolumeR1</f>
        <v>2.4143298748325624E-2</v>
      </c>
      <c r="I881" s="511">
        <f>calcProd1Seg3Comp2TotalCustR1/calcProd1Seg3TotalVolumeR1</f>
        <v>2.4143298748325624E-2</v>
      </c>
      <c r="J881" t="s">
        <v>2292</v>
      </c>
    </row>
    <row r="882" spans="1:10">
      <c r="A882" s="510" t="s">
        <v>623</v>
      </c>
      <c r="B882" s="4"/>
      <c r="C882" t="str">
        <f>nmPayer1</f>
        <v>Blue Sword/Blue Shield</v>
      </c>
      <c r="E882">
        <f>(calcProd1Seg3Comp2Payer1TotalShareR2*calcProd1Seg3Payer1TotalVolumeR2)</f>
        <v>394.49158895999989</v>
      </c>
      <c r="F882">
        <f>(calcProd1Seg3Comp2Payer1TotalShareR2*calcProd1Seg3Payer1TotalVolumeR2)</f>
        <v>394.49158895999989</v>
      </c>
      <c r="G882">
        <f>(calcProd1Seg3Comp2Payer1TotalShareR2*calcProd1Seg3Payer1TotalVolumeR2)</f>
        <v>394.49158895999989</v>
      </c>
      <c r="H882">
        <f>(calcProd1Seg3Comp2Payer1TotalShareR2*calcProd1Seg3Payer1TotalVolumeR2)</f>
        <v>394.49158895999989</v>
      </c>
      <c r="I882">
        <f>(calcProd1Seg3Comp2Payer1TotalShareR2*calcProd1Seg3Payer1TotalVolumeR2)</f>
        <v>394.49158895999989</v>
      </c>
      <c r="J882" t="s">
        <v>2293</v>
      </c>
    </row>
    <row r="883" spans="1:10">
      <c r="B883" s="4"/>
      <c r="C883" t="str">
        <f>nmPayer2</f>
        <v>WesterAid</v>
      </c>
      <c r="E883">
        <f>(calcProd1Seg3Comp2Payer2TotalShareR2*calcProd1Seg3Payer2TotalVolumeR2)</f>
        <v>214.17775747878781</v>
      </c>
      <c r="F883">
        <f>(calcProd1Seg3Comp2Payer2TotalShareR2*calcProd1Seg3Payer2TotalVolumeR2)</f>
        <v>214.17775747878781</v>
      </c>
      <c r="G883">
        <f>(calcProd1Seg3Comp2Payer2TotalShareR2*calcProd1Seg3Payer2TotalVolumeR2)</f>
        <v>214.17775747878781</v>
      </c>
      <c r="H883">
        <f>(calcProd1Seg3Comp2Payer2TotalShareR2*calcProd1Seg3Payer2TotalVolumeR2)</f>
        <v>214.17775747878781</v>
      </c>
      <c r="I883">
        <f>(calcProd1Seg3Comp2Payer2TotalShareR2*calcProd1Seg3Payer2TotalVolumeR2)</f>
        <v>214.17775747878781</v>
      </c>
      <c r="J883" t="s">
        <v>2294</v>
      </c>
    </row>
    <row r="884" spans="1:10">
      <c r="B884" s="4"/>
      <c r="C884" t="str">
        <f>nmPayer3</f>
        <v>Dragon Health</v>
      </c>
      <c r="E884">
        <f>(calcProd1Seg3Comp2Payer3TotalShareR2*calcProd1Seg3Payer3TotalVolumeR2)</f>
        <v>227.25931092421047</v>
      </c>
      <c r="F884">
        <f>(calcProd1Seg3Comp2Payer3TotalShareR2*calcProd1Seg3Payer3TotalVolumeR2)</f>
        <v>227.25931092421047</v>
      </c>
      <c r="G884">
        <f>(calcProd1Seg3Comp2Payer3TotalShareR2*calcProd1Seg3Payer3TotalVolumeR2)</f>
        <v>227.25931092421047</v>
      </c>
      <c r="H884">
        <f>(calcProd1Seg3Comp2Payer3TotalShareR2*calcProd1Seg3Payer3TotalVolumeR2)</f>
        <v>227.25931092421047</v>
      </c>
      <c r="I884">
        <f>(calcProd1Seg3Comp2Payer3TotalShareR2*calcProd1Seg3Payer3TotalVolumeR2)</f>
        <v>227.25931092421047</v>
      </c>
      <c r="J884" t="s">
        <v>2295</v>
      </c>
    </row>
    <row r="885" spans="1:10" s="4" customFormat="1">
      <c r="C885" s="4" t="s">
        <v>1860</v>
      </c>
      <c r="E885" s="457">
        <f>calcProd1Seg3Comp2Payer1TotalCustR2+calcProd1Seg3Comp2Payer2TotalCustR2+calcProd1Seg3Comp2Payer3TotalCustR2</f>
        <v>835.92865736299814</v>
      </c>
      <c r="F885" s="457">
        <f>calcProd1Seg3Comp2Payer1TotalCustR2+calcProd1Seg3Comp2Payer2TotalCustR2+calcProd1Seg3Comp2Payer3TotalCustR2</f>
        <v>835.92865736299814</v>
      </c>
      <c r="G885" s="457">
        <f>calcProd1Seg3Comp2Payer1TotalCustR2+calcProd1Seg3Comp2Payer2TotalCustR2+calcProd1Seg3Comp2Payer3TotalCustR2</f>
        <v>835.92865736299814</v>
      </c>
      <c r="H885" s="457">
        <f>calcProd1Seg3Comp2Payer1TotalCustR2+calcProd1Seg3Comp2Payer2TotalCustR2+calcProd1Seg3Comp2Payer3TotalCustR2</f>
        <v>835.92865736299814</v>
      </c>
      <c r="I885" s="457">
        <f>calcProd1Seg3Comp2Payer1TotalCustR2+calcProd1Seg3Comp2Payer2TotalCustR2+calcProd1Seg3Comp2Payer3TotalCustR2</f>
        <v>835.92865736299814</v>
      </c>
      <c r="J885" s="4" t="s">
        <v>2296</v>
      </c>
    </row>
    <row r="886" spans="1:10">
      <c r="B886" s="4"/>
      <c r="E886" s="511">
        <f>calcProd1Seg3Comp2TotalCustR2/calcProd1Seg3TotalVolumeR2</f>
        <v>2.3917739856773989E-2</v>
      </c>
      <c r="F886" s="511">
        <f>calcProd1Seg3Comp2TotalCustR2/calcProd1Seg3TotalVolumeR2</f>
        <v>2.3917739856773989E-2</v>
      </c>
      <c r="G886" s="511">
        <f>calcProd1Seg3Comp2TotalCustR2/calcProd1Seg3TotalVolumeR2</f>
        <v>2.3917739856773989E-2</v>
      </c>
      <c r="H886" s="511">
        <f>calcProd1Seg3Comp2TotalCustR2/calcProd1Seg3TotalVolumeR2</f>
        <v>2.3917739856773989E-2</v>
      </c>
      <c r="I886" s="511">
        <f>calcProd1Seg3Comp2TotalCustR2/calcProd1Seg3TotalVolumeR2</f>
        <v>2.3917739856773989E-2</v>
      </c>
      <c r="J886" t="s">
        <v>2297</v>
      </c>
    </row>
    <row r="887" spans="1:10">
      <c r="A887" t="s">
        <v>2192</v>
      </c>
      <c r="B887" s="4"/>
      <c r="E887" s="511"/>
      <c r="F887" s="511"/>
      <c r="G887" s="511"/>
      <c r="H887" s="511"/>
      <c r="I887" s="511"/>
    </row>
    <row r="888" spans="1:10">
      <c r="A888" s="4" t="s">
        <v>622</v>
      </c>
      <c r="B888" s="4"/>
      <c r="C888" t="str">
        <f>nmPayer1</f>
        <v>Blue Sword/Blue Shield</v>
      </c>
      <c r="E888" s="511">
        <f>(calcProd1Seg1Comp2Payer1TotalCustR1+calcProd1Seg2Comp2Payer1TotalCustR1+calcProd1Seg3Comp2Payer1TotalCustR1)/calcProd1Payer1TotalVolumeR1</f>
        <v>3.1565969415767239E-2</v>
      </c>
      <c r="F888" s="511">
        <f>(calcProd1Seg1Comp2Payer1TotalCustR1+calcProd1Seg2Comp2Payer1TotalCustR1+calcProd1Seg3Comp2Payer1TotalCustR1)/calcProd1Payer1TotalVolumeR1</f>
        <v>3.1565969415767239E-2</v>
      </c>
      <c r="G888" s="511">
        <f>(calcProd1Seg1Comp2Payer1TotalCustR1+calcProd1Seg2Comp2Payer1TotalCustR1+calcProd1Seg3Comp2Payer1TotalCustR1)/calcProd1Payer1TotalVolumeR1</f>
        <v>3.1565969415767239E-2</v>
      </c>
      <c r="H888" s="511">
        <f>(calcProd1Seg1Comp2Payer1TotalCustR1+calcProd1Seg2Comp2Payer1TotalCustR1+calcProd1Seg3Comp2Payer1TotalCustR1)/calcProd1Payer1TotalVolumeR1</f>
        <v>3.1565969415767239E-2</v>
      </c>
      <c r="I888" s="511">
        <f>(calcProd1Seg1Comp2Payer1TotalCustR1+calcProd1Seg2Comp2Payer1TotalCustR1+calcProd1Seg3Comp2Payer1TotalCustR1)/calcProd1Payer1TotalVolumeR1</f>
        <v>3.1565969415767239E-2</v>
      </c>
      <c r="J888" t="s">
        <v>2298</v>
      </c>
    </row>
    <row r="889" spans="1:10">
      <c r="B889" s="4"/>
      <c r="C889" t="str">
        <f>nmPayer2</f>
        <v>WesterAid</v>
      </c>
      <c r="E889" s="511">
        <f>(calcProd1Seg1Comp2Payer2TotalCustR1+calcProd1Seg2Comp2Payer2TotalCustR1+calcProd1Seg3Comp2Payer2TotalCustR1)/calcProd1Payer2TotalVolumeR1</f>
        <v>2.3414971350278441E-2</v>
      </c>
      <c r="F889" s="511">
        <f>(calcProd1Seg1Comp2Payer2TotalCustR1+calcProd1Seg2Comp2Payer2TotalCustR1+calcProd1Seg3Comp2Payer2TotalCustR1)/calcProd1Payer2TotalVolumeR1</f>
        <v>2.3414971350278441E-2</v>
      </c>
      <c r="G889" s="511">
        <f>(calcProd1Seg1Comp2Payer2TotalCustR1+calcProd1Seg2Comp2Payer2TotalCustR1+calcProd1Seg3Comp2Payer2TotalCustR1)/calcProd1Payer2TotalVolumeR1</f>
        <v>2.3414971350278441E-2</v>
      </c>
      <c r="H889" s="511">
        <f>(calcProd1Seg1Comp2Payer2TotalCustR1+calcProd1Seg2Comp2Payer2TotalCustR1+calcProd1Seg3Comp2Payer2TotalCustR1)/calcProd1Payer2TotalVolumeR1</f>
        <v>2.3414971350278441E-2</v>
      </c>
      <c r="I889" s="511">
        <f>(calcProd1Seg1Comp2Payer2TotalCustR1+calcProd1Seg2Comp2Payer2TotalCustR1+calcProd1Seg3Comp2Payer2TotalCustR1)/calcProd1Payer2TotalVolumeR1</f>
        <v>2.3414971350278441E-2</v>
      </c>
      <c r="J889" t="s">
        <v>2299</v>
      </c>
    </row>
    <row r="890" spans="1:10">
      <c r="B890" s="4"/>
      <c r="C890" t="str">
        <f>nmPayer3</f>
        <v>Dragon Health</v>
      </c>
      <c r="E890" s="511">
        <f>(calcProd1Seg1Comp2Payer3TotalCustR1+calcProd1Seg2Comp2Payer3TotalCustR1+calcProd1Seg3Comp2Payer3TotalCustR1)/calcProd1Payer3TotalVolumeR1</f>
        <v>1.8151909913215341E-2</v>
      </c>
      <c r="F890" s="511">
        <f>(calcProd1Seg1Comp2Payer3TotalCustR1+calcProd1Seg2Comp2Payer3TotalCustR1+calcProd1Seg3Comp2Payer3TotalCustR1)/calcProd1Payer3TotalVolumeR1</f>
        <v>1.8151909913215341E-2</v>
      </c>
      <c r="G890" s="511">
        <f>(calcProd1Seg1Comp2Payer3TotalCustR1+calcProd1Seg2Comp2Payer3TotalCustR1+calcProd1Seg3Comp2Payer3TotalCustR1)/calcProd1Payer3TotalVolumeR1</f>
        <v>1.8151909913215341E-2</v>
      </c>
      <c r="H890" s="511">
        <f>(calcProd1Seg1Comp2Payer3TotalCustR1+calcProd1Seg2Comp2Payer3TotalCustR1+calcProd1Seg3Comp2Payer3TotalCustR1)/calcProd1Payer3TotalVolumeR1</f>
        <v>1.8151909913215341E-2</v>
      </c>
      <c r="I890" s="511">
        <f>(calcProd1Seg1Comp2Payer3TotalCustR1+calcProd1Seg2Comp2Payer3TotalCustR1+calcProd1Seg3Comp2Payer3TotalCustR1)/calcProd1Payer3TotalVolumeR1</f>
        <v>1.8151909913215341E-2</v>
      </c>
      <c r="J890" t="s">
        <v>2300</v>
      </c>
    </row>
    <row r="891" spans="1:10">
      <c r="B891" s="4"/>
      <c r="E891" s="511"/>
      <c r="F891" s="511"/>
      <c r="G891" s="511"/>
      <c r="H891" s="511"/>
      <c r="I891" s="511"/>
    </row>
    <row r="892" spans="1:10">
      <c r="A892" s="4" t="s">
        <v>623</v>
      </c>
      <c r="B892" s="4"/>
      <c r="C892" t="str">
        <f>nmPayer1</f>
        <v>Blue Sword/Blue Shield</v>
      </c>
      <c r="E892" s="511">
        <f>(calcProd1Seg1Comp2Payer1TotalCustR2+calcProd1Seg2Comp2Payer1TotalCustR2+calcProd1Seg3Comp2Payer1TotalCustR2)/calcProd1Payer1TotalVolumeR2</f>
        <v>3.1439622044742571E-2</v>
      </c>
      <c r="F892" s="511">
        <f>(calcProd1Seg1Comp2Payer1TotalCustR2+calcProd1Seg2Comp2Payer1TotalCustR2+calcProd1Seg3Comp2Payer1TotalCustR2)/calcProd1Payer1TotalVolumeR2</f>
        <v>3.1439622044742571E-2</v>
      </c>
      <c r="G892" s="511">
        <f>(calcProd1Seg1Comp2Payer1TotalCustR2+calcProd1Seg2Comp2Payer1TotalCustR2+calcProd1Seg3Comp2Payer1TotalCustR2)/calcProd1Payer1TotalVolumeR2</f>
        <v>3.1439622044742571E-2</v>
      </c>
      <c r="H892" s="511">
        <f>(calcProd1Seg1Comp2Payer1TotalCustR2+calcProd1Seg2Comp2Payer1TotalCustR2+calcProd1Seg3Comp2Payer1TotalCustR2)/calcProd1Payer1TotalVolumeR2</f>
        <v>3.1439622044742571E-2</v>
      </c>
      <c r="I892" s="511">
        <f>(calcProd1Seg1Comp2Payer1TotalCustR2+calcProd1Seg2Comp2Payer1TotalCustR2+calcProd1Seg3Comp2Payer1TotalCustR2)/calcProd1Payer1TotalVolumeR2</f>
        <v>3.1439622044742571E-2</v>
      </c>
      <c r="J892" t="s">
        <v>2301</v>
      </c>
    </row>
    <row r="893" spans="1:10">
      <c r="B893" s="4"/>
      <c r="C893" t="str">
        <f>nmPayer2</f>
        <v>WesterAid</v>
      </c>
      <c r="E893" s="511">
        <f>(calcProd1Seg1Comp2Payer2TotalCustR2+calcProd1Seg2Comp2Payer2TotalCustR2+calcProd1Seg3Comp2Payer2TotalCustR2)/calcProd1Payer2TotalVolumeR2</f>
        <v>2.3463050739227366E-2</v>
      </c>
      <c r="F893" s="511">
        <f>(calcProd1Seg1Comp2Payer2TotalCustR2+calcProd1Seg2Comp2Payer2TotalCustR2+calcProd1Seg3Comp2Payer2TotalCustR2)/calcProd1Payer2TotalVolumeR2</f>
        <v>2.3463050739227366E-2</v>
      </c>
      <c r="G893" s="511">
        <f>(calcProd1Seg1Comp2Payer2TotalCustR2+calcProd1Seg2Comp2Payer2TotalCustR2+calcProd1Seg3Comp2Payer2TotalCustR2)/calcProd1Payer2TotalVolumeR2</f>
        <v>2.3463050739227366E-2</v>
      </c>
      <c r="H893" s="511">
        <f>(calcProd1Seg1Comp2Payer2TotalCustR2+calcProd1Seg2Comp2Payer2TotalCustR2+calcProd1Seg3Comp2Payer2TotalCustR2)/calcProd1Payer2TotalVolumeR2</f>
        <v>2.3463050739227366E-2</v>
      </c>
      <c r="I893" s="511">
        <f>(calcProd1Seg1Comp2Payer2TotalCustR2+calcProd1Seg2Comp2Payer2TotalCustR2+calcProd1Seg3Comp2Payer2TotalCustR2)/calcProd1Payer2TotalVolumeR2</f>
        <v>2.3463050739227366E-2</v>
      </c>
      <c r="J893" t="s">
        <v>2302</v>
      </c>
    </row>
    <row r="894" spans="1:10">
      <c r="B894" s="4"/>
      <c r="C894" t="str">
        <f>nmPayer3</f>
        <v>Dragon Health</v>
      </c>
      <c r="E894" s="511">
        <f>(calcProd1Seg1Comp2Payer3TotalCustR2+calcProd1Seg2Comp2Payer3TotalCustR2+calcProd1Seg3Comp2Payer3TotalCustR2)/calcProd1Payer3TotalVolumeR2</f>
        <v>1.8089282833124384E-2</v>
      </c>
      <c r="F894" s="511">
        <f>(calcProd1Seg1Comp2Payer3TotalCustR2+calcProd1Seg2Comp2Payer3TotalCustR2+calcProd1Seg3Comp2Payer3TotalCustR2)/calcProd1Payer3TotalVolumeR2</f>
        <v>1.8089282833124384E-2</v>
      </c>
      <c r="G894" s="511">
        <f>(calcProd1Seg1Comp2Payer3TotalCustR2+calcProd1Seg2Comp2Payer3TotalCustR2+calcProd1Seg3Comp2Payer3TotalCustR2)/calcProd1Payer3TotalVolumeR2</f>
        <v>1.8089282833124384E-2</v>
      </c>
      <c r="H894" s="511">
        <f>(calcProd1Seg1Comp2Payer3TotalCustR2+calcProd1Seg2Comp2Payer3TotalCustR2+calcProd1Seg3Comp2Payer3TotalCustR2)/calcProd1Payer3TotalVolumeR2</f>
        <v>1.8089282833124384E-2</v>
      </c>
      <c r="I894" s="511">
        <f>(calcProd1Seg1Comp2Payer3TotalCustR2+calcProd1Seg2Comp2Payer3TotalCustR2+calcProd1Seg3Comp2Payer3TotalCustR2)/calcProd1Payer3TotalVolumeR2</f>
        <v>1.8089282833124384E-2</v>
      </c>
      <c r="J894" t="s">
        <v>2303</v>
      </c>
    </row>
    <row r="895" spans="1:10">
      <c r="B895" s="4"/>
      <c r="E895" s="511"/>
      <c r="F895" s="511"/>
      <c r="G895" s="511"/>
      <c r="H895" s="511"/>
      <c r="I895" s="511"/>
    </row>
    <row r="896" spans="1:10">
      <c r="B896" s="4" t="s">
        <v>1860</v>
      </c>
      <c r="E896" s="517">
        <f>calcProd1Seg1Comp2TotalCustR1+calcProd1Seg2Comp2TotalCustR1+calcProd1Seg3Comp2TotalCustR1</f>
        <v>2938.7918383654051</v>
      </c>
      <c r="F896" s="517">
        <f t="shared" ref="F896:I897" si="49">calcProd1Seg1Comp2TotalCustR2+calcProd1Seg2Comp2TotalCustR2+calcProd1Seg3Comp2TotalCustR2</f>
        <v>3345.2221779873944</v>
      </c>
      <c r="G896" s="517">
        <f t="shared" si="49"/>
        <v>3345.2221779873944</v>
      </c>
      <c r="H896" s="517">
        <f t="shared" si="49"/>
        <v>3345.2221779873944</v>
      </c>
      <c r="I896" s="517">
        <f t="shared" si="49"/>
        <v>3345.2221779873944</v>
      </c>
      <c r="J896" t="s">
        <v>2230</v>
      </c>
    </row>
    <row r="897" spans="1:10">
      <c r="B897" s="4" t="s">
        <v>1860</v>
      </c>
      <c r="E897" s="517">
        <f>calcProd1Seg1Comp2TotalCustR2+calcProd1Seg2Comp2TotalCustR2+calcProd1Seg3Comp2TotalCustR2</f>
        <v>3345.2221779873944</v>
      </c>
      <c r="F897" s="517">
        <f t="shared" si="49"/>
        <v>3345.2221779873944</v>
      </c>
      <c r="G897" s="517">
        <f t="shared" si="49"/>
        <v>3345.2221779873944</v>
      </c>
      <c r="H897" s="517">
        <f t="shared" si="49"/>
        <v>3345.2221779873944</v>
      </c>
      <c r="I897" s="517">
        <f t="shared" si="49"/>
        <v>3345.2221779873944</v>
      </c>
      <c r="J897" t="s">
        <v>2231</v>
      </c>
    </row>
    <row r="903" spans="1:10">
      <c r="A903" s="4" t="s">
        <v>626</v>
      </c>
    </row>
    <row r="904" spans="1:10" s="4" customFormat="1">
      <c r="A904" s="4" t="s">
        <v>1485</v>
      </c>
    </row>
    <row r="905" spans="1:10">
      <c r="A905" s="4" t="str">
        <f>nmReg1</f>
        <v>The Region</v>
      </c>
    </row>
    <row r="906" spans="1:10" s="502" customFormat="1">
      <c r="A906" s="501" t="str">
        <f>nmReg1Seg1</f>
        <v>Riverrun</v>
      </c>
    </row>
    <row r="907" spans="1:10" s="376" customFormat="1">
      <c r="A907" s="376" t="str">
        <f>nmPayer1</f>
        <v>Blue Sword/Blue Shield</v>
      </c>
    </row>
    <row r="908" spans="1:10">
      <c r="A908" s="16" t="s">
        <v>1488</v>
      </c>
      <c r="C908" s="4" t="s">
        <v>803</v>
      </c>
      <c r="E908" s="380">
        <f>INDEX(dataReg1Seg1Payer1TotalVolume,,3)</f>
        <v>43200.695999999989</v>
      </c>
      <c r="F908" s="380">
        <f>INDEX(dataReg1Seg1Payer1TotalVolume,,3)</f>
        <v>43200.695999999989</v>
      </c>
      <c r="G908" s="380">
        <f>INDEX(dataReg1Seg1Payer1TotalVolume,,3)</f>
        <v>43200.695999999989</v>
      </c>
      <c r="H908" s="380">
        <f>INDEX(dataReg1Seg1Payer1TotalVolume,,3)</f>
        <v>43200.695999999989</v>
      </c>
      <c r="I908" s="380">
        <f>INDEX(dataReg1Seg1Payer1TotalVolume,,3)</f>
        <v>43200.695999999989</v>
      </c>
      <c r="J908" t="s">
        <v>1696</v>
      </c>
    </row>
    <row r="909" spans="1:10">
      <c r="C909" t="s">
        <v>3253</v>
      </c>
      <c r="E909" t="str">
        <f>obalReg1Payer1Status</f>
        <v>T2 DGSE</v>
      </c>
      <c r="F909" t="str">
        <f>obalReg1Payer1Status</f>
        <v>T2 DGSE</v>
      </c>
      <c r="G909" t="str">
        <f>obalReg1Payer1Status</f>
        <v>T2 DGSE</v>
      </c>
      <c r="H909" t="str">
        <f>obalReg1Payer1Status</f>
        <v>T2 DGSE</v>
      </c>
      <c r="I909" t="str">
        <f>obalReg1Payer1Status</f>
        <v>T2 DGSE</v>
      </c>
    </row>
    <row r="910" spans="1:10">
      <c r="C910" t="s">
        <v>2887</v>
      </c>
      <c r="E910">
        <f>INDEX(dataTierVolumeImpact,MATCH(E909,MarketData!$K$12:$K$17,0),)</f>
        <v>1.1000000000000001</v>
      </c>
      <c r="F910">
        <f>INDEX(dataTierVolumeImpact,MATCH(F909,MarketData!$K$12:$K$17,0),)</f>
        <v>1.1000000000000001</v>
      </c>
      <c r="G910">
        <f>INDEX(dataTierVolumeImpact,MATCH(G909,MarketData!$K$12:$K$17,0),)</f>
        <v>1.1000000000000001</v>
      </c>
      <c r="H910">
        <f>INDEX(dataTierVolumeImpact,MATCH(H909,MarketData!$K$12:$K$17,0),)</f>
        <v>1.1000000000000001</v>
      </c>
      <c r="I910">
        <f>INDEX(dataTierVolumeImpact,MATCH(I909,MarketData!$K$12:$K$17,0),)</f>
        <v>1.1000000000000001</v>
      </c>
      <c r="J910" t="s">
        <v>3272</v>
      </c>
    </row>
    <row r="911" spans="1:10">
      <c r="C911" t="s">
        <v>1487</v>
      </c>
      <c r="E911" s="465">
        <f>obalReg1Seg1Payer1Share</f>
        <v>3.5999999999999995E-3</v>
      </c>
      <c r="F911" s="465">
        <f>obalReg1Seg1Payer1Share</f>
        <v>3.5999999999999995E-3</v>
      </c>
      <c r="G911" s="465">
        <f>obalReg1Seg1Payer1Share</f>
        <v>3.5999999999999995E-3</v>
      </c>
      <c r="H911" s="465">
        <f>obalReg1Seg1Payer1Share</f>
        <v>3.5999999999999995E-3</v>
      </c>
      <c r="I911" s="465">
        <f>obalReg1Seg1Payer1Share</f>
        <v>3.5999999999999995E-3</v>
      </c>
    </row>
    <row r="912" spans="1:10">
      <c r="C912" t="s">
        <v>516</v>
      </c>
      <c r="E912" s="511">
        <f>(calcReg1Seg1SampleAllocR1/obalReg1Seg1SampleAlloc-1)*INDEX(datatblReg1Seg1Payer1,1,)*calcReg1Seg1Payer1TierImpactR1</f>
        <v>0</v>
      </c>
      <c r="F912" s="511">
        <f>(calcReg1Seg1SampleAllocR1/obalReg1Seg1SampleAlloc-1)*INDEX(datatblReg1Seg1Payer1,1,)</f>
        <v>0</v>
      </c>
      <c r="G912" s="511">
        <f>(calcReg1Seg1SampleAllocR1/obalReg1Seg1SampleAlloc-1)*INDEX(datatblReg1Seg1Payer1,1,)</f>
        <v>0</v>
      </c>
      <c r="H912" s="511">
        <f>(calcReg1Seg1SampleAllocR1/obalReg1Seg1SampleAlloc-1)*INDEX(datatblReg1Seg1Payer1,1,)</f>
        <v>0</v>
      </c>
      <c r="I912" s="511">
        <f>(calcReg1Seg1SampleAllocR1/obalReg1Seg1SampleAlloc-1)*INDEX(datatblReg1Seg1Payer1,1,)</f>
        <v>0</v>
      </c>
      <c r="J912" t="s">
        <v>3273</v>
      </c>
    </row>
    <row r="913" spans="3:10">
      <c r="C913" t="s">
        <v>517</v>
      </c>
      <c r="E913" s="511">
        <f>(calcReg1Seg1SpeakerAllocR1/obalReg1Seg1SpeakerAlloc-1)*INDEX(datatblReg1Seg1Payer1,2,)*(calcReg1Seg1Payer1TierImpactR1)</f>
        <v>0</v>
      </c>
      <c r="F913" s="511">
        <f>(calcReg1Seg1SpeakerAllocR1/obalReg1Seg1SpeakerAlloc-1)*INDEX(datatblReg1Seg1Payer1,2,)</f>
        <v>0</v>
      </c>
      <c r="G913" s="511">
        <f>(calcReg1Seg1SpeakerAllocR1/obalReg1Seg1SpeakerAlloc-1)*INDEX(datatblReg1Seg1Payer1,2,)</f>
        <v>0</v>
      </c>
      <c r="H913" s="511">
        <f>(calcReg1Seg1SpeakerAllocR1/obalReg1Seg1SpeakerAlloc-1)*INDEX(datatblReg1Seg1Payer1,2,)</f>
        <v>0</v>
      </c>
      <c r="I913" s="511">
        <f>(calcReg1Seg1SpeakerAllocR1/obalReg1Seg1SpeakerAlloc-1)*INDEX(datatblReg1Seg1Payer1,2,)</f>
        <v>0</v>
      </c>
      <c r="J913" t="s">
        <v>3274</v>
      </c>
    </row>
    <row r="914" spans="3:10">
      <c r="C914" t="s">
        <v>2333</v>
      </c>
      <c r="E914" s="511">
        <f>(calcReg1Seg1PromotionAllocR1/obalReg1Seg1PromotionAlloc-1)*INDEX(datatblReg1Seg1Payer1,3,)*calcReg1Seg1Payer1TierImpactR1</f>
        <v>0</v>
      </c>
      <c r="F914" s="511">
        <f>(calcReg1Seg1PromotionAllocR1/obalReg1Seg1PromotionAlloc-1)*INDEX(datatblReg1Seg1Payer1,3,)</f>
        <v>0</v>
      </c>
      <c r="G914" s="511">
        <f>(calcReg1Seg1PromotionAllocR1/obalReg1Seg1PromotionAlloc-1)*INDEX(datatblReg1Seg1Payer1,3,)</f>
        <v>0</v>
      </c>
      <c r="H914" s="511">
        <f>(calcReg1Seg1PromotionAllocR1/obalReg1Seg1PromotionAlloc-1)*INDEX(datatblReg1Seg1Payer1,3,)</f>
        <v>0</v>
      </c>
      <c r="I914" s="511">
        <f>(calcReg1Seg1PromotionAllocR1/obalReg1Seg1PromotionAlloc-1)*INDEX(datatblReg1Seg1Payer1,3,)</f>
        <v>0</v>
      </c>
      <c r="J914" t="s">
        <v>3275</v>
      </c>
    </row>
    <row r="915" spans="3:10">
      <c r="C915" t="s">
        <v>2646</v>
      </c>
      <c r="E915" s="511">
        <f>(calcReg1Seg1Rep1Payer1ImpactR1)*calcReg1Seg1Payer1TierImpactR1</f>
        <v>-8.2499999999999891E-5</v>
      </c>
      <c r="F915" s="511">
        <f>(calcReg1Seg1Rep1Payer1ImpactR1)*calcReg1Seg1Payer1TierImpactR1</f>
        <v>-8.2499999999999891E-5</v>
      </c>
      <c r="G915" s="511">
        <f>(calcReg1Seg1Rep1Payer1ImpactR1)*calcReg1Seg1Payer1TierImpactR1</f>
        <v>-8.2499999999999891E-5</v>
      </c>
      <c r="H915" s="511">
        <f>(calcReg1Seg1Rep1Payer1ImpactR1)*calcReg1Seg1Payer1TierImpactR1</f>
        <v>-8.2499999999999891E-5</v>
      </c>
      <c r="I915" s="511">
        <f>(calcReg1Seg1Rep1Payer1ImpactR1)*calcReg1Seg1Payer1TierImpactR1</f>
        <v>-8.2499999999999891E-5</v>
      </c>
      <c r="J915" t="s">
        <v>3276</v>
      </c>
    </row>
    <row r="916" spans="3:10" s="4" customFormat="1">
      <c r="C916" s="4" t="s">
        <v>1489</v>
      </c>
      <c r="E916" s="500">
        <f>SUM(E911:E915)</f>
        <v>3.5174999999999998E-3</v>
      </c>
      <c r="F916" s="500">
        <f t="shared" ref="F916:I916" si="50">SUM(F911:F915)</f>
        <v>3.5174999999999998E-3</v>
      </c>
      <c r="G916" s="500">
        <f t="shared" si="50"/>
        <v>3.5174999999999998E-3</v>
      </c>
      <c r="H916" s="500">
        <f t="shared" si="50"/>
        <v>3.5174999999999998E-3</v>
      </c>
      <c r="I916" s="500">
        <f t="shared" si="50"/>
        <v>3.5174999999999998E-3</v>
      </c>
      <c r="J916" s="4" t="s">
        <v>1697</v>
      </c>
    </row>
    <row r="917" spans="3:10">
      <c r="C917" t="s">
        <v>1490</v>
      </c>
      <c r="E917" s="380">
        <f>MAX(calcReg1Seg1Payer1MarketRecurCustR1*calcReg1Seg1Payer1ShareRecurCustR1,0)</f>
        <v>151.95844817999995</v>
      </c>
      <c r="F917" s="380">
        <f>MAX(calcReg1Seg1Payer1MarketRecurCustR1*calcReg1Seg1Payer1ShareRecurCustR1,0)</f>
        <v>151.95844817999995</v>
      </c>
      <c r="G917" s="380">
        <f>MAX(calcReg1Seg1Payer1MarketRecurCustR1*calcReg1Seg1Payer1ShareRecurCustR1,0)</f>
        <v>151.95844817999995</v>
      </c>
      <c r="H917" s="380">
        <f>MAX(calcReg1Seg1Payer1MarketRecurCustR1*calcReg1Seg1Payer1ShareRecurCustR1,0)</f>
        <v>151.95844817999995</v>
      </c>
      <c r="I917" s="380">
        <f>MAX(calcReg1Seg1Payer1MarketRecurCustR1*calcReg1Seg1Payer1ShareRecurCustR1,0)</f>
        <v>151.95844817999995</v>
      </c>
      <c r="J917" t="s">
        <v>1698</v>
      </c>
    </row>
    <row r="919" spans="3:10">
      <c r="C919" t="s">
        <v>804</v>
      </c>
      <c r="E919" s="380">
        <f>INDEX(dataReg1Seg1Payer1NewVolume,,3)</f>
        <v>4342.3380000000006</v>
      </c>
      <c r="F919" s="380">
        <f>INDEX(dataReg1Seg1Payer1NewVolume,,3)</f>
        <v>4342.3380000000006</v>
      </c>
      <c r="G919" s="380">
        <f>INDEX(dataReg1Seg1Payer1NewVolume,,3)</f>
        <v>4342.3380000000006</v>
      </c>
      <c r="H919" s="380">
        <f>INDEX(dataReg1Seg1Payer1NewVolume,,3)</f>
        <v>4342.3380000000006</v>
      </c>
      <c r="I919" s="380">
        <f>INDEX(dataReg1Seg1Payer1NewVolume,,3)</f>
        <v>4342.3380000000006</v>
      </c>
      <c r="J919" t="s">
        <v>1699</v>
      </c>
    </row>
    <row r="921" spans="3:10">
      <c r="C921" t="s">
        <v>1486</v>
      </c>
      <c r="E921" s="465">
        <f>obalReg1Seg1Payer1Share</f>
        <v>3.5999999999999995E-3</v>
      </c>
      <c r="F921" s="465">
        <f>obalReg1Seg1Payer1Share</f>
        <v>3.5999999999999995E-3</v>
      </c>
      <c r="G921" s="465">
        <f>obalReg1Seg1Payer1Share</f>
        <v>3.5999999999999995E-3</v>
      </c>
      <c r="H921" s="465">
        <f>obalReg1Seg1Payer1Share</f>
        <v>3.5999999999999995E-3</v>
      </c>
      <c r="I921" s="465">
        <f>obalReg1Seg1Payer1Share</f>
        <v>3.5999999999999995E-3</v>
      </c>
    </row>
    <row r="922" spans="3:10">
      <c r="C922" t="s">
        <v>516</v>
      </c>
      <c r="E922" s="511">
        <f>(calcReg1Seg1SampleAllocR1/obalReg1Seg1SampleAlloc-1)*INDEX(datatblReg1Seg1Payer1,1,)*calcReg1Seg1Payer1TierImpactR1</f>
        <v>0</v>
      </c>
      <c r="F922" s="511">
        <f>(calcReg1Seg1SampleAllocR1/obalReg1Seg1SampleAlloc-1)*INDEX(datatblReg1Seg1Payer1,1,)</f>
        <v>0</v>
      </c>
      <c r="G922" s="511">
        <f>(calcReg1Seg1SampleAllocR1/obalReg1Seg1SampleAlloc-1)*INDEX(datatblReg1Seg1Payer1,1,)</f>
        <v>0</v>
      </c>
      <c r="H922" s="511">
        <f>(calcReg1Seg1SampleAllocR1/obalReg1Seg1SampleAlloc-1)*INDEX(datatblReg1Seg1Payer1,1,)</f>
        <v>0</v>
      </c>
      <c r="I922" s="511">
        <f>(calcReg1Seg1SampleAllocR1/obalReg1Seg1SampleAlloc-1)*INDEX(datatblReg1Seg1Payer1,1,)</f>
        <v>0</v>
      </c>
      <c r="J922" t="s">
        <v>3277</v>
      </c>
    </row>
    <row r="923" spans="3:10">
      <c r="C923" t="s">
        <v>517</v>
      </c>
      <c r="E923" s="511">
        <f>(calcReg1Seg1SpeakerAllocR1/obalReg1Seg1SpeakerAlloc-1)*INDEX(datatblReg1Seg1Payer1,2,)*(calcReg1Seg1Payer1TierImpactR1)</f>
        <v>0</v>
      </c>
      <c r="F923" s="511">
        <f>(calcReg1Seg1SpeakerAllocR1/obalReg1Seg1SpeakerAlloc-1)*INDEX(datatblReg1Seg1Payer1,2,)</f>
        <v>0</v>
      </c>
      <c r="G923" s="511">
        <f>(calcReg1Seg1SpeakerAllocR1/obalReg1Seg1SpeakerAlloc-1)*INDEX(datatblReg1Seg1Payer1,2,)</f>
        <v>0</v>
      </c>
      <c r="H923" s="511">
        <f>(calcReg1Seg1SpeakerAllocR1/obalReg1Seg1SpeakerAlloc-1)*INDEX(datatblReg1Seg1Payer1,2,)</f>
        <v>0</v>
      </c>
      <c r="I923" s="511">
        <f>(calcReg1Seg1SpeakerAllocR1/obalReg1Seg1SpeakerAlloc-1)*INDEX(datatblReg1Seg1Payer1,2,)</f>
        <v>0</v>
      </c>
      <c r="J923" t="s">
        <v>3278</v>
      </c>
    </row>
    <row r="924" spans="3:10">
      <c r="C924" t="s">
        <v>2333</v>
      </c>
      <c r="E924" s="511">
        <f>(calcReg1Seg1PromotionAllocR1/obalReg1Seg1PromotionAlloc-1)*INDEX(datatblReg1Seg1Payer1,3,)*calcReg1Seg1Payer1TierImpactR1</f>
        <v>0</v>
      </c>
      <c r="F924" s="511">
        <f>(calcReg1Seg1PromotionAllocR1/obalReg1Seg1PromotionAlloc-1)*INDEX(datatblReg1Seg1Payer1,3,)</f>
        <v>0</v>
      </c>
      <c r="G924" s="511">
        <f>(calcReg1Seg1PromotionAllocR1/obalReg1Seg1PromotionAlloc-1)*INDEX(datatblReg1Seg1Payer1,3,)</f>
        <v>0</v>
      </c>
      <c r="H924" s="511">
        <f>(calcReg1Seg1PromotionAllocR1/obalReg1Seg1PromotionAlloc-1)*INDEX(datatblReg1Seg1Payer1,3,)</f>
        <v>0</v>
      </c>
      <c r="I924" s="511">
        <f>(calcReg1Seg1PromotionAllocR1/obalReg1Seg1PromotionAlloc-1)*INDEX(datatblReg1Seg1Payer1,3,)</f>
        <v>0</v>
      </c>
      <c r="J924" t="s">
        <v>3279</v>
      </c>
    </row>
    <row r="925" spans="3:10">
      <c r="C925" t="s">
        <v>2646</v>
      </c>
      <c r="E925" s="511">
        <f>(calcReg1Seg1Rep1Payer1ImpactR1)*calcReg1Seg1Payer1TierImpactR1</f>
        <v>-8.2499999999999891E-5</v>
      </c>
      <c r="F925" s="511">
        <f>(calcReg1Seg1Rep1Payer1ImpactR1)*calcReg1Seg1Payer1TierImpactR1</f>
        <v>-8.2499999999999891E-5</v>
      </c>
      <c r="G925" s="511">
        <f>(calcReg1Seg1Rep1Payer1ImpactR1)*calcReg1Seg1Payer1TierImpactR1</f>
        <v>-8.2499999999999891E-5</v>
      </c>
      <c r="H925" s="511">
        <f>(calcReg1Seg1Rep1Payer1ImpactR1)*calcReg1Seg1Payer1TierImpactR1</f>
        <v>-8.2499999999999891E-5</v>
      </c>
      <c r="I925" s="511">
        <f>(calcReg1Seg1Rep1Payer1ImpactR1)*calcReg1Seg1Payer1TierImpactR1</f>
        <v>-8.2499999999999891E-5</v>
      </c>
      <c r="J925" t="s">
        <v>3280</v>
      </c>
    </row>
    <row r="926" spans="3:10">
      <c r="C926" t="s">
        <v>2905</v>
      </c>
    </row>
    <row r="927" spans="3:10" s="4" customFormat="1">
      <c r="C927" s="4" t="s">
        <v>1534</v>
      </c>
      <c r="E927" s="500">
        <f>SUM(E921:E926)</f>
        <v>3.5174999999999998E-3</v>
      </c>
      <c r="F927" s="500">
        <f>SUM(F921:F926)</f>
        <v>3.5174999999999998E-3</v>
      </c>
      <c r="G927" s="500">
        <f>SUM(G921:G926)</f>
        <v>3.5174999999999998E-3</v>
      </c>
      <c r="H927" s="500">
        <f>SUM(H921:H926)</f>
        <v>3.5174999999999998E-3</v>
      </c>
      <c r="I927" s="500">
        <f>SUM(I921:I926)</f>
        <v>3.5174999999999998E-3</v>
      </c>
      <c r="J927" s="4" t="s">
        <v>1700</v>
      </c>
    </row>
    <row r="928" spans="3:10">
      <c r="C928" t="s">
        <v>1490</v>
      </c>
      <c r="E928" s="380">
        <f>MAX(calcReg1Seg1Payer1MarketGrowthCustR1*calcReg1Seg1Payer1ShareNewCustR1,0)</f>
        <v>15.274173915000002</v>
      </c>
      <c r="F928" s="380">
        <f>MAX(calcReg1Seg1Payer1MarketGrowthCustR1*calcReg1Seg1Payer1ShareNewCustR1,0)</f>
        <v>15.274173915000002</v>
      </c>
      <c r="G928" s="380">
        <f>MAX(calcReg1Seg1Payer1MarketGrowthCustR1*calcReg1Seg1Payer1ShareNewCustR1,0)</f>
        <v>15.274173915000002</v>
      </c>
      <c r="H928" s="380">
        <f>MAX(calcReg1Seg1Payer1MarketGrowthCustR1*calcReg1Seg1Payer1ShareNewCustR1,0)</f>
        <v>15.274173915000002</v>
      </c>
      <c r="I928" s="380">
        <f>MAX(calcReg1Seg1Payer1MarketGrowthCustR1*calcReg1Seg1Payer1ShareNewCustR1,0)</f>
        <v>15.274173915000002</v>
      </c>
      <c r="J928" s="4" t="s">
        <v>1701</v>
      </c>
    </row>
    <row r="930" spans="1:10">
      <c r="C930" t="s">
        <v>1537</v>
      </c>
      <c r="E930" s="380">
        <f>calcReg1Seg1Payer1MarketRecurCustR1+calcReg1Seg1Payer1MarketGrowthCustR1</f>
        <v>47543.033999999992</v>
      </c>
      <c r="F930" s="380">
        <f>calcReg1Seg1Payer1MarketRecurCustR1+calcReg1Seg1Payer1MarketGrowthCustR1</f>
        <v>47543.033999999992</v>
      </c>
      <c r="G930" s="380">
        <f>calcReg1Seg1Payer1MarketRecurCustR1+calcReg1Seg1Payer1MarketGrowthCustR1</f>
        <v>47543.033999999992</v>
      </c>
      <c r="H930" s="380">
        <f>calcReg1Seg1Payer1MarketRecurCustR1+calcReg1Seg1Payer1MarketGrowthCustR1</f>
        <v>47543.033999999992</v>
      </c>
      <c r="I930" s="380">
        <f>calcReg1Seg1Payer1MarketRecurCustR1+calcReg1Seg1Payer1MarketGrowthCustR1</f>
        <v>47543.033999999992</v>
      </c>
      <c r="J930" t="s">
        <v>1702</v>
      </c>
    </row>
    <row r="931" spans="1:10">
      <c r="C931" t="s">
        <v>1539</v>
      </c>
      <c r="E931" s="380">
        <f>calcReg1Seg1Payer1VolumeRecurCustR1+calcReg1Seg1Payer1VolumeNewCustR1</f>
        <v>167.23262209499995</v>
      </c>
      <c r="F931" s="380">
        <f>calcReg1Seg1Payer1VolumeRecurCustR1+calcReg1Seg1Payer1VolumeNewCustR1</f>
        <v>167.23262209499995</v>
      </c>
      <c r="G931" s="380">
        <f>calcReg1Seg1Payer1VolumeRecurCustR1+calcReg1Seg1Payer1VolumeNewCustR1</f>
        <v>167.23262209499995</v>
      </c>
      <c r="H931" s="380">
        <f>calcReg1Seg1Payer1VolumeRecurCustR1+calcReg1Seg1Payer1VolumeNewCustR1</f>
        <v>167.23262209499995</v>
      </c>
      <c r="I931" s="380">
        <f>calcReg1Seg1Payer1VolumeRecurCustR1+calcReg1Seg1Payer1VolumeNewCustR1</f>
        <v>167.23262209499995</v>
      </c>
      <c r="J931" t="s">
        <v>1703</v>
      </c>
    </row>
    <row r="932" spans="1:10" s="4" customFormat="1">
      <c r="C932" s="4" t="s">
        <v>841</v>
      </c>
      <c r="E932" s="500">
        <f>calcReg1Seg1Payer1VolumeR1/calcReg1Seg1Payer1TotalVolumeR1</f>
        <v>3.5174999999999998E-3</v>
      </c>
      <c r="F932" s="500">
        <f>calcReg1Seg1Payer1VolumeR1/calcReg1Seg1Payer1TotalVolumeR1</f>
        <v>3.5174999999999998E-3</v>
      </c>
      <c r="G932" s="500">
        <f>calcReg1Seg1Payer1VolumeR1/calcReg1Seg1Payer1TotalVolumeR1</f>
        <v>3.5174999999999998E-3</v>
      </c>
      <c r="H932" s="500">
        <f>calcReg1Seg1Payer1VolumeR1/calcReg1Seg1Payer1TotalVolumeR1</f>
        <v>3.5174999999999998E-3</v>
      </c>
      <c r="I932" s="500">
        <f>calcReg1Seg1Payer1VolumeR1/calcReg1Seg1Payer1TotalVolumeR1</f>
        <v>3.5174999999999998E-3</v>
      </c>
      <c r="J932" s="4" t="s">
        <v>1704</v>
      </c>
    </row>
    <row r="934" spans="1:10">
      <c r="A934" s="16" t="s">
        <v>1551</v>
      </c>
      <c r="C934" t="s">
        <v>803</v>
      </c>
      <c r="E934" s="380">
        <f>INDEX(dataReg1Seg1Payer1TotalVolume,,4)</f>
        <v>47720.573879999996</v>
      </c>
      <c r="F934" s="380">
        <f>INDEX(dataReg1Seg1Payer1TotalVolume,,4)</f>
        <v>47720.573879999996</v>
      </c>
      <c r="G934" s="380">
        <f>INDEX(dataReg1Seg1Payer1TotalVolume,,4)</f>
        <v>47720.573879999996</v>
      </c>
      <c r="H934" s="380">
        <f>INDEX(dataReg1Seg1Payer1TotalVolume,,4)</f>
        <v>47720.573879999996</v>
      </c>
      <c r="I934" s="380">
        <f>INDEX(dataReg1Seg1Payer1TotalVolume,,4)</f>
        <v>47720.573879999996</v>
      </c>
      <c r="J934" t="s">
        <v>1705</v>
      </c>
    </row>
    <row r="935" spans="1:10">
      <c r="C935" t="s">
        <v>3253</v>
      </c>
      <c r="E935" t="str">
        <f>cbalReg1Payer1Status</f>
        <v>T3 DSE</v>
      </c>
      <c r="F935" t="str">
        <f>cbalReg1Payer1Status</f>
        <v>T3 DSE</v>
      </c>
      <c r="G935" t="str">
        <f>cbalReg1Payer1Status</f>
        <v>T3 DSE</v>
      </c>
      <c r="H935" t="str">
        <f>cbalReg1Payer1Status</f>
        <v>T3 DSE</v>
      </c>
      <c r="I935" t="str">
        <f>cbalReg1Payer1Status</f>
        <v>T3 DSE</v>
      </c>
    </row>
    <row r="936" spans="1:10">
      <c r="C936" t="s">
        <v>2887</v>
      </c>
      <c r="E936">
        <f>INDEX(dataTierVolumeImpact,MATCH(E935,MarketData!$K$12:$K$17,0),)</f>
        <v>0.88</v>
      </c>
      <c r="F936">
        <f>INDEX(dataTierVolumeImpact,MATCH(F935,MarketData!$K$12:$K$17,0),)</f>
        <v>0.88</v>
      </c>
      <c r="G936">
        <f>INDEX(dataTierVolumeImpact,MATCH(G935,MarketData!$K$12:$K$17,0),)</f>
        <v>0.88</v>
      </c>
      <c r="H936">
        <f>INDEX(dataTierVolumeImpact,MATCH(H935,MarketData!$K$12:$K$17,0),)</f>
        <v>0.88</v>
      </c>
      <c r="I936">
        <f>INDEX(dataTierVolumeImpact,MATCH(I935,MarketData!$K$12:$K$17,0),)</f>
        <v>0.88</v>
      </c>
      <c r="J936" t="s">
        <v>3281</v>
      </c>
    </row>
    <row r="937" spans="1:10">
      <c r="C937" t="s">
        <v>1487</v>
      </c>
      <c r="E937" s="465">
        <f>calcReg1Seg1Payer1ShareTotalCustR1</f>
        <v>3.5174999999999998E-3</v>
      </c>
      <c r="F937" s="465">
        <f>calcReg1Seg1Payer1ShareTotalCustR1</f>
        <v>3.5174999999999998E-3</v>
      </c>
      <c r="G937" s="465">
        <f>calcReg1Seg1Payer1ShareTotalCustR1</f>
        <v>3.5174999999999998E-3</v>
      </c>
      <c r="H937" s="465">
        <f>calcReg1Seg1Payer1ShareTotalCustR1</f>
        <v>3.5174999999999998E-3</v>
      </c>
      <c r="I937" s="465">
        <f>calcReg1Seg1Payer1ShareTotalCustR1</f>
        <v>3.5174999999999998E-3</v>
      </c>
    </row>
    <row r="938" spans="1:10">
      <c r="C938" t="s">
        <v>516</v>
      </c>
      <c r="E938" s="511">
        <f>(calcReg1Seg1SampleAllocR2/calcReg1Seg1SampleAllocR1-1)*INDEX(datatblReg1Seg1Payer1,1,)*calcReg1Seg1Payer1TierImpactR2</f>
        <v>0</v>
      </c>
      <c r="F938" s="511">
        <f>(calcReg1Seg1SampleAllocR2/calcReg1Seg1SampleAllocR1-1)*INDEX(datatblReg1Seg1Payer1,1,)*calcReg1Seg1Payer1TierImpactR2</f>
        <v>0</v>
      </c>
      <c r="G938" s="511">
        <f>(calcReg1Seg1SampleAllocR2/calcReg1Seg1SampleAllocR1-1)*INDEX(datatblReg1Seg1Payer1,1,)*calcReg1Seg1Payer1TierImpactR2</f>
        <v>0</v>
      </c>
      <c r="H938" s="511">
        <f>(calcReg1Seg1SampleAllocR2/calcReg1Seg1SampleAllocR1-1)*INDEX(datatblReg1Seg1Payer1,1,)*calcReg1Seg1Payer1TierImpactR2</f>
        <v>0</v>
      </c>
      <c r="I938" s="511">
        <f>(calcReg1Seg1SampleAllocR2/calcReg1Seg1SampleAllocR1-1)*INDEX(datatblReg1Seg1Payer1,1,)*calcReg1Seg1Payer1TierImpactR2</f>
        <v>0</v>
      </c>
      <c r="J938" t="s">
        <v>3103</v>
      </c>
    </row>
    <row r="939" spans="1:10">
      <c r="C939" t="s">
        <v>517</v>
      </c>
      <c r="E939" s="511">
        <f>(calcReg1Seg1SpeakerAllocR2/calcReg1Seg1SpeakerAllocR1-1)*INDEX(datatblReg1Seg1Payer1,2,)*calcReg1Seg1Payer1TierImpactR2</f>
        <v>-4.400000000000004E-5</v>
      </c>
      <c r="F939" s="511">
        <f>(calcReg1Seg1SpeakerAllocR2/calcReg1Seg1SpeakerAllocR1-1)*INDEX(datatblReg1Seg1Payer1,2,)*calcReg1Seg1Payer1TierImpactR2</f>
        <v>-4.400000000000004E-5</v>
      </c>
      <c r="G939" s="511">
        <f>(calcReg1Seg1SpeakerAllocR2/calcReg1Seg1SpeakerAllocR1-1)*INDEX(datatblReg1Seg1Payer1,2,)*calcReg1Seg1Payer1TierImpactR2</f>
        <v>-4.400000000000004E-5</v>
      </c>
      <c r="H939" s="511">
        <f>(calcReg1Seg1SpeakerAllocR2/calcReg1Seg1SpeakerAllocR1-1)*INDEX(datatblReg1Seg1Payer1,2,)*calcReg1Seg1Payer1TierImpactR2</f>
        <v>-4.400000000000004E-5</v>
      </c>
      <c r="I939" s="511">
        <f>(calcReg1Seg1SpeakerAllocR2/calcReg1Seg1SpeakerAllocR1-1)*INDEX(datatblReg1Seg1Payer1,2,)*calcReg1Seg1Payer1TierImpactR2</f>
        <v>-4.400000000000004E-5</v>
      </c>
      <c r="J939" t="s">
        <v>3104</v>
      </c>
    </row>
    <row r="940" spans="1:10">
      <c r="C940" t="s">
        <v>2333</v>
      </c>
      <c r="E940" s="511">
        <f>(calcReg1Seg1PromotionAllocR2/calcReg1Seg1PromotionAllocR1-1)*INDEX(datatblReg1Seg1Payer1,3,)*calcReg1Seg1Payer1TierImpactR2</f>
        <v>-4.400000000000004E-5</v>
      </c>
      <c r="F940" s="511">
        <f>(calcReg1Seg1PromotionAllocR2/calcReg1Seg1PromotionAllocR1-1)*INDEX(datatblReg1Seg1Payer1,3,)*calcReg1Seg1Payer1TierImpactR2</f>
        <v>-4.400000000000004E-5</v>
      </c>
      <c r="G940" s="511">
        <f>(calcReg1Seg1PromotionAllocR2/calcReg1Seg1PromotionAllocR1-1)*INDEX(datatblReg1Seg1Payer1,3,)*calcReg1Seg1Payer1TierImpactR2</f>
        <v>-4.400000000000004E-5</v>
      </c>
      <c r="H940" s="511">
        <f>(calcReg1Seg1PromotionAllocR2/calcReg1Seg1PromotionAllocR1-1)*INDEX(datatblReg1Seg1Payer1,3,)*calcReg1Seg1Payer1TierImpactR2</f>
        <v>-4.400000000000004E-5</v>
      </c>
      <c r="I940" s="511">
        <f>(calcReg1Seg1PromotionAllocR2/calcReg1Seg1PromotionAllocR1-1)*INDEX(datatblReg1Seg1Payer1,3,)*calcReg1Seg1Payer1TierImpactR2</f>
        <v>-4.400000000000004E-5</v>
      </c>
      <c r="J940" t="s">
        <v>3105</v>
      </c>
    </row>
    <row r="941" spans="1:10">
      <c r="C941" t="s">
        <v>2646</v>
      </c>
      <c r="E941" s="511">
        <f>(calcReg1Seg1Rep1Payer1ImpactR2)*calcReg1Seg1Payer1TierImpactR2</f>
        <v>-6.599999999999991E-5</v>
      </c>
      <c r="F941" s="511">
        <f>(calcReg1Seg1Rep1Payer1ImpactR2)*calcReg1Seg1Payer1TierImpactR2</f>
        <v>-6.599999999999991E-5</v>
      </c>
      <c r="G941" s="511">
        <f>(calcReg1Seg1Rep1Payer1ImpactR2)*calcReg1Seg1Payer1TierImpactR2</f>
        <v>-6.599999999999991E-5</v>
      </c>
      <c r="H941" s="511">
        <f>(calcReg1Seg1Rep1Payer1ImpactR2)*calcReg1Seg1Payer1TierImpactR2</f>
        <v>-6.599999999999991E-5</v>
      </c>
      <c r="I941" s="511">
        <f>(calcReg1Seg1Rep1Payer1ImpactR2)*calcReg1Seg1Payer1TierImpactR2</f>
        <v>-6.599999999999991E-5</v>
      </c>
      <c r="J941" t="s">
        <v>3106</v>
      </c>
    </row>
    <row r="943" spans="1:10" s="4" customFormat="1">
      <c r="C943" s="4" t="s">
        <v>1489</v>
      </c>
      <c r="E943" s="500">
        <f>SUM(E937:E942)</f>
        <v>3.3634999999999993E-3</v>
      </c>
      <c r="F943" s="500">
        <f>SUM(F937:F942)</f>
        <v>3.3634999999999993E-3</v>
      </c>
      <c r="G943" s="500">
        <f>SUM(G937:G942)</f>
        <v>3.3634999999999993E-3</v>
      </c>
      <c r="H943" s="500">
        <f>SUM(H937:H942)</f>
        <v>3.3634999999999993E-3</v>
      </c>
      <c r="I943" s="500">
        <f>SUM(I937:I942)</f>
        <v>3.3634999999999993E-3</v>
      </c>
      <c r="J943" s="4" t="s">
        <v>1706</v>
      </c>
    </row>
    <row r="944" spans="1:10">
      <c r="C944" t="s">
        <v>1490</v>
      </c>
      <c r="E944" s="380">
        <f>MAX(calcReg1Seg1Payer1MarketRecurCustR2*calcReg1Seg1Payer1ShareRecurCustR2,0)</f>
        <v>160.50815024537997</v>
      </c>
      <c r="F944" s="380">
        <f>MAX(calcReg1Seg1Payer1MarketRecurCustR2*calcReg1Seg1Payer1ShareRecurCustR2,0)</f>
        <v>160.50815024537997</v>
      </c>
      <c r="G944" s="380">
        <f>MAX(calcReg1Seg1Payer1MarketRecurCustR2*calcReg1Seg1Payer1ShareRecurCustR2,0)</f>
        <v>160.50815024537997</v>
      </c>
      <c r="H944" s="380">
        <f>MAX(calcReg1Seg1Payer1MarketRecurCustR2*calcReg1Seg1Payer1ShareRecurCustR2,0)</f>
        <v>160.50815024537997</v>
      </c>
      <c r="I944" s="380">
        <f>MAX(calcReg1Seg1Payer1MarketRecurCustR2*calcReg1Seg1Payer1ShareRecurCustR2,0)</f>
        <v>160.50815024537997</v>
      </c>
      <c r="J944" t="s">
        <v>1707</v>
      </c>
    </row>
    <row r="946" spans="3:10">
      <c r="C946" t="s">
        <v>804</v>
      </c>
      <c r="E946" s="380">
        <f>INDEX(dataReg1Seg1Payer1NewVolume,,4)</f>
        <v>6413.2991999999995</v>
      </c>
      <c r="F946" s="380">
        <f>INDEX(dataReg1Seg1Payer1NewVolume,,4)</f>
        <v>6413.2991999999995</v>
      </c>
      <c r="G946" s="380">
        <f>INDEX(dataReg1Seg1Payer1NewVolume,,4)</f>
        <v>6413.2991999999995</v>
      </c>
      <c r="H946" s="380">
        <f>INDEX(dataReg1Seg1Payer1NewVolume,,4)</f>
        <v>6413.2991999999995</v>
      </c>
      <c r="I946" s="380">
        <f>INDEX(dataReg1Seg1Payer1NewVolume,,4)</f>
        <v>6413.2991999999995</v>
      </c>
      <c r="J946" t="s">
        <v>1708</v>
      </c>
    </row>
    <row r="948" spans="3:10">
      <c r="C948" t="s">
        <v>1486</v>
      </c>
      <c r="E948" s="465">
        <f>calcReg1Seg1Payer1ShareNewCustR1</f>
        <v>3.5174999999999998E-3</v>
      </c>
      <c r="F948" s="465">
        <f>calcReg1Seg1Payer1ShareNewCustR1</f>
        <v>3.5174999999999998E-3</v>
      </c>
      <c r="G948" s="465">
        <f>calcReg1Seg1Payer1ShareNewCustR1</f>
        <v>3.5174999999999998E-3</v>
      </c>
      <c r="H948" s="465">
        <f>calcReg1Seg1Payer1ShareNewCustR1</f>
        <v>3.5174999999999998E-3</v>
      </c>
      <c r="I948" s="465">
        <f>calcReg1Seg1Payer1ShareNewCustR1</f>
        <v>3.5174999999999998E-3</v>
      </c>
    </row>
    <row r="949" spans="3:10">
      <c r="C949" t="s">
        <v>516</v>
      </c>
      <c r="E949" s="511">
        <f>(calcReg1Seg1SampleAllocR2/calcReg1Seg1SampleAllocR1-1)*INDEX(datatblReg1Seg1Payer1,1,)*calcReg1Seg1Payer1TierImpactR2</f>
        <v>0</v>
      </c>
      <c r="F949" s="511">
        <f>(calcReg1Seg1SampleAllocR2/calcReg1Seg1SampleAllocR1-1)*INDEX(datatblReg1Seg1Payer1,1,)*calcReg1Seg1Payer1TierImpactR2</f>
        <v>0</v>
      </c>
      <c r="G949" s="511">
        <f>(calcReg1Seg1SampleAllocR2/calcReg1Seg1SampleAllocR1-1)*INDEX(datatblReg1Seg1Payer1,1,)*calcReg1Seg1Payer1TierImpactR2</f>
        <v>0</v>
      </c>
      <c r="H949" s="511">
        <f>(calcReg1Seg1SampleAllocR2/calcReg1Seg1SampleAllocR1-1)*INDEX(datatblReg1Seg1Payer1,1,)*calcReg1Seg1Payer1TierImpactR2</f>
        <v>0</v>
      </c>
      <c r="I949" s="511">
        <f>(calcReg1Seg1SampleAllocR2/calcReg1Seg1SampleAllocR1-1)*INDEX(datatblReg1Seg1Payer1,1,)*calcReg1Seg1Payer1TierImpactR2</f>
        <v>0</v>
      </c>
      <c r="J949" t="s">
        <v>3282</v>
      </c>
    </row>
    <row r="950" spans="3:10">
      <c r="C950" t="s">
        <v>517</v>
      </c>
      <c r="E950" s="511">
        <f>(calcReg1Seg1SpeakerAllocR2/calcReg1Seg1SpeakerAllocR1-1)*INDEX(datatblReg1Seg1Payer1,2,)*calcReg1Seg1Payer1TierImpactR2</f>
        <v>-4.400000000000004E-5</v>
      </c>
      <c r="F950" s="511">
        <f>(calcReg1Seg1SpeakerAllocR2/calcReg1Seg1SpeakerAllocR1-1)*INDEX(datatblReg1Seg1Payer1,2,)*calcReg1Seg1Payer1TierImpactR2</f>
        <v>-4.400000000000004E-5</v>
      </c>
      <c r="G950" s="511">
        <f>(calcReg1Seg1SpeakerAllocR2/calcReg1Seg1SpeakerAllocR1-1)*INDEX(datatblReg1Seg1Payer1,2,)*calcReg1Seg1Payer1TierImpactR2</f>
        <v>-4.400000000000004E-5</v>
      </c>
      <c r="H950" s="511">
        <f>(calcReg1Seg1SpeakerAllocR2/calcReg1Seg1SpeakerAllocR1-1)*INDEX(datatblReg1Seg1Payer1,2,)*calcReg1Seg1Payer1TierImpactR2</f>
        <v>-4.400000000000004E-5</v>
      </c>
      <c r="I950" s="511">
        <f>(calcReg1Seg1SpeakerAllocR2/calcReg1Seg1SpeakerAllocR1-1)*INDEX(datatblReg1Seg1Payer1,2,)*calcReg1Seg1Payer1TierImpactR2</f>
        <v>-4.400000000000004E-5</v>
      </c>
      <c r="J950" t="s">
        <v>3283</v>
      </c>
    </row>
    <row r="951" spans="3:10">
      <c r="C951" t="s">
        <v>2333</v>
      </c>
      <c r="E951" s="511">
        <f>(calcReg1Seg1PromotionAllocR2/calcReg1Seg1PromotionAllocR1-1)*INDEX(datatblReg1Seg1Payer1,3,)*calcReg1Seg1Payer1TierImpactR2</f>
        <v>-4.400000000000004E-5</v>
      </c>
      <c r="F951" s="511">
        <f>(calcReg1Seg1PromotionAllocR2/calcReg1Seg1PromotionAllocR1-1)*INDEX(datatblReg1Seg1Payer1,3,)*calcReg1Seg1Payer1TierImpactR2</f>
        <v>-4.400000000000004E-5</v>
      </c>
      <c r="G951" s="511">
        <f>(calcReg1Seg1PromotionAllocR2/calcReg1Seg1PromotionAllocR1-1)*INDEX(datatblReg1Seg1Payer1,3,)*calcReg1Seg1Payer1TierImpactR2</f>
        <v>-4.400000000000004E-5</v>
      </c>
      <c r="H951" s="511">
        <f>(calcReg1Seg1PromotionAllocR2/calcReg1Seg1PromotionAllocR1-1)*INDEX(datatblReg1Seg1Payer1,3,)*calcReg1Seg1Payer1TierImpactR2</f>
        <v>-4.400000000000004E-5</v>
      </c>
      <c r="I951" s="511">
        <f>(calcReg1Seg1PromotionAllocR2/calcReg1Seg1PromotionAllocR1-1)*INDEX(datatblReg1Seg1Payer1,3,)*calcReg1Seg1Payer1TierImpactR2</f>
        <v>-4.400000000000004E-5</v>
      </c>
      <c r="J951" t="s">
        <v>3284</v>
      </c>
    </row>
    <row r="952" spans="3:10">
      <c r="C952" t="s">
        <v>2646</v>
      </c>
      <c r="E952" s="511">
        <f>(calcReg1Seg1Rep1Payer1ImpactR2)*calcReg1Seg1Payer1TierImpactR2</f>
        <v>-6.599999999999991E-5</v>
      </c>
      <c r="F952" s="511">
        <f>(calcReg1Seg1Rep1Payer1ImpactR2)*calcReg1Seg1Payer1TierImpactR2</f>
        <v>-6.599999999999991E-5</v>
      </c>
      <c r="G952" s="511">
        <f>(calcReg1Seg1Rep1Payer1ImpactR2)*calcReg1Seg1Payer1TierImpactR2</f>
        <v>-6.599999999999991E-5</v>
      </c>
      <c r="H952" s="511">
        <f>(calcReg1Seg1Rep1Payer1ImpactR2)*calcReg1Seg1Payer1TierImpactR2</f>
        <v>-6.599999999999991E-5</v>
      </c>
      <c r="I952" s="511">
        <f>(calcReg1Seg1Rep1Payer1ImpactR2)*calcReg1Seg1Payer1TierImpactR2</f>
        <v>-6.599999999999991E-5</v>
      </c>
      <c r="J952" t="s">
        <v>3285</v>
      </c>
    </row>
    <row r="954" spans="3:10" s="4" customFormat="1">
      <c r="C954" s="4" t="s">
        <v>1534</v>
      </c>
      <c r="E954" s="500">
        <f>SUM(E948:E953)</f>
        <v>3.3634999999999993E-3</v>
      </c>
      <c r="F954" s="500">
        <f>SUM(F948:F953)</f>
        <v>3.3634999999999993E-3</v>
      </c>
      <c r="G954" s="500">
        <f>SUM(G948:G953)</f>
        <v>3.3634999999999993E-3</v>
      </c>
      <c r="H954" s="500">
        <f>SUM(H948:H953)</f>
        <v>3.3634999999999993E-3</v>
      </c>
      <c r="I954" s="500">
        <f>SUM(I948:I953)</f>
        <v>3.3634999999999993E-3</v>
      </c>
      <c r="J954" s="4" t="s">
        <v>1709</v>
      </c>
    </row>
    <row r="955" spans="3:10">
      <c r="C955" t="s">
        <v>1490</v>
      </c>
      <c r="E955" s="380">
        <f>MAX(calcReg1Seg1Payer1MarketGrowthCustR2*calcReg1Seg1Payer1ShareNewCustR2,0)</f>
        <v>21.571131859199994</v>
      </c>
      <c r="F955" s="380">
        <f>MAX(calcReg1Seg1Payer1MarketGrowthCustR2*calcReg1Seg1Payer1ShareNewCustR2,0)</f>
        <v>21.571131859199994</v>
      </c>
      <c r="G955" s="380">
        <f>MAX(calcReg1Seg1Payer1MarketGrowthCustR2*calcReg1Seg1Payer1ShareNewCustR2,0)</f>
        <v>21.571131859199994</v>
      </c>
      <c r="H955" s="380">
        <f>MAX(calcReg1Seg1Payer1MarketGrowthCustR2*calcReg1Seg1Payer1ShareNewCustR2,0)</f>
        <v>21.571131859199994</v>
      </c>
      <c r="I955" s="380">
        <f>MAX(calcReg1Seg1Payer1MarketGrowthCustR2*calcReg1Seg1Payer1ShareNewCustR2,0)</f>
        <v>21.571131859199994</v>
      </c>
      <c r="J955" s="4" t="s">
        <v>1710</v>
      </c>
    </row>
    <row r="957" spans="3:10">
      <c r="C957" t="s">
        <v>1537</v>
      </c>
      <c r="E957" s="380">
        <f>calcReg1Seg1Payer1MarketRecurCustR2+calcReg1Seg1Payer1MarketGrowthCustR2</f>
        <v>54133.873079999998</v>
      </c>
      <c r="F957" s="380">
        <f>calcReg1Seg1Payer1MarketRecurCustR2+calcReg1Seg1Payer1MarketGrowthCustR2</f>
        <v>54133.873079999998</v>
      </c>
      <c r="G957" s="380">
        <f>calcReg1Seg1Payer1MarketRecurCustR2+calcReg1Seg1Payer1MarketGrowthCustR2</f>
        <v>54133.873079999998</v>
      </c>
      <c r="H957" s="380">
        <f>calcReg1Seg1Payer1MarketRecurCustR2+calcReg1Seg1Payer1MarketGrowthCustR2</f>
        <v>54133.873079999998</v>
      </c>
      <c r="I957" s="380">
        <f>calcReg1Seg1Payer1MarketRecurCustR2+calcReg1Seg1Payer1MarketGrowthCustR2</f>
        <v>54133.873079999998</v>
      </c>
      <c r="J957" t="s">
        <v>1711</v>
      </c>
    </row>
    <row r="958" spans="3:10">
      <c r="C958" t="s">
        <v>1539</v>
      </c>
      <c r="E958" s="380">
        <f>calcReg1Seg1Payer1VolumeRecurCustR2+calcReg1Seg1Payer1VolumeNewCustR2</f>
        <v>182.07928210457996</v>
      </c>
      <c r="F958" s="380">
        <f>calcReg1Seg1Payer1VolumeRecurCustR2+calcReg1Seg1Payer1VolumeNewCustR2</f>
        <v>182.07928210457996</v>
      </c>
      <c r="G958" s="380">
        <f>calcReg1Seg1Payer1VolumeRecurCustR2+calcReg1Seg1Payer1VolumeNewCustR2</f>
        <v>182.07928210457996</v>
      </c>
      <c r="H958" s="380">
        <f>calcReg1Seg1Payer1VolumeRecurCustR2+calcReg1Seg1Payer1VolumeNewCustR2</f>
        <v>182.07928210457996</v>
      </c>
      <c r="I958" s="380">
        <f>calcReg1Seg1Payer1VolumeRecurCustR2+calcReg1Seg1Payer1VolumeNewCustR2</f>
        <v>182.07928210457996</v>
      </c>
      <c r="J958" t="s">
        <v>1712</v>
      </c>
    </row>
    <row r="959" spans="3:10" s="4" customFormat="1">
      <c r="C959" s="4" t="s">
        <v>841</v>
      </c>
      <c r="E959" s="500">
        <f>calcReg1Seg1Payer1VolumeR1/calcReg1Seg1Payer1TotalVolumeR1</f>
        <v>3.5174999999999998E-3</v>
      </c>
      <c r="F959" s="500">
        <f>calcReg1Seg1Payer1VolumeR1/calcReg1Seg1Payer1TotalVolumeR1</f>
        <v>3.5174999999999998E-3</v>
      </c>
      <c r="G959" s="500">
        <f>calcReg1Seg1Payer1VolumeR1/calcReg1Seg1Payer1TotalVolumeR1</f>
        <v>3.5174999999999998E-3</v>
      </c>
      <c r="H959" s="500">
        <f>calcReg1Seg1Payer1VolumeR1/calcReg1Seg1Payer1TotalVolumeR1</f>
        <v>3.5174999999999998E-3</v>
      </c>
      <c r="I959" s="500">
        <f>calcReg1Seg1Payer1VolumeR1/calcReg1Seg1Payer1TotalVolumeR1</f>
        <v>3.5174999999999998E-3</v>
      </c>
      <c r="J959" s="4" t="s">
        <v>1713</v>
      </c>
    </row>
    <row r="961" spans="1:10" s="376" customFormat="1">
      <c r="A961" s="376" t="str">
        <f>nmPayer2</f>
        <v>WesterAid</v>
      </c>
    </row>
    <row r="962" spans="1:10">
      <c r="A962" s="16" t="s">
        <v>1488</v>
      </c>
      <c r="C962" s="4" t="s">
        <v>803</v>
      </c>
      <c r="E962" s="380">
        <f>INDEX(dataReg1Seg1Payer2TotalVolume,,3)</f>
        <v>33120.533599999995</v>
      </c>
      <c r="F962" s="380">
        <f>INDEX(dataReg1Seg1Payer2TotalVolume,,3)</f>
        <v>33120.533599999995</v>
      </c>
      <c r="G962" s="380">
        <f>INDEX(dataReg1Seg1Payer2TotalVolume,,3)</f>
        <v>33120.533599999995</v>
      </c>
      <c r="H962" s="380">
        <f>INDEX(dataReg1Seg1Payer2TotalVolume,,3)</f>
        <v>33120.533599999995</v>
      </c>
      <c r="I962" s="380">
        <f>INDEX(dataReg1Seg1Payer2TotalVolume,,3)</f>
        <v>33120.533599999995</v>
      </c>
      <c r="J962" t="s">
        <v>1714</v>
      </c>
    </row>
    <row r="963" spans="1:10">
      <c r="C963" t="s">
        <v>3253</v>
      </c>
      <c r="E963" t="str">
        <f>obalReg1Payer2Status</f>
        <v>T1 NR</v>
      </c>
      <c r="F963" t="str">
        <f>obalReg1Payer2Status</f>
        <v>T1 NR</v>
      </c>
      <c r="G963" t="str">
        <f>obalReg1Payer2Status</f>
        <v>T1 NR</v>
      </c>
      <c r="H963" t="str">
        <f>obalReg1Payer2Status</f>
        <v>T1 NR</v>
      </c>
      <c r="I963" t="str">
        <f>obalReg1Payer2Status</f>
        <v>T1 NR</v>
      </c>
    </row>
    <row r="964" spans="1:10">
      <c r="C964" t="s">
        <v>2887</v>
      </c>
      <c r="E964">
        <f>INDEX(dataTierVolumeImpact,MATCH(E963,MarketData!$K$12:$K$17,0),)</f>
        <v>1.1499999999999999</v>
      </c>
      <c r="F964">
        <f>INDEX(dataTierVolumeImpact,MATCH(F963,MarketData!$K$12:$K$17,0),)</f>
        <v>1.1499999999999999</v>
      </c>
      <c r="G964">
        <f>INDEX(dataTierVolumeImpact,MATCH(G963,MarketData!$K$12:$K$17,0),)</f>
        <v>1.1499999999999999</v>
      </c>
      <c r="H964">
        <f>INDEX(dataTierVolumeImpact,MATCH(H963,MarketData!$K$12:$K$17,0),)</f>
        <v>1.1499999999999999</v>
      </c>
      <c r="I964">
        <f>INDEX(dataTierVolumeImpact,MATCH(I963,MarketData!$K$12:$K$17,0),)</f>
        <v>1.1499999999999999</v>
      </c>
      <c r="J964" t="s">
        <v>3286</v>
      </c>
    </row>
    <row r="965" spans="1:10">
      <c r="C965" t="s">
        <v>1487</v>
      </c>
      <c r="E965" s="465">
        <f>obalReg1Seg1Payer2Share</f>
        <v>0</v>
      </c>
      <c r="F965" s="465">
        <f>obalReg1Seg1Payer2Share</f>
        <v>0</v>
      </c>
      <c r="G965" s="465">
        <f>obalReg1Seg1Payer2Share</f>
        <v>0</v>
      </c>
      <c r="H965" s="465">
        <f>obalReg1Seg1Payer2Share</f>
        <v>0</v>
      </c>
      <c r="I965" s="465">
        <f>obalReg1Seg1Payer2Share</f>
        <v>0</v>
      </c>
    </row>
    <row r="966" spans="1:10">
      <c r="C966" t="s">
        <v>516</v>
      </c>
      <c r="E966" s="511">
        <f>(calcReg1Seg1SampleAllocR1/obalReg1Seg1SampleAlloc-1)*INDEX(datatblReg1Seg1Payer2,1,)*calcReg1Seg1Payer2TierImpactR1</f>
        <v>0</v>
      </c>
      <c r="F966" s="511">
        <f>(calcReg1Seg1SampleAllocR1/obalReg1Seg1SampleAlloc-1)*INDEX(datatblReg1Seg1Payer2,1,)</f>
        <v>0</v>
      </c>
      <c r="G966" s="511">
        <f>(calcReg1Seg1SampleAllocR1/obalReg1Seg1SampleAlloc-1)*INDEX(datatblReg1Seg1Payer2,1,)</f>
        <v>0</v>
      </c>
      <c r="H966" s="511">
        <f>(calcReg1Seg1SampleAllocR1/obalReg1Seg1SampleAlloc-1)*INDEX(datatblReg1Seg1Payer2,1,)</f>
        <v>0</v>
      </c>
      <c r="I966" s="511">
        <f>(calcReg1Seg1SampleAllocR1/obalReg1Seg1SampleAlloc-1)*INDEX(datatblReg1Seg1Payer2,1,)</f>
        <v>0</v>
      </c>
      <c r="J966" t="s">
        <v>3287</v>
      </c>
    </row>
    <row r="967" spans="1:10">
      <c r="C967" t="s">
        <v>517</v>
      </c>
      <c r="E967" s="511">
        <f>(calcReg1Seg1SpeakerAllocR1/obalReg1Seg1SpeakerAlloc-1)*INDEX(datatblReg1Seg1Payer2,2,)*(calcReg1Seg1Payer2TierImpactR1)</f>
        <v>0</v>
      </c>
      <c r="F967" s="511">
        <f>(calcReg1Seg1SpeakerAllocR1/obalReg1Seg1SpeakerAlloc-1)*INDEX(datatblReg1Seg1Payer2,2,)</f>
        <v>0</v>
      </c>
      <c r="G967" s="511">
        <f>(calcReg1Seg1SpeakerAllocR1/obalReg1Seg1SpeakerAlloc-1)*INDEX(datatblReg1Seg1Payer2,2,)</f>
        <v>0</v>
      </c>
      <c r="H967" s="511">
        <f>(calcReg1Seg1SpeakerAllocR1/obalReg1Seg1SpeakerAlloc-1)*INDEX(datatblReg1Seg1Payer2,2,)</f>
        <v>0</v>
      </c>
      <c r="I967" s="511">
        <f>(calcReg1Seg1SpeakerAllocR1/obalReg1Seg1SpeakerAlloc-1)*INDEX(datatblReg1Seg1Payer2,2,)</f>
        <v>0</v>
      </c>
      <c r="J967" t="s">
        <v>3288</v>
      </c>
    </row>
    <row r="968" spans="1:10">
      <c r="C968" t="s">
        <v>2333</v>
      </c>
      <c r="E968" s="511">
        <f>(calcReg1Seg1PromotionAllocR1/obalReg1Seg1PromotionAlloc-1)*INDEX(datatblReg1Seg1Payer2,3,)*calcReg1Seg1Payer2TierImpactR1</f>
        <v>0</v>
      </c>
      <c r="F968" s="511">
        <f>(calcReg1Seg1PromotionAllocR1/obalReg1Seg1PromotionAlloc-1)*INDEX(datatblReg1Seg1Payer2,3,)</f>
        <v>0</v>
      </c>
      <c r="G968" s="511">
        <f>(calcReg1Seg1PromotionAllocR1/obalReg1Seg1PromotionAlloc-1)*INDEX(datatblReg1Seg1Payer2,3,)</f>
        <v>0</v>
      </c>
      <c r="H968" s="511">
        <f>(calcReg1Seg1PromotionAllocR1/obalReg1Seg1PromotionAlloc-1)*INDEX(datatblReg1Seg1Payer2,3,)</f>
        <v>0</v>
      </c>
      <c r="I968" s="511">
        <f>(calcReg1Seg1PromotionAllocR1/obalReg1Seg1PromotionAlloc-1)*INDEX(datatblReg1Seg1Payer2,3,)</f>
        <v>0</v>
      </c>
      <c r="J968" t="s">
        <v>3289</v>
      </c>
    </row>
    <row r="969" spans="1:10">
      <c r="C969" t="s">
        <v>2646</v>
      </c>
      <c r="E969" s="511">
        <f>(calcReg1Seg1Rep1Payer2ImpactR1)*calcReg1Seg1Payer2TierImpactR1</f>
        <v>-1.1499999999999984E-4</v>
      </c>
      <c r="F969" s="511">
        <f>(calcReg1Seg1Rep1Payer2ImpactR1)*calcReg1Seg1Payer2TierImpactR1</f>
        <v>-1.1499999999999984E-4</v>
      </c>
      <c r="G969" s="511">
        <f>(calcReg1Seg1Rep1Payer2ImpactR1)*calcReg1Seg1Payer2TierImpactR1</f>
        <v>-1.1499999999999984E-4</v>
      </c>
      <c r="H969" s="511">
        <f>(calcReg1Seg1Rep1Payer2ImpactR1)*calcReg1Seg1Payer2TierImpactR1</f>
        <v>-1.1499999999999984E-4</v>
      </c>
      <c r="I969" s="511">
        <f>(calcReg1Seg1Rep1Payer2ImpactR1)*calcReg1Seg1Payer2TierImpactR1</f>
        <v>-1.1499999999999984E-4</v>
      </c>
      <c r="J969" t="s">
        <v>3290</v>
      </c>
    </row>
    <row r="970" spans="1:10" s="4" customFormat="1">
      <c r="C970" s="4" t="s">
        <v>1489</v>
      </c>
      <c r="E970" s="500">
        <f>SUM(E965:E969)</f>
        <v>-1.1499999999999984E-4</v>
      </c>
      <c r="F970" s="500">
        <f t="shared" ref="F970:I970" si="51">SUM(F965:F969)</f>
        <v>-1.1499999999999984E-4</v>
      </c>
      <c r="G970" s="500">
        <f t="shared" si="51"/>
        <v>-1.1499999999999984E-4</v>
      </c>
      <c r="H970" s="500">
        <f t="shared" si="51"/>
        <v>-1.1499999999999984E-4</v>
      </c>
      <c r="I970" s="500">
        <f t="shared" si="51"/>
        <v>-1.1499999999999984E-4</v>
      </c>
      <c r="J970" s="4" t="s">
        <v>1715</v>
      </c>
    </row>
    <row r="971" spans="1:10">
      <c r="C971" t="s">
        <v>1490</v>
      </c>
      <c r="E971" s="380">
        <f>MAX(calcReg1Seg1Payer2MarketRecurCustR1*calcReg1Seg1Payer2ShareRecurCustR1,0)</f>
        <v>0</v>
      </c>
      <c r="F971" s="380">
        <f>MAX(calcReg1Seg1Payer2MarketRecurCustR1*calcReg1Seg1Payer2ShareRecurCustR1,0)</f>
        <v>0</v>
      </c>
      <c r="G971" s="380">
        <f>MAX(calcReg1Seg1Payer2MarketRecurCustR1*calcReg1Seg1Payer2ShareRecurCustR1,0)</f>
        <v>0</v>
      </c>
      <c r="H971" s="380">
        <f>MAX(calcReg1Seg1Payer2MarketRecurCustR1*calcReg1Seg1Payer2ShareRecurCustR1,0)</f>
        <v>0</v>
      </c>
      <c r="I971" s="380">
        <f>MAX(calcReg1Seg1Payer2MarketRecurCustR1*calcReg1Seg1Payer2ShareRecurCustR1,0)</f>
        <v>0</v>
      </c>
      <c r="J971" t="s">
        <v>1716</v>
      </c>
    </row>
    <row r="973" spans="1:10">
      <c r="C973" t="s">
        <v>804</v>
      </c>
      <c r="E973" s="380">
        <f>INDEX(dataReg1Seg1Payer2NewVolume,,3)</f>
        <v>2631.7200000000003</v>
      </c>
      <c r="F973" s="380">
        <f>INDEX(dataReg1Seg1Payer2NewVolume,,3)</f>
        <v>2631.7200000000003</v>
      </c>
      <c r="G973" s="380">
        <f>INDEX(dataReg1Seg1Payer2NewVolume,,3)</f>
        <v>2631.7200000000003</v>
      </c>
      <c r="H973" s="380">
        <f>INDEX(dataReg1Seg1Payer2NewVolume,,3)</f>
        <v>2631.7200000000003</v>
      </c>
      <c r="I973" s="380">
        <f>INDEX(dataReg1Seg1Payer2NewVolume,,3)</f>
        <v>2631.7200000000003</v>
      </c>
      <c r="J973" t="s">
        <v>1717</v>
      </c>
    </row>
    <row r="975" spans="1:10">
      <c r="C975" t="s">
        <v>1486</v>
      </c>
      <c r="E975" s="465">
        <f>obalReg1Seg1Payer2Share</f>
        <v>0</v>
      </c>
      <c r="F975" s="465">
        <f>obalReg1Seg1Payer2Share</f>
        <v>0</v>
      </c>
      <c r="G975" s="465">
        <f>obalReg1Seg1Payer2Share</f>
        <v>0</v>
      </c>
      <c r="H975" s="465">
        <f>obalReg1Seg1Payer2Share</f>
        <v>0</v>
      </c>
      <c r="I975" s="465">
        <f>obalReg1Seg1Payer2Share</f>
        <v>0</v>
      </c>
    </row>
    <row r="976" spans="1:10">
      <c r="C976" t="s">
        <v>516</v>
      </c>
      <c r="E976" s="511">
        <f>(calcReg1Seg1SampleAllocR1/obalReg1Seg1SampleAlloc-1)*INDEX(datatblReg1Seg1Payer2,1,)*calcReg1Seg1Payer2TierImpactR1</f>
        <v>0</v>
      </c>
      <c r="F976" s="511">
        <f>(calcReg1Seg1SampleAllocR1/obalReg1Seg1SampleAlloc-1)*INDEX(datatblReg1Seg1Payer2,1,)</f>
        <v>0</v>
      </c>
      <c r="G976" s="511">
        <f>(calcReg1Seg1SampleAllocR1/obalReg1Seg1SampleAlloc-1)*INDEX(datatblReg1Seg1Payer2,1,)</f>
        <v>0</v>
      </c>
      <c r="H976" s="511">
        <f>(calcReg1Seg1SampleAllocR1/obalReg1Seg1SampleAlloc-1)*INDEX(datatblReg1Seg1Payer2,1,)</f>
        <v>0</v>
      </c>
      <c r="I976" s="511">
        <f>(calcReg1Seg1SampleAllocR1/obalReg1Seg1SampleAlloc-1)*INDEX(datatblReg1Seg1Payer2,1,)</f>
        <v>0</v>
      </c>
      <c r="J976" t="s">
        <v>3291</v>
      </c>
    </row>
    <row r="977" spans="1:10">
      <c r="C977" t="s">
        <v>517</v>
      </c>
      <c r="E977" s="511">
        <f>(calcReg1Seg1SpeakerAllocR1/obalReg1Seg1SpeakerAlloc-1)*INDEX(datatblReg1Seg1Payer2,2,)*(calcReg1Seg1Payer2TierImpactR1)</f>
        <v>0</v>
      </c>
      <c r="F977" s="511">
        <f>(calcReg1Seg1SpeakerAllocR1/obalReg1Seg1SpeakerAlloc-1)*INDEX(datatblReg1Seg1Payer2,2,)</f>
        <v>0</v>
      </c>
      <c r="G977" s="511">
        <f>(calcReg1Seg1SpeakerAllocR1/obalReg1Seg1SpeakerAlloc-1)*INDEX(datatblReg1Seg1Payer2,2,)</f>
        <v>0</v>
      </c>
      <c r="H977" s="511">
        <f>(calcReg1Seg1SpeakerAllocR1/obalReg1Seg1SpeakerAlloc-1)*INDEX(datatblReg1Seg1Payer2,2,)</f>
        <v>0</v>
      </c>
      <c r="I977" s="511">
        <f>(calcReg1Seg1SpeakerAllocR1/obalReg1Seg1SpeakerAlloc-1)*INDEX(datatblReg1Seg1Payer2,2,)</f>
        <v>0</v>
      </c>
      <c r="J977" t="s">
        <v>3292</v>
      </c>
    </row>
    <row r="978" spans="1:10">
      <c r="C978" t="s">
        <v>2333</v>
      </c>
      <c r="E978" s="511">
        <f>(calcReg1Seg1PromotionAllocR1/obalReg1Seg1PromotionAlloc-1)*INDEX(datatblReg1Seg1Payer2,3,)*calcReg1Seg1Payer2TierImpactR1</f>
        <v>0</v>
      </c>
      <c r="F978" s="511">
        <f>(calcReg1Seg1PromotionAllocR1/obalReg1Seg1PromotionAlloc-1)*INDEX(datatblReg1Seg1Payer2,3,)</f>
        <v>0</v>
      </c>
      <c r="G978" s="511">
        <f>(calcReg1Seg1PromotionAllocR1/obalReg1Seg1PromotionAlloc-1)*INDEX(datatblReg1Seg1Payer2,3,)</f>
        <v>0</v>
      </c>
      <c r="H978" s="511">
        <f>(calcReg1Seg1PromotionAllocR1/obalReg1Seg1PromotionAlloc-1)*INDEX(datatblReg1Seg1Payer2,3,)</f>
        <v>0</v>
      </c>
      <c r="I978" s="511">
        <f>(calcReg1Seg1PromotionAllocR1/obalReg1Seg1PromotionAlloc-1)*INDEX(datatblReg1Seg1Payer2,3,)</f>
        <v>0</v>
      </c>
      <c r="J978" t="s">
        <v>3293</v>
      </c>
    </row>
    <row r="979" spans="1:10">
      <c r="C979" t="s">
        <v>2646</v>
      </c>
      <c r="E979" s="511">
        <f>(calcReg1Seg1Rep1Payer2ImpactR1)*calcReg1Seg1Payer2TierImpactR1</f>
        <v>-1.1499999999999984E-4</v>
      </c>
      <c r="F979" s="511">
        <f>(calcReg1Seg1Rep1Payer2ImpactR1)*calcReg1Seg1Payer2TierImpactR1</f>
        <v>-1.1499999999999984E-4</v>
      </c>
      <c r="G979" s="511">
        <f>(calcReg1Seg1Rep1Payer2ImpactR1)*calcReg1Seg1Payer2TierImpactR1</f>
        <v>-1.1499999999999984E-4</v>
      </c>
      <c r="H979" s="511">
        <f>(calcReg1Seg1Rep1Payer2ImpactR1)*calcReg1Seg1Payer2TierImpactR1</f>
        <v>-1.1499999999999984E-4</v>
      </c>
      <c r="I979" s="511">
        <f>(calcReg1Seg1Rep1Payer2ImpactR1)*calcReg1Seg1Payer2TierImpactR1</f>
        <v>-1.1499999999999984E-4</v>
      </c>
      <c r="J979" t="s">
        <v>3294</v>
      </c>
    </row>
    <row r="980" spans="1:10">
      <c r="C980" t="s">
        <v>2905</v>
      </c>
    </row>
    <row r="981" spans="1:10" s="4" customFormat="1">
      <c r="C981" s="4" t="s">
        <v>1534</v>
      </c>
      <c r="E981" s="500">
        <f>SUM(E975:E980)</f>
        <v>-1.1499999999999984E-4</v>
      </c>
      <c r="F981" s="500">
        <f>SUM(F975:F980)</f>
        <v>-1.1499999999999984E-4</v>
      </c>
      <c r="G981" s="500">
        <f>SUM(G975:G980)</f>
        <v>-1.1499999999999984E-4</v>
      </c>
      <c r="H981" s="500">
        <f>SUM(H975:H980)</f>
        <v>-1.1499999999999984E-4</v>
      </c>
      <c r="I981" s="500">
        <f>SUM(I975:I980)</f>
        <v>-1.1499999999999984E-4</v>
      </c>
      <c r="J981" s="4" t="s">
        <v>1718</v>
      </c>
    </row>
    <row r="982" spans="1:10">
      <c r="C982" t="s">
        <v>1490</v>
      </c>
      <c r="E982" s="380">
        <f>MAX(calcReg1Seg1Payer2MarketGrowthCustR1*calcReg1Seg1Payer2ShareNewCustR1,0)</f>
        <v>0</v>
      </c>
      <c r="F982" s="380">
        <f>MAX(calcReg1Seg1Payer2MarketGrowthCustR1*calcReg1Seg1Payer2ShareNewCustR1,0)</f>
        <v>0</v>
      </c>
      <c r="G982" s="380">
        <f>MAX(calcReg1Seg1Payer2MarketGrowthCustR1*calcReg1Seg1Payer2ShareNewCustR1,0)</f>
        <v>0</v>
      </c>
      <c r="H982" s="380">
        <f>MAX(calcReg1Seg1Payer2MarketGrowthCustR1*calcReg1Seg1Payer2ShareNewCustR1,0)</f>
        <v>0</v>
      </c>
      <c r="I982" s="380">
        <f>MAX(calcReg1Seg1Payer2MarketGrowthCustR1*calcReg1Seg1Payer2ShareNewCustR1,0)</f>
        <v>0</v>
      </c>
      <c r="J982" s="4" t="s">
        <v>1719</v>
      </c>
    </row>
    <row r="984" spans="1:10">
      <c r="C984" t="s">
        <v>1537</v>
      </c>
      <c r="E984" s="380">
        <f>calcReg1Seg1Payer2MarketRecurCustR1+calcReg1Seg1Payer2MarketGrowthCustR1</f>
        <v>35752.253599999996</v>
      </c>
      <c r="F984" s="380">
        <f>calcReg1Seg1Payer2MarketRecurCustR1+calcReg1Seg1Payer2MarketGrowthCustR1</f>
        <v>35752.253599999996</v>
      </c>
      <c r="G984" s="380">
        <f>calcReg1Seg1Payer2MarketRecurCustR1+calcReg1Seg1Payer2MarketGrowthCustR1</f>
        <v>35752.253599999996</v>
      </c>
      <c r="H984" s="380">
        <f>calcReg1Seg1Payer2MarketRecurCustR1+calcReg1Seg1Payer2MarketGrowthCustR1</f>
        <v>35752.253599999996</v>
      </c>
      <c r="I984" s="380">
        <f>calcReg1Seg1Payer2MarketRecurCustR1+calcReg1Seg1Payer2MarketGrowthCustR1</f>
        <v>35752.253599999996</v>
      </c>
      <c r="J984" t="s">
        <v>1720</v>
      </c>
    </row>
    <row r="985" spans="1:10">
      <c r="C985" t="s">
        <v>1539</v>
      </c>
      <c r="E985" s="380">
        <f>calcReg1Seg1Payer2VolumeRecurCustR1+calcReg1Seg1Payer2VolumeNewCustR1</f>
        <v>0</v>
      </c>
      <c r="F985" s="380">
        <f>calcReg1Seg1Payer2VolumeRecurCustR1+calcReg1Seg1Payer2VolumeNewCustR1</f>
        <v>0</v>
      </c>
      <c r="G985" s="380">
        <f>calcReg1Seg1Payer2VolumeRecurCustR1+calcReg1Seg1Payer2VolumeNewCustR1</f>
        <v>0</v>
      </c>
      <c r="H985" s="380">
        <f>calcReg1Seg1Payer2VolumeRecurCustR1+calcReg1Seg1Payer2VolumeNewCustR1</f>
        <v>0</v>
      </c>
      <c r="I985" s="380">
        <f>calcReg1Seg1Payer2VolumeRecurCustR1+calcReg1Seg1Payer2VolumeNewCustR1</f>
        <v>0</v>
      </c>
      <c r="J985" t="s">
        <v>1721</v>
      </c>
    </row>
    <row r="986" spans="1:10" s="4" customFormat="1">
      <c r="C986" s="4" t="s">
        <v>841</v>
      </c>
      <c r="E986" s="500">
        <f>calcReg1Seg1Payer2VolumeR1/calcReg1Seg1Payer2TotalVolumeR1</f>
        <v>0</v>
      </c>
      <c r="F986" s="500">
        <f>calcReg1Seg1Payer2VolumeR1/calcReg1Seg1Payer2TotalVolumeR1</f>
        <v>0</v>
      </c>
      <c r="G986" s="500">
        <f>calcReg1Seg1Payer2VolumeR1/calcReg1Seg1Payer2TotalVolumeR1</f>
        <v>0</v>
      </c>
      <c r="H986" s="500">
        <f>calcReg1Seg1Payer2VolumeR1/calcReg1Seg1Payer2TotalVolumeR1</f>
        <v>0</v>
      </c>
      <c r="I986" s="500">
        <f>calcReg1Seg1Payer2VolumeR1/calcReg1Seg1Payer2TotalVolumeR1</f>
        <v>0</v>
      </c>
      <c r="J986" s="4" t="s">
        <v>1722</v>
      </c>
    </row>
    <row r="988" spans="1:10">
      <c r="A988" s="16" t="s">
        <v>1551</v>
      </c>
      <c r="C988" t="s">
        <v>803</v>
      </c>
      <c r="E988" s="380">
        <f>INDEX(dataReg1Seg1Payer2TotalVolume,,4)</f>
        <v>36585.773308000003</v>
      </c>
      <c r="F988" s="380">
        <f>INDEX(dataReg1Seg1Payer2TotalVolume,,4)</f>
        <v>36585.773308000003</v>
      </c>
      <c r="G988" s="380">
        <f>INDEX(dataReg1Seg1Payer2TotalVolume,,4)</f>
        <v>36585.773308000003</v>
      </c>
      <c r="H988" s="380">
        <f>INDEX(dataReg1Seg1Payer2TotalVolume,,4)</f>
        <v>36585.773308000003</v>
      </c>
      <c r="I988" s="380">
        <f>INDEX(dataReg1Seg1Payer2TotalVolume,,4)</f>
        <v>36585.773308000003</v>
      </c>
      <c r="J988" t="s">
        <v>1723</v>
      </c>
    </row>
    <row r="989" spans="1:10">
      <c r="C989" t="s">
        <v>3253</v>
      </c>
      <c r="E989" t="str">
        <f>cbalReg1Payer2Status</f>
        <v>T1 NR</v>
      </c>
      <c r="F989" t="str">
        <f>cbalReg1Payer2Status</f>
        <v>T1 NR</v>
      </c>
      <c r="G989" t="str">
        <f>cbalReg1Payer2Status</f>
        <v>T1 NR</v>
      </c>
      <c r="H989" t="str">
        <f>cbalReg1Payer2Status</f>
        <v>T1 NR</v>
      </c>
      <c r="I989" t="str">
        <f>cbalReg1Payer2Status</f>
        <v>T1 NR</v>
      </c>
    </row>
    <row r="990" spans="1:10">
      <c r="C990" t="s">
        <v>2887</v>
      </c>
      <c r="E990">
        <f>INDEX(dataTierVolumeImpact,MATCH(E989,MarketData!$K$12:$K$17,0),)</f>
        <v>1.1499999999999999</v>
      </c>
      <c r="F990">
        <f>INDEX(dataTierVolumeImpact,MATCH(F989,MarketData!$K$12:$K$17,0),)</f>
        <v>1.1499999999999999</v>
      </c>
      <c r="G990">
        <f>INDEX(dataTierVolumeImpact,MATCH(G989,MarketData!$K$12:$K$17,0),)</f>
        <v>1.1499999999999999</v>
      </c>
      <c r="H990">
        <f>INDEX(dataTierVolumeImpact,MATCH(H989,MarketData!$K$12:$K$17,0),)</f>
        <v>1.1499999999999999</v>
      </c>
      <c r="I990">
        <f>INDEX(dataTierVolumeImpact,MATCH(I989,MarketData!$K$12:$K$17,0),)</f>
        <v>1.1499999999999999</v>
      </c>
      <c r="J990" t="s">
        <v>3295</v>
      </c>
    </row>
    <row r="991" spans="1:10">
      <c r="C991" t="s">
        <v>1487</v>
      </c>
      <c r="E991" s="465">
        <f>calcReg1Seg1Payer2ShareTotalCustR1</f>
        <v>0</v>
      </c>
      <c r="F991" s="465">
        <f>calcReg1Seg1Payer2ShareTotalCustR1</f>
        <v>0</v>
      </c>
      <c r="G991" s="465">
        <f>calcReg1Seg1Payer2ShareTotalCustR1</f>
        <v>0</v>
      </c>
      <c r="H991" s="465">
        <f>calcReg1Seg1Payer2ShareTotalCustR1</f>
        <v>0</v>
      </c>
      <c r="I991" s="465">
        <f>calcReg1Seg1Payer2ShareTotalCustR1</f>
        <v>0</v>
      </c>
    </row>
    <row r="992" spans="1:10">
      <c r="C992" t="s">
        <v>516</v>
      </c>
      <c r="E992" s="511">
        <f>(calcReg1Seg1SampleAllocR2/calcReg1Seg1SampleAllocR1-1)*INDEX(datatblReg1Seg1Payer2,1,)*calcReg1Seg1Payer2TierImpactR2</f>
        <v>0</v>
      </c>
      <c r="F992" s="511">
        <f>(calcReg1Seg1SampleAllocR2/calcReg1Seg1SampleAllocR1-1)*INDEX(datatblReg1Seg1Payer2,1,)*calcReg1Seg1Payer2TierImpactR2</f>
        <v>0</v>
      </c>
      <c r="G992" s="511">
        <f>(calcReg1Seg1SampleAllocR2/calcReg1Seg1SampleAllocR1-1)*INDEX(datatblReg1Seg1Payer2,1,)*calcReg1Seg1Payer2TierImpactR2</f>
        <v>0</v>
      </c>
      <c r="H992" s="511">
        <f>(calcReg1Seg1SampleAllocR2/calcReg1Seg1SampleAllocR1-1)*INDEX(datatblReg1Seg1Payer2,1,)*calcReg1Seg1Payer2TierImpactR2</f>
        <v>0</v>
      </c>
      <c r="I992" s="511">
        <f>(calcReg1Seg1SampleAllocR2/calcReg1Seg1SampleAllocR1-1)*INDEX(datatblReg1Seg1Payer2,1,)*calcReg1Seg1Payer2TierImpactR2</f>
        <v>0</v>
      </c>
      <c r="J992" t="s">
        <v>3107</v>
      </c>
    </row>
    <row r="993" spans="3:10">
      <c r="C993" t="s">
        <v>517</v>
      </c>
      <c r="E993" s="511">
        <f>(calcReg1Seg1SpeakerAllocR2/calcReg1Seg1SpeakerAllocR1-1)*INDEX(datatblReg1Seg1Payer2,2,)*calcReg1Seg1Payer2TierImpactR2</f>
        <v>-2.8750000000000021E-5</v>
      </c>
      <c r="F993" s="511">
        <f>(calcReg1Seg1SpeakerAllocR2/calcReg1Seg1SpeakerAllocR1-1)*INDEX(datatblReg1Seg1Payer2,2,)*calcReg1Seg1Payer2TierImpactR2</f>
        <v>-2.8750000000000021E-5</v>
      </c>
      <c r="G993" s="511">
        <f>(calcReg1Seg1SpeakerAllocR2/calcReg1Seg1SpeakerAllocR1-1)*INDEX(datatblReg1Seg1Payer2,2,)*calcReg1Seg1Payer2TierImpactR2</f>
        <v>-2.8750000000000021E-5</v>
      </c>
      <c r="H993" s="511">
        <f>(calcReg1Seg1SpeakerAllocR2/calcReg1Seg1SpeakerAllocR1-1)*INDEX(datatblReg1Seg1Payer2,2,)*calcReg1Seg1Payer2TierImpactR2</f>
        <v>-2.8750000000000021E-5</v>
      </c>
      <c r="I993" s="511">
        <f>(calcReg1Seg1SpeakerAllocR2/calcReg1Seg1SpeakerAllocR1-1)*INDEX(datatblReg1Seg1Payer2,2,)*calcReg1Seg1Payer2TierImpactR2</f>
        <v>-2.8750000000000021E-5</v>
      </c>
      <c r="J993" t="s">
        <v>3108</v>
      </c>
    </row>
    <row r="994" spans="3:10">
      <c r="C994" t="s">
        <v>2333</v>
      </c>
      <c r="E994" s="511">
        <f>(calcReg1Seg1PromotionAllocR2/calcReg1Seg1PromotionAllocR1-1)*INDEX(datatblReg1Seg1Payer2,3,)*calcReg1Seg1Payer2TierImpactR2</f>
        <v>-5.7500000000000042E-5</v>
      </c>
      <c r="F994" s="511">
        <f>(calcReg1Seg1PromotionAllocR2/calcReg1Seg1PromotionAllocR1-1)*INDEX(datatblReg1Seg1Payer2,3,)*calcReg1Seg1Payer2TierImpactR2</f>
        <v>-5.7500000000000042E-5</v>
      </c>
      <c r="G994" s="511">
        <f>(calcReg1Seg1PromotionAllocR2/calcReg1Seg1PromotionAllocR1-1)*INDEX(datatblReg1Seg1Payer2,3,)*calcReg1Seg1Payer2TierImpactR2</f>
        <v>-5.7500000000000042E-5</v>
      </c>
      <c r="H994" s="511">
        <f>(calcReg1Seg1PromotionAllocR2/calcReg1Seg1PromotionAllocR1-1)*INDEX(datatblReg1Seg1Payer2,3,)*calcReg1Seg1Payer2TierImpactR2</f>
        <v>-5.7500000000000042E-5</v>
      </c>
      <c r="I994" s="511">
        <f>(calcReg1Seg1PromotionAllocR2/calcReg1Seg1PromotionAllocR1-1)*INDEX(datatblReg1Seg1Payer2,3,)*calcReg1Seg1Payer2TierImpactR2</f>
        <v>-5.7500000000000042E-5</v>
      </c>
      <c r="J994" t="s">
        <v>3109</v>
      </c>
    </row>
    <row r="995" spans="3:10">
      <c r="C995" t="s">
        <v>2646</v>
      </c>
      <c r="E995" s="511">
        <f>(calcReg1Seg1Rep1Payer2ImpactR2)*calcReg1Seg1Payer2TierImpactR2</f>
        <v>-1.1499999999999984E-4</v>
      </c>
      <c r="F995" s="511">
        <f>(calcReg1Seg1Rep1Payer2ImpactR2)*calcReg1Seg1Payer2TierImpactR2</f>
        <v>-1.1499999999999984E-4</v>
      </c>
      <c r="G995" s="511">
        <f>(calcReg1Seg1Rep1Payer2ImpactR2)*calcReg1Seg1Payer2TierImpactR2</f>
        <v>-1.1499999999999984E-4</v>
      </c>
      <c r="H995" s="511">
        <f>(calcReg1Seg1Rep1Payer2ImpactR2)*calcReg1Seg1Payer2TierImpactR2</f>
        <v>-1.1499999999999984E-4</v>
      </c>
      <c r="I995" s="511">
        <f>(calcReg1Seg1Rep1Payer2ImpactR2)*calcReg1Seg1Payer2TierImpactR2</f>
        <v>-1.1499999999999984E-4</v>
      </c>
      <c r="J995" t="s">
        <v>3110</v>
      </c>
    </row>
    <row r="997" spans="3:10" s="4" customFormat="1">
      <c r="C997" s="4" t="s">
        <v>1489</v>
      </c>
      <c r="E997" s="500">
        <f>SUM(E991:E996)</f>
        <v>-2.012499999999999E-4</v>
      </c>
      <c r="F997" s="500">
        <f>SUM(F991:F996)</f>
        <v>-2.012499999999999E-4</v>
      </c>
      <c r="G997" s="500">
        <f>SUM(G991:G996)</f>
        <v>-2.012499999999999E-4</v>
      </c>
      <c r="H997" s="500">
        <f>SUM(H991:H996)</f>
        <v>-2.012499999999999E-4</v>
      </c>
      <c r="I997" s="500">
        <f>SUM(I991:I996)</f>
        <v>-2.012499999999999E-4</v>
      </c>
      <c r="J997" s="4" t="s">
        <v>1724</v>
      </c>
    </row>
    <row r="998" spans="3:10">
      <c r="C998" t="s">
        <v>1490</v>
      </c>
      <c r="E998" s="380">
        <f>MAX(calcReg1Seg1Payer2MarketRecurCustR2*calcReg1Seg1Payer2ShareRecurCustR2,0)</f>
        <v>0</v>
      </c>
      <c r="F998" s="380">
        <f>MAX(calcReg1Seg1Payer2MarketRecurCustR2*calcReg1Seg1Payer2ShareRecurCustR2,0)</f>
        <v>0</v>
      </c>
      <c r="G998" s="380">
        <f>MAX(calcReg1Seg1Payer2MarketRecurCustR2*calcReg1Seg1Payer2ShareRecurCustR2,0)</f>
        <v>0</v>
      </c>
      <c r="H998" s="380">
        <f>MAX(calcReg1Seg1Payer2MarketRecurCustR2*calcReg1Seg1Payer2ShareRecurCustR2,0)</f>
        <v>0</v>
      </c>
      <c r="I998" s="380">
        <f>MAX(calcReg1Seg1Payer2MarketRecurCustR2*calcReg1Seg1Payer2ShareRecurCustR2,0)</f>
        <v>0</v>
      </c>
      <c r="J998" t="s">
        <v>1725</v>
      </c>
    </row>
    <row r="1000" spans="3:10">
      <c r="C1000" t="s">
        <v>804</v>
      </c>
      <c r="E1000" s="380">
        <f>INDEX(dataReg1Seg1Payer2NewVolume,,4)</f>
        <v>3886.848</v>
      </c>
      <c r="F1000" s="380">
        <f>INDEX(dataReg1Seg1Payer2NewVolume,,4)</f>
        <v>3886.848</v>
      </c>
      <c r="G1000" s="380">
        <f>INDEX(dataReg1Seg1Payer2NewVolume,,4)</f>
        <v>3886.848</v>
      </c>
      <c r="H1000" s="380">
        <f>INDEX(dataReg1Seg1Payer2NewVolume,,4)</f>
        <v>3886.848</v>
      </c>
      <c r="I1000" s="380">
        <f>INDEX(dataReg1Seg1Payer2NewVolume,,4)</f>
        <v>3886.848</v>
      </c>
      <c r="J1000" t="s">
        <v>1726</v>
      </c>
    </row>
    <row r="1002" spans="3:10">
      <c r="C1002" t="s">
        <v>1486</v>
      </c>
      <c r="E1002" s="465">
        <f>calcReg1Seg1Payer2ShareNewCustR1</f>
        <v>-1.1499999999999984E-4</v>
      </c>
      <c r="F1002" s="465">
        <f>calcReg1Seg1Payer2ShareNewCustR1</f>
        <v>-1.1499999999999984E-4</v>
      </c>
      <c r="G1002" s="465">
        <f>calcReg1Seg1Payer2ShareNewCustR1</f>
        <v>-1.1499999999999984E-4</v>
      </c>
      <c r="H1002" s="465">
        <f>calcReg1Seg1Payer2ShareNewCustR1</f>
        <v>-1.1499999999999984E-4</v>
      </c>
      <c r="I1002" s="465">
        <f>calcReg1Seg1Payer2ShareNewCustR1</f>
        <v>-1.1499999999999984E-4</v>
      </c>
    </row>
    <row r="1003" spans="3:10">
      <c r="C1003" t="s">
        <v>516</v>
      </c>
      <c r="E1003" s="511">
        <f>(calcReg1Seg1SampleAllocR2/calcReg1Seg1SampleAllocR1-1)*INDEX(datatblReg1Seg1Payer2,1,)*calcReg1Seg1Payer2TierImpactR2</f>
        <v>0</v>
      </c>
      <c r="F1003" s="511">
        <f>(calcReg1Seg1SampleAllocR2/calcReg1Seg1SampleAllocR1-1)*INDEX(datatblReg1Seg1Payer2,1,)*calcReg1Seg1Payer2TierImpactR2</f>
        <v>0</v>
      </c>
      <c r="G1003" s="511">
        <f>(calcReg1Seg1SampleAllocR2/calcReg1Seg1SampleAllocR1-1)*INDEX(datatblReg1Seg1Payer2,1,)*calcReg1Seg1Payer2TierImpactR2</f>
        <v>0</v>
      </c>
      <c r="H1003" s="511">
        <f>(calcReg1Seg1SampleAllocR2/calcReg1Seg1SampleAllocR1-1)*INDEX(datatblReg1Seg1Payer2,1,)*calcReg1Seg1Payer2TierImpactR2</f>
        <v>0</v>
      </c>
      <c r="I1003" s="511">
        <f>(calcReg1Seg1SampleAllocR2/calcReg1Seg1SampleAllocR1-1)*INDEX(datatblReg1Seg1Payer2,1,)*calcReg1Seg1Payer2TierImpactR2</f>
        <v>0</v>
      </c>
      <c r="J1003" t="s">
        <v>3296</v>
      </c>
    </row>
    <row r="1004" spans="3:10">
      <c r="C1004" t="s">
        <v>517</v>
      </c>
      <c r="E1004" s="511">
        <f>(calcReg1Seg1SpeakerAllocR2/calcReg1Seg1SpeakerAllocR1-1)*INDEX(datatblReg1Seg1Payer2,2,)*calcReg1Seg1Payer2TierImpactR2</f>
        <v>-2.8750000000000021E-5</v>
      </c>
      <c r="F1004" s="511">
        <f>(calcReg1Seg1SpeakerAllocR2/calcReg1Seg1SpeakerAllocR1-1)*INDEX(datatblReg1Seg1Payer2,2,)*calcReg1Seg1Payer2TierImpactR2</f>
        <v>-2.8750000000000021E-5</v>
      </c>
      <c r="G1004" s="511">
        <f>(calcReg1Seg1SpeakerAllocR2/calcReg1Seg1SpeakerAllocR1-1)*INDEX(datatblReg1Seg1Payer2,2,)*calcReg1Seg1Payer2TierImpactR2</f>
        <v>-2.8750000000000021E-5</v>
      </c>
      <c r="H1004" s="511">
        <f>(calcReg1Seg1SpeakerAllocR2/calcReg1Seg1SpeakerAllocR1-1)*INDEX(datatblReg1Seg1Payer2,2,)*calcReg1Seg1Payer2TierImpactR2</f>
        <v>-2.8750000000000021E-5</v>
      </c>
      <c r="I1004" s="511">
        <f>(calcReg1Seg1SpeakerAllocR2/calcReg1Seg1SpeakerAllocR1-1)*INDEX(datatblReg1Seg1Payer2,2,)*calcReg1Seg1Payer2TierImpactR2</f>
        <v>-2.8750000000000021E-5</v>
      </c>
      <c r="J1004" t="s">
        <v>3297</v>
      </c>
    </row>
    <row r="1005" spans="3:10">
      <c r="C1005" t="s">
        <v>2333</v>
      </c>
      <c r="E1005" s="511">
        <f>(calcReg1Seg1PromotionAllocR2/calcReg1Seg1PromotionAllocR1-1)*INDEX(datatblReg1Seg1Payer2,3,)*calcReg1Seg1Payer2TierImpactR2</f>
        <v>-5.7500000000000042E-5</v>
      </c>
      <c r="F1005" s="511">
        <f>(calcReg1Seg1PromotionAllocR2/calcReg1Seg1PromotionAllocR1-1)*INDEX(datatblReg1Seg1Payer2,3,)*calcReg1Seg1Payer2TierImpactR2</f>
        <v>-5.7500000000000042E-5</v>
      </c>
      <c r="G1005" s="511">
        <f>(calcReg1Seg1PromotionAllocR2/calcReg1Seg1PromotionAllocR1-1)*INDEX(datatblReg1Seg1Payer2,3,)*calcReg1Seg1Payer2TierImpactR2</f>
        <v>-5.7500000000000042E-5</v>
      </c>
      <c r="H1005" s="511">
        <f>(calcReg1Seg1PromotionAllocR2/calcReg1Seg1PromotionAllocR1-1)*INDEX(datatblReg1Seg1Payer2,3,)*calcReg1Seg1Payer2TierImpactR2</f>
        <v>-5.7500000000000042E-5</v>
      </c>
      <c r="I1005" s="511">
        <f>(calcReg1Seg1PromotionAllocR2/calcReg1Seg1PromotionAllocR1-1)*INDEX(datatblReg1Seg1Payer2,3,)*calcReg1Seg1Payer2TierImpactR2</f>
        <v>-5.7500000000000042E-5</v>
      </c>
      <c r="J1005" t="s">
        <v>3298</v>
      </c>
    </row>
    <row r="1006" spans="3:10">
      <c r="C1006" t="s">
        <v>2646</v>
      </c>
      <c r="E1006" s="511">
        <f>(calcReg1Seg1Rep1Payer2ImpactR2)*calcReg1Seg1Payer2TierImpactR2</f>
        <v>-1.1499999999999984E-4</v>
      </c>
      <c r="F1006" s="511">
        <f>(calcReg1Seg1Rep1Payer2ImpactR2)*calcReg1Seg1Payer2TierImpactR2</f>
        <v>-1.1499999999999984E-4</v>
      </c>
      <c r="G1006" s="511">
        <f>(calcReg1Seg1Rep1Payer2ImpactR2)*calcReg1Seg1Payer2TierImpactR2</f>
        <v>-1.1499999999999984E-4</v>
      </c>
      <c r="H1006" s="511">
        <f>(calcReg1Seg1Rep1Payer2ImpactR2)*calcReg1Seg1Payer2TierImpactR2</f>
        <v>-1.1499999999999984E-4</v>
      </c>
      <c r="I1006" s="511">
        <f>(calcReg1Seg1Rep1Payer2ImpactR2)*calcReg1Seg1Payer2TierImpactR2</f>
        <v>-1.1499999999999984E-4</v>
      </c>
      <c r="J1006" t="s">
        <v>3299</v>
      </c>
    </row>
    <row r="1008" spans="3:10" s="4" customFormat="1">
      <c r="C1008" s="4" t="s">
        <v>1534</v>
      </c>
      <c r="E1008" s="500">
        <f>SUM(E1002:E1007)</f>
        <v>-3.1624999999999975E-4</v>
      </c>
      <c r="F1008" s="500">
        <f>SUM(F1002:F1007)</f>
        <v>-3.1624999999999975E-4</v>
      </c>
      <c r="G1008" s="500">
        <f>SUM(G1002:G1007)</f>
        <v>-3.1624999999999975E-4</v>
      </c>
      <c r="H1008" s="500">
        <f>SUM(H1002:H1007)</f>
        <v>-3.1624999999999975E-4</v>
      </c>
      <c r="I1008" s="500">
        <f>SUM(I1002:I1007)</f>
        <v>-3.1624999999999975E-4</v>
      </c>
      <c r="J1008" s="4" t="s">
        <v>1727</v>
      </c>
    </row>
    <row r="1009" spans="1:10">
      <c r="C1009" t="s">
        <v>1490</v>
      </c>
      <c r="E1009" s="380">
        <f>MAX(calcReg1Seg1Payer2MarketGrowthCustR2*calcReg1Seg1Payer2ShareNewCustR2,0)</f>
        <v>0</v>
      </c>
      <c r="F1009" s="380">
        <f>MAX(calcReg1Seg1Payer2MarketGrowthCustR2*calcReg1Seg1Payer2ShareNewCustR2,0)</f>
        <v>0</v>
      </c>
      <c r="G1009" s="380">
        <f>MAX(calcReg1Seg1Payer2MarketGrowthCustR2*calcReg1Seg1Payer2ShareNewCustR2,0)</f>
        <v>0</v>
      </c>
      <c r="H1009" s="380">
        <f>MAX(calcReg1Seg1Payer2MarketGrowthCustR2*calcReg1Seg1Payer2ShareNewCustR2,0)</f>
        <v>0</v>
      </c>
      <c r="I1009" s="380">
        <f>MAX(calcReg1Seg1Payer2MarketGrowthCustR2*calcReg1Seg1Payer2ShareNewCustR2,0)</f>
        <v>0</v>
      </c>
      <c r="J1009" s="4" t="s">
        <v>1728</v>
      </c>
    </row>
    <row r="1011" spans="1:10">
      <c r="C1011" t="s">
        <v>1537</v>
      </c>
      <c r="E1011" s="380">
        <f>calcReg1Seg1Payer2MarketRecurCustR2+calcReg1Seg1Payer2MarketGrowthCustR2</f>
        <v>40472.621308000002</v>
      </c>
      <c r="F1011" s="380">
        <f>calcReg1Seg1Payer2MarketRecurCustR2+calcReg1Seg1Payer2MarketGrowthCustR2</f>
        <v>40472.621308000002</v>
      </c>
      <c r="G1011" s="380">
        <f>calcReg1Seg1Payer2MarketRecurCustR2+calcReg1Seg1Payer2MarketGrowthCustR2</f>
        <v>40472.621308000002</v>
      </c>
      <c r="H1011" s="380">
        <f>calcReg1Seg1Payer2MarketRecurCustR2+calcReg1Seg1Payer2MarketGrowthCustR2</f>
        <v>40472.621308000002</v>
      </c>
      <c r="I1011" s="380">
        <f>calcReg1Seg1Payer2MarketRecurCustR2+calcReg1Seg1Payer2MarketGrowthCustR2</f>
        <v>40472.621308000002</v>
      </c>
      <c r="J1011" t="s">
        <v>1729</v>
      </c>
    </row>
    <row r="1012" spans="1:10">
      <c r="C1012" t="s">
        <v>1539</v>
      </c>
      <c r="E1012" s="380">
        <f>calcReg1Seg1Payer2VolumeRecurCustR2+calcReg1Seg1Payer2VolumeNewCustR2</f>
        <v>0</v>
      </c>
      <c r="F1012" s="380">
        <f>calcReg1Seg1Payer2VolumeRecurCustR2+calcReg1Seg1Payer2VolumeNewCustR2</f>
        <v>0</v>
      </c>
      <c r="G1012" s="380">
        <f>calcReg1Seg1Payer2VolumeRecurCustR2+calcReg1Seg1Payer2VolumeNewCustR2</f>
        <v>0</v>
      </c>
      <c r="H1012" s="380">
        <f>calcReg1Seg1Payer2VolumeRecurCustR2+calcReg1Seg1Payer2VolumeNewCustR2</f>
        <v>0</v>
      </c>
      <c r="I1012" s="380">
        <f>calcReg1Seg1Payer2VolumeRecurCustR2+calcReg1Seg1Payer2VolumeNewCustR2</f>
        <v>0</v>
      </c>
      <c r="J1012" t="s">
        <v>1730</v>
      </c>
    </row>
    <row r="1013" spans="1:10" s="4" customFormat="1">
      <c r="C1013" s="4" t="s">
        <v>841</v>
      </c>
      <c r="E1013" s="500">
        <f>calcReg1Seg1Payer2VolumeR1/calcReg1Seg1Payer2TotalVolumeR1</f>
        <v>0</v>
      </c>
      <c r="F1013" s="500">
        <f>calcReg1Seg1Payer2VolumeR1/calcReg1Seg1Payer2TotalVolumeR1</f>
        <v>0</v>
      </c>
      <c r="G1013" s="500">
        <f>calcReg1Seg1Payer2VolumeR1/calcReg1Seg1Payer2TotalVolumeR1</f>
        <v>0</v>
      </c>
      <c r="H1013" s="500">
        <f>calcReg1Seg1Payer2VolumeR1/calcReg1Seg1Payer2TotalVolumeR1</f>
        <v>0</v>
      </c>
      <c r="I1013" s="500">
        <f>calcReg1Seg1Payer2VolumeR1/calcReg1Seg1Payer2TotalVolumeR1</f>
        <v>0</v>
      </c>
      <c r="J1013" s="4" t="s">
        <v>1731</v>
      </c>
    </row>
    <row r="1015" spans="1:10" s="376" customFormat="1">
      <c r="A1015" s="376" t="str">
        <f>nmPayer3</f>
        <v>Dragon Health</v>
      </c>
    </row>
    <row r="1016" spans="1:10">
      <c r="A1016" s="16" t="s">
        <v>1488</v>
      </c>
      <c r="C1016" s="4" t="s">
        <v>803</v>
      </c>
      <c r="E1016" s="380">
        <f>INDEX(dataReg1Seg1Payer3TotalVolume,,3)</f>
        <v>30240.487199999996</v>
      </c>
      <c r="F1016" s="380">
        <f>INDEX(dataReg1Seg1Payer3TotalVolume,,3)</f>
        <v>30240.487199999996</v>
      </c>
      <c r="G1016" s="380">
        <f>INDEX(dataReg1Seg1Payer3TotalVolume,,3)</f>
        <v>30240.487199999996</v>
      </c>
      <c r="H1016" s="380">
        <f>INDEX(dataReg1Seg1Payer3TotalVolume,,3)</f>
        <v>30240.487199999996</v>
      </c>
      <c r="I1016" s="380">
        <f>INDEX(dataReg1Seg1Payer3TotalVolume,,3)</f>
        <v>30240.487199999996</v>
      </c>
      <c r="J1016" t="s">
        <v>1732</v>
      </c>
    </row>
    <row r="1017" spans="1:10">
      <c r="C1017" t="s">
        <v>3253</v>
      </c>
      <c r="E1017" t="str">
        <f>obalReg1Payer3Status</f>
        <v>T3 SGSE</v>
      </c>
      <c r="F1017" t="str">
        <f>obalReg1Payer3Status</f>
        <v>T3 SGSE</v>
      </c>
      <c r="G1017" t="str">
        <f>obalReg1Payer3Status</f>
        <v>T3 SGSE</v>
      </c>
      <c r="H1017" t="str">
        <f>obalReg1Payer3Status</f>
        <v>T3 SGSE</v>
      </c>
      <c r="I1017" t="str">
        <f>obalReg1Payer3Status</f>
        <v>T3 SGSE</v>
      </c>
    </row>
    <row r="1018" spans="1:10">
      <c r="C1018" t="s">
        <v>2887</v>
      </c>
      <c r="E1018">
        <f>INDEX(dataTierVolumeImpact,MATCH(E1017,MarketData!$K$12:$K$17,0),)</f>
        <v>0.9</v>
      </c>
      <c r="F1018">
        <f>INDEX(dataTierVolumeImpact,MATCH(F1017,MarketData!$K$12:$K$17,0),)</f>
        <v>0.9</v>
      </c>
      <c r="G1018">
        <f>INDEX(dataTierVolumeImpact,MATCH(G1017,MarketData!$K$12:$K$17,0),)</f>
        <v>0.9</v>
      </c>
      <c r="H1018">
        <f>INDEX(dataTierVolumeImpact,MATCH(H1017,MarketData!$K$12:$K$17,0),)</f>
        <v>0.9</v>
      </c>
      <c r="I1018">
        <f>INDEX(dataTierVolumeImpact,MATCH(I1017,MarketData!$K$12:$K$17,0),)</f>
        <v>0.9</v>
      </c>
      <c r="J1018" t="s">
        <v>3300</v>
      </c>
    </row>
    <row r="1019" spans="1:10">
      <c r="C1019" t="s">
        <v>1487</v>
      </c>
      <c r="E1019" s="465">
        <f>obalReg1Seg1Payer3Share</f>
        <v>6.2857142857142851E-3</v>
      </c>
      <c r="F1019" s="465">
        <f>obalReg1Seg1Payer3Share</f>
        <v>6.2857142857142851E-3</v>
      </c>
      <c r="G1019" s="465">
        <f>obalReg1Seg1Payer3Share</f>
        <v>6.2857142857142851E-3</v>
      </c>
      <c r="H1019" s="465">
        <f>obalReg1Seg1Payer3Share</f>
        <v>6.2857142857142851E-3</v>
      </c>
      <c r="I1019" s="465">
        <f>obalReg1Seg1Payer3Share</f>
        <v>6.2857142857142851E-3</v>
      </c>
    </row>
    <row r="1020" spans="1:10">
      <c r="C1020" t="s">
        <v>516</v>
      </c>
      <c r="E1020" s="511">
        <f>(calcReg1Seg1SampleAllocR1/obalReg1Seg1SampleAlloc-1)*INDEX(datatblReg1Seg1Payer3,1,)*calcReg1Seg1Payer3TierImpactR1</f>
        <v>0</v>
      </c>
      <c r="F1020" s="511">
        <f>(calcReg1Seg1SampleAllocR1/obalReg1Seg1SampleAlloc-1)*INDEX(datatblReg1Seg1Payer3,1,)</f>
        <v>0</v>
      </c>
      <c r="G1020" s="511">
        <f>(calcReg1Seg1SampleAllocR1/obalReg1Seg1SampleAlloc-1)*INDEX(datatblReg1Seg1Payer3,1,)</f>
        <v>0</v>
      </c>
      <c r="H1020" s="511">
        <f>(calcReg1Seg1SampleAllocR1/obalReg1Seg1SampleAlloc-1)*INDEX(datatblReg1Seg1Payer3,1,)</f>
        <v>0</v>
      </c>
      <c r="I1020" s="511">
        <f>(calcReg1Seg1SampleAllocR1/obalReg1Seg1SampleAlloc-1)*INDEX(datatblReg1Seg1Payer3,1,)</f>
        <v>0</v>
      </c>
      <c r="J1020" t="s">
        <v>3301</v>
      </c>
    </row>
    <row r="1021" spans="1:10">
      <c r="C1021" t="s">
        <v>517</v>
      </c>
      <c r="E1021" s="511">
        <f>(calcReg1Seg1SpeakerAllocR1/obalReg1Seg1SpeakerAlloc-1)*INDEX(datatblReg1Seg1Payer3,2,)*(calcReg1Seg1Payer3TierImpactR1)</f>
        <v>0</v>
      </c>
      <c r="F1021" s="511">
        <f>(calcReg1Seg1SpeakerAllocR1/obalReg1Seg1SpeakerAlloc-1)*INDEX(datatblReg1Seg1Payer3,2,)</f>
        <v>0</v>
      </c>
      <c r="G1021" s="511">
        <f>(calcReg1Seg1SpeakerAllocR1/obalReg1Seg1SpeakerAlloc-1)*INDEX(datatblReg1Seg1Payer3,2,)</f>
        <v>0</v>
      </c>
      <c r="H1021" s="511">
        <f>(calcReg1Seg1SpeakerAllocR1/obalReg1Seg1SpeakerAlloc-1)*INDEX(datatblReg1Seg1Payer3,2,)</f>
        <v>0</v>
      </c>
      <c r="I1021" s="511">
        <f>(calcReg1Seg1SpeakerAllocR1/obalReg1Seg1SpeakerAlloc-1)*INDEX(datatblReg1Seg1Payer3,2,)</f>
        <v>0</v>
      </c>
      <c r="J1021" t="s">
        <v>3302</v>
      </c>
    </row>
    <row r="1022" spans="1:10">
      <c r="C1022" t="s">
        <v>2333</v>
      </c>
      <c r="E1022" s="511">
        <f>(calcReg1Seg1PromotionAllocR1/obalReg1Seg1PromotionAlloc-1)*INDEX(datatblReg1Seg1Payer3,3,)*calcReg1Seg1Payer3TierImpactR1</f>
        <v>0</v>
      </c>
      <c r="F1022" s="511">
        <f>(calcReg1Seg1PromotionAllocR1/obalReg1Seg1PromotionAlloc-1)*INDEX(datatblReg1Seg1Payer3,3,)</f>
        <v>0</v>
      </c>
      <c r="G1022" s="511">
        <f>(calcReg1Seg1PromotionAllocR1/obalReg1Seg1PromotionAlloc-1)*INDEX(datatblReg1Seg1Payer3,3,)</f>
        <v>0</v>
      </c>
      <c r="H1022" s="511">
        <f>(calcReg1Seg1PromotionAllocR1/obalReg1Seg1PromotionAlloc-1)*INDEX(datatblReg1Seg1Payer3,3,)</f>
        <v>0</v>
      </c>
      <c r="I1022" s="511">
        <f>(calcReg1Seg1PromotionAllocR1/obalReg1Seg1PromotionAlloc-1)*INDEX(datatblReg1Seg1Payer3,3,)</f>
        <v>0</v>
      </c>
      <c r="J1022" t="s">
        <v>3303</v>
      </c>
    </row>
    <row r="1023" spans="1:10">
      <c r="C1023" t="s">
        <v>2646</v>
      </c>
      <c r="E1023" s="511">
        <f>(calcReg1Seg1Rep1Payer3ImpactR1)*calcReg1Seg1Payer3TierImpactR1</f>
        <v>-6.7499999999999906E-5</v>
      </c>
      <c r="F1023" s="511">
        <f>(calcReg1Seg1Rep1Payer3ImpactR1)*calcReg1Seg1Payer3TierImpactR1</f>
        <v>-6.7499999999999906E-5</v>
      </c>
      <c r="G1023" s="511">
        <f>(calcReg1Seg1Rep1Payer3ImpactR1)*calcReg1Seg1Payer3TierImpactR1</f>
        <v>-6.7499999999999906E-5</v>
      </c>
      <c r="H1023" s="511">
        <f>(calcReg1Seg1Rep1Payer3ImpactR1)*calcReg1Seg1Payer3TierImpactR1</f>
        <v>-6.7499999999999906E-5</v>
      </c>
      <c r="I1023" s="511">
        <f>(calcReg1Seg1Rep1Payer3ImpactR1)*calcReg1Seg1Payer3TierImpactR1</f>
        <v>-6.7499999999999906E-5</v>
      </c>
      <c r="J1023" t="s">
        <v>3304</v>
      </c>
    </row>
    <row r="1024" spans="1:10" s="4" customFormat="1">
      <c r="C1024" s="4" t="s">
        <v>1489</v>
      </c>
      <c r="E1024" s="500">
        <f>SUM(E1019:E1023)</f>
        <v>6.2182142857142852E-3</v>
      </c>
      <c r="F1024" s="500">
        <f t="shared" ref="F1024:I1024" si="52">SUM(F1019:F1023)</f>
        <v>6.2182142857142852E-3</v>
      </c>
      <c r="G1024" s="500">
        <f t="shared" si="52"/>
        <v>6.2182142857142852E-3</v>
      </c>
      <c r="H1024" s="500">
        <f t="shared" si="52"/>
        <v>6.2182142857142852E-3</v>
      </c>
      <c r="I1024" s="500">
        <f t="shared" si="52"/>
        <v>6.2182142857142852E-3</v>
      </c>
      <c r="J1024" s="4" t="s">
        <v>1733</v>
      </c>
    </row>
    <row r="1025" spans="3:10">
      <c r="C1025" t="s">
        <v>1490</v>
      </c>
      <c r="E1025" s="380">
        <f>MAX(calcReg1Seg1Payer3MarketRecurCustR1*calcReg1Seg1Payer3ShareRecurCustR1,0)</f>
        <v>188.04182951399997</v>
      </c>
      <c r="F1025" s="380">
        <f>MAX(calcReg1Seg1Payer3MarketRecurCustR1*calcReg1Seg1Payer3ShareRecurCustR1,0)</f>
        <v>188.04182951399997</v>
      </c>
      <c r="G1025" s="380">
        <f>MAX(calcReg1Seg1Payer3MarketRecurCustR1*calcReg1Seg1Payer3ShareRecurCustR1,0)</f>
        <v>188.04182951399997</v>
      </c>
      <c r="H1025" s="380">
        <f>MAX(calcReg1Seg1Payer3MarketRecurCustR1*calcReg1Seg1Payer3ShareRecurCustR1,0)</f>
        <v>188.04182951399997</v>
      </c>
      <c r="I1025" s="380">
        <f>MAX(calcReg1Seg1Payer3MarketRecurCustR1*calcReg1Seg1Payer3ShareRecurCustR1,0)</f>
        <v>188.04182951399997</v>
      </c>
      <c r="J1025" t="s">
        <v>1734</v>
      </c>
    </row>
    <row r="1027" spans="3:10">
      <c r="C1027" t="s">
        <v>804</v>
      </c>
      <c r="E1027" s="380">
        <f>INDEX(dataReg1Seg1Payer3NewVolume,,3)</f>
        <v>2894.8920000000003</v>
      </c>
      <c r="F1027" s="380">
        <f>INDEX(dataReg1Seg1Payer3NewVolume,,3)</f>
        <v>2894.8920000000003</v>
      </c>
      <c r="G1027" s="380">
        <f>INDEX(dataReg1Seg1Payer3NewVolume,,3)</f>
        <v>2894.8920000000003</v>
      </c>
      <c r="H1027" s="380">
        <f>INDEX(dataReg1Seg1Payer3NewVolume,,3)</f>
        <v>2894.8920000000003</v>
      </c>
      <c r="I1027" s="380">
        <f>INDEX(dataReg1Seg1Payer3NewVolume,,3)</f>
        <v>2894.8920000000003</v>
      </c>
      <c r="J1027" t="s">
        <v>1735</v>
      </c>
    </row>
    <row r="1029" spans="3:10">
      <c r="C1029" t="s">
        <v>1486</v>
      </c>
      <c r="E1029" s="465">
        <f>obalReg1Seg1Payer3Share</f>
        <v>6.2857142857142851E-3</v>
      </c>
      <c r="F1029" s="465">
        <f>obalReg1Seg1Payer3Share</f>
        <v>6.2857142857142851E-3</v>
      </c>
      <c r="G1029" s="465">
        <f>obalReg1Seg1Payer3Share</f>
        <v>6.2857142857142851E-3</v>
      </c>
      <c r="H1029" s="465">
        <f>obalReg1Seg1Payer3Share</f>
        <v>6.2857142857142851E-3</v>
      </c>
      <c r="I1029" s="465">
        <f>obalReg1Seg1Payer3Share</f>
        <v>6.2857142857142851E-3</v>
      </c>
    </row>
    <row r="1030" spans="3:10">
      <c r="C1030" t="s">
        <v>516</v>
      </c>
      <c r="E1030" s="511">
        <f>(calcReg1Seg1SampleAllocR1/obalReg1Seg1SampleAlloc-1)*INDEX(datatblReg1Seg1Payer3,1,)*calcReg1Seg1Payer3TierImpactR1</f>
        <v>0</v>
      </c>
      <c r="F1030" s="511">
        <f>(calcReg1Seg1SampleAllocR1/obalReg1Seg1SampleAlloc-1)*INDEX(datatblReg1Seg1Payer3,1,)</f>
        <v>0</v>
      </c>
      <c r="G1030" s="511">
        <f>(calcReg1Seg1SampleAllocR1/obalReg1Seg1SampleAlloc-1)*INDEX(datatblReg1Seg1Payer3,1,)</f>
        <v>0</v>
      </c>
      <c r="H1030" s="511">
        <f>(calcReg1Seg1SampleAllocR1/obalReg1Seg1SampleAlloc-1)*INDEX(datatblReg1Seg1Payer3,1,)</f>
        <v>0</v>
      </c>
      <c r="I1030" s="511">
        <f>(calcReg1Seg1SampleAllocR1/obalReg1Seg1SampleAlloc-1)*INDEX(datatblReg1Seg1Payer3,1,)</f>
        <v>0</v>
      </c>
      <c r="J1030" t="s">
        <v>3305</v>
      </c>
    </row>
    <row r="1031" spans="3:10">
      <c r="C1031" t="s">
        <v>517</v>
      </c>
      <c r="E1031" s="511">
        <f>(calcReg1Seg1SpeakerAllocR1/obalReg1Seg1SpeakerAlloc-1)*INDEX(datatblReg1Seg1Payer3,2,)*(calcReg1Seg1Payer3TierImpactR1)</f>
        <v>0</v>
      </c>
      <c r="F1031" s="511">
        <f>(calcReg1Seg1SpeakerAllocR1/obalReg1Seg1SpeakerAlloc-1)*INDEX(datatblReg1Seg1Payer3,2,)</f>
        <v>0</v>
      </c>
      <c r="G1031" s="511">
        <f>(calcReg1Seg1SpeakerAllocR1/obalReg1Seg1SpeakerAlloc-1)*INDEX(datatblReg1Seg1Payer3,2,)</f>
        <v>0</v>
      </c>
      <c r="H1031" s="511">
        <f>(calcReg1Seg1SpeakerAllocR1/obalReg1Seg1SpeakerAlloc-1)*INDEX(datatblReg1Seg1Payer3,2,)</f>
        <v>0</v>
      </c>
      <c r="I1031" s="511">
        <f>(calcReg1Seg1SpeakerAllocR1/obalReg1Seg1SpeakerAlloc-1)*INDEX(datatblReg1Seg1Payer3,2,)</f>
        <v>0</v>
      </c>
      <c r="J1031" t="s">
        <v>3306</v>
      </c>
    </row>
    <row r="1032" spans="3:10">
      <c r="C1032" t="s">
        <v>2333</v>
      </c>
      <c r="E1032" s="511">
        <f>(calcReg1Seg1PromotionAllocR1/obalReg1Seg1PromotionAlloc-1)*INDEX(datatblReg1Seg1Payer3,3,)*calcReg1Seg1Payer3TierImpactR1</f>
        <v>0</v>
      </c>
      <c r="F1032" s="511">
        <f>(calcReg1Seg1PromotionAllocR1/obalReg1Seg1PromotionAlloc-1)*INDEX(datatblReg1Seg1Payer3,3,)</f>
        <v>0</v>
      </c>
      <c r="G1032" s="511">
        <f>(calcReg1Seg1PromotionAllocR1/obalReg1Seg1PromotionAlloc-1)*INDEX(datatblReg1Seg1Payer3,3,)</f>
        <v>0</v>
      </c>
      <c r="H1032" s="511">
        <f>(calcReg1Seg1PromotionAllocR1/obalReg1Seg1PromotionAlloc-1)*INDEX(datatblReg1Seg1Payer3,3,)</f>
        <v>0</v>
      </c>
      <c r="I1032" s="511">
        <f>(calcReg1Seg1PromotionAllocR1/obalReg1Seg1PromotionAlloc-1)*INDEX(datatblReg1Seg1Payer3,3,)</f>
        <v>0</v>
      </c>
      <c r="J1032" t="s">
        <v>3307</v>
      </c>
    </row>
    <row r="1033" spans="3:10">
      <c r="C1033" t="s">
        <v>2646</v>
      </c>
      <c r="E1033" s="511">
        <f>(calcReg1Seg1Rep1Payer3ImpactR1)*calcReg1Seg1Payer3TierImpactR1</f>
        <v>-6.7499999999999906E-5</v>
      </c>
      <c r="F1033" s="511">
        <f>(calcReg1Seg1Rep1Payer3ImpactR1)*calcReg1Seg1Payer3TierImpactR1</f>
        <v>-6.7499999999999906E-5</v>
      </c>
      <c r="G1033" s="511">
        <f>(calcReg1Seg1Rep1Payer3ImpactR1)*calcReg1Seg1Payer3TierImpactR1</f>
        <v>-6.7499999999999906E-5</v>
      </c>
      <c r="H1033" s="511">
        <f>(calcReg1Seg1Rep1Payer3ImpactR1)*calcReg1Seg1Payer3TierImpactR1</f>
        <v>-6.7499999999999906E-5</v>
      </c>
      <c r="I1033" s="511">
        <f>(calcReg1Seg1Rep1Payer3ImpactR1)*calcReg1Seg1Payer3TierImpactR1</f>
        <v>-6.7499999999999906E-5</v>
      </c>
      <c r="J1033" t="s">
        <v>3308</v>
      </c>
    </row>
    <row r="1034" spans="3:10">
      <c r="C1034" t="s">
        <v>2905</v>
      </c>
    </row>
    <row r="1035" spans="3:10" s="4" customFormat="1">
      <c r="C1035" s="4" t="s">
        <v>1534</v>
      </c>
      <c r="E1035" s="500">
        <f>SUM(E1029:E1034)</f>
        <v>6.2182142857142852E-3</v>
      </c>
      <c r="F1035" s="500">
        <f>SUM(F1029:F1034)</f>
        <v>6.2182142857142852E-3</v>
      </c>
      <c r="G1035" s="500">
        <f>SUM(G1029:G1034)</f>
        <v>6.2182142857142852E-3</v>
      </c>
      <c r="H1035" s="500">
        <f>SUM(H1029:H1034)</f>
        <v>6.2182142857142852E-3</v>
      </c>
      <c r="I1035" s="500">
        <f>SUM(I1029:I1034)</f>
        <v>6.2182142857142852E-3</v>
      </c>
      <c r="J1035" s="4" t="s">
        <v>1736</v>
      </c>
    </row>
    <row r="1036" spans="3:10">
      <c r="C1036" t="s">
        <v>1490</v>
      </c>
      <c r="E1036" s="380">
        <f>MAX(calcReg1Seg1Payer3MarketGrowthCustR1*calcReg1Seg1Payer3ShareNewCustR1,0)</f>
        <v>18.001058790000002</v>
      </c>
      <c r="F1036" s="380">
        <f>MAX(calcReg1Seg1Payer3MarketGrowthCustR1*calcReg1Seg1Payer3ShareNewCustR1,0)</f>
        <v>18.001058790000002</v>
      </c>
      <c r="G1036" s="380">
        <f>MAX(calcReg1Seg1Payer3MarketGrowthCustR1*calcReg1Seg1Payer3ShareNewCustR1,0)</f>
        <v>18.001058790000002</v>
      </c>
      <c r="H1036" s="380">
        <f>MAX(calcReg1Seg1Payer3MarketGrowthCustR1*calcReg1Seg1Payer3ShareNewCustR1,0)</f>
        <v>18.001058790000002</v>
      </c>
      <c r="I1036" s="380">
        <f>MAX(calcReg1Seg1Payer3MarketGrowthCustR1*calcReg1Seg1Payer3ShareNewCustR1,0)</f>
        <v>18.001058790000002</v>
      </c>
      <c r="J1036" s="4" t="s">
        <v>1737</v>
      </c>
    </row>
    <row r="1038" spans="3:10">
      <c r="C1038" t="s">
        <v>1537</v>
      </c>
      <c r="E1038" s="380">
        <f>calcReg1Seg1Payer3MarketRecurCustR1+calcReg1Seg1Payer3MarketGrowthCustR1</f>
        <v>33135.379199999996</v>
      </c>
      <c r="F1038" s="380">
        <f>calcReg1Seg1Payer3MarketRecurCustR1+calcReg1Seg1Payer3MarketGrowthCustR1</f>
        <v>33135.379199999996</v>
      </c>
      <c r="G1038" s="380">
        <f>calcReg1Seg1Payer3MarketRecurCustR1+calcReg1Seg1Payer3MarketGrowthCustR1</f>
        <v>33135.379199999996</v>
      </c>
      <c r="H1038" s="380">
        <f>calcReg1Seg1Payer3MarketRecurCustR1+calcReg1Seg1Payer3MarketGrowthCustR1</f>
        <v>33135.379199999996</v>
      </c>
      <c r="I1038" s="380">
        <f>calcReg1Seg1Payer3MarketRecurCustR1+calcReg1Seg1Payer3MarketGrowthCustR1</f>
        <v>33135.379199999996</v>
      </c>
      <c r="J1038" t="s">
        <v>1738</v>
      </c>
    </row>
    <row r="1039" spans="3:10">
      <c r="C1039" t="s">
        <v>1539</v>
      </c>
      <c r="E1039" s="380">
        <f>calcReg1Seg1Payer3VolumeRecurCustR1+calcReg1Seg1Payer3VolumeNewCustR1</f>
        <v>206.04288830399997</v>
      </c>
      <c r="F1039" s="380">
        <f>calcReg1Seg1Payer3VolumeRecurCustR1+calcReg1Seg1Payer3VolumeNewCustR1</f>
        <v>206.04288830399997</v>
      </c>
      <c r="G1039" s="380">
        <f>calcReg1Seg1Payer3VolumeRecurCustR1+calcReg1Seg1Payer3VolumeNewCustR1</f>
        <v>206.04288830399997</v>
      </c>
      <c r="H1039" s="380">
        <f>calcReg1Seg1Payer3VolumeRecurCustR1+calcReg1Seg1Payer3VolumeNewCustR1</f>
        <v>206.04288830399997</v>
      </c>
      <c r="I1039" s="380">
        <f>calcReg1Seg1Payer3VolumeRecurCustR1+calcReg1Seg1Payer3VolumeNewCustR1</f>
        <v>206.04288830399997</v>
      </c>
      <c r="J1039" t="s">
        <v>1739</v>
      </c>
    </row>
    <row r="1040" spans="3:10" s="4" customFormat="1">
      <c r="C1040" s="4" t="s">
        <v>841</v>
      </c>
      <c r="E1040" s="500">
        <f>calcReg1Seg1Payer3VolumeR1/calcReg1Seg1Payer3TotalVolumeR1</f>
        <v>6.2182142857142861E-3</v>
      </c>
      <c r="F1040" s="500">
        <f>calcReg1Seg1Payer3VolumeR1/calcReg1Seg1Payer3TotalVolumeR1</f>
        <v>6.2182142857142861E-3</v>
      </c>
      <c r="G1040" s="500">
        <f>calcReg1Seg1Payer3VolumeR1/calcReg1Seg1Payer3TotalVolumeR1</f>
        <v>6.2182142857142861E-3</v>
      </c>
      <c r="H1040" s="500">
        <f>calcReg1Seg1Payer3VolumeR1/calcReg1Seg1Payer3TotalVolumeR1</f>
        <v>6.2182142857142861E-3</v>
      </c>
      <c r="I1040" s="500">
        <f>calcReg1Seg1Payer3VolumeR1/calcReg1Seg1Payer3TotalVolumeR1</f>
        <v>6.2182142857142861E-3</v>
      </c>
      <c r="J1040" s="4" t="s">
        <v>1740</v>
      </c>
    </row>
    <row r="1042" spans="1:10">
      <c r="A1042" s="16" t="s">
        <v>1551</v>
      </c>
      <c r="C1042" t="s">
        <v>803</v>
      </c>
      <c r="E1042" s="380">
        <f>INDEX(dataReg1Seg1Payer3TotalVolume,,4)</f>
        <v>33404.401716</v>
      </c>
      <c r="F1042" s="380">
        <f>INDEX(dataReg1Seg1Payer3TotalVolume,,4)</f>
        <v>33404.401716</v>
      </c>
      <c r="G1042" s="380">
        <f>INDEX(dataReg1Seg1Payer3TotalVolume,,4)</f>
        <v>33404.401716</v>
      </c>
      <c r="H1042" s="380">
        <f>INDEX(dataReg1Seg1Payer3TotalVolume,,4)</f>
        <v>33404.401716</v>
      </c>
      <c r="I1042" s="380">
        <f>INDEX(dataReg1Seg1Payer3TotalVolume,,4)</f>
        <v>33404.401716</v>
      </c>
      <c r="J1042" t="s">
        <v>1741</v>
      </c>
    </row>
    <row r="1043" spans="1:10">
      <c r="C1043" t="s">
        <v>3253</v>
      </c>
      <c r="E1043" t="str">
        <f>cbalReg1Payer3Status</f>
        <v>T3 SGSE</v>
      </c>
      <c r="F1043" t="str">
        <f>cbalReg1Payer3Status</f>
        <v>T3 SGSE</v>
      </c>
      <c r="G1043" t="str">
        <f>cbalReg1Payer3Status</f>
        <v>T3 SGSE</v>
      </c>
      <c r="H1043" t="str">
        <f>cbalReg1Payer3Status</f>
        <v>T3 SGSE</v>
      </c>
      <c r="I1043" t="str">
        <f>cbalReg1Payer3Status</f>
        <v>T3 SGSE</v>
      </c>
    </row>
    <row r="1044" spans="1:10">
      <c r="C1044" t="s">
        <v>2887</v>
      </c>
      <c r="E1044">
        <f>INDEX(dataTierVolumeImpact,MATCH(E1043,MarketData!$K$12:$K$17,0),)</f>
        <v>0.9</v>
      </c>
      <c r="F1044">
        <f>INDEX(dataTierVolumeImpact,MATCH(F1043,MarketData!$K$12:$K$17,0),)</f>
        <v>0.9</v>
      </c>
      <c r="G1044">
        <f>INDEX(dataTierVolumeImpact,MATCH(G1043,MarketData!$K$12:$K$17,0),)</f>
        <v>0.9</v>
      </c>
      <c r="H1044">
        <f>INDEX(dataTierVolumeImpact,MATCH(H1043,MarketData!$K$12:$K$17,0),)</f>
        <v>0.9</v>
      </c>
      <c r="I1044">
        <f>INDEX(dataTierVolumeImpact,MATCH(I1043,MarketData!$K$12:$K$17,0),)</f>
        <v>0.9</v>
      </c>
      <c r="J1044" t="s">
        <v>3309</v>
      </c>
    </row>
    <row r="1045" spans="1:10">
      <c r="C1045" t="s">
        <v>1487</v>
      </c>
      <c r="E1045" s="465">
        <f>calcReg1Seg1Payer3ShareTotalCustR1</f>
        <v>6.2182142857142861E-3</v>
      </c>
      <c r="F1045" s="465">
        <f>calcReg1Seg1Payer3ShareTotalCustR1</f>
        <v>6.2182142857142861E-3</v>
      </c>
      <c r="G1045" s="465">
        <f>calcReg1Seg1Payer3ShareTotalCustR1</f>
        <v>6.2182142857142861E-3</v>
      </c>
      <c r="H1045" s="465">
        <f>calcReg1Seg1Payer3ShareTotalCustR1</f>
        <v>6.2182142857142861E-3</v>
      </c>
      <c r="I1045" s="465">
        <f>calcReg1Seg1Payer3ShareTotalCustR1</f>
        <v>6.2182142857142861E-3</v>
      </c>
    </row>
    <row r="1046" spans="1:10">
      <c r="C1046" t="s">
        <v>516</v>
      </c>
      <c r="E1046" s="511">
        <f>(calcReg1Seg1SampleAllocR2/calcReg1Seg1SampleAllocR1-1)*INDEX(datatblReg1Seg1Payer3,1,)*calcReg1Seg1Payer3TierImpactR2</f>
        <v>0</v>
      </c>
      <c r="F1046" s="511">
        <f>(calcReg1Seg1SampleAllocR2/calcReg1Seg1SampleAllocR1-1)*INDEX(datatblReg1Seg1Payer3,1,)*calcReg1Seg1Payer3TierImpactR2</f>
        <v>0</v>
      </c>
      <c r="G1046" s="511">
        <f>(calcReg1Seg1SampleAllocR2/calcReg1Seg1SampleAllocR1-1)*INDEX(datatblReg1Seg1Payer3,1,)*calcReg1Seg1Payer3TierImpactR2</f>
        <v>0</v>
      </c>
      <c r="H1046" s="511">
        <f>(calcReg1Seg1SampleAllocR2/calcReg1Seg1SampleAllocR1-1)*INDEX(datatblReg1Seg1Payer3,1,)*calcReg1Seg1Payer3TierImpactR2</f>
        <v>0</v>
      </c>
      <c r="I1046" s="511">
        <f>(calcReg1Seg1SampleAllocR2/calcReg1Seg1SampleAllocR1-1)*INDEX(datatblReg1Seg1Payer3,1,)*calcReg1Seg1Payer3TierImpactR2</f>
        <v>0</v>
      </c>
      <c r="J1046" t="s">
        <v>3111</v>
      </c>
    </row>
    <row r="1047" spans="1:10">
      <c r="C1047" t="s">
        <v>517</v>
      </c>
      <c r="E1047" s="511">
        <f>(calcReg1Seg1SpeakerAllocR2/calcReg1Seg1SpeakerAllocR1-1)*INDEX(datatblReg1Seg1Payer3,2,)*calcReg1Seg1Payer3TierImpactR2</f>
        <v>-4.5000000000000037E-5</v>
      </c>
      <c r="F1047" s="511">
        <f>(calcReg1Seg1SpeakerAllocR2/calcReg1Seg1SpeakerAllocR1-1)*INDEX(datatblReg1Seg1Payer3,2,)*calcReg1Seg1Payer3TierImpactR2</f>
        <v>-4.5000000000000037E-5</v>
      </c>
      <c r="G1047" s="511">
        <f>(calcReg1Seg1SpeakerAllocR2/calcReg1Seg1SpeakerAllocR1-1)*INDEX(datatblReg1Seg1Payer3,2,)*calcReg1Seg1Payer3TierImpactR2</f>
        <v>-4.5000000000000037E-5</v>
      </c>
      <c r="H1047" s="511">
        <f>(calcReg1Seg1SpeakerAllocR2/calcReg1Seg1SpeakerAllocR1-1)*INDEX(datatblReg1Seg1Payer3,2,)*calcReg1Seg1Payer3TierImpactR2</f>
        <v>-4.5000000000000037E-5</v>
      </c>
      <c r="I1047" s="511">
        <f>(calcReg1Seg1SpeakerAllocR2/calcReg1Seg1SpeakerAllocR1-1)*INDEX(datatblReg1Seg1Payer3,2,)*calcReg1Seg1Payer3TierImpactR2</f>
        <v>-4.5000000000000037E-5</v>
      </c>
      <c r="J1047" t="s">
        <v>3112</v>
      </c>
    </row>
    <row r="1048" spans="1:10">
      <c r="C1048" t="s">
        <v>2333</v>
      </c>
      <c r="E1048" s="511">
        <f>(calcReg1Seg1PromotionAllocR2/calcReg1Seg1PromotionAllocR1-1)*INDEX(datatblReg1Seg1Payer3,3,)*calcReg1Seg1Payer3TierImpactR2</f>
        <v>-6.7500000000000069E-5</v>
      </c>
      <c r="F1048" s="511">
        <f>(calcReg1Seg1PromotionAllocR2/calcReg1Seg1PromotionAllocR1-1)*INDEX(datatblReg1Seg1Payer3,3,)*calcReg1Seg1Payer3TierImpactR2</f>
        <v>-6.7500000000000069E-5</v>
      </c>
      <c r="G1048" s="511">
        <f>(calcReg1Seg1PromotionAllocR2/calcReg1Seg1PromotionAllocR1-1)*INDEX(datatblReg1Seg1Payer3,3,)*calcReg1Seg1Payer3TierImpactR2</f>
        <v>-6.7500000000000069E-5</v>
      </c>
      <c r="H1048" s="511">
        <f>(calcReg1Seg1PromotionAllocR2/calcReg1Seg1PromotionAllocR1-1)*INDEX(datatblReg1Seg1Payer3,3,)*calcReg1Seg1Payer3TierImpactR2</f>
        <v>-6.7500000000000069E-5</v>
      </c>
      <c r="I1048" s="511">
        <f>(calcReg1Seg1PromotionAllocR2/calcReg1Seg1PromotionAllocR1-1)*INDEX(datatblReg1Seg1Payer3,3,)*calcReg1Seg1Payer3TierImpactR2</f>
        <v>-6.7500000000000069E-5</v>
      </c>
      <c r="J1048" t="s">
        <v>3113</v>
      </c>
    </row>
    <row r="1049" spans="1:10">
      <c r="C1049" t="s">
        <v>2646</v>
      </c>
      <c r="E1049" s="511">
        <f>(calcReg1Seg1Rep1Payer3ImpactR2)*calcReg1Seg1Payer3TierImpactR2</f>
        <v>-6.7499999999999906E-5</v>
      </c>
      <c r="F1049" s="511">
        <f>(calcReg1Seg1Rep1Payer3ImpactR2)*calcReg1Seg1Payer3TierImpactR2</f>
        <v>-6.7499999999999906E-5</v>
      </c>
      <c r="G1049" s="511">
        <f>(calcReg1Seg1Rep1Payer3ImpactR2)*calcReg1Seg1Payer3TierImpactR2</f>
        <v>-6.7499999999999906E-5</v>
      </c>
      <c r="H1049" s="511">
        <f>(calcReg1Seg1Rep1Payer3ImpactR2)*calcReg1Seg1Payer3TierImpactR2</f>
        <v>-6.7499999999999906E-5</v>
      </c>
      <c r="I1049" s="511">
        <f>(calcReg1Seg1Rep1Payer3ImpactR2)*calcReg1Seg1Payer3TierImpactR2</f>
        <v>-6.7499999999999906E-5</v>
      </c>
      <c r="J1049" t="s">
        <v>3114</v>
      </c>
    </row>
    <row r="1051" spans="1:10" s="4" customFormat="1">
      <c r="C1051" s="4" t="s">
        <v>1489</v>
      </c>
      <c r="E1051" s="500">
        <f>SUM(E1045:E1050)</f>
        <v>6.0382142857142865E-3</v>
      </c>
      <c r="F1051" s="500">
        <f>SUM(F1045:F1050)</f>
        <v>6.0382142857142865E-3</v>
      </c>
      <c r="G1051" s="500">
        <f>SUM(G1045:G1050)</f>
        <v>6.0382142857142865E-3</v>
      </c>
      <c r="H1051" s="500">
        <f>SUM(H1045:H1050)</f>
        <v>6.0382142857142865E-3</v>
      </c>
      <c r="I1051" s="500">
        <f>SUM(I1045:I1050)</f>
        <v>6.0382142857142865E-3</v>
      </c>
      <c r="J1051" s="4" t="s">
        <v>1742</v>
      </c>
    </row>
    <row r="1052" spans="1:10">
      <c r="C1052" t="s">
        <v>1490</v>
      </c>
      <c r="E1052" s="380">
        <f>MAX(calcReg1Seg1Payer3MarketRecurCustR2*calcReg1Seg1Payer3ShareRecurCustR2,0)</f>
        <v>201.70293564729002</v>
      </c>
      <c r="F1052" s="380">
        <f>MAX(calcReg1Seg1Payer3MarketRecurCustR2*calcReg1Seg1Payer3ShareRecurCustR2,0)</f>
        <v>201.70293564729002</v>
      </c>
      <c r="G1052" s="380">
        <f>MAX(calcReg1Seg1Payer3MarketRecurCustR2*calcReg1Seg1Payer3ShareRecurCustR2,0)</f>
        <v>201.70293564729002</v>
      </c>
      <c r="H1052" s="380">
        <f>MAX(calcReg1Seg1Payer3MarketRecurCustR2*calcReg1Seg1Payer3ShareRecurCustR2,0)</f>
        <v>201.70293564729002</v>
      </c>
      <c r="I1052" s="380">
        <f>MAX(calcReg1Seg1Payer3MarketRecurCustR2*calcReg1Seg1Payer3ShareRecurCustR2,0)</f>
        <v>201.70293564729002</v>
      </c>
      <c r="J1052" t="s">
        <v>1743</v>
      </c>
    </row>
    <row r="1054" spans="1:10">
      <c r="C1054" t="s">
        <v>804</v>
      </c>
      <c r="E1054" s="380">
        <f>INDEX(dataReg1Seg1Payer3NewVolume,,4)</f>
        <v>4275.5328</v>
      </c>
      <c r="F1054" s="380">
        <f>INDEX(dataReg1Seg1Payer3NewVolume,,4)</f>
        <v>4275.5328</v>
      </c>
      <c r="G1054" s="380">
        <f>INDEX(dataReg1Seg1Payer3NewVolume,,4)</f>
        <v>4275.5328</v>
      </c>
      <c r="H1054" s="380">
        <f>INDEX(dataReg1Seg1Payer3NewVolume,,4)</f>
        <v>4275.5328</v>
      </c>
      <c r="I1054" s="380">
        <f>INDEX(dataReg1Seg1Payer3NewVolume,,4)</f>
        <v>4275.5328</v>
      </c>
      <c r="J1054" t="s">
        <v>1744</v>
      </c>
    </row>
    <row r="1056" spans="1:10">
      <c r="C1056" t="s">
        <v>1486</v>
      </c>
      <c r="E1056" s="465">
        <f>calcReg1Seg1Payer3ShareNewCustR1</f>
        <v>6.2182142857142852E-3</v>
      </c>
      <c r="F1056" s="465">
        <f>calcReg1Seg1Payer3ShareNewCustR1</f>
        <v>6.2182142857142852E-3</v>
      </c>
      <c r="G1056" s="465">
        <f>calcReg1Seg1Payer3ShareNewCustR1</f>
        <v>6.2182142857142852E-3</v>
      </c>
      <c r="H1056" s="465">
        <f>calcReg1Seg1Payer3ShareNewCustR1</f>
        <v>6.2182142857142852E-3</v>
      </c>
      <c r="I1056" s="465">
        <f>calcReg1Seg1Payer3ShareNewCustR1</f>
        <v>6.2182142857142852E-3</v>
      </c>
    </row>
    <row r="1057" spans="1:10">
      <c r="C1057" t="s">
        <v>516</v>
      </c>
      <c r="E1057" s="511">
        <f>(calcReg1Seg1SampleAllocR2/calcReg1Seg1SampleAllocR1-1)*INDEX(datatblReg1Seg1Payer3,1,)*calcReg1Seg1Payer3TierImpactR2</f>
        <v>0</v>
      </c>
      <c r="F1057" s="511">
        <f>(calcReg1Seg1SampleAllocR2/calcReg1Seg1SampleAllocR1-1)*INDEX(datatblReg1Seg1Payer3,1,)*calcReg1Seg1Payer3TierImpactR2</f>
        <v>0</v>
      </c>
      <c r="G1057" s="511">
        <f>(calcReg1Seg1SampleAllocR2/calcReg1Seg1SampleAllocR1-1)*INDEX(datatblReg1Seg1Payer3,1,)*calcReg1Seg1Payer3TierImpactR2</f>
        <v>0</v>
      </c>
      <c r="H1057" s="511">
        <f>(calcReg1Seg1SampleAllocR2/calcReg1Seg1SampleAllocR1-1)*INDEX(datatblReg1Seg1Payer3,1,)*calcReg1Seg1Payer3TierImpactR2</f>
        <v>0</v>
      </c>
      <c r="I1057" s="511">
        <f>(calcReg1Seg1SampleAllocR2/calcReg1Seg1SampleAllocR1-1)*INDEX(datatblReg1Seg1Payer3,1,)*calcReg1Seg1Payer3TierImpactR2</f>
        <v>0</v>
      </c>
      <c r="J1057" t="s">
        <v>3310</v>
      </c>
    </row>
    <row r="1058" spans="1:10">
      <c r="C1058" t="s">
        <v>517</v>
      </c>
      <c r="E1058" s="511">
        <f>(calcReg1Seg1SpeakerAllocR2/calcReg1Seg1SpeakerAllocR1-1)*INDEX(datatblReg1Seg1Payer3,2,)*calcReg1Seg1Payer3TierImpactR2</f>
        <v>-4.5000000000000037E-5</v>
      </c>
      <c r="F1058" s="511">
        <f>(calcReg1Seg1SpeakerAllocR2/calcReg1Seg1SpeakerAllocR1-1)*INDEX(datatblReg1Seg1Payer3,2,)*calcReg1Seg1Payer3TierImpactR2</f>
        <v>-4.5000000000000037E-5</v>
      </c>
      <c r="G1058" s="511">
        <f>(calcReg1Seg1SpeakerAllocR2/calcReg1Seg1SpeakerAllocR1-1)*INDEX(datatblReg1Seg1Payer3,2,)*calcReg1Seg1Payer3TierImpactR2</f>
        <v>-4.5000000000000037E-5</v>
      </c>
      <c r="H1058" s="511">
        <f>(calcReg1Seg1SpeakerAllocR2/calcReg1Seg1SpeakerAllocR1-1)*INDEX(datatblReg1Seg1Payer3,2,)*calcReg1Seg1Payer3TierImpactR2</f>
        <v>-4.5000000000000037E-5</v>
      </c>
      <c r="I1058" s="511">
        <f>(calcReg1Seg1SpeakerAllocR2/calcReg1Seg1SpeakerAllocR1-1)*INDEX(datatblReg1Seg1Payer3,2,)*calcReg1Seg1Payer3TierImpactR2</f>
        <v>-4.5000000000000037E-5</v>
      </c>
      <c r="J1058" t="s">
        <v>3311</v>
      </c>
    </row>
    <row r="1059" spans="1:10">
      <c r="C1059" t="s">
        <v>2333</v>
      </c>
      <c r="E1059" s="511">
        <f>(calcReg1Seg1PromotionAllocR2/calcReg1Seg1PromotionAllocR1-1)*INDEX(datatblReg1Seg1Payer3,3,)*calcReg1Seg1Payer3TierImpactR2</f>
        <v>-6.7500000000000069E-5</v>
      </c>
      <c r="F1059" s="511">
        <f>(calcReg1Seg1PromotionAllocR2/calcReg1Seg1PromotionAllocR1-1)*INDEX(datatblReg1Seg1Payer3,3,)*calcReg1Seg1Payer3TierImpactR2</f>
        <v>-6.7500000000000069E-5</v>
      </c>
      <c r="G1059" s="511">
        <f>(calcReg1Seg1PromotionAllocR2/calcReg1Seg1PromotionAllocR1-1)*INDEX(datatblReg1Seg1Payer3,3,)*calcReg1Seg1Payer3TierImpactR2</f>
        <v>-6.7500000000000069E-5</v>
      </c>
      <c r="H1059" s="511">
        <f>(calcReg1Seg1PromotionAllocR2/calcReg1Seg1PromotionAllocR1-1)*INDEX(datatblReg1Seg1Payer3,3,)*calcReg1Seg1Payer3TierImpactR2</f>
        <v>-6.7500000000000069E-5</v>
      </c>
      <c r="I1059" s="511">
        <f>(calcReg1Seg1PromotionAllocR2/calcReg1Seg1PromotionAllocR1-1)*INDEX(datatblReg1Seg1Payer3,3,)*calcReg1Seg1Payer3TierImpactR2</f>
        <v>-6.7500000000000069E-5</v>
      </c>
      <c r="J1059" t="s">
        <v>3312</v>
      </c>
    </row>
    <row r="1060" spans="1:10">
      <c r="C1060" t="s">
        <v>2646</v>
      </c>
      <c r="E1060" s="511">
        <f>(calcReg1Seg1Rep1Payer3ImpactR2)*calcReg1Seg1Payer3TierImpactR2</f>
        <v>-6.7499999999999906E-5</v>
      </c>
      <c r="F1060" s="511">
        <f>(calcReg1Seg1Rep1Payer3ImpactR2)*calcReg1Seg1Payer3TierImpactR2</f>
        <v>-6.7499999999999906E-5</v>
      </c>
      <c r="G1060" s="511">
        <f>(calcReg1Seg1Rep1Payer3ImpactR2)*calcReg1Seg1Payer3TierImpactR2</f>
        <v>-6.7499999999999906E-5</v>
      </c>
      <c r="H1060" s="511">
        <f>(calcReg1Seg1Rep1Payer3ImpactR2)*calcReg1Seg1Payer3TierImpactR2</f>
        <v>-6.7499999999999906E-5</v>
      </c>
      <c r="I1060" s="511">
        <f>(calcReg1Seg1Rep1Payer3ImpactR2)*calcReg1Seg1Payer3TierImpactR2</f>
        <v>-6.7499999999999906E-5</v>
      </c>
      <c r="J1060" t="s">
        <v>3313</v>
      </c>
    </row>
    <row r="1062" spans="1:10" s="4" customFormat="1">
      <c r="C1062" s="4" t="s">
        <v>1534</v>
      </c>
      <c r="E1062" s="500">
        <f>SUM(E1056:E1061)</f>
        <v>6.0382142857142856E-3</v>
      </c>
      <c r="F1062" s="500">
        <f>SUM(F1056:F1061)</f>
        <v>6.0382142857142856E-3</v>
      </c>
      <c r="G1062" s="500">
        <f>SUM(G1056:G1061)</f>
        <v>6.0382142857142856E-3</v>
      </c>
      <c r="H1062" s="500">
        <f>SUM(H1056:H1061)</f>
        <v>6.0382142857142856E-3</v>
      </c>
      <c r="I1062" s="500">
        <f>SUM(I1056:I1061)</f>
        <v>6.0382142857142856E-3</v>
      </c>
      <c r="J1062" s="4" t="s">
        <v>1745</v>
      </c>
    </row>
    <row r="1063" spans="1:10">
      <c r="C1063" t="s">
        <v>1490</v>
      </c>
      <c r="E1063" s="380">
        <f>MAX(calcReg1Seg1Payer3MarketGrowthCustR2*calcReg1Seg1Payer3ShareNewCustR2,0)</f>
        <v>25.816583231999999</v>
      </c>
      <c r="F1063" s="380">
        <f>MAX(calcReg1Seg1Payer3MarketGrowthCustR2*calcReg1Seg1Payer3ShareNewCustR2,0)</f>
        <v>25.816583231999999</v>
      </c>
      <c r="G1063" s="380">
        <f>MAX(calcReg1Seg1Payer3MarketGrowthCustR2*calcReg1Seg1Payer3ShareNewCustR2,0)</f>
        <v>25.816583231999999</v>
      </c>
      <c r="H1063" s="380">
        <f>MAX(calcReg1Seg1Payer3MarketGrowthCustR2*calcReg1Seg1Payer3ShareNewCustR2,0)</f>
        <v>25.816583231999999</v>
      </c>
      <c r="I1063" s="380">
        <f>MAX(calcReg1Seg1Payer3MarketGrowthCustR2*calcReg1Seg1Payer3ShareNewCustR2,0)</f>
        <v>25.816583231999999</v>
      </c>
      <c r="J1063" s="4" t="s">
        <v>1746</v>
      </c>
    </row>
    <row r="1065" spans="1:10">
      <c r="C1065" t="s">
        <v>1537</v>
      </c>
      <c r="E1065" s="380">
        <f>calcReg1Seg1Payer3MarketRecurCustR2+calcReg1Seg1Payer3MarketGrowthCustR2</f>
        <v>37679.934516000001</v>
      </c>
      <c r="F1065" s="380">
        <f>calcReg1Seg1Payer3MarketRecurCustR2+calcReg1Seg1Payer3MarketGrowthCustR2</f>
        <v>37679.934516000001</v>
      </c>
      <c r="G1065" s="380">
        <f>calcReg1Seg1Payer3MarketRecurCustR2+calcReg1Seg1Payer3MarketGrowthCustR2</f>
        <v>37679.934516000001</v>
      </c>
      <c r="H1065" s="380">
        <f>calcReg1Seg1Payer3MarketRecurCustR2+calcReg1Seg1Payer3MarketGrowthCustR2</f>
        <v>37679.934516000001</v>
      </c>
      <c r="I1065" s="380">
        <f>calcReg1Seg1Payer3MarketRecurCustR2+calcReg1Seg1Payer3MarketGrowthCustR2</f>
        <v>37679.934516000001</v>
      </c>
      <c r="J1065" t="s">
        <v>1747</v>
      </c>
    </row>
    <row r="1066" spans="1:10">
      <c r="C1066" t="s">
        <v>1539</v>
      </c>
      <c r="E1066" s="380">
        <f>calcReg1Seg1Payer3VolumeRecurCustR2+calcReg1Seg1Payer3VolumeNewCustR2</f>
        <v>227.51951887929002</v>
      </c>
      <c r="F1066" s="380">
        <f>calcReg1Seg1Payer3VolumeRecurCustR2+calcReg1Seg1Payer3VolumeNewCustR2</f>
        <v>227.51951887929002</v>
      </c>
      <c r="G1066" s="380">
        <f>calcReg1Seg1Payer3VolumeRecurCustR2+calcReg1Seg1Payer3VolumeNewCustR2</f>
        <v>227.51951887929002</v>
      </c>
      <c r="H1066" s="380">
        <f>calcReg1Seg1Payer3VolumeRecurCustR2+calcReg1Seg1Payer3VolumeNewCustR2</f>
        <v>227.51951887929002</v>
      </c>
      <c r="I1066" s="380">
        <f>calcReg1Seg1Payer3VolumeRecurCustR2+calcReg1Seg1Payer3VolumeNewCustR2</f>
        <v>227.51951887929002</v>
      </c>
      <c r="J1066" t="s">
        <v>1748</v>
      </c>
    </row>
    <row r="1067" spans="1:10" s="4" customFormat="1">
      <c r="C1067" s="4" t="s">
        <v>841</v>
      </c>
      <c r="E1067" s="500">
        <f>calcReg1Seg1Payer3VolumeR1/calcReg1Seg1Payer3TotalVolumeR1</f>
        <v>6.2182142857142861E-3</v>
      </c>
      <c r="F1067" s="500">
        <f>calcReg1Seg1Payer3VolumeR1/calcReg1Seg1Payer3TotalVolumeR1</f>
        <v>6.2182142857142861E-3</v>
      </c>
      <c r="G1067" s="500">
        <f>calcReg1Seg1Payer3VolumeR1/calcReg1Seg1Payer3TotalVolumeR1</f>
        <v>6.2182142857142861E-3</v>
      </c>
      <c r="H1067" s="500">
        <f>calcReg1Seg1Payer3VolumeR1/calcReg1Seg1Payer3TotalVolumeR1</f>
        <v>6.2182142857142861E-3</v>
      </c>
      <c r="I1067" s="500">
        <f>calcReg1Seg1Payer3VolumeR1/calcReg1Seg1Payer3TotalVolumeR1</f>
        <v>6.2182142857142861E-3</v>
      </c>
      <c r="J1067" s="4" t="s">
        <v>1749</v>
      </c>
    </row>
    <row r="1068" spans="1:10">
      <c r="A1068" s="4"/>
    </row>
    <row r="1069" spans="1:10" s="502" customFormat="1">
      <c r="A1069" s="501" t="str">
        <f>nmReg1Seg2</f>
        <v>Winterfell</v>
      </c>
    </row>
    <row r="1070" spans="1:10" s="376" customFormat="1">
      <c r="A1070" s="376" t="str">
        <f>nmPayer1</f>
        <v>Blue Sword/Blue Shield</v>
      </c>
    </row>
    <row r="1071" spans="1:10">
      <c r="A1071" s="16" t="s">
        <v>1488</v>
      </c>
      <c r="C1071" s="4" t="s">
        <v>803</v>
      </c>
      <c r="E1071" s="380">
        <f>INDEX(dataReg1Seg2Payer1TotalVolume,,3)</f>
        <v>45863.084000000003</v>
      </c>
      <c r="F1071" s="380">
        <f>INDEX(dataReg1Seg2Payer1TotalVolume,,3)</f>
        <v>45863.084000000003</v>
      </c>
      <c r="G1071" s="380">
        <f>INDEX(dataReg1Seg2Payer1TotalVolume,,3)</f>
        <v>45863.084000000003</v>
      </c>
      <c r="H1071" s="380">
        <f>INDEX(dataReg1Seg2Payer1TotalVolume,,3)</f>
        <v>45863.084000000003</v>
      </c>
      <c r="I1071" s="380">
        <f>INDEX(dataReg1Seg2Payer1TotalVolume,,3)</f>
        <v>45863.084000000003</v>
      </c>
      <c r="J1071" t="s">
        <v>1750</v>
      </c>
    </row>
    <row r="1072" spans="1:10">
      <c r="C1072" t="s">
        <v>3253</v>
      </c>
      <c r="E1072" t="str">
        <f>obalReg1Payer1Status</f>
        <v>T2 DGSE</v>
      </c>
      <c r="F1072" t="str">
        <f>obalReg1Payer1Status</f>
        <v>T2 DGSE</v>
      </c>
      <c r="G1072" t="str">
        <f>obalReg1Payer1Status</f>
        <v>T2 DGSE</v>
      </c>
      <c r="H1072" t="str">
        <f>obalReg1Payer1Status</f>
        <v>T2 DGSE</v>
      </c>
      <c r="I1072" t="str">
        <f>obalReg1Payer1Status</f>
        <v>T2 DGSE</v>
      </c>
    </row>
    <row r="1073" spans="3:10">
      <c r="C1073" t="s">
        <v>2887</v>
      </c>
      <c r="E1073">
        <f>INDEX(dataTierVolumeImpact,MATCH(E1072,MarketData!$K$12:$K$17,0),)</f>
        <v>1.1000000000000001</v>
      </c>
      <c r="F1073">
        <f>INDEX(dataTierVolumeImpact,MATCH(F1072,MarketData!$K$12:$K$17,0),)</f>
        <v>1.1000000000000001</v>
      </c>
      <c r="G1073">
        <f>INDEX(dataTierVolumeImpact,MATCH(G1072,MarketData!$K$12:$K$17,0),)</f>
        <v>1.1000000000000001</v>
      </c>
      <c r="H1073">
        <f>INDEX(dataTierVolumeImpact,MATCH(H1072,MarketData!$K$12:$K$17,0),)</f>
        <v>1.1000000000000001</v>
      </c>
      <c r="I1073">
        <f>INDEX(dataTierVolumeImpact,MATCH(I1072,MarketData!$K$12:$K$17,0),)</f>
        <v>1.1000000000000001</v>
      </c>
      <c r="J1073" t="s">
        <v>3314</v>
      </c>
    </row>
    <row r="1074" spans="3:10">
      <c r="C1074" t="s">
        <v>1487</v>
      </c>
      <c r="E1074" s="465">
        <f>obalReg1Seg2Payer1Share</f>
        <v>4.4000000000000003E-3</v>
      </c>
      <c r="F1074" s="465">
        <f>obalReg1Seg2Payer1Share</f>
        <v>4.4000000000000003E-3</v>
      </c>
      <c r="G1074" s="465">
        <f>obalReg1Seg2Payer1Share</f>
        <v>4.4000000000000003E-3</v>
      </c>
      <c r="H1074" s="465">
        <f>obalReg1Seg2Payer1Share</f>
        <v>4.4000000000000003E-3</v>
      </c>
      <c r="I1074" s="465">
        <f>obalReg1Seg2Payer1Share</f>
        <v>4.4000000000000003E-3</v>
      </c>
    </row>
    <row r="1075" spans="3:10">
      <c r="C1075" t="s">
        <v>516</v>
      </c>
      <c r="E1075" s="511">
        <f>(calcReg1Seg2SampleAllocR1/obalReg1Seg2SampleAlloc-1)*INDEX(datatblReg1Seg2Payer1,1,)*calcReg1Seg2Payer1TierImpactR1</f>
        <v>0</v>
      </c>
      <c r="F1075" s="511">
        <f>(calcReg1Seg2SampleAllocR1/obalReg1Seg2SampleAlloc-1)*INDEX(datatblReg1Seg2Payer1,1,)</f>
        <v>0</v>
      </c>
      <c r="G1075" s="511">
        <f>(calcReg1Seg2SampleAllocR1/obalReg1Seg2SampleAlloc-1)*INDEX(datatblReg1Seg2Payer1,1,)</f>
        <v>0</v>
      </c>
      <c r="H1075" s="511">
        <f>(calcReg1Seg2SampleAllocR1/obalReg1Seg2SampleAlloc-1)*INDEX(datatblReg1Seg2Payer1,1,)</f>
        <v>0</v>
      </c>
      <c r="I1075" s="511">
        <f>(calcReg1Seg2SampleAllocR1/obalReg1Seg2SampleAlloc-1)*INDEX(datatblReg1Seg2Payer1,1,)</f>
        <v>0</v>
      </c>
      <c r="J1075" t="s">
        <v>3315</v>
      </c>
    </row>
    <row r="1076" spans="3:10">
      <c r="C1076" t="s">
        <v>517</v>
      </c>
      <c r="E1076" s="511">
        <f>(calcReg1Seg2SpeakerAllocR1/obalReg1Seg2SpeakerAlloc-1)*INDEX(datatblReg1Seg2Payer1,2,)*(calcReg1Seg2Payer1TierImpactR1)</f>
        <v>0</v>
      </c>
      <c r="F1076" s="511">
        <f>(calcReg1Seg2SpeakerAllocR1/obalReg1Seg2SpeakerAlloc-1)*INDEX(datatblReg1Seg2Payer1,2,)</f>
        <v>0</v>
      </c>
      <c r="G1076" s="511">
        <f>(calcReg1Seg2SpeakerAllocR1/obalReg1Seg2SpeakerAlloc-1)*INDEX(datatblReg1Seg2Payer1,2,)</f>
        <v>0</v>
      </c>
      <c r="H1076" s="511">
        <f>(calcReg1Seg2SpeakerAllocR1/obalReg1Seg2SpeakerAlloc-1)*INDEX(datatblReg1Seg2Payer1,2,)</f>
        <v>0</v>
      </c>
      <c r="I1076" s="511">
        <f>(calcReg1Seg2SpeakerAllocR1/obalReg1Seg2SpeakerAlloc-1)*INDEX(datatblReg1Seg2Payer1,2,)</f>
        <v>0</v>
      </c>
      <c r="J1076" t="s">
        <v>3316</v>
      </c>
    </row>
    <row r="1077" spans="3:10">
      <c r="C1077" t="s">
        <v>2333</v>
      </c>
      <c r="E1077" s="511">
        <f>(calcReg1Seg2PromotionAllocR1/obalReg1Seg2PromotionAlloc-1)*INDEX(datatblReg1Seg2Payer1,3,)*calcReg1Seg2Payer1TierImpactR1</f>
        <v>0</v>
      </c>
      <c r="F1077" s="511">
        <f>(calcReg1Seg2PromotionAllocR1/obalReg1Seg2PromotionAlloc-1)*INDEX(datatblReg1Seg2Payer1,3,)</f>
        <v>0</v>
      </c>
      <c r="G1077" s="511">
        <f>(calcReg1Seg2PromotionAllocR1/obalReg1Seg2PromotionAlloc-1)*INDEX(datatblReg1Seg2Payer1,3,)</f>
        <v>0</v>
      </c>
      <c r="H1077" s="511">
        <f>(calcReg1Seg2PromotionAllocR1/obalReg1Seg2PromotionAlloc-1)*INDEX(datatblReg1Seg2Payer1,3,)</f>
        <v>0</v>
      </c>
      <c r="I1077" s="511">
        <f>(calcReg1Seg2PromotionAllocR1/obalReg1Seg2PromotionAlloc-1)*INDEX(datatblReg1Seg2Payer1,3,)</f>
        <v>0</v>
      </c>
      <c r="J1077" t="s">
        <v>3317</v>
      </c>
    </row>
    <row r="1078" spans="3:10">
      <c r="C1078" t="s">
        <v>2646</v>
      </c>
      <c r="E1078" s="511">
        <f>(calcReg1Seg2Rep1Payer1ImpactR1)*calcReg1Seg2Payer1TierImpactR1</f>
        <v>-2.1999999999999998E-4</v>
      </c>
      <c r="F1078" s="511">
        <f>(calcReg1Seg2Rep1Payer1ImpactR1)*calcReg1Seg2Payer1TierImpactR1</f>
        <v>-2.1999999999999998E-4</v>
      </c>
      <c r="G1078" s="511">
        <f>(calcReg1Seg2Rep1Payer1ImpactR1)*calcReg1Seg2Payer1TierImpactR1</f>
        <v>-2.1999999999999998E-4</v>
      </c>
      <c r="H1078" s="511">
        <f>(calcReg1Seg2Rep1Payer1ImpactR1)*calcReg1Seg2Payer1TierImpactR1</f>
        <v>-2.1999999999999998E-4</v>
      </c>
      <c r="I1078" s="511">
        <f>(calcReg1Seg2Rep1Payer1ImpactR1)*calcReg1Seg2Payer1TierImpactR1</f>
        <v>-2.1999999999999998E-4</v>
      </c>
      <c r="J1078" t="s">
        <v>3318</v>
      </c>
    </row>
    <row r="1079" spans="3:10" s="4" customFormat="1">
      <c r="C1079" s="4" t="s">
        <v>1489</v>
      </c>
      <c r="E1079" s="500">
        <f>SUM(E1074:E1078)</f>
        <v>4.1800000000000006E-3</v>
      </c>
      <c r="F1079" s="500">
        <f t="shared" ref="F1079:I1079" si="53">SUM(F1074:F1078)</f>
        <v>4.1800000000000006E-3</v>
      </c>
      <c r="G1079" s="500">
        <f t="shared" si="53"/>
        <v>4.1800000000000006E-3</v>
      </c>
      <c r="H1079" s="500">
        <f t="shared" si="53"/>
        <v>4.1800000000000006E-3</v>
      </c>
      <c r="I1079" s="500">
        <f t="shared" si="53"/>
        <v>4.1800000000000006E-3</v>
      </c>
      <c r="J1079" s="4" t="s">
        <v>1751</v>
      </c>
    </row>
    <row r="1080" spans="3:10">
      <c r="C1080" t="s">
        <v>1490</v>
      </c>
      <c r="E1080" s="380">
        <f>MAX(calcReg1Seg2Payer1MarketRecurCustR1*calcReg1Seg2Payer1ShareRecurCustR1,0)</f>
        <v>191.70769112000005</v>
      </c>
      <c r="F1080" s="380">
        <f>MAX(calcReg1Seg2Payer1MarketRecurCustR1*calcReg1Seg2Payer1ShareRecurCustR1,0)</f>
        <v>191.70769112000005</v>
      </c>
      <c r="G1080" s="380">
        <f>MAX(calcReg1Seg2Payer1MarketRecurCustR1*calcReg1Seg2Payer1ShareRecurCustR1,0)</f>
        <v>191.70769112000005</v>
      </c>
      <c r="H1080" s="380">
        <f>MAX(calcReg1Seg2Payer1MarketRecurCustR1*calcReg1Seg2Payer1ShareRecurCustR1,0)</f>
        <v>191.70769112000005</v>
      </c>
      <c r="I1080" s="380">
        <f>MAX(calcReg1Seg2Payer1MarketRecurCustR1*calcReg1Seg2Payer1ShareRecurCustR1,0)</f>
        <v>191.70769112000005</v>
      </c>
      <c r="J1080" t="s">
        <v>1752</v>
      </c>
    </row>
    <row r="1082" spans="3:10">
      <c r="C1082" t="s">
        <v>804</v>
      </c>
      <c r="E1082" s="380">
        <f>INDEX(dataReg1Seg2Payer1NewVolume,,3)</f>
        <v>4261.6140000000005</v>
      </c>
      <c r="F1082" s="380">
        <f>INDEX(dataReg1Seg2Payer1NewVolume,,3)</f>
        <v>4261.6140000000005</v>
      </c>
      <c r="G1082" s="380">
        <f>INDEX(dataReg1Seg2Payer1NewVolume,,3)</f>
        <v>4261.6140000000005</v>
      </c>
      <c r="H1082" s="380">
        <f>INDEX(dataReg1Seg2Payer1NewVolume,,3)</f>
        <v>4261.6140000000005</v>
      </c>
      <c r="I1082" s="380">
        <f>INDEX(dataReg1Seg2Payer1NewVolume,,3)</f>
        <v>4261.6140000000005</v>
      </c>
      <c r="J1082" t="s">
        <v>1753</v>
      </c>
    </row>
    <row r="1084" spans="3:10">
      <c r="C1084" t="s">
        <v>1486</v>
      </c>
      <c r="E1084" s="465">
        <f>obalReg1Seg2Payer1Share</f>
        <v>4.4000000000000003E-3</v>
      </c>
      <c r="F1084" s="465">
        <f>obalReg1Seg2Payer1Share</f>
        <v>4.4000000000000003E-3</v>
      </c>
      <c r="G1084" s="465">
        <f>obalReg1Seg2Payer1Share</f>
        <v>4.4000000000000003E-3</v>
      </c>
      <c r="H1084" s="465">
        <f>obalReg1Seg2Payer1Share</f>
        <v>4.4000000000000003E-3</v>
      </c>
      <c r="I1084" s="465">
        <f>obalReg1Seg2Payer1Share</f>
        <v>4.4000000000000003E-3</v>
      </c>
    </row>
    <row r="1085" spans="3:10">
      <c r="C1085" t="s">
        <v>516</v>
      </c>
      <c r="E1085" s="511">
        <f>(calcReg1Seg2SampleAllocR1/obalReg1Seg2SampleAlloc-1)*INDEX(datatblReg1Seg2Payer1,1,)*calcReg1Seg2Payer1TierImpactR1</f>
        <v>0</v>
      </c>
      <c r="F1085" s="511">
        <f>(calcReg1Seg2SampleAllocR1/obalReg1Seg2SampleAlloc-1)*INDEX(datatblReg1Seg2Payer1,1,)</f>
        <v>0</v>
      </c>
      <c r="G1085" s="511">
        <f>(calcReg1Seg2SampleAllocR1/obalReg1Seg2SampleAlloc-1)*INDEX(datatblReg1Seg2Payer1,1,)</f>
        <v>0</v>
      </c>
      <c r="H1085" s="511">
        <f>(calcReg1Seg2SampleAllocR1/obalReg1Seg2SampleAlloc-1)*INDEX(datatblReg1Seg2Payer1,1,)</f>
        <v>0</v>
      </c>
      <c r="I1085" s="511">
        <f>(calcReg1Seg2SampleAllocR1/obalReg1Seg2SampleAlloc-1)*INDEX(datatblReg1Seg2Payer1,1,)</f>
        <v>0</v>
      </c>
      <c r="J1085" t="s">
        <v>3319</v>
      </c>
    </row>
    <row r="1086" spans="3:10">
      <c r="C1086" t="s">
        <v>517</v>
      </c>
      <c r="E1086" s="511">
        <f>(calcReg1Seg2SpeakerAllocR1/obalReg1Seg2SpeakerAlloc-1)*INDEX(datatblReg1Seg2Payer1,2,)*(calcReg1Seg2Payer1TierImpactR1)</f>
        <v>0</v>
      </c>
      <c r="F1086" s="511">
        <f>(calcReg1Seg2SpeakerAllocR1/obalReg1Seg2SpeakerAlloc-1)*INDEX(datatblReg1Seg2Payer1,2,)</f>
        <v>0</v>
      </c>
      <c r="G1086" s="511">
        <f>(calcReg1Seg2SpeakerAllocR1/obalReg1Seg2SpeakerAlloc-1)*INDEX(datatblReg1Seg2Payer1,2,)</f>
        <v>0</v>
      </c>
      <c r="H1086" s="511">
        <f>(calcReg1Seg2SpeakerAllocR1/obalReg1Seg2SpeakerAlloc-1)*INDEX(datatblReg1Seg2Payer1,2,)</f>
        <v>0</v>
      </c>
      <c r="I1086" s="511">
        <f>(calcReg1Seg2SpeakerAllocR1/obalReg1Seg2SpeakerAlloc-1)*INDEX(datatblReg1Seg2Payer1,2,)</f>
        <v>0</v>
      </c>
      <c r="J1086" t="s">
        <v>3320</v>
      </c>
    </row>
    <row r="1087" spans="3:10">
      <c r="C1087" t="s">
        <v>2333</v>
      </c>
      <c r="E1087" s="511">
        <f>(calcReg1Seg2PromotionAllocR1/obalReg1Seg2PromotionAlloc-1)*INDEX(datatblReg1Seg2Payer1,3,)*calcReg1Seg2Payer1TierImpactR1</f>
        <v>0</v>
      </c>
      <c r="F1087" s="511">
        <f>(calcReg1Seg2PromotionAllocR1/obalReg1Seg2PromotionAlloc-1)*INDEX(datatblReg1Seg2Payer1,3,)</f>
        <v>0</v>
      </c>
      <c r="G1087" s="511">
        <f>(calcReg1Seg2PromotionAllocR1/obalReg1Seg2PromotionAlloc-1)*INDEX(datatblReg1Seg2Payer1,3,)</f>
        <v>0</v>
      </c>
      <c r="H1087" s="511">
        <f>(calcReg1Seg2PromotionAllocR1/obalReg1Seg2PromotionAlloc-1)*INDEX(datatblReg1Seg2Payer1,3,)</f>
        <v>0</v>
      </c>
      <c r="I1087" s="511">
        <f>(calcReg1Seg2PromotionAllocR1/obalReg1Seg2PromotionAlloc-1)*INDEX(datatblReg1Seg2Payer1,3,)</f>
        <v>0</v>
      </c>
      <c r="J1087" t="s">
        <v>3321</v>
      </c>
    </row>
    <row r="1088" spans="3:10">
      <c r="C1088" t="s">
        <v>2646</v>
      </c>
      <c r="E1088" s="511">
        <f>(calcReg1Seg2Rep1Payer1ImpactR1)*calcReg1Seg2Payer1TierImpactR1</f>
        <v>-2.1999999999999998E-4</v>
      </c>
      <c r="F1088" s="511">
        <f>(calcReg1Seg2Rep1Payer1ImpactR1)*calcReg1Seg2Payer1TierImpactR1</f>
        <v>-2.1999999999999998E-4</v>
      </c>
      <c r="G1088" s="511">
        <f>(calcReg1Seg2Rep1Payer1ImpactR1)*calcReg1Seg2Payer1TierImpactR1</f>
        <v>-2.1999999999999998E-4</v>
      </c>
      <c r="H1088" s="511">
        <f>(calcReg1Seg2Rep1Payer1ImpactR1)*calcReg1Seg2Payer1TierImpactR1</f>
        <v>-2.1999999999999998E-4</v>
      </c>
      <c r="I1088" s="511">
        <f>(calcReg1Seg2Rep1Payer1ImpactR1)*calcReg1Seg2Payer1TierImpactR1</f>
        <v>-2.1999999999999998E-4</v>
      </c>
      <c r="J1088" t="s">
        <v>3322</v>
      </c>
    </row>
    <row r="1089" spans="1:10">
      <c r="C1089" t="s">
        <v>2905</v>
      </c>
    </row>
    <row r="1090" spans="1:10" s="4" customFormat="1">
      <c r="C1090" s="4" t="s">
        <v>1534</v>
      </c>
      <c r="E1090" s="500">
        <f>SUM(E1084:E1089)</f>
        <v>4.1800000000000006E-3</v>
      </c>
      <c r="F1090" s="500">
        <f>SUM(F1084:F1089)</f>
        <v>4.1800000000000006E-3</v>
      </c>
      <c r="G1090" s="500">
        <f>SUM(G1084:G1089)</f>
        <v>4.1800000000000006E-3</v>
      </c>
      <c r="H1090" s="500">
        <f>SUM(H1084:H1089)</f>
        <v>4.1800000000000006E-3</v>
      </c>
      <c r="I1090" s="500">
        <f>SUM(I1084:I1089)</f>
        <v>4.1800000000000006E-3</v>
      </c>
      <c r="J1090" s="4" t="s">
        <v>1754</v>
      </c>
    </row>
    <row r="1091" spans="1:10">
      <c r="C1091" t="s">
        <v>1490</v>
      </c>
      <c r="E1091" s="380">
        <f>MAX(calcReg1Seg2Payer1MarketGrowthCustR1*calcReg1Seg2Payer1ShareNewCustR1,0)</f>
        <v>17.813546520000003</v>
      </c>
      <c r="F1091" s="380">
        <f>MAX(calcReg1Seg2Payer1MarketGrowthCustR1*calcReg1Seg2Payer1ShareNewCustR1,0)</f>
        <v>17.813546520000003</v>
      </c>
      <c r="G1091" s="380">
        <f>MAX(calcReg1Seg2Payer1MarketGrowthCustR1*calcReg1Seg2Payer1ShareNewCustR1,0)</f>
        <v>17.813546520000003</v>
      </c>
      <c r="H1091" s="380">
        <f>MAX(calcReg1Seg2Payer1MarketGrowthCustR1*calcReg1Seg2Payer1ShareNewCustR1,0)</f>
        <v>17.813546520000003</v>
      </c>
      <c r="I1091" s="380">
        <f>MAX(calcReg1Seg2Payer1MarketGrowthCustR1*calcReg1Seg2Payer1ShareNewCustR1,0)</f>
        <v>17.813546520000003</v>
      </c>
      <c r="J1091" s="4" t="s">
        <v>1755</v>
      </c>
    </row>
    <row r="1093" spans="1:10">
      <c r="C1093" t="s">
        <v>1537</v>
      </c>
      <c r="E1093" s="380">
        <f>calcReg1Seg2Payer1MarketRecurCustR1+calcReg1Seg2Payer1MarketGrowthCustR1</f>
        <v>50124.698000000004</v>
      </c>
      <c r="F1093" s="380">
        <f>calcReg1Seg2Payer1MarketRecurCustR1+calcReg1Seg2Payer1MarketGrowthCustR1</f>
        <v>50124.698000000004</v>
      </c>
      <c r="G1093" s="380">
        <f>calcReg1Seg2Payer1MarketRecurCustR1+calcReg1Seg2Payer1MarketGrowthCustR1</f>
        <v>50124.698000000004</v>
      </c>
      <c r="H1093" s="380">
        <f>calcReg1Seg2Payer1MarketRecurCustR1+calcReg1Seg2Payer1MarketGrowthCustR1</f>
        <v>50124.698000000004</v>
      </c>
      <c r="I1093" s="380">
        <f>calcReg1Seg2Payer1MarketRecurCustR1+calcReg1Seg2Payer1MarketGrowthCustR1</f>
        <v>50124.698000000004</v>
      </c>
      <c r="J1093" t="s">
        <v>1756</v>
      </c>
    </row>
    <row r="1094" spans="1:10">
      <c r="C1094" t="s">
        <v>1539</v>
      </c>
      <c r="E1094" s="380">
        <f>calcReg1Seg2Payer1VolumeRecurCustR1+calcReg1Seg2Payer1VolumeNewCustR1</f>
        <v>209.52123764000004</v>
      </c>
      <c r="F1094" s="380">
        <f>calcReg1Seg2Payer1VolumeRecurCustR1+calcReg1Seg2Payer1VolumeNewCustR1</f>
        <v>209.52123764000004</v>
      </c>
      <c r="G1094" s="380">
        <f>calcReg1Seg2Payer1VolumeRecurCustR1+calcReg1Seg2Payer1VolumeNewCustR1</f>
        <v>209.52123764000004</v>
      </c>
      <c r="H1094" s="380">
        <f>calcReg1Seg2Payer1VolumeRecurCustR1+calcReg1Seg2Payer1VolumeNewCustR1</f>
        <v>209.52123764000004</v>
      </c>
      <c r="I1094" s="380">
        <f>calcReg1Seg2Payer1VolumeRecurCustR1+calcReg1Seg2Payer1VolumeNewCustR1</f>
        <v>209.52123764000004</v>
      </c>
      <c r="J1094" t="s">
        <v>1757</v>
      </c>
    </row>
    <row r="1095" spans="1:10" s="4" customFormat="1">
      <c r="C1095" s="4" t="s">
        <v>841</v>
      </c>
      <c r="E1095" s="500">
        <f>calcReg1Seg2Payer1VolumeR1/calcReg1Seg2Payer1TotalVolumeR1</f>
        <v>4.1800000000000006E-3</v>
      </c>
      <c r="F1095" s="500">
        <f>calcReg1Seg2Payer1VolumeR1/calcReg1Seg2Payer1TotalVolumeR1</f>
        <v>4.1800000000000006E-3</v>
      </c>
      <c r="G1095" s="500">
        <f>calcReg1Seg2Payer1VolumeR1/calcReg1Seg2Payer1TotalVolumeR1</f>
        <v>4.1800000000000006E-3</v>
      </c>
      <c r="H1095" s="500">
        <f>calcReg1Seg2Payer1VolumeR1/calcReg1Seg2Payer1TotalVolumeR1</f>
        <v>4.1800000000000006E-3</v>
      </c>
      <c r="I1095" s="500">
        <f>calcReg1Seg2Payer1VolumeR1/calcReg1Seg2Payer1TotalVolumeR1</f>
        <v>4.1800000000000006E-3</v>
      </c>
      <c r="J1095" s="4" t="s">
        <v>1758</v>
      </c>
    </row>
    <row r="1097" spans="1:10">
      <c r="A1097" s="16" t="s">
        <v>1551</v>
      </c>
      <c r="C1097" t="s">
        <v>803</v>
      </c>
      <c r="E1097" s="380">
        <f>INDEX(dataReg1Seg2Payer1TotalVolume,,4)</f>
        <v>51825.284920000006</v>
      </c>
      <c r="F1097" s="380">
        <f>INDEX(dataReg1Seg2Payer1TotalVolume,,4)</f>
        <v>51825.284920000006</v>
      </c>
      <c r="G1097" s="380">
        <f>INDEX(dataReg1Seg2Payer1TotalVolume,,4)</f>
        <v>51825.284920000006</v>
      </c>
      <c r="H1097" s="380">
        <f>INDEX(dataReg1Seg2Payer1TotalVolume,,4)</f>
        <v>51825.284920000006</v>
      </c>
      <c r="I1097" s="380">
        <f>INDEX(dataReg1Seg2Payer1TotalVolume,,4)</f>
        <v>51825.284920000006</v>
      </c>
      <c r="J1097" t="s">
        <v>1759</v>
      </c>
    </row>
    <row r="1098" spans="1:10">
      <c r="C1098" t="s">
        <v>3253</v>
      </c>
      <c r="E1098" t="str">
        <f>cbalReg1Payer1Status</f>
        <v>T3 DSE</v>
      </c>
      <c r="F1098" t="str">
        <f>cbalReg1Payer1Status</f>
        <v>T3 DSE</v>
      </c>
      <c r="G1098" t="str">
        <f>cbalReg1Payer1Status</f>
        <v>T3 DSE</v>
      </c>
      <c r="H1098" t="str">
        <f>cbalReg1Payer1Status</f>
        <v>T3 DSE</v>
      </c>
      <c r="I1098" t="str">
        <f>cbalReg1Payer1Status</f>
        <v>T3 DSE</v>
      </c>
    </row>
    <row r="1099" spans="1:10">
      <c r="C1099" t="s">
        <v>2887</v>
      </c>
      <c r="E1099">
        <f>INDEX(dataTierVolumeImpact,MATCH(E1098,MarketData!$K$12:$K$17,0),)</f>
        <v>0.88</v>
      </c>
      <c r="F1099">
        <f>INDEX(dataTierVolumeImpact,MATCH(F1098,MarketData!$K$12:$K$17,0),)</f>
        <v>0.88</v>
      </c>
      <c r="G1099">
        <f>INDEX(dataTierVolumeImpact,MATCH(G1098,MarketData!$K$12:$K$17,0),)</f>
        <v>0.88</v>
      </c>
      <c r="H1099">
        <f>INDEX(dataTierVolumeImpact,MATCH(H1098,MarketData!$K$12:$K$17,0),)</f>
        <v>0.88</v>
      </c>
      <c r="I1099">
        <f>INDEX(dataTierVolumeImpact,MATCH(I1098,MarketData!$K$12:$K$17,0),)</f>
        <v>0.88</v>
      </c>
      <c r="J1099" t="s">
        <v>3323</v>
      </c>
    </row>
    <row r="1100" spans="1:10">
      <c r="C1100" t="s">
        <v>1487</v>
      </c>
      <c r="E1100" s="465">
        <f>calcReg1Seg2Payer1ShareTotalCustR1</f>
        <v>4.1800000000000006E-3</v>
      </c>
      <c r="F1100" s="465">
        <f>calcReg1Seg2Payer1ShareTotalCustR1</f>
        <v>4.1800000000000006E-3</v>
      </c>
      <c r="G1100" s="465">
        <f>calcReg1Seg2Payer1ShareTotalCustR1</f>
        <v>4.1800000000000006E-3</v>
      </c>
      <c r="H1100" s="465">
        <f>calcReg1Seg2Payer1ShareTotalCustR1</f>
        <v>4.1800000000000006E-3</v>
      </c>
      <c r="I1100" s="465">
        <f>calcReg1Seg2Payer1ShareTotalCustR1</f>
        <v>4.1800000000000006E-3</v>
      </c>
    </row>
    <row r="1101" spans="1:10">
      <c r="C1101" t="s">
        <v>516</v>
      </c>
      <c r="E1101" s="511">
        <f>(calcReg1Seg2SampleAllocR2/calcReg1Seg2SampleAllocR1-1)*INDEX(datatblReg1Seg2Payer1,1,)*calcReg1Seg2Payer1TierImpactR2</f>
        <v>0</v>
      </c>
      <c r="F1101" s="511">
        <f>(calcReg1Seg2SampleAllocR2/calcReg1Seg2SampleAllocR1-1)*INDEX(datatblReg1Seg2Payer1,1,)*calcReg1Seg2Payer1TierImpactR2</f>
        <v>0</v>
      </c>
      <c r="G1101" s="511">
        <f>(calcReg1Seg2SampleAllocR2/calcReg1Seg2SampleAllocR1-1)*INDEX(datatblReg1Seg2Payer1,1,)*calcReg1Seg2Payer1TierImpactR2</f>
        <v>0</v>
      </c>
      <c r="H1101" s="511">
        <f>(calcReg1Seg2SampleAllocR2/calcReg1Seg2SampleAllocR1-1)*INDEX(datatblReg1Seg2Payer1,1,)*calcReg1Seg2Payer1TierImpactR2</f>
        <v>0</v>
      </c>
      <c r="I1101" s="511">
        <f>(calcReg1Seg2SampleAllocR2/calcReg1Seg2SampleAllocR1-1)*INDEX(datatblReg1Seg2Payer1,1,)*calcReg1Seg2Payer1TierImpactR2</f>
        <v>0</v>
      </c>
      <c r="J1101" t="s">
        <v>3115</v>
      </c>
    </row>
    <row r="1102" spans="1:10">
      <c r="C1102" t="s">
        <v>517</v>
      </c>
      <c r="E1102" s="511">
        <f>(calcReg1Seg2SpeakerAllocR2/calcReg1Seg2SpeakerAllocR1-1)*INDEX(datatblReg1Seg2Payer1,2,)*calcReg1Seg2Payer1TierImpactR2</f>
        <v>-4.400000000000004E-5</v>
      </c>
      <c r="F1102" s="511">
        <f>(calcReg1Seg2SpeakerAllocR2/calcReg1Seg2SpeakerAllocR1-1)*INDEX(datatblReg1Seg2Payer1,2,)*calcReg1Seg2Payer1TierImpactR2</f>
        <v>-4.400000000000004E-5</v>
      </c>
      <c r="G1102" s="511">
        <f>(calcReg1Seg2SpeakerAllocR2/calcReg1Seg2SpeakerAllocR1-1)*INDEX(datatblReg1Seg2Payer1,2,)*calcReg1Seg2Payer1TierImpactR2</f>
        <v>-4.400000000000004E-5</v>
      </c>
      <c r="H1102" s="511">
        <f>(calcReg1Seg2SpeakerAllocR2/calcReg1Seg2SpeakerAllocR1-1)*INDEX(datatblReg1Seg2Payer1,2,)*calcReg1Seg2Payer1TierImpactR2</f>
        <v>-4.400000000000004E-5</v>
      </c>
      <c r="I1102" s="511">
        <f>(calcReg1Seg2SpeakerAllocR2/calcReg1Seg2SpeakerAllocR1-1)*INDEX(datatblReg1Seg2Payer1,2,)*calcReg1Seg2Payer1TierImpactR2</f>
        <v>-4.400000000000004E-5</v>
      </c>
      <c r="J1102" t="s">
        <v>3116</v>
      </c>
    </row>
    <row r="1103" spans="1:10">
      <c r="C1103" t="s">
        <v>2333</v>
      </c>
      <c r="E1103" s="511">
        <f>(calcReg1Seg2PromotionAllocR2/calcReg1Seg2PromotionAllocR1-1)*INDEX(datatblReg1Seg2Payer1,3,)*calcReg1Seg2Payer1TierImpactR2</f>
        <v>-6.6000000000000073E-5</v>
      </c>
      <c r="F1103" s="511">
        <f>(calcReg1Seg2PromotionAllocR2/calcReg1Seg2PromotionAllocR1-1)*INDEX(datatblReg1Seg2Payer1,3,)*calcReg1Seg2Payer1TierImpactR2</f>
        <v>-6.6000000000000073E-5</v>
      </c>
      <c r="G1103" s="511">
        <f>(calcReg1Seg2PromotionAllocR2/calcReg1Seg2PromotionAllocR1-1)*INDEX(datatblReg1Seg2Payer1,3,)*calcReg1Seg2Payer1TierImpactR2</f>
        <v>-6.6000000000000073E-5</v>
      </c>
      <c r="H1103" s="511">
        <f>(calcReg1Seg2PromotionAllocR2/calcReg1Seg2PromotionAllocR1-1)*INDEX(datatblReg1Seg2Payer1,3,)*calcReg1Seg2Payer1TierImpactR2</f>
        <v>-6.6000000000000073E-5</v>
      </c>
      <c r="I1103" s="511">
        <f>(calcReg1Seg2PromotionAllocR2/calcReg1Seg2PromotionAllocR1-1)*INDEX(datatblReg1Seg2Payer1,3,)*calcReg1Seg2Payer1TierImpactR2</f>
        <v>-6.6000000000000073E-5</v>
      </c>
      <c r="J1103" t="s">
        <v>3117</v>
      </c>
    </row>
    <row r="1104" spans="1:10">
      <c r="C1104" t="s">
        <v>2646</v>
      </c>
      <c r="E1104" s="511">
        <f>(calcReg1Seg2Rep1Payer1ImpactR2)*calcReg1Seg2Payer1TierImpactR2</f>
        <v>-1.7599999999999997E-4</v>
      </c>
      <c r="F1104" s="511">
        <f>(calcReg1Seg2Rep1Payer1ImpactR2)*calcReg1Seg2Payer1TierImpactR2</f>
        <v>-1.7599999999999997E-4</v>
      </c>
      <c r="G1104" s="511">
        <f>(calcReg1Seg2Rep1Payer1ImpactR2)*calcReg1Seg2Payer1TierImpactR2</f>
        <v>-1.7599999999999997E-4</v>
      </c>
      <c r="H1104" s="511">
        <f>(calcReg1Seg2Rep1Payer1ImpactR2)*calcReg1Seg2Payer1TierImpactR2</f>
        <v>-1.7599999999999997E-4</v>
      </c>
      <c r="I1104" s="511">
        <f>(calcReg1Seg2Rep1Payer1ImpactR2)*calcReg1Seg2Payer1TierImpactR2</f>
        <v>-1.7599999999999997E-4</v>
      </c>
      <c r="J1104" t="s">
        <v>3118</v>
      </c>
    </row>
    <row r="1106" spans="3:10" s="4" customFormat="1">
      <c r="C1106" s="4" t="s">
        <v>1489</v>
      </c>
      <c r="E1106" s="500">
        <f>SUM(E1100:E1105)</f>
        <v>3.8940000000000008E-3</v>
      </c>
      <c r="F1106" s="500">
        <f>SUM(F1100:F1105)</f>
        <v>3.8940000000000008E-3</v>
      </c>
      <c r="G1106" s="500">
        <f>SUM(G1100:G1105)</f>
        <v>3.8940000000000008E-3</v>
      </c>
      <c r="H1106" s="500">
        <f>SUM(H1100:H1105)</f>
        <v>3.8940000000000008E-3</v>
      </c>
      <c r="I1106" s="500">
        <f>SUM(I1100:I1105)</f>
        <v>3.8940000000000008E-3</v>
      </c>
      <c r="J1106" s="4" t="s">
        <v>1760</v>
      </c>
    </row>
    <row r="1107" spans="3:10">
      <c r="C1107" t="s">
        <v>1490</v>
      </c>
      <c r="E1107" s="380">
        <f>MAX(calcReg1Seg2Payer1MarketRecurCustR2*calcReg1Seg2Payer1ShareRecurCustR2,0)</f>
        <v>201.80765947848005</v>
      </c>
      <c r="F1107" s="380">
        <f>MAX(calcReg1Seg2Payer1MarketRecurCustR2*calcReg1Seg2Payer1ShareRecurCustR2,0)</f>
        <v>201.80765947848005</v>
      </c>
      <c r="G1107" s="380">
        <f>MAX(calcReg1Seg2Payer1MarketRecurCustR2*calcReg1Seg2Payer1ShareRecurCustR2,0)</f>
        <v>201.80765947848005</v>
      </c>
      <c r="H1107" s="380">
        <f>MAX(calcReg1Seg2Payer1MarketRecurCustR2*calcReg1Seg2Payer1ShareRecurCustR2,0)</f>
        <v>201.80765947848005</v>
      </c>
      <c r="I1107" s="380">
        <f>MAX(calcReg1Seg2Payer1MarketRecurCustR2*calcReg1Seg2Payer1ShareRecurCustR2,0)</f>
        <v>201.80765947848005</v>
      </c>
      <c r="J1107" t="s">
        <v>1761</v>
      </c>
    </row>
    <row r="1109" spans="3:10">
      <c r="C1109" t="s">
        <v>804</v>
      </c>
      <c r="E1109" s="380">
        <f>INDEX(dataReg1Seg2Payer1NewVolume,,4)</f>
        <v>4815.6238200000007</v>
      </c>
      <c r="F1109" s="380">
        <f>INDEX(dataReg1Seg2Payer1NewVolume,,4)</f>
        <v>4815.6238200000007</v>
      </c>
      <c r="G1109" s="380">
        <f>INDEX(dataReg1Seg2Payer1NewVolume,,4)</f>
        <v>4815.6238200000007</v>
      </c>
      <c r="H1109" s="380">
        <f>INDEX(dataReg1Seg2Payer1NewVolume,,4)</f>
        <v>4815.6238200000007</v>
      </c>
      <c r="I1109" s="380">
        <f>INDEX(dataReg1Seg2Payer1NewVolume,,4)</f>
        <v>4815.6238200000007</v>
      </c>
      <c r="J1109" t="s">
        <v>1762</v>
      </c>
    </row>
    <row r="1111" spans="3:10">
      <c r="C1111" t="s">
        <v>1486</v>
      </c>
      <c r="E1111" s="465">
        <f>calcReg1Seg2Payer1ShareNewCustR1</f>
        <v>4.1800000000000006E-3</v>
      </c>
      <c r="F1111" s="465">
        <f>calcReg1Seg2Payer1ShareNewCustR1</f>
        <v>4.1800000000000006E-3</v>
      </c>
      <c r="G1111" s="465">
        <f>calcReg1Seg2Payer1ShareNewCustR1</f>
        <v>4.1800000000000006E-3</v>
      </c>
      <c r="H1111" s="465">
        <f>calcReg1Seg2Payer1ShareNewCustR1</f>
        <v>4.1800000000000006E-3</v>
      </c>
      <c r="I1111" s="465">
        <f>calcReg1Seg2Payer1ShareNewCustR1</f>
        <v>4.1800000000000006E-3</v>
      </c>
    </row>
    <row r="1112" spans="3:10">
      <c r="C1112" t="s">
        <v>516</v>
      </c>
      <c r="E1112" s="511">
        <f>(calcReg1Seg2SampleAllocR2/calcReg1Seg2SampleAllocR1-1)*INDEX(datatblReg1Seg2Payer1,1,)*calcReg1Seg2Payer1TierImpactR2</f>
        <v>0</v>
      </c>
      <c r="F1112" s="511">
        <f>(calcReg1Seg2SampleAllocR2/calcReg1Seg2SampleAllocR1-1)*INDEX(datatblReg1Seg2Payer1,1,)*calcReg1Seg2Payer1TierImpactR2</f>
        <v>0</v>
      </c>
      <c r="G1112" s="511">
        <f>(calcReg1Seg2SampleAllocR2/calcReg1Seg2SampleAllocR1-1)*INDEX(datatblReg1Seg2Payer1,1,)*calcReg1Seg2Payer1TierImpactR2</f>
        <v>0</v>
      </c>
      <c r="H1112" s="511">
        <f>(calcReg1Seg2SampleAllocR2/calcReg1Seg2SampleAllocR1-1)*INDEX(datatblReg1Seg2Payer1,1,)*calcReg1Seg2Payer1TierImpactR2</f>
        <v>0</v>
      </c>
      <c r="I1112" s="511">
        <f>(calcReg1Seg2SampleAllocR2/calcReg1Seg2SampleAllocR1-1)*INDEX(datatblReg1Seg2Payer1,1,)*calcReg1Seg2Payer1TierImpactR2</f>
        <v>0</v>
      </c>
      <c r="J1112" t="s">
        <v>3324</v>
      </c>
    </row>
    <row r="1113" spans="3:10">
      <c r="C1113" t="s">
        <v>517</v>
      </c>
      <c r="E1113" s="511">
        <f>(calcReg1Seg2SpeakerAllocR2/calcReg1Seg2SpeakerAllocR1-1)*INDEX(datatblReg1Seg2Payer1,2,)*calcReg1Seg2Payer1TierImpactR2</f>
        <v>-4.400000000000004E-5</v>
      </c>
      <c r="F1113" s="511">
        <f>(calcReg1Seg2SpeakerAllocR2/calcReg1Seg2SpeakerAllocR1-1)*INDEX(datatblReg1Seg2Payer1,2,)*calcReg1Seg2Payer1TierImpactR2</f>
        <v>-4.400000000000004E-5</v>
      </c>
      <c r="G1113" s="511">
        <f>(calcReg1Seg2SpeakerAllocR2/calcReg1Seg2SpeakerAllocR1-1)*INDEX(datatblReg1Seg2Payer1,2,)*calcReg1Seg2Payer1TierImpactR2</f>
        <v>-4.400000000000004E-5</v>
      </c>
      <c r="H1113" s="511">
        <f>(calcReg1Seg2SpeakerAllocR2/calcReg1Seg2SpeakerAllocR1-1)*INDEX(datatblReg1Seg2Payer1,2,)*calcReg1Seg2Payer1TierImpactR2</f>
        <v>-4.400000000000004E-5</v>
      </c>
      <c r="I1113" s="511">
        <f>(calcReg1Seg2SpeakerAllocR2/calcReg1Seg2SpeakerAllocR1-1)*INDEX(datatblReg1Seg2Payer1,2,)*calcReg1Seg2Payer1TierImpactR2</f>
        <v>-4.400000000000004E-5</v>
      </c>
      <c r="J1113" t="s">
        <v>3325</v>
      </c>
    </row>
    <row r="1114" spans="3:10">
      <c r="C1114" t="s">
        <v>2333</v>
      </c>
      <c r="E1114" s="511">
        <f>(calcReg1Seg2PromotionAllocR2/calcReg1Seg2PromotionAllocR1-1)*INDEX(datatblReg1Seg2Payer1,3,)*calcReg1Seg2Payer1TierImpactR2</f>
        <v>-6.6000000000000073E-5</v>
      </c>
      <c r="F1114" s="511">
        <f>(calcReg1Seg2PromotionAllocR2/calcReg1Seg2PromotionAllocR1-1)*INDEX(datatblReg1Seg2Payer1,3,)*calcReg1Seg2Payer1TierImpactR2</f>
        <v>-6.6000000000000073E-5</v>
      </c>
      <c r="G1114" s="511">
        <f>(calcReg1Seg2PromotionAllocR2/calcReg1Seg2PromotionAllocR1-1)*INDEX(datatblReg1Seg2Payer1,3,)*calcReg1Seg2Payer1TierImpactR2</f>
        <v>-6.6000000000000073E-5</v>
      </c>
      <c r="H1114" s="511">
        <f>(calcReg1Seg2PromotionAllocR2/calcReg1Seg2PromotionAllocR1-1)*INDEX(datatblReg1Seg2Payer1,3,)*calcReg1Seg2Payer1TierImpactR2</f>
        <v>-6.6000000000000073E-5</v>
      </c>
      <c r="I1114" s="511">
        <f>(calcReg1Seg2PromotionAllocR2/calcReg1Seg2PromotionAllocR1-1)*INDEX(datatblReg1Seg2Payer1,3,)*calcReg1Seg2Payer1TierImpactR2</f>
        <v>-6.6000000000000073E-5</v>
      </c>
      <c r="J1114" t="s">
        <v>3326</v>
      </c>
    </row>
    <row r="1115" spans="3:10">
      <c r="C1115" t="s">
        <v>2646</v>
      </c>
      <c r="E1115" s="511">
        <f>(calcReg1Seg2Rep1Payer1ImpactR2)*calcReg1Seg2Payer1TierImpactR2</f>
        <v>-1.7599999999999997E-4</v>
      </c>
      <c r="F1115" s="511">
        <f>(calcReg1Seg2Rep1Payer1ImpactR2)*calcReg1Seg2Payer1TierImpactR2</f>
        <v>-1.7599999999999997E-4</v>
      </c>
      <c r="G1115" s="511">
        <f>(calcReg1Seg2Rep1Payer1ImpactR2)*calcReg1Seg2Payer1TierImpactR2</f>
        <v>-1.7599999999999997E-4</v>
      </c>
      <c r="H1115" s="511">
        <f>(calcReg1Seg2Rep1Payer1ImpactR2)*calcReg1Seg2Payer1TierImpactR2</f>
        <v>-1.7599999999999997E-4</v>
      </c>
      <c r="I1115" s="511">
        <f>(calcReg1Seg2Rep1Payer1ImpactR2)*calcReg1Seg2Payer1TierImpactR2</f>
        <v>-1.7599999999999997E-4</v>
      </c>
      <c r="J1115" t="s">
        <v>3327</v>
      </c>
    </row>
    <row r="1117" spans="3:10" s="4" customFormat="1">
      <c r="C1117" s="4" t="s">
        <v>1534</v>
      </c>
      <c r="E1117" s="500">
        <f>SUM(E1111:E1116)</f>
        <v>3.8940000000000008E-3</v>
      </c>
      <c r="F1117" s="500">
        <f>SUM(F1111:F1116)</f>
        <v>3.8940000000000008E-3</v>
      </c>
      <c r="G1117" s="500">
        <f>SUM(G1111:G1116)</f>
        <v>3.8940000000000008E-3</v>
      </c>
      <c r="H1117" s="500">
        <f>SUM(H1111:H1116)</f>
        <v>3.8940000000000008E-3</v>
      </c>
      <c r="I1117" s="500">
        <f>SUM(I1111:I1116)</f>
        <v>3.8940000000000008E-3</v>
      </c>
      <c r="J1117" s="4" t="s">
        <v>1763</v>
      </c>
    </row>
    <row r="1118" spans="3:10">
      <c r="C1118" t="s">
        <v>1490</v>
      </c>
      <c r="E1118" s="380">
        <f>MAX(calcReg1Seg2Payer1MarketGrowthCustR2*calcReg1Seg2Payer1ShareNewCustR2,0)</f>
        <v>18.752039155080006</v>
      </c>
      <c r="F1118" s="380">
        <f>MAX(calcReg1Seg2Payer1MarketGrowthCustR2*calcReg1Seg2Payer1ShareNewCustR2,0)</f>
        <v>18.752039155080006</v>
      </c>
      <c r="G1118" s="380">
        <f>MAX(calcReg1Seg2Payer1MarketGrowthCustR2*calcReg1Seg2Payer1ShareNewCustR2,0)</f>
        <v>18.752039155080006</v>
      </c>
      <c r="H1118" s="380">
        <f>MAX(calcReg1Seg2Payer1MarketGrowthCustR2*calcReg1Seg2Payer1ShareNewCustR2,0)</f>
        <v>18.752039155080006</v>
      </c>
      <c r="I1118" s="380">
        <f>MAX(calcReg1Seg2Payer1MarketGrowthCustR2*calcReg1Seg2Payer1ShareNewCustR2,0)</f>
        <v>18.752039155080006</v>
      </c>
      <c r="J1118" s="4" t="s">
        <v>1764</v>
      </c>
    </row>
    <row r="1120" spans="3:10">
      <c r="C1120" t="s">
        <v>1537</v>
      </c>
      <c r="E1120" s="380">
        <f>calcReg1Seg2Payer1MarketRecurCustR2+calcReg1Seg2Payer1MarketGrowthCustR2</f>
        <v>56640.908740000006</v>
      </c>
      <c r="F1120" s="380">
        <f>calcReg1Seg2Payer1MarketRecurCustR2+calcReg1Seg2Payer1MarketGrowthCustR2</f>
        <v>56640.908740000006</v>
      </c>
      <c r="G1120" s="380">
        <f>calcReg1Seg2Payer1MarketRecurCustR2+calcReg1Seg2Payer1MarketGrowthCustR2</f>
        <v>56640.908740000006</v>
      </c>
      <c r="H1120" s="380">
        <f>calcReg1Seg2Payer1MarketRecurCustR2+calcReg1Seg2Payer1MarketGrowthCustR2</f>
        <v>56640.908740000006</v>
      </c>
      <c r="I1120" s="380">
        <f>calcReg1Seg2Payer1MarketRecurCustR2+calcReg1Seg2Payer1MarketGrowthCustR2</f>
        <v>56640.908740000006</v>
      </c>
      <c r="J1120" t="s">
        <v>1765</v>
      </c>
    </row>
    <row r="1121" spans="1:10">
      <c r="C1121" t="s">
        <v>1539</v>
      </c>
      <c r="E1121" s="380">
        <f>calcReg1Seg2Payer1VolumeRecurCustR2+calcReg1Seg2Payer1VolumeNewCustR2</f>
        <v>220.55969863356006</v>
      </c>
      <c r="F1121" s="380">
        <f>calcReg1Seg2Payer1VolumeRecurCustR2+calcReg1Seg2Payer1VolumeNewCustR2</f>
        <v>220.55969863356006</v>
      </c>
      <c r="G1121" s="380">
        <f>calcReg1Seg2Payer1VolumeRecurCustR2+calcReg1Seg2Payer1VolumeNewCustR2</f>
        <v>220.55969863356006</v>
      </c>
      <c r="H1121" s="380">
        <f>calcReg1Seg2Payer1VolumeRecurCustR2+calcReg1Seg2Payer1VolumeNewCustR2</f>
        <v>220.55969863356006</v>
      </c>
      <c r="I1121" s="380">
        <f>calcReg1Seg2Payer1VolumeRecurCustR2+calcReg1Seg2Payer1VolumeNewCustR2</f>
        <v>220.55969863356006</v>
      </c>
      <c r="J1121" t="s">
        <v>1766</v>
      </c>
    </row>
    <row r="1122" spans="1:10" s="4" customFormat="1">
      <c r="C1122" s="4" t="s">
        <v>841</v>
      </c>
      <c r="E1122" s="500">
        <f>calcReg1Seg2Payer1VolumeR1/calcReg1Seg2Payer1TotalVolumeR1</f>
        <v>4.1800000000000006E-3</v>
      </c>
      <c r="F1122" s="500">
        <f>calcReg1Seg2Payer1VolumeR1/calcReg1Seg2Payer1TotalVolumeR1</f>
        <v>4.1800000000000006E-3</v>
      </c>
      <c r="G1122" s="500">
        <f>calcReg1Seg2Payer1VolumeR1/calcReg1Seg2Payer1TotalVolumeR1</f>
        <v>4.1800000000000006E-3</v>
      </c>
      <c r="H1122" s="500">
        <f>calcReg1Seg2Payer1VolumeR1/calcReg1Seg2Payer1TotalVolumeR1</f>
        <v>4.1800000000000006E-3</v>
      </c>
      <c r="I1122" s="500">
        <f>calcReg1Seg2Payer1VolumeR1/calcReg1Seg2Payer1TotalVolumeR1</f>
        <v>4.1800000000000006E-3</v>
      </c>
      <c r="J1122" s="4" t="s">
        <v>1767</v>
      </c>
    </row>
    <row r="1124" spans="1:10" s="376" customFormat="1">
      <c r="A1124" s="376" t="str">
        <f>nmPayer2</f>
        <v>WesterAid</v>
      </c>
    </row>
    <row r="1125" spans="1:10">
      <c r="A1125" s="16" t="s">
        <v>1488</v>
      </c>
      <c r="C1125" s="4" t="s">
        <v>803</v>
      </c>
      <c r="E1125" s="380">
        <f>INDEX(dataReg1Seg2Payer2TotalVolume,,3)</f>
        <v>16052.079400000002</v>
      </c>
      <c r="F1125" s="380">
        <f>INDEX(dataReg1Seg2Payer2TotalVolume,,3)</f>
        <v>16052.079400000002</v>
      </c>
      <c r="G1125" s="380">
        <f>INDEX(dataReg1Seg2Payer2TotalVolume,,3)</f>
        <v>16052.079400000002</v>
      </c>
      <c r="H1125" s="380">
        <f>INDEX(dataReg1Seg2Payer2TotalVolume,,3)</f>
        <v>16052.079400000002</v>
      </c>
      <c r="I1125" s="380">
        <f>INDEX(dataReg1Seg2Payer2TotalVolume,,3)</f>
        <v>16052.079400000002</v>
      </c>
      <c r="J1125" t="s">
        <v>1768</v>
      </c>
    </row>
    <row r="1126" spans="1:10">
      <c r="C1126" t="s">
        <v>3253</v>
      </c>
      <c r="E1126" t="str">
        <f>obalReg1Payer2Status</f>
        <v>T1 NR</v>
      </c>
      <c r="F1126" t="str">
        <f>obalReg1Payer2Status</f>
        <v>T1 NR</v>
      </c>
      <c r="G1126" t="str">
        <f>obalReg1Payer2Status</f>
        <v>T1 NR</v>
      </c>
      <c r="H1126" t="str">
        <f>obalReg1Payer2Status</f>
        <v>T1 NR</v>
      </c>
      <c r="I1126" t="str">
        <f>obalReg1Payer2Status</f>
        <v>T1 NR</v>
      </c>
    </row>
    <row r="1127" spans="1:10">
      <c r="C1127" t="s">
        <v>2887</v>
      </c>
      <c r="E1127">
        <f>INDEX(dataTierVolumeImpact,MATCH(E1126,MarketData!$K$12:$K$17,0),)</f>
        <v>1.1499999999999999</v>
      </c>
      <c r="F1127">
        <f>INDEX(dataTierVolumeImpact,MATCH(F1126,MarketData!$K$12:$K$17,0),)</f>
        <v>1.1499999999999999</v>
      </c>
      <c r="G1127">
        <f>INDEX(dataTierVolumeImpact,MATCH(G1126,MarketData!$K$12:$K$17,0),)</f>
        <v>1.1499999999999999</v>
      </c>
      <c r="H1127">
        <f>INDEX(dataTierVolumeImpact,MATCH(H1126,MarketData!$K$12:$K$17,0),)</f>
        <v>1.1499999999999999</v>
      </c>
      <c r="I1127">
        <f>INDEX(dataTierVolumeImpact,MATCH(I1126,MarketData!$K$12:$K$17,0),)</f>
        <v>1.1499999999999999</v>
      </c>
      <c r="J1127" t="s">
        <v>3328</v>
      </c>
    </row>
    <row r="1128" spans="1:10">
      <c r="C1128" t="s">
        <v>1487</v>
      </c>
      <c r="E1128" s="465">
        <f>obalReg1Seg2Payer2Share</f>
        <v>0</v>
      </c>
      <c r="F1128" s="465">
        <f>obalReg1Seg2Payer2Share</f>
        <v>0</v>
      </c>
      <c r="G1128" s="465">
        <f>obalReg1Seg2Payer2Share</f>
        <v>0</v>
      </c>
      <c r="H1128" s="465">
        <f>obalReg1Seg2Payer2Share</f>
        <v>0</v>
      </c>
      <c r="I1128" s="465">
        <f>obalReg1Seg2Payer2Share</f>
        <v>0</v>
      </c>
    </row>
    <row r="1129" spans="1:10">
      <c r="C1129" t="s">
        <v>516</v>
      </c>
      <c r="E1129" s="511">
        <f>(calcReg1Seg2SampleAllocR1/obalReg1Seg2SampleAlloc-1)*INDEX(datatblReg1Seg2Payer2,1,)*calcReg1Seg2Payer2TierImpactR1</f>
        <v>0</v>
      </c>
      <c r="F1129" s="511">
        <f>(calcReg1Seg2SampleAllocR1/obalReg1Seg2SampleAlloc-1)*INDEX(datatblReg1Seg2Payer2,1,)</f>
        <v>0</v>
      </c>
      <c r="G1129" s="511">
        <f>(calcReg1Seg2SampleAllocR1/obalReg1Seg2SampleAlloc-1)*INDEX(datatblReg1Seg2Payer2,1,)</f>
        <v>0</v>
      </c>
      <c r="H1129" s="511">
        <f>(calcReg1Seg2SampleAllocR1/obalReg1Seg2SampleAlloc-1)*INDEX(datatblReg1Seg2Payer2,1,)</f>
        <v>0</v>
      </c>
      <c r="I1129" s="511">
        <f>(calcReg1Seg2SampleAllocR1/obalReg1Seg2SampleAlloc-1)*INDEX(datatblReg1Seg2Payer2,1,)</f>
        <v>0</v>
      </c>
      <c r="J1129" t="s">
        <v>3329</v>
      </c>
    </row>
    <row r="1130" spans="1:10">
      <c r="C1130" t="s">
        <v>517</v>
      </c>
      <c r="E1130" s="511">
        <f>(calcReg1Seg2SpeakerAllocR1/obalReg1Seg2SpeakerAlloc-1)*INDEX(datatblReg1Seg2Payer2,2,)*(calcReg1Seg2Payer2TierImpactR1)</f>
        <v>0</v>
      </c>
      <c r="F1130" s="511">
        <f>(calcReg1Seg2SpeakerAllocR1/obalReg1Seg2SpeakerAlloc-1)*INDEX(datatblReg1Seg2Payer2,2,)</f>
        <v>0</v>
      </c>
      <c r="G1130" s="511">
        <f>(calcReg1Seg2SpeakerAllocR1/obalReg1Seg2SpeakerAlloc-1)*INDEX(datatblReg1Seg2Payer2,2,)</f>
        <v>0</v>
      </c>
      <c r="H1130" s="511">
        <f>(calcReg1Seg2SpeakerAllocR1/obalReg1Seg2SpeakerAlloc-1)*INDEX(datatblReg1Seg2Payer2,2,)</f>
        <v>0</v>
      </c>
      <c r="I1130" s="511">
        <f>(calcReg1Seg2SpeakerAllocR1/obalReg1Seg2SpeakerAlloc-1)*INDEX(datatblReg1Seg2Payer2,2,)</f>
        <v>0</v>
      </c>
      <c r="J1130" t="s">
        <v>3330</v>
      </c>
    </row>
    <row r="1131" spans="1:10">
      <c r="C1131" t="s">
        <v>2333</v>
      </c>
      <c r="E1131" s="511">
        <f>(calcReg1Seg2PromotionAllocR1/obalReg1Seg2PromotionAlloc-1)*INDEX(datatblReg1Seg2Payer2,3,)*calcReg1Seg2Payer2TierImpactR1</f>
        <v>0</v>
      </c>
      <c r="F1131" s="511">
        <f>(calcReg1Seg2PromotionAllocR1/obalReg1Seg2PromotionAlloc-1)*INDEX(datatblReg1Seg2Payer2,3,)</f>
        <v>0</v>
      </c>
      <c r="G1131" s="511">
        <f>(calcReg1Seg2PromotionAllocR1/obalReg1Seg2PromotionAlloc-1)*INDEX(datatblReg1Seg2Payer2,3,)</f>
        <v>0</v>
      </c>
      <c r="H1131" s="511">
        <f>(calcReg1Seg2PromotionAllocR1/obalReg1Seg2PromotionAlloc-1)*INDEX(datatblReg1Seg2Payer2,3,)</f>
        <v>0</v>
      </c>
      <c r="I1131" s="511">
        <f>(calcReg1Seg2PromotionAllocR1/obalReg1Seg2PromotionAlloc-1)*INDEX(datatblReg1Seg2Payer2,3,)</f>
        <v>0</v>
      </c>
      <c r="J1131" t="s">
        <v>3331</v>
      </c>
    </row>
    <row r="1132" spans="1:10">
      <c r="C1132" t="s">
        <v>2646</v>
      </c>
      <c r="E1132" s="511">
        <f>(calcReg1Seg2Rep1Payer2ImpactR1)*calcReg1Seg2Payer2TierImpactR1</f>
        <v>-5.7499999999999981E-5</v>
      </c>
      <c r="F1132" s="511">
        <f>(calcReg1Seg2Rep1Payer2ImpactR1)*calcReg1Seg2Payer2TierImpactR1</f>
        <v>-5.7499999999999981E-5</v>
      </c>
      <c r="G1132" s="511">
        <f>(calcReg1Seg2Rep1Payer2ImpactR1)*calcReg1Seg2Payer2TierImpactR1</f>
        <v>-5.7499999999999981E-5</v>
      </c>
      <c r="H1132" s="511">
        <f>(calcReg1Seg2Rep1Payer2ImpactR1)*calcReg1Seg2Payer2TierImpactR1</f>
        <v>-5.7499999999999981E-5</v>
      </c>
      <c r="I1132" s="511">
        <f>(calcReg1Seg2Rep1Payer2ImpactR1)*calcReg1Seg2Payer2TierImpactR1</f>
        <v>-5.7499999999999981E-5</v>
      </c>
      <c r="J1132" t="s">
        <v>3332</v>
      </c>
    </row>
    <row r="1133" spans="1:10" s="4" customFormat="1">
      <c r="C1133" s="4" t="s">
        <v>1489</v>
      </c>
      <c r="E1133" s="500">
        <f>SUM(E1128:E1132)</f>
        <v>-5.7499999999999981E-5</v>
      </c>
      <c r="F1133" s="500">
        <f t="shared" ref="F1133:I1133" si="54">SUM(F1128:F1132)</f>
        <v>-5.7499999999999981E-5</v>
      </c>
      <c r="G1133" s="500">
        <f t="shared" si="54"/>
        <v>-5.7499999999999981E-5</v>
      </c>
      <c r="H1133" s="500">
        <f t="shared" si="54"/>
        <v>-5.7499999999999981E-5</v>
      </c>
      <c r="I1133" s="500">
        <f t="shared" si="54"/>
        <v>-5.7499999999999981E-5</v>
      </c>
      <c r="J1133" s="4" t="s">
        <v>1769</v>
      </c>
    </row>
    <row r="1134" spans="1:10">
      <c r="C1134" t="s">
        <v>1490</v>
      </c>
      <c r="E1134" s="380">
        <f>MAX(calcReg1Seg2Payer2MarketRecurCustR1*calcReg1Seg2Payer2ShareRecurCustR1,0)</f>
        <v>0</v>
      </c>
      <c r="F1134" s="380">
        <f>MAX(calcReg1Seg2Payer2MarketRecurCustR1*calcReg1Seg2Payer2ShareRecurCustR1,0)</f>
        <v>0</v>
      </c>
      <c r="G1134" s="380">
        <f>MAX(calcReg1Seg2Payer2MarketRecurCustR1*calcReg1Seg2Payer2ShareRecurCustR1,0)</f>
        <v>0</v>
      </c>
      <c r="H1134" s="380">
        <f>MAX(calcReg1Seg2Payer2MarketRecurCustR1*calcReg1Seg2Payer2ShareRecurCustR1,0)</f>
        <v>0</v>
      </c>
      <c r="I1134" s="380">
        <f>MAX(calcReg1Seg2Payer2MarketRecurCustR1*calcReg1Seg2Payer2ShareRecurCustR1,0)</f>
        <v>0</v>
      </c>
      <c r="J1134" t="s">
        <v>1770</v>
      </c>
    </row>
    <row r="1136" spans="1:10">
      <c r="C1136" t="s">
        <v>804</v>
      </c>
      <c r="E1136" s="380">
        <f>INDEX(dataReg1Seg2Payer2NewVolume,,3)</f>
        <v>1369.8045</v>
      </c>
      <c r="F1136" s="380">
        <f>INDEX(dataReg1Seg2Payer2NewVolume,,3)</f>
        <v>1369.8045</v>
      </c>
      <c r="G1136" s="380">
        <f>INDEX(dataReg1Seg2Payer2NewVolume,,3)</f>
        <v>1369.8045</v>
      </c>
      <c r="H1136" s="380">
        <f>INDEX(dataReg1Seg2Payer2NewVolume,,3)</f>
        <v>1369.8045</v>
      </c>
      <c r="I1136" s="380">
        <f>INDEX(dataReg1Seg2Payer2NewVolume,,3)</f>
        <v>1369.8045</v>
      </c>
      <c r="J1136" t="s">
        <v>1771</v>
      </c>
    </row>
    <row r="1138" spans="1:10">
      <c r="C1138" t="s">
        <v>1486</v>
      </c>
      <c r="E1138" s="465">
        <f>obalReg1Seg2Payer2Share</f>
        <v>0</v>
      </c>
      <c r="F1138" s="465">
        <f>obalReg1Seg2Payer2Share</f>
        <v>0</v>
      </c>
      <c r="G1138" s="465">
        <f>obalReg1Seg2Payer2Share</f>
        <v>0</v>
      </c>
      <c r="H1138" s="465">
        <f>obalReg1Seg2Payer2Share</f>
        <v>0</v>
      </c>
      <c r="I1138" s="465">
        <f>obalReg1Seg2Payer2Share</f>
        <v>0</v>
      </c>
    </row>
    <row r="1139" spans="1:10">
      <c r="C1139" t="s">
        <v>516</v>
      </c>
      <c r="E1139" s="511">
        <f>(calcReg1Seg2SampleAllocR1/obalReg1Seg2SampleAlloc-1)*INDEX(datatblReg1Seg2Payer2,1,)*calcReg1Seg2Payer2TierImpactR1</f>
        <v>0</v>
      </c>
      <c r="F1139" s="511">
        <f>(calcReg1Seg2SampleAllocR1/obalReg1Seg2SampleAlloc-1)*INDEX(datatblReg1Seg2Payer2,1,)</f>
        <v>0</v>
      </c>
      <c r="G1139" s="511">
        <f>(calcReg1Seg2SampleAllocR1/obalReg1Seg2SampleAlloc-1)*INDEX(datatblReg1Seg2Payer2,1,)</f>
        <v>0</v>
      </c>
      <c r="H1139" s="511">
        <f>(calcReg1Seg2SampleAllocR1/obalReg1Seg2SampleAlloc-1)*INDEX(datatblReg1Seg2Payer2,1,)</f>
        <v>0</v>
      </c>
      <c r="I1139" s="511">
        <f>(calcReg1Seg2SampleAllocR1/obalReg1Seg2SampleAlloc-1)*INDEX(datatblReg1Seg2Payer2,1,)</f>
        <v>0</v>
      </c>
      <c r="J1139" t="s">
        <v>3333</v>
      </c>
    </row>
    <row r="1140" spans="1:10">
      <c r="C1140" t="s">
        <v>517</v>
      </c>
      <c r="E1140" s="511">
        <f>(calcReg1Seg2SpeakerAllocR1/obalReg1Seg2SpeakerAlloc-1)*INDEX(datatblReg1Seg2Payer2,2,)*(calcReg1Seg2Payer2TierImpactR1)</f>
        <v>0</v>
      </c>
      <c r="F1140" s="511">
        <f>(calcReg1Seg2SpeakerAllocR1/obalReg1Seg2SpeakerAlloc-1)*INDEX(datatblReg1Seg2Payer2,2,)</f>
        <v>0</v>
      </c>
      <c r="G1140" s="511">
        <f>(calcReg1Seg2SpeakerAllocR1/obalReg1Seg2SpeakerAlloc-1)*INDEX(datatblReg1Seg2Payer2,2,)</f>
        <v>0</v>
      </c>
      <c r="H1140" s="511">
        <f>(calcReg1Seg2SpeakerAllocR1/obalReg1Seg2SpeakerAlloc-1)*INDEX(datatblReg1Seg2Payer2,2,)</f>
        <v>0</v>
      </c>
      <c r="I1140" s="511">
        <f>(calcReg1Seg2SpeakerAllocR1/obalReg1Seg2SpeakerAlloc-1)*INDEX(datatblReg1Seg2Payer2,2,)</f>
        <v>0</v>
      </c>
      <c r="J1140" t="s">
        <v>3334</v>
      </c>
    </row>
    <row r="1141" spans="1:10">
      <c r="C1141" t="s">
        <v>2333</v>
      </c>
      <c r="E1141" s="511">
        <f>(calcReg1Seg2PromotionAllocR1/obalReg1Seg2PromotionAlloc-1)*INDEX(datatblReg1Seg2Payer2,3,)*calcReg1Seg2Payer2TierImpactR1</f>
        <v>0</v>
      </c>
      <c r="F1141" s="511">
        <f>(calcReg1Seg2PromotionAllocR1/obalReg1Seg2PromotionAlloc-1)*INDEX(datatblReg1Seg2Payer2,3,)</f>
        <v>0</v>
      </c>
      <c r="G1141" s="511">
        <f>(calcReg1Seg2PromotionAllocR1/obalReg1Seg2PromotionAlloc-1)*INDEX(datatblReg1Seg2Payer2,3,)</f>
        <v>0</v>
      </c>
      <c r="H1141" s="511">
        <f>(calcReg1Seg2PromotionAllocR1/obalReg1Seg2PromotionAlloc-1)*INDEX(datatblReg1Seg2Payer2,3,)</f>
        <v>0</v>
      </c>
      <c r="I1141" s="511">
        <f>(calcReg1Seg2PromotionAllocR1/obalReg1Seg2PromotionAlloc-1)*INDEX(datatblReg1Seg2Payer2,3,)</f>
        <v>0</v>
      </c>
      <c r="J1141" t="s">
        <v>3335</v>
      </c>
    </row>
    <row r="1142" spans="1:10">
      <c r="C1142" t="s">
        <v>2646</v>
      </c>
      <c r="E1142" s="511">
        <f>(calcReg1Seg2Rep1Payer2ImpactR1)*calcReg1Seg2Payer2TierImpactR1</f>
        <v>-5.7499999999999981E-5</v>
      </c>
      <c r="F1142" s="511">
        <f>(calcReg1Seg2Rep1Payer2ImpactR1)*calcReg1Seg2Payer2TierImpactR1</f>
        <v>-5.7499999999999981E-5</v>
      </c>
      <c r="G1142" s="511">
        <f>(calcReg1Seg2Rep1Payer2ImpactR1)*calcReg1Seg2Payer2TierImpactR1</f>
        <v>-5.7499999999999981E-5</v>
      </c>
      <c r="H1142" s="511">
        <f>(calcReg1Seg2Rep1Payer2ImpactR1)*calcReg1Seg2Payer2TierImpactR1</f>
        <v>-5.7499999999999981E-5</v>
      </c>
      <c r="I1142" s="511">
        <f>(calcReg1Seg2Rep1Payer2ImpactR1)*calcReg1Seg2Payer2TierImpactR1</f>
        <v>-5.7499999999999981E-5</v>
      </c>
      <c r="J1142" t="s">
        <v>3336</v>
      </c>
    </row>
    <row r="1143" spans="1:10">
      <c r="C1143" t="s">
        <v>2905</v>
      </c>
    </row>
    <row r="1144" spans="1:10" s="4" customFormat="1">
      <c r="C1144" s="4" t="s">
        <v>1534</v>
      </c>
      <c r="E1144" s="500">
        <f>SUM(E1138:E1143)</f>
        <v>-5.7499999999999981E-5</v>
      </c>
      <c r="F1144" s="500">
        <f>SUM(F1138:F1143)</f>
        <v>-5.7499999999999981E-5</v>
      </c>
      <c r="G1144" s="500">
        <f>SUM(G1138:G1143)</f>
        <v>-5.7499999999999981E-5</v>
      </c>
      <c r="H1144" s="500">
        <f>SUM(H1138:H1143)</f>
        <v>-5.7499999999999981E-5</v>
      </c>
      <c r="I1144" s="500">
        <f>SUM(I1138:I1143)</f>
        <v>-5.7499999999999981E-5</v>
      </c>
      <c r="J1144" s="4" t="s">
        <v>1772</v>
      </c>
    </row>
    <row r="1145" spans="1:10">
      <c r="C1145" t="s">
        <v>1490</v>
      </c>
      <c r="E1145" s="380">
        <f>MAX(calcReg1Seg2Payer2MarketGrowthCustR1*calcReg1Seg2Payer2ShareNewCustR1,0)</f>
        <v>0</v>
      </c>
      <c r="F1145" s="380">
        <f>MAX(calcReg1Seg2Payer2MarketGrowthCustR1*calcReg1Seg2Payer2ShareNewCustR1,0)</f>
        <v>0</v>
      </c>
      <c r="G1145" s="380">
        <f>MAX(calcReg1Seg2Payer2MarketGrowthCustR1*calcReg1Seg2Payer2ShareNewCustR1,0)</f>
        <v>0</v>
      </c>
      <c r="H1145" s="380">
        <f>MAX(calcReg1Seg2Payer2MarketGrowthCustR1*calcReg1Seg2Payer2ShareNewCustR1,0)</f>
        <v>0</v>
      </c>
      <c r="I1145" s="380">
        <f>MAX(calcReg1Seg2Payer2MarketGrowthCustR1*calcReg1Seg2Payer2ShareNewCustR1,0)</f>
        <v>0</v>
      </c>
      <c r="J1145" s="4" t="s">
        <v>1773</v>
      </c>
    </row>
    <row r="1147" spans="1:10">
      <c r="C1147" t="s">
        <v>1537</v>
      </c>
      <c r="E1147" s="380">
        <f>calcReg1Seg2Payer2MarketRecurCustR1+calcReg1Seg2Payer2MarketGrowthCustR1</f>
        <v>17421.883900000001</v>
      </c>
      <c r="F1147" s="380">
        <f>calcReg1Seg2Payer2MarketRecurCustR1+calcReg1Seg2Payer2MarketGrowthCustR1</f>
        <v>17421.883900000001</v>
      </c>
      <c r="G1147" s="380">
        <f>calcReg1Seg2Payer2MarketRecurCustR1+calcReg1Seg2Payer2MarketGrowthCustR1</f>
        <v>17421.883900000001</v>
      </c>
      <c r="H1147" s="380">
        <f>calcReg1Seg2Payer2MarketRecurCustR1+calcReg1Seg2Payer2MarketGrowthCustR1</f>
        <v>17421.883900000001</v>
      </c>
      <c r="I1147" s="380">
        <f>calcReg1Seg2Payer2MarketRecurCustR1+calcReg1Seg2Payer2MarketGrowthCustR1</f>
        <v>17421.883900000001</v>
      </c>
      <c r="J1147" t="s">
        <v>1774</v>
      </c>
    </row>
    <row r="1148" spans="1:10">
      <c r="C1148" t="s">
        <v>1539</v>
      </c>
      <c r="E1148" s="380">
        <f>calcReg1Seg2Payer2VolumeRecurCustR1+calcReg1Seg2Payer2VolumeNewCustR1</f>
        <v>0</v>
      </c>
      <c r="F1148" s="380">
        <f>calcReg1Seg2Payer2VolumeRecurCustR1+calcReg1Seg2Payer2VolumeNewCustR1</f>
        <v>0</v>
      </c>
      <c r="G1148" s="380">
        <f>calcReg1Seg2Payer2VolumeRecurCustR1+calcReg1Seg2Payer2VolumeNewCustR1</f>
        <v>0</v>
      </c>
      <c r="H1148" s="380">
        <f>calcReg1Seg2Payer2VolumeRecurCustR1+calcReg1Seg2Payer2VolumeNewCustR1</f>
        <v>0</v>
      </c>
      <c r="I1148" s="380">
        <f>calcReg1Seg2Payer2VolumeRecurCustR1+calcReg1Seg2Payer2VolumeNewCustR1</f>
        <v>0</v>
      </c>
      <c r="J1148" t="s">
        <v>1775</v>
      </c>
    </row>
    <row r="1149" spans="1:10" s="4" customFormat="1">
      <c r="C1149" s="4" t="s">
        <v>841</v>
      </c>
      <c r="E1149" s="500">
        <f>calcReg1Seg2Payer2VolumeR1/calcReg1Seg2Payer2TotalVolumeR1</f>
        <v>0</v>
      </c>
      <c r="F1149" s="500">
        <f>calcReg1Seg2Payer2VolumeR1/calcReg1Seg2Payer2TotalVolumeR1</f>
        <v>0</v>
      </c>
      <c r="G1149" s="500">
        <f>calcReg1Seg2Payer2VolumeR1/calcReg1Seg2Payer2TotalVolumeR1</f>
        <v>0</v>
      </c>
      <c r="H1149" s="500">
        <f>calcReg1Seg2Payer2VolumeR1/calcReg1Seg2Payer2TotalVolumeR1</f>
        <v>0</v>
      </c>
      <c r="I1149" s="500">
        <f>calcReg1Seg2Payer2VolumeR1/calcReg1Seg2Payer2TotalVolumeR1</f>
        <v>0</v>
      </c>
      <c r="J1149" s="4" t="s">
        <v>1776</v>
      </c>
    </row>
    <row r="1151" spans="1:10">
      <c r="A1151" s="16" t="s">
        <v>1551</v>
      </c>
      <c r="C1151" t="s">
        <v>803</v>
      </c>
      <c r="E1151" s="380">
        <f>INDEX(dataReg1Seg2Payer2TotalVolume,,4)</f>
        <v>18138.849722000003</v>
      </c>
      <c r="F1151" s="380">
        <f>INDEX(dataReg1Seg2Payer2TotalVolume,,4)</f>
        <v>18138.849722000003</v>
      </c>
      <c r="G1151" s="380">
        <f>INDEX(dataReg1Seg2Payer2TotalVolume,,4)</f>
        <v>18138.849722000003</v>
      </c>
      <c r="H1151" s="380">
        <f>INDEX(dataReg1Seg2Payer2TotalVolume,,4)</f>
        <v>18138.849722000003</v>
      </c>
      <c r="I1151" s="380">
        <f>INDEX(dataReg1Seg2Payer2TotalVolume,,4)</f>
        <v>18138.849722000003</v>
      </c>
      <c r="J1151" t="s">
        <v>1777</v>
      </c>
    </row>
    <row r="1152" spans="1:10">
      <c r="C1152" t="s">
        <v>3253</v>
      </c>
      <c r="E1152" t="str">
        <f>cbalReg1Payer2Status</f>
        <v>T1 NR</v>
      </c>
      <c r="F1152" t="str">
        <f>cbalReg1Payer2Status</f>
        <v>T1 NR</v>
      </c>
      <c r="G1152" t="str">
        <f>cbalReg1Payer2Status</f>
        <v>T1 NR</v>
      </c>
      <c r="H1152" t="str">
        <f>cbalReg1Payer2Status</f>
        <v>T1 NR</v>
      </c>
      <c r="I1152" t="str">
        <f>cbalReg1Payer2Status</f>
        <v>T1 NR</v>
      </c>
    </row>
    <row r="1153" spans="3:10">
      <c r="C1153" t="s">
        <v>2887</v>
      </c>
      <c r="E1153">
        <f>INDEX(dataTierVolumeImpact,MATCH(E1152,MarketData!$K$12:$K$17,0),)</f>
        <v>1.1499999999999999</v>
      </c>
      <c r="F1153">
        <f>INDEX(dataTierVolumeImpact,MATCH(F1152,MarketData!$K$12:$K$17,0),)</f>
        <v>1.1499999999999999</v>
      </c>
      <c r="G1153">
        <f>INDEX(dataTierVolumeImpact,MATCH(G1152,MarketData!$K$12:$K$17,0),)</f>
        <v>1.1499999999999999</v>
      </c>
      <c r="H1153">
        <f>INDEX(dataTierVolumeImpact,MATCH(H1152,MarketData!$K$12:$K$17,0),)</f>
        <v>1.1499999999999999</v>
      </c>
      <c r="I1153">
        <f>INDEX(dataTierVolumeImpact,MATCH(I1152,MarketData!$K$12:$K$17,0),)</f>
        <v>1.1499999999999999</v>
      </c>
      <c r="J1153" t="s">
        <v>3337</v>
      </c>
    </row>
    <row r="1154" spans="3:10">
      <c r="C1154" t="s">
        <v>1487</v>
      </c>
      <c r="E1154" s="465">
        <f>calcReg1Seg2Payer2ShareTotalCustR1</f>
        <v>0</v>
      </c>
      <c r="F1154" s="465">
        <f>calcReg1Seg2Payer2ShareTotalCustR1</f>
        <v>0</v>
      </c>
      <c r="G1154" s="465">
        <f>calcReg1Seg2Payer2ShareTotalCustR1</f>
        <v>0</v>
      </c>
      <c r="H1154" s="465">
        <f>calcReg1Seg2Payer2ShareTotalCustR1</f>
        <v>0</v>
      </c>
      <c r="I1154" s="465">
        <f>calcReg1Seg2Payer2ShareTotalCustR1</f>
        <v>0</v>
      </c>
    </row>
    <row r="1155" spans="3:10">
      <c r="C1155" t="s">
        <v>516</v>
      </c>
      <c r="E1155" s="511">
        <f>(calcReg1Seg2SampleAllocR2/calcReg1Seg2SampleAllocR1-1)*INDEX(datatblReg1Seg2Payer2,1,)*calcReg1Seg2Payer2TierImpactR2</f>
        <v>0</v>
      </c>
      <c r="F1155" s="511">
        <f>(calcReg1Seg2SampleAllocR2/calcReg1Seg2SampleAllocR1-1)*INDEX(datatblReg1Seg2Payer2,1,)*calcReg1Seg2Payer2TierImpactR2</f>
        <v>0</v>
      </c>
      <c r="G1155" s="511">
        <f>(calcReg1Seg2SampleAllocR2/calcReg1Seg2SampleAllocR1-1)*INDEX(datatblReg1Seg2Payer2,1,)*calcReg1Seg2Payer2TierImpactR2</f>
        <v>0</v>
      </c>
      <c r="H1155" s="511">
        <f>(calcReg1Seg2SampleAllocR2/calcReg1Seg2SampleAllocR1-1)*INDEX(datatblReg1Seg2Payer2,1,)*calcReg1Seg2Payer2TierImpactR2</f>
        <v>0</v>
      </c>
      <c r="I1155" s="511">
        <f>(calcReg1Seg2SampleAllocR2/calcReg1Seg2SampleAllocR1-1)*INDEX(datatblReg1Seg2Payer2,1,)*calcReg1Seg2Payer2TierImpactR2</f>
        <v>0</v>
      </c>
      <c r="J1155" t="s">
        <v>3119</v>
      </c>
    </row>
    <row r="1156" spans="3:10">
      <c r="C1156" t="s">
        <v>517</v>
      </c>
      <c r="E1156" s="511">
        <f>(calcReg1Seg2SpeakerAllocR2/calcReg1Seg2SpeakerAllocR1-1)*INDEX(datatblReg1Seg2Payer2,2,)*calcReg1Seg2Payer2TierImpactR2</f>
        <v>-5.7500000000000042E-5</v>
      </c>
      <c r="F1156" s="511">
        <f>(calcReg1Seg2SpeakerAllocR2/calcReg1Seg2SpeakerAllocR1-1)*INDEX(datatblReg1Seg2Payer2,2,)*calcReg1Seg2Payer2TierImpactR2</f>
        <v>-5.7500000000000042E-5</v>
      </c>
      <c r="G1156" s="511">
        <f>(calcReg1Seg2SpeakerAllocR2/calcReg1Seg2SpeakerAllocR1-1)*INDEX(datatblReg1Seg2Payer2,2,)*calcReg1Seg2Payer2TierImpactR2</f>
        <v>-5.7500000000000042E-5</v>
      </c>
      <c r="H1156" s="511">
        <f>(calcReg1Seg2SpeakerAllocR2/calcReg1Seg2SpeakerAllocR1-1)*INDEX(datatblReg1Seg2Payer2,2,)*calcReg1Seg2Payer2TierImpactR2</f>
        <v>-5.7500000000000042E-5</v>
      </c>
      <c r="I1156" s="511">
        <f>(calcReg1Seg2SpeakerAllocR2/calcReg1Seg2SpeakerAllocR1-1)*INDEX(datatblReg1Seg2Payer2,2,)*calcReg1Seg2Payer2TierImpactR2</f>
        <v>-5.7500000000000042E-5</v>
      </c>
      <c r="J1156" t="s">
        <v>3120</v>
      </c>
    </row>
    <row r="1157" spans="3:10">
      <c r="C1157" t="s">
        <v>2333</v>
      </c>
      <c r="E1157" s="511">
        <f>(calcReg1Seg2PromotionAllocR2/calcReg1Seg2PromotionAllocR1-1)*INDEX(datatblReg1Seg2Payer2,3,)*calcReg1Seg2Payer2TierImpactR2</f>
        <v>-8.6250000000000077E-5</v>
      </c>
      <c r="F1157" s="511">
        <f>(calcReg1Seg2PromotionAllocR2/calcReg1Seg2PromotionAllocR1-1)*INDEX(datatblReg1Seg2Payer2,3,)*calcReg1Seg2Payer2TierImpactR2</f>
        <v>-8.6250000000000077E-5</v>
      </c>
      <c r="G1157" s="511">
        <f>(calcReg1Seg2PromotionAllocR2/calcReg1Seg2PromotionAllocR1-1)*INDEX(datatblReg1Seg2Payer2,3,)*calcReg1Seg2Payer2TierImpactR2</f>
        <v>-8.6250000000000077E-5</v>
      </c>
      <c r="H1157" s="511">
        <f>(calcReg1Seg2PromotionAllocR2/calcReg1Seg2PromotionAllocR1-1)*INDEX(datatblReg1Seg2Payer2,3,)*calcReg1Seg2Payer2TierImpactR2</f>
        <v>-8.6250000000000077E-5</v>
      </c>
      <c r="I1157" s="511">
        <f>(calcReg1Seg2PromotionAllocR2/calcReg1Seg2PromotionAllocR1-1)*INDEX(datatblReg1Seg2Payer2,3,)*calcReg1Seg2Payer2TierImpactR2</f>
        <v>-8.6250000000000077E-5</v>
      </c>
      <c r="J1157" t="s">
        <v>3121</v>
      </c>
    </row>
    <row r="1158" spans="3:10">
      <c r="C1158" t="s">
        <v>2646</v>
      </c>
      <c r="E1158" s="511">
        <f>(calcReg1Seg2Rep1Payer2ImpactR2)*calcReg1Seg2Payer2TierImpactR2</f>
        <v>-5.7499999999999981E-5</v>
      </c>
      <c r="F1158" s="511">
        <f>(calcReg1Seg2Rep1Payer2ImpactR2)*calcReg1Seg2Payer2TierImpactR2</f>
        <v>-5.7499999999999981E-5</v>
      </c>
      <c r="G1158" s="511">
        <f>(calcReg1Seg2Rep1Payer2ImpactR2)*calcReg1Seg2Payer2TierImpactR2</f>
        <v>-5.7499999999999981E-5</v>
      </c>
      <c r="H1158" s="511">
        <f>(calcReg1Seg2Rep1Payer2ImpactR2)*calcReg1Seg2Payer2TierImpactR2</f>
        <v>-5.7499999999999981E-5</v>
      </c>
      <c r="I1158" s="511">
        <f>(calcReg1Seg2Rep1Payer2ImpactR2)*calcReg1Seg2Payer2TierImpactR2</f>
        <v>-5.7499999999999981E-5</v>
      </c>
      <c r="J1158" t="s">
        <v>3122</v>
      </c>
    </row>
    <row r="1160" spans="3:10" s="4" customFormat="1">
      <c r="C1160" s="4" t="s">
        <v>1489</v>
      </c>
      <c r="E1160" s="500">
        <f>SUM(E1154:E1159)</f>
        <v>-2.0125000000000009E-4</v>
      </c>
      <c r="F1160" s="500">
        <f>SUM(F1154:F1159)</f>
        <v>-2.0125000000000009E-4</v>
      </c>
      <c r="G1160" s="500">
        <f>SUM(G1154:G1159)</f>
        <v>-2.0125000000000009E-4</v>
      </c>
      <c r="H1160" s="500">
        <f>SUM(H1154:H1159)</f>
        <v>-2.0125000000000009E-4</v>
      </c>
      <c r="I1160" s="500">
        <f>SUM(I1154:I1159)</f>
        <v>-2.0125000000000009E-4</v>
      </c>
      <c r="J1160" s="4" t="s">
        <v>1778</v>
      </c>
    </row>
    <row r="1161" spans="3:10">
      <c r="C1161" t="s">
        <v>1490</v>
      </c>
      <c r="E1161" s="380">
        <f>MAX(calcReg1Seg2Payer2MarketRecurCustR2*calcReg1Seg2Payer2ShareRecurCustR2,0)</f>
        <v>0</v>
      </c>
      <c r="F1161" s="380">
        <f>MAX(calcReg1Seg2Payer2MarketRecurCustR2*calcReg1Seg2Payer2ShareRecurCustR2,0)</f>
        <v>0</v>
      </c>
      <c r="G1161" s="380">
        <f>MAX(calcReg1Seg2Payer2MarketRecurCustR2*calcReg1Seg2Payer2ShareRecurCustR2,0)</f>
        <v>0</v>
      </c>
      <c r="H1161" s="380">
        <f>MAX(calcReg1Seg2Payer2MarketRecurCustR2*calcReg1Seg2Payer2ShareRecurCustR2,0)</f>
        <v>0</v>
      </c>
      <c r="I1161" s="380">
        <f>MAX(calcReg1Seg2Payer2MarketRecurCustR2*calcReg1Seg2Payer2ShareRecurCustR2,0)</f>
        <v>0</v>
      </c>
      <c r="J1161" t="s">
        <v>1779</v>
      </c>
    </row>
    <row r="1163" spans="3:10">
      <c r="C1163" t="s">
        <v>804</v>
      </c>
      <c r="E1163" s="380">
        <f>INDEX(dataReg1Seg2Payer2NewVolume,,4)</f>
        <v>1547.879085</v>
      </c>
      <c r="F1163" s="380">
        <f>INDEX(dataReg1Seg2Payer2NewVolume,,4)</f>
        <v>1547.879085</v>
      </c>
      <c r="G1163" s="380">
        <f>INDEX(dataReg1Seg2Payer2NewVolume,,4)</f>
        <v>1547.879085</v>
      </c>
      <c r="H1163" s="380">
        <f>INDEX(dataReg1Seg2Payer2NewVolume,,4)</f>
        <v>1547.879085</v>
      </c>
      <c r="I1163" s="380">
        <f>INDEX(dataReg1Seg2Payer2NewVolume,,4)</f>
        <v>1547.879085</v>
      </c>
      <c r="J1163" t="s">
        <v>1780</v>
      </c>
    </row>
    <row r="1165" spans="3:10">
      <c r="C1165" t="s">
        <v>1486</v>
      </c>
      <c r="E1165" s="465">
        <f>calcReg1Seg2Payer2ShareNewCustR1</f>
        <v>-5.7499999999999981E-5</v>
      </c>
      <c r="F1165" s="465">
        <f>calcReg1Seg2Payer2ShareNewCustR1</f>
        <v>-5.7499999999999981E-5</v>
      </c>
      <c r="G1165" s="465">
        <f>calcReg1Seg2Payer2ShareNewCustR1</f>
        <v>-5.7499999999999981E-5</v>
      </c>
      <c r="H1165" s="465">
        <f>calcReg1Seg2Payer2ShareNewCustR1</f>
        <v>-5.7499999999999981E-5</v>
      </c>
      <c r="I1165" s="465">
        <f>calcReg1Seg2Payer2ShareNewCustR1</f>
        <v>-5.7499999999999981E-5</v>
      </c>
    </row>
    <row r="1166" spans="3:10">
      <c r="C1166" t="s">
        <v>516</v>
      </c>
      <c r="E1166" s="511">
        <f>(calcReg1Seg2SampleAllocR2/calcReg1Seg2SampleAllocR1-1)*INDEX(datatblReg1Seg2Payer2,1,)*calcReg1Seg2Payer2TierImpactR2</f>
        <v>0</v>
      </c>
      <c r="F1166" s="511">
        <f>(calcReg1Seg2SampleAllocR2/calcReg1Seg2SampleAllocR1-1)*INDEX(datatblReg1Seg2Payer2,1,)*calcReg1Seg2Payer2TierImpactR2</f>
        <v>0</v>
      </c>
      <c r="G1166" s="511">
        <f>(calcReg1Seg2SampleAllocR2/calcReg1Seg2SampleAllocR1-1)*INDEX(datatblReg1Seg2Payer2,1,)*calcReg1Seg2Payer2TierImpactR2</f>
        <v>0</v>
      </c>
      <c r="H1166" s="511">
        <f>(calcReg1Seg2SampleAllocR2/calcReg1Seg2SampleAllocR1-1)*INDEX(datatblReg1Seg2Payer2,1,)*calcReg1Seg2Payer2TierImpactR2</f>
        <v>0</v>
      </c>
      <c r="I1166" s="511">
        <f>(calcReg1Seg2SampleAllocR2/calcReg1Seg2SampleAllocR1-1)*INDEX(datatblReg1Seg2Payer2,1,)*calcReg1Seg2Payer2TierImpactR2</f>
        <v>0</v>
      </c>
      <c r="J1166" t="s">
        <v>3338</v>
      </c>
    </row>
    <row r="1167" spans="3:10">
      <c r="C1167" t="s">
        <v>517</v>
      </c>
      <c r="E1167" s="511">
        <f>(calcReg1Seg2SpeakerAllocR2/calcReg1Seg2SpeakerAllocR1-1)*INDEX(datatblReg1Seg2Payer2,2,)*calcReg1Seg2Payer2TierImpactR2</f>
        <v>-5.7500000000000042E-5</v>
      </c>
      <c r="F1167" s="511">
        <f>(calcReg1Seg2SpeakerAllocR2/calcReg1Seg2SpeakerAllocR1-1)*INDEX(datatblReg1Seg2Payer2,2,)*calcReg1Seg2Payer2TierImpactR2</f>
        <v>-5.7500000000000042E-5</v>
      </c>
      <c r="G1167" s="511">
        <f>(calcReg1Seg2SpeakerAllocR2/calcReg1Seg2SpeakerAllocR1-1)*INDEX(datatblReg1Seg2Payer2,2,)*calcReg1Seg2Payer2TierImpactR2</f>
        <v>-5.7500000000000042E-5</v>
      </c>
      <c r="H1167" s="511">
        <f>(calcReg1Seg2SpeakerAllocR2/calcReg1Seg2SpeakerAllocR1-1)*INDEX(datatblReg1Seg2Payer2,2,)*calcReg1Seg2Payer2TierImpactR2</f>
        <v>-5.7500000000000042E-5</v>
      </c>
      <c r="I1167" s="511">
        <f>(calcReg1Seg2SpeakerAllocR2/calcReg1Seg2SpeakerAllocR1-1)*INDEX(datatblReg1Seg2Payer2,2,)*calcReg1Seg2Payer2TierImpactR2</f>
        <v>-5.7500000000000042E-5</v>
      </c>
      <c r="J1167" t="s">
        <v>3339</v>
      </c>
    </row>
    <row r="1168" spans="3:10">
      <c r="C1168" t="s">
        <v>2333</v>
      </c>
      <c r="E1168" s="511">
        <f>(calcReg1Seg2PromotionAllocR2/calcReg1Seg2PromotionAllocR1-1)*INDEX(datatblReg1Seg2Payer2,3,)*calcReg1Seg2Payer2TierImpactR2</f>
        <v>-8.6250000000000077E-5</v>
      </c>
      <c r="F1168" s="511">
        <f>(calcReg1Seg2PromotionAllocR2/calcReg1Seg2PromotionAllocR1-1)*INDEX(datatblReg1Seg2Payer2,3,)*calcReg1Seg2Payer2TierImpactR2</f>
        <v>-8.6250000000000077E-5</v>
      </c>
      <c r="G1168" s="511">
        <f>(calcReg1Seg2PromotionAllocR2/calcReg1Seg2PromotionAllocR1-1)*INDEX(datatblReg1Seg2Payer2,3,)*calcReg1Seg2Payer2TierImpactR2</f>
        <v>-8.6250000000000077E-5</v>
      </c>
      <c r="H1168" s="511">
        <f>(calcReg1Seg2PromotionAllocR2/calcReg1Seg2PromotionAllocR1-1)*INDEX(datatblReg1Seg2Payer2,3,)*calcReg1Seg2Payer2TierImpactR2</f>
        <v>-8.6250000000000077E-5</v>
      </c>
      <c r="I1168" s="511">
        <f>(calcReg1Seg2PromotionAllocR2/calcReg1Seg2PromotionAllocR1-1)*INDEX(datatblReg1Seg2Payer2,3,)*calcReg1Seg2Payer2TierImpactR2</f>
        <v>-8.6250000000000077E-5</v>
      </c>
      <c r="J1168" t="s">
        <v>3340</v>
      </c>
    </row>
    <row r="1169" spans="1:10">
      <c r="C1169" t="s">
        <v>2646</v>
      </c>
      <c r="E1169" s="511">
        <f>(calcReg1Seg2Rep1Payer2ImpactR2)*calcReg1Seg2Payer2TierImpactR2</f>
        <v>-5.7499999999999981E-5</v>
      </c>
      <c r="F1169" s="511">
        <f>(calcReg1Seg2Rep1Payer2ImpactR2)*calcReg1Seg2Payer2TierImpactR2</f>
        <v>-5.7499999999999981E-5</v>
      </c>
      <c r="G1169" s="511">
        <f>(calcReg1Seg2Rep1Payer2ImpactR2)*calcReg1Seg2Payer2TierImpactR2</f>
        <v>-5.7499999999999981E-5</v>
      </c>
      <c r="H1169" s="511">
        <f>(calcReg1Seg2Rep1Payer2ImpactR2)*calcReg1Seg2Payer2TierImpactR2</f>
        <v>-5.7499999999999981E-5</v>
      </c>
      <c r="I1169" s="511">
        <f>(calcReg1Seg2Rep1Payer2ImpactR2)*calcReg1Seg2Payer2TierImpactR2</f>
        <v>-5.7499999999999981E-5</v>
      </c>
      <c r="J1169" t="s">
        <v>3341</v>
      </c>
    </row>
    <row r="1171" spans="1:10" s="4" customFormat="1">
      <c r="C1171" s="4" t="s">
        <v>1534</v>
      </c>
      <c r="E1171" s="500">
        <f>SUM(E1165:E1170)</f>
        <v>-2.5875000000000008E-4</v>
      </c>
      <c r="F1171" s="500">
        <f>SUM(F1165:F1170)</f>
        <v>-2.5875000000000008E-4</v>
      </c>
      <c r="G1171" s="500">
        <f>SUM(G1165:G1170)</f>
        <v>-2.5875000000000008E-4</v>
      </c>
      <c r="H1171" s="500">
        <f>SUM(H1165:H1170)</f>
        <v>-2.5875000000000008E-4</v>
      </c>
      <c r="I1171" s="500">
        <f>SUM(I1165:I1170)</f>
        <v>-2.5875000000000008E-4</v>
      </c>
      <c r="J1171" s="4" t="s">
        <v>1781</v>
      </c>
    </row>
    <row r="1172" spans="1:10">
      <c r="C1172" t="s">
        <v>1490</v>
      </c>
      <c r="E1172" s="380">
        <f>MAX(calcReg1Seg2Payer2MarketGrowthCustR2*calcReg1Seg2Payer2ShareNewCustR2,0)</f>
        <v>0</v>
      </c>
      <c r="F1172" s="380">
        <f>MAX(calcReg1Seg2Payer2MarketGrowthCustR2*calcReg1Seg2Payer2ShareNewCustR2,0)</f>
        <v>0</v>
      </c>
      <c r="G1172" s="380">
        <f>MAX(calcReg1Seg2Payer2MarketGrowthCustR2*calcReg1Seg2Payer2ShareNewCustR2,0)</f>
        <v>0</v>
      </c>
      <c r="H1172" s="380">
        <f>MAX(calcReg1Seg2Payer2MarketGrowthCustR2*calcReg1Seg2Payer2ShareNewCustR2,0)</f>
        <v>0</v>
      </c>
      <c r="I1172" s="380">
        <f>MAX(calcReg1Seg2Payer2MarketGrowthCustR2*calcReg1Seg2Payer2ShareNewCustR2,0)</f>
        <v>0</v>
      </c>
      <c r="J1172" s="4" t="s">
        <v>1782</v>
      </c>
    </row>
    <row r="1174" spans="1:10">
      <c r="C1174" t="s">
        <v>1537</v>
      </c>
      <c r="E1174" s="380">
        <f>calcReg1Seg2Payer2MarketRecurCustR2+calcReg1Seg2Payer2MarketGrowthCustR2</f>
        <v>19686.728807000003</v>
      </c>
      <c r="F1174" s="380">
        <f>calcReg1Seg2Payer2MarketRecurCustR2+calcReg1Seg2Payer2MarketGrowthCustR2</f>
        <v>19686.728807000003</v>
      </c>
      <c r="G1174" s="380">
        <f>calcReg1Seg2Payer2MarketRecurCustR2+calcReg1Seg2Payer2MarketGrowthCustR2</f>
        <v>19686.728807000003</v>
      </c>
      <c r="H1174" s="380">
        <f>calcReg1Seg2Payer2MarketRecurCustR2+calcReg1Seg2Payer2MarketGrowthCustR2</f>
        <v>19686.728807000003</v>
      </c>
      <c r="I1174" s="380">
        <f>calcReg1Seg2Payer2MarketRecurCustR2+calcReg1Seg2Payer2MarketGrowthCustR2</f>
        <v>19686.728807000003</v>
      </c>
      <c r="J1174" t="s">
        <v>1783</v>
      </c>
    </row>
    <row r="1175" spans="1:10">
      <c r="C1175" t="s">
        <v>1539</v>
      </c>
      <c r="E1175" s="380">
        <f>calcReg1Seg2Payer2VolumeRecurCustR2+calcReg1Seg2Payer2VolumeNewCustR2</f>
        <v>0</v>
      </c>
      <c r="F1175" s="380">
        <f>calcReg1Seg2Payer2VolumeRecurCustR2+calcReg1Seg2Payer2VolumeNewCustR2</f>
        <v>0</v>
      </c>
      <c r="G1175" s="380">
        <f>calcReg1Seg2Payer2VolumeRecurCustR2+calcReg1Seg2Payer2VolumeNewCustR2</f>
        <v>0</v>
      </c>
      <c r="H1175" s="380">
        <f>calcReg1Seg2Payer2VolumeRecurCustR2+calcReg1Seg2Payer2VolumeNewCustR2</f>
        <v>0</v>
      </c>
      <c r="I1175" s="380">
        <f>calcReg1Seg2Payer2VolumeRecurCustR2+calcReg1Seg2Payer2VolumeNewCustR2</f>
        <v>0</v>
      </c>
      <c r="J1175" t="s">
        <v>1784</v>
      </c>
    </row>
    <row r="1176" spans="1:10" s="4" customFormat="1">
      <c r="C1176" s="4" t="s">
        <v>841</v>
      </c>
      <c r="E1176" s="500">
        <f>calcReg1Seg2Payer2VolumeR1/calcReg1Seg2Payer2TotalVolumeR1</f>
        <v>0</v>
      </c>
      <c r="F1176" s="500">
        <f>calcReg1Seg2Payer2VolumeR1/calcReg1Seg2Payer2TotalVolumeR1</f>
        <v>0</v>
      </c>
      <c r="G1176" s="500">
        <f>calcReg1Seg2Payer2VolumeR1/calcReg1Seg2Payer2TotalVolumeR1</f>
        <v>0</v>
      </c>
      <c r="H1176" s="500">
        <f>calcReg1Seg2Payer2VolumeR1/calcReg1Seg2Payer2TotalVolumeR1</f>
        <v>0</v>
      </c>
      <c r="I1176" s="500">
        <f>calcReg1Seg2Payer2VolumeR1/calcReg1Seg2Payer2TotalVolumeR1</f>
        <v>0</v>
      </c>
      <c r="J1176" s="4" t="s">
        <v>1785</v>
      </c>
    </row>
    <row r="1178" spans="1:10" s="376" customFormat="1">
      <c r="A1178" s="376" t="str">
        <f>nmPayer3</f>
        <v>Dragon Health</v>
      </c>
    </row>
    <row r="1179" spans="1:10">
      <c r="A1179" s="16" t="s">
        <v>1488</v>
      </c>
      <c r="C1179" s="4" t="s">
        <v>803</v>
      </c>
      <c r="E1179" s="380">
        <f>INDEX(dataReg1Seg2Payer3TotalVolume,,3)</f>
        <v>29811.004600000004</v>
      </c>
      <c r="F1179" s="380">
        <f>INDEX(dataReg1Seg2Payer3TotalVolume,,3)</f>
        <v>29811.004600000004</v>
      </c>
      <c r="G1179" s="380">
        <f>INDEX(dataReg1Seg2Payer3TotalVolume,,3)</f>
        <v>29811.004600000004</v>
      </c>
      <c r="H1179" s="380">
        <f>INDEX(dataReg1Seg2Payer3TotalVolume,,3)</f>
        <v>29811.004600000004</v>
      </c>
      <c r="I1179" s="380">
        <f>INDEX(dataReg1Seg2Payer3TotalVolume,,3)</f>
        <v>29811.004600000004</v>
      </c>
      <c r="J1179" t="s">
        <v>1786</v>
      </c>
    </row>
    <row r="1180" spans="1:10">
      <c r="C1180" t="s">
        <v>3253</v>
      </c>
      <c r="E1180" t="str">
        <f>obalReg1Payer3Status</f>
        <v>T3 SGSE</v>
      </c>
      <c r="F1180" t="str">
        <f>obalReg1Payer3Status</f>
        <v>T3 SGSE</v>
      </c>
      <c r="G1180" t="str">
        <f>obalReg1Payer3Status</f>
        <v>T3 SGSE</v>
      </c>
      <c r="H1180" t="str">
        <f>obalReg1Payer3Status</f>
        <v>T3 SGSE</v>
      </c>
      <c r="I1180" t="str">
        <f>obalReg1Payer3Status</f>
        <v>T3 SGSE</v>
      </c>
    </row>
    <row r="1181" spans="1:10">
      <c r="C1181" t="s">
        <v>2887</v>
      </c>
      <c r="E1181">
        <f>INDEX(dataTierVolumeImpact,MATCH(E1180,MarketData!$K$12:$K$17,0),)</f>
        <v>0.9</v>
      </c>
      <c r="F1181">
        <f>INDEX(dataTierVolumeImpact,MATCH(F1180,MarketData!$K$12:$K$17,0),)</f>
        <v>0.9</v>
      </c>
      <c r="G1181">
        <f>INDEX(dataTierVolumeImpact,MATCH(G1180,MarketData!$K$12:$K$17,0),)</f>
        <v>0.9</v>
      </c>
      <c r="H1181">
        <f>INDEX(dataTierVolumeImpact,MATCH(H1180,MarketData!$K$12:$K$17,0),)</f>
        <v>0.9</v>
      </c>
      <c r="I1181">
        <f>INDEX(dataTierVolumeImpact,MATCH(I1180,MarketData!$K$12:$K$17,0),)</f>
        <v>0.9</v>
      </c>
      <c r="J1181" t="s">
        <v>3342</v>
      </c>
    </row>
    <row r="1182" spans="1:10">
      <c r="C1182" t="s">
        <v>1487</v>
      </c>
      <c r="E1182" s="465">
        <f>obalReg1Seg2Payer3Share</f>
        <v>5.5384615384615381E-3</v>
      </c>
      <c r="F1182" s="465">
        <f>obalReg1Seg2Payer3Share</f>
        <v>5.5384615384615381E-3</v>
      </c>
      <c r="G1182" s="465">
        <f>obalReg1Seg2Payer3Share</f>
        <v>5.5384615384615381E-3</v>
      </c>
      <c r="H1182" s="465">
        <f>obalReg1Seg2Payer3Share</f>
        <v>5.5384615384615381E-3</v>
      </c>
      <c r="I1182" s="465">
        <f>obalReg1Seg2Payer3Share</f>
        <v>5.5384615384615381E-3</v>
      </c>
    </row>
    <row r="1183" spans="1:10">
      <c r="C1183" t="s">
        <v>516</v>
      </c>
      <c r="E1183" s="511">
        <f>(calcReg1Seg2SampleAllocR1/obalReg1Seg2SampleAlloc-1)*INDEX(datatblReg1Seg2Payer3,1,)*calcReg1Seg2Payer3TierImpactR1</f>
        <v>0</v>
      </c>
      <c r="F1183" s="511">
        <f>(calcReg1Seg2SampleAllocR1/obalReg1Seg2SampleAlloc-1)*INDEX(datatblReg1Seg2Payer3,1,)</f>
        <v>0</v>
      </c>
      <c r="G1183" s="511">
        <f>(calcReg1Seg2SampleAllocR1/obalReg1Seg2SampleAlloc-1)*INDEX(datatblReg1Seg2Payer3,1,)</f>
        <v>0</v>
      </c>
      <c r="H1183" s="511">
        <f>(calcReg1Seg2SampleAllocR1/obalReg1Seg2SampleAlloc-1)*INDEX(datatblReg1Seg2Payer3,1,)</f>
        <v>0</v>
      </c>
      <c r="I1183" s="511">
        <f>(calcReg1Seg2SampleAllocR1/obalReg1Seg2SampleAlloc-1)*INDEX(datatblReg1Seg2Payer3,1,)</f>
        <v>0</v>
      </c>
      <c r="J1183" t="s">
        <v>3343</v>
      </c>
    </row>
    <row r="1184" spans="1:10">
      <c r="C1184" t="s">
        <v>517</v>
      </c>
      <c r="E1184" s="511">
        <f>(calcReg1Seg2SpeakerAllocR1/obalReg1Seg2SpeakerAlloc-1)*INDEX(datatblReg1Seg2Payer3,2,)*(calcReg1Seg2Payer3TierImpactR1)</f>
        <v>0</v>
      </c>
      <c r="F1184" s="511">
        <f>(calcReg1Seg2SpeakerAllocR1/obalReg1Seg2SpeakerAlloc-1)*INDEX(datatblReg1Seg2Payer3,2,)</f>
        <v>0</v>
      </c>
      <c r="G1184" s="511">
        <f>(calcReg1Seg2SpeakerAllocR1/obalReg1Seg2SpeakerAlloc-1)*INDEX(datatblReg1Seg2Payer3,2,)</f>
        <v>0</v>
      </c>
      <c r="H1184" s="511">
        <f>(calcReg1Seg2SpeakerAllocR1/obalReg1Seg2SpeakerAlloc-1)*INDEX(datatblReg1Seg2Payer3,2,)</f>
        <v>0</v>
      </c>
      <c r="I1184" s="511">
        <f>(calcReg1Seg2SpeakerAllocR1/obalReg1Seg2SpeakerAlloc-1)*INDEX(datatblReg1Seg2Payer3,2,)</f>
        <v>0</v>
      </c>
      <c r="J1184" t="s">
        <v>3344</v>
      </c>
    </row>
    <row r="1185" spans="3:10">
      <c r="C1185" t="s">
        <v>2333</v>
      </c>
      <c r="E1185" s="511">
        <f>(calcReg1Seg2PromotionAllocR1/obalReg1Seg2PromotionAlloc-1)*INDEX(datatblReg1Seg2Payer3,3,)*calcReg1Seg2Payer3TierImpactR1</f>
        <v>0</v>
      </c>
      <c r="F1185" s="511">
        <f>(calcReg1Seg2PromotionAllocR1/obalReg1Seg2PromotionAlloc-1)*INDEX(datatblReg1Seg2Payer3,3,)</f>
        <v>0</v>
      </c>
      <c r="G1185" s="511">
        <f>(calcReg1Seg2PromotionAllocR1/obalReg1Seg2PromotionAlloc-1)*INDEX(datatblReg1Seg2Payer3,3,)</f>
        <v>0</v>
      </c>
      <c r="H1185" s="511">
        <f>(calcReg1Seg2PromotionAllocR1/obalReg1Seg2PromotionAlloc-1)*INDEX(datatblReg1Seg2Payer3,3,)</f>
        <v>0</v>
      </c>
      <c r="I1185" s="511">
        <f>(calcReg1Seg2PromotionAllocR1/obalReg1Seg2PromotionAlloc-1)*INDEX(datatblReg1Seg2Payer3,3,)</f>
        <v>0</v>
      </c>
      <c r="J1185" t="s">
        <v>3345</v>
      </c>
    </row>
    <row r="1186" spans="3:10">
      <c r="C1186" t="s">
        <v>2646</v>
      </c>
      <c r="E1186" s="511">
        <f>(calcReg1Seg2Rep1Payer3ImpactR1)*calcReg1Seg2Payer3TierImpactR1</f>
        <v>-1.3499999999999997E-4</v>
      </c>
      <c r="F1186" s="511">
        <f>(calcReg1Seg2Rep1Payer3ImpactR1)*calcReg1Seg2Payer3TierImpactR1</f>
        <v>-1.3499999999999997E-4</v>
      </c>
      <c r="G1186" s="511">
        <f>(calcReg1Seg2Rep1Payer3ImpactR1)*calcReg1Seg2Payer3TierImpactR1</f>
        <v>-1.3499999999999997E-4</v>
      </c>
      <c r="H1186" s="511">
        <f>(calcReg1Seg2Rep1Payer3ImpactR1)*calcReg1Seg2Payer3TierImpactR1</f>
        <v>-1.3499999999999997E-4</v>
      </c>
      <c r="I1186" s="511">
        <f>(calcReg1Seg2Rep1Payer3ImpactR1)*calcReg1Seg2Payer3TierImpactR1</f>
        <v>-1.3499999999999997E-4</v>
      </c>
      <c r="J1186" t="s">
        <v>3346</v>
      </c>
    </row>
    <row r="1187" spans="3:10" s="4" customFormat="1">
      <c r="C1187" s="4" t="s">
        <v>1489</v>
      </c>
      <c r="E1187" s="500">
        <f>SUM(E1182:E1186)</f>
        <v>5.4034615384615384E-3</v>
      </c>
      <c r="F1187" s="500">
        <f t="shared" ref="F1187:I1187" si="55">SUM(F1182:F1186)</f>
        <v>5.4034615384615384E-3</v>
      </c>
      <c r="G1187" s="500">
        <f t="shared" si="55"/>
        <v>5.4034615384615384E-3</v>
      </c>
      <c r="H1187" s="500">
        <f t="shared" si="55"/>
        <v>5.4034615384615384E-3</v>
      </c>
      <c r="I1187" s="500">
        <f t="shared" si="55"/>
        <v>5.4034615384615384E-3</v>
      </c>
      <c r="J1187" s="4" t="s">
        <v>1787</v>
      </c>
    </row>
    <row r="1188" spans="3:10">
      <c r="C1188" t="s">
        <v>1490</v>
      </c>
      <c r="E1188" s="380">
        <f>MAX(calcReg1Seg2Payer3MarketRecurCustR1*calcReg1Seg2Payer3ShareRecurCustR1,0)</f>
        <v>161.08261677900001</v>
      </c>
      <c r="F1188" s="380">
        <f>MAX(calcReg1Seg2Payer3MarketRecurCustR1*calcReg1Seg2Payer3ShareRecurCustR1,0)</f>
        <v>161.08261677900001</v>
      </c>
      <c r="G1188" s="380">
        <f>MAX(calcReg1Seg2Payer3MarketRecurCustR1*calcReg1Seg2Payer3ShareRecurCustR1,0)</f>
        <v>161.08261677900001</v>
      </c>
      <c r="H1188" s="380">
        <f>MAX(calcReg1Seg2Payer3MarketRecurCustR1*calcReg1Seg2Payer3ShareRecurCustR1,0)</f>
        <v>161.08261677900001</v>
      </c>
      <c r="I1188" s="380">
        <f>MAX(calcReg1Seg2Payer3MarketRecurCustR1*calcReg1Seg2Payer3ShareRecurCustR1,0)</f>
        <v>161.08261677900001</v>
      </c>
      <c r="J1188" t="s">
        <v>1788</v>
      </c>
    </row>
    <row r="1190" spans="3:10">
      <c r="C1190" t="s">
        <v>804</v>
      </c>
      <c r="E1190" s="380">
        <f>INDEX(dataReg1Seg2Payer3NewVolume,,3)</f>
        <v>5327.017499999999</v>
      </c>
      <c r="F1190" s="380">
        <f>INDEX(dataReg1Seg2Payer3NewVolume,,3)</f>
        <v>5327.017499999999</v>
      </c>
      <c r="G1190" s="380">
        <f>INDEX(dataReg1Seg2Payer3NewVolume,,3)</f>
        <v>5327.017499999999</v>
      </c>
      <c r="H1190" s="380">
        <f>INDEX(dataReg1Seg2Payer3NewVolume,,3)</f>
        <v>5327.017499999999</v>
      </c>
      <c r="I1190" s="380">
        <f>INDEX(dataReg1Seg2Payer3NewVolume,,3)</f>
        <v>5327.017499999999</v>
      </c>
      <c r="J1190" t="s">
        <v>1789</v>
      </c>
    </row>
    <row r="1192" spans="3:10">
      <c r="C1192" t="s">
        <v>1486</v>
      </c>
      <c r="E1192" s="465">
        <f>obalReg1Seg2Payer3Share</f>
        <v>5.5384615384615381E-3</v>
      </c>
      <c r="F1192" s="465">
        <f>obalReg1Seg2Payer3Share</f>
        <v>5.5384615384615381E-3</v>
      </c>
      <c r="G1192" s="465">
        <f>obalReg1Seg2Payer3Share</f>
        <v>5.5384615384615381E-3</v>
      </c>
      <c r="H1192" s="465">
        <f>obalReg1Seg2Payer3Share</f>
        <v>5.5384615384615381E-3</v>
      </c>
      <c r="I1192" s="465">
        <f>obalReg1Seg2Payer3Share</f>
        <v>5.5384615384615381E-3</v>
      </c>
    </row>
    <row r="1193" spans="3:10">
      <c r="C1193" t="s">
        <v>516</v>
      </c>
      <c r="E1193" s="511">
        <f>(calcReg1Seg2SampleAllocR1/obalReg1Seg2SampleAlloc-1)*INDEX(datatblReg1Seg2Payer3,1,)*calcReg1Seg2Payer3TierImpactR1</f>
        <v>0</v>
      </c>
      <c r="F1193" s="511">
        <f>(calcReg1Seg2SampleAllocR1/obalReg1Seg2SampleAlloc-1)*INDEX(datatblReg1Seg2Payer3,1,)</f>
        <v>0</v>
      </c>
      <c r="G1193" s="511">
        <f>(calcReg1Seg2SampleAllocR1/obalReg1Seg2SampleAlloc-1)*INDEX(datatblReg1Seg2Payer3,1,)</f>
        <v>0</v>
      </c>
      <c r="H1193" s="511">
        <f>(calcReg1Seg2SampleAllocR1/obalReg1Seg2SampleAlloc-1)*INDEX(datatblReg1Seg2Payer3,1,)</f>
        <v>0</v>
      </c>
      <c r="I1193" s="511">
        <f>(calcReg1Seg2SampleAllocR1/obalReg1Seg2SampleAlloc-1)*INDEX(datatblReg1Seg2Payer3,1,)</f>
        <v>0</v>
      </c>
      <c r="J1193" t="s">
        <v>3347</v>
      </c>
    </row>
    <row r="1194" spans="3:10">
      <c r="C1194" t="s">
        <v>517</v>
      </c>
      <c r="E1194" s="511">
        <f>(calcReg1Seg2SpeakerAllocR1/obalReg1Seg2SpeakerAlloc-1)*INDEX(datatblReg1Seg2Payer3,2,)*(calcReg1Seg2Payer3TierImpactR1)</f>
        <v>0</v>
      </c>
      <c r="F1194" s="511">
        <f>(calcReg1Seg2SpeakerAllocR1/obalReg1Seg2SpeakerAlloc-1)*INDEX(datatblReg1Seg2Payer3,2,)</f>
        <v>0</v>
      </c>
      <c r="G1194" s="511">
        <f>(calcReg1Seg2SpeakerAllocR1/obalReg1Seg2SpeakerAlloc-1)*INDEX(datatblReg1Seg2Payer3,2,)</f>
        <v>0</v>
      </c>
      <c r="H1194" s="511">
        <f>(calcReg1Seg2SpeakerAllocR1/obalReg1Seg2SpeakerAlloc-1)*INDEX(datatblReg1Seg2Payer3,2,)</f>
        <v>0</v>
      </c>
      <c r="I1194" s="511">
        <f>(calcReg1Seg2SpeakerAllocR1/obalReg1Seg2SpeakerAlloc-1)*INDEX(datatblReg1Seg2Payer3,2,)</f>
        <v>0</v>
      </c>
      <c r="J1194" t="s">
        <v>3348</v>
      </c>
    </row>
    <row r="1195" spans="3:10">
      <c r="C1195" t="s">
        <v>2333</v>
      </c>
      <c r="E1195" s="511">
        <f>(calcReg1Seg2PromotionAllocR1/obalReg1Seg2PromotionAlloc-1)*INDEX(datatblReg1Seg2Payer3,3,)*calcReg1Seg2Payer3TierImpactR1</f>
        <v>0</v>
      </c>
      <c r="F1195" s="511">
        <f>(calcReg1Seg2PromotionAllocR1/obalReg1Seg2PromotionAlloc-1)*INDEX(datatblReg1Seg2Payer3,3,)</f>
        <v>0</v>
      </c>
      <c r="G1195" s="511">
        <f>(calcReg1Seg2PromotionAllocR1/obalReg1Seg2PromotionAlloc-1)*INDEX(datatblReg1Seg2Payer3,3,)</f>
        <v>0</v>
      </c>
      <c r="H1195" s="511">
        <f>(calcReg1Seg2PromotionAllocR1/obalReg1Seg2PromotionAlloc-1)*INDEX(datatblReg1Seg2Payer3,3,)</f>
        <v>0</v>
      </c>
      <c r="I1195" s="511">
        <f>(calcReg1Seg2PromotionAllocR1/obalReg1Seg2PromotionAlloc-1)*INDEX(datatblReg1Seg2Payer3,3,)</f>
        <v>0</v>
      </c>
      <c r="J1195" t="s">
        <v>3349</v>
      </c>
    </row>
    <row r="1196" spans="3:10">
      <c r="C1196" t="s">
        <v>2646</v>
      </c>
      <c r="E1196" s="511">
        <f>(calcReg1Seg2Rep1Payer3ImpactR1)*calcReg1Seg2Payer3TierImpactR1</f>
        <v>-1.3499999999999997E-4</v>
      </c>
      <c r="F1196" s="511">
        <f>(calcReg1Seg2Rep1Payer3ImpactR1)*calcReg1Seg2Payer3TierImpactR1</f>
        <v>-1.3499999999999997E-4</v>
      </c>
      <c r="G1196" s="511">
        <f>(calcReg1Seg2Rep1Payer3ImpactR1)*calcReg1Seg2Payer3TierImpactR1</f>
        <v>-1.3499999999999997E-4</v>
      </c>
      <c r="H1196" s="511">
        <f>(calcReg1Seg2Rep1Payer3ImpactR1)*calcReg1Seg2Payer3TierImpactR1</f>
        <v>-1.3499999999999997E-4</v>
      </c>
      <c r="I1196" s="511">
        <f>(calcReg1Seg2Rep1Payer3ImpactR1)*calcReg1Seg2Payer3TierImpactR1</f>
        <v>-1.3499999999999997E-4</v>
      </c>
      <c r="J1196" t="s">
        <v>3350</v>
      </c>
    </row>
    <row r="1197" spans="3:10">
      <c r="C1197" t="s">
        <v>2905</v>
      </c>
    </row>
    <row r="1198" spans="3:10" s="4" customFormat="1">
      <c r="C1198" s="4" t="s">
        <v>1534</v>
      </c>
      <c r="E1198" s="500">
        <f>SUM(E1192:E1197)</f>
        <v>5.4034615384615384E-3</v>
      </c>
      <c r="F1198" s="500">
        <f>SUM(F1192:F1197)</f>
        <v>5.4034615384615384E-3</v>
      </c>
      <c r="G1198" s="500">
        <f>SUM(G1192:G1197)</f>
        <v>5.4034615384615384E-3</v>
      </c>
      <c r="H1198" s="500">
        <f>SUM(H1192:H1197)</f>
        <v>5.4034615384615384E-3</v>
      </c>
      <c r="I1198" s="500">
        <f>SUM(I1192:I1197)</f>
        <v>5.4034615384615384E-3</v>
      </c>
      <c r="J1198" s="4" t="s">
        <v>1790</v>
      </c>
    </row>
    <row r="1199" spans="3:10">
      <c r="C1199" t="s">
        <v>1490</v>
      </c>
      <c r="E1199" s="380">
        <f>MAX(calcReg1Seg2Payer3MarketGrowthCustR1*calcReg1Seg2Payer3ShareNewCustR1,0)</f>
        <v>28.784334175961533</v>
      </c>
      <c r="F1199" s="380">
        <f>MAX(calcReg1Seg2Payer3MarketGrowthCustR1*calcReg1Seg2Payer3ShareNewCustR1,0)</f>
        <v>28.784334175961533</v>
      </c>
      <c r="G1199" s="380">
        <f>MAX(calcReg1Seg2Payer3MarketGrowthCustR1*calcReg1Seg2Payer3ShareNewCustR1,0)</f>
        <v>28.784334175961533</v>
      </c>
      <c r="H1199" s="380">
        <f>MAX(calcReg1Seg2Payer3MarketGrowthCustR1*calcReg1Seg2Payer3ShareNewCustR1,0)</f>
        <v>28.784334175961533</v>
      </c>
      <c r="I1199" s="380">
        <f>MAX(calcReg1Seg2Payer3MarketGrowthCustR1*calcReg1Seg2Payer3ShareNewCustR1,0)</f>
        <v>28.784334175961533</v>
      </c>
      <c r="J1199" s="4" t="s">
        <v>1791</v>
      </c>
    </row>
    <row r="1201" spans="1:10">
      <c r="C1201" t="s">
        <v>1537</v>
      </c>
      <c r="E1201" s="380">
        <f>calcReg1Seg2Payer3MarketRecurCustR1+calcReg1Seg2Payer3MarketGrowthCustR1</f>
        <v>35138.022100000002</v>
      </c>
      <c r="F1201" s="380">
        <f>calcReg1Seg2Payer3MarketRecurCustR1+calcReg1Seg2Payer3MarketGrowthCustR1</f>
        <v>35138.022100000002</v>
      </c>
      <c r="G1201" s="380">
        <f>calcReg1Seg2Payer3MarketRecurCustR1+calcReg1Seg2Payer3MarketGrowthCustR1</f>
        <v>35138.022100000002</v>
      </c>
      <c r="H1201" s="380">
        <f>calcReg1Seg2Payer3MarketRecurCustR1+calcReg1Seg2Payer3MarketGrowthCustR1</f>
        <v>35138.022100000002</v>
      </c>
      <c r="I1201" s="380">
        <f>calcReg1Seg2Payer3MarketRecurCustR1+calcReg1Seg2Payer3MarketGrowthCustR1</f>
        <v>35138.022100000002</v>
      </c>
      <c r="J1201" t="s">
        <v>1792</v>
      </c>
    </row>
    <row r="1202" spans="1:10">
      <c r="C1202" t="s">
        <v>1539</v>
      </c>
      <c r="E1202" s="380">
        <f>calcReg1Seg2Payer3VolumeRecurCustR1+calcReg1Seg2Payer3VolumeNewCustR1</f>
        <v>189.86695095496154</v>
      </c>
      <c r="F1202" s="380">
        <f>calcReg1Seg2Payer3VolumeRecurCustR1+calcReg1Seg2Payer3VolumeNewCustR1</f>
        <v>189.86695095496154</v>
      </c>
      <c r="G1202" s="380">
        <f>calcReg1Seg2Payer3VolumeRecurCustR1+calcReg1Seg2Payer3VolumeNewCustR1</f>
        <v>189.86695095496154</v>
      </c>
      <c r="H1202" s="380">
        <f>calcReg1Seg2Payer3VolumeRecurCustR1+calcReg1Seg2Payer3VolumeNewCustR1</f>
        <v>189.86695095496154</v>
      </c>
      <c r="I1202" s="380">
        <f>calcReg1Seg2Payer3VolumeRecurCustR1+calcReg1Seg2Payer3VolumeNewCustR1</f>
        <v>189.86695095496154</v>
      </c>
      <c r="J1202" t="s">
        <v>1793</v>
      </c>
    </row>
    <row r="1203" spans="1:10" s="4" customFormat="1">
      <c r="C1203" s="4" t="s">
        <v>841</v>
      </c>
      <c r="E1203" s="500">
        <f>calcReg1Seg2Payer3VolumeR1/calcReg1Seg2Payer3TotalVolumeR1</f>
        <v>5.4034615384615384E-3</v>
      </c>
      <c r="F1203" s="500">
        <f>calcReg1Seg2Payer3VolumeR1/calcReg1Seg2Payer3TotalVolumeR1</f>
        <v>5.4034615384615384E-3</v>
      </c>
      <c r="G1203" s="500">
        <f>calcReg1Seg2Payer3VolumeR1/calcReg1Seg2Payer3TotalVolumeR1</f>
        <v>5.4034615384615384E-3</v>
      </c>
      <c r="H1203" s="500">
        <f>calcReg1Seg2Payer3VolumeR1/calcReg1Seg2Payer3TotalVolumeR1</f>
        <v>5.4034615384615384E-3</v>
      </c>
      <c r="I1203" s="500">
        <f>calcReg1Seg2Payer3VolumeR1/calcReg1Seg2Payer3TotalVolumeR1</f>
        <v>5.4034615384615384E-3</v>
      </c>
      <c r="J1203" s="4" t="s">
        <v>1794</v>
      </c>
    </row>
    <row r="1205" spans="1:10">
      <c r="A1205" s="16" t="s">
        <v>1551</v>
      </c>
      <c r="C1205" t="s">
        <v>803</v>
      </c>
      <c r="E1205" s="380">
        <f>INDEX(dataReg1Seg2Payer3TotalVolume,,4)</f>
        <v>33686.435197999999</v>
      </c>
      <c r="F1205" s="380">
        <f>INDEX(dataReg1Seg2Payer3TotalVolume,,4)</f>
        <v>33686.435197999999</v>
      </c>
      <c r="G1205" s="380">
        <f>INDEX(dataReg1Seg2Payer3TotalVolume,,4)</f>
        <v>33686.435197999999</v>
      </c>
      <c r="H1205" s="380">
        <f>INDEX(dataReg1Seg2Payer3TotalVolume,,4)</f>
        <v>33686.435197999999</v>
      </c>
      <c r="I1205" s="380">
        <f>INDEX(dataReg1Seg2Payer3TotalVolume,,4)</f>
        <v>33686.435197999999</v>
      </c>
      <c r="J1205" t="s">
        <v>1795</v>
      </c>
    </row>
    <row r="1206" spans="1:10">
      <c r="C1206" t="s">
        <v>3253</v>
      </c>
      <c r="E1206" t="str">
        <f>cbalReg1Payer3Status</f>
        <v>T3 SGSE</v>
      </c>
      <c r="F1206" t="str">
        <f>cbalReg1Payer3Status</f>
        <v>T3 SGSE</v>
      </c>
      <c r="G1206" t="str">
        <f>cbalReg1Payer3Status</f>
        <v>T3 SGSE</v>
      </c>
      <c r="H1206" t="str">
        <f>cbalReg1Payer3Status</f>
        <v>T3 SGSE</v>
      </c>
      <c r="I1206" t="str">
        <f>cbalReg1Payer3Status</f>
        <v>T3 SGSE</v>
      </c>
    </row>
    <row r="1207" spans="1:10">
      <c r="C1207" t="s">
        <v>2887</v>
      </c>
      <c r="E1207">
        <f>INDEX(dataTierVolumeImpact,MATCH(E1206,MarketData!$K$12:$K$17,0),)</f>
        <v>0.9</v>
      </c>
      <c r="F1207">
        <f>INDEX(dataTierVolumeImpact,MATCH(F1206,MarketData!$K$12:$K$17,0),)</f>
        <v>0.9</v>
      </c>
      <c r="G1207">
        <f>INDEX(dataTierVolumeImpact,MATCH(G1206,MarketData!$K$12:$K$17,0),)</f>
        <v>0.9</v>
      </c>
      <c r="H1207">
        <f>INDEX(dataTierVolumeImpact,MATCH(H1206,MarketData!$K$12:$K$17,0),)</f>
        <v>0.9</v>
      </c>
      <c r="I1207">
        <f>INDEX(dataTierVolumeImpact,MATCH(I1206,MarketData!$K$12:$K$17,0),)</f>
        <v>0.9</v>
      </c>
      <c r="J1207" t="s">
        <v>3351</v>
      </c>
    </row>
    <row r="1208" spans="1:10">
      <c r="C1208" t="s">
        <v>1487</v>
      </c>
      <c r="E1208" s="465">
        <f>calcReg1Seg2Payer3ShareTotalCustR1</f>
        <v>5.4034615384615384E-3</v>
      </c>
      <c r="F1208" s="465">
        <f>calcReg1Seg2Payer3ShareTotalCustR1</f>
        <v>5.4034615384615384E-3</v>
      </c>
      <c r="G1208" s="465">
        <f>calcReg1Seg2Payer3ShareTotalCustR1</f>
        <v>5.4034615384615384E-3</v>
      </c>
      <c r="H1208" s="465">
        <f>calcReg1Seg2Payer3ShareTotalCustR1</f>
        <v>5.4034615384615384E-3</v>
      </c>
      <c r="I1208" s="465">
        <f>calcReg1Seg2Payer3ShareTotalCustR1</f>
        <v>5.4034615384615384E-3</v>
      </c>
    </row>
    <row r="1209" spans="1:10">
      <c r="C1209" t="s">
        <v>516</v>
      </c>
      <c r="E1209" s="511">
        <f>(calcReg1Seg2SampleAllocR2/calcReg1Seg2SampleAllocR1-1)*INDEX(datatblReg1Seg2Payer3,1,)*calcReg1Seg2Payer3TierImpactR2</f>
        <v>0</v>
      </c>
      <c r="F1209" s="511">
        <f>(calcReg1Seg2SampleAllocR2/calcReg1Seg2SampleAllocR1-1)*INDEX(datatblReg1Seg2Payer3,1,)*calcReg1Seg2Payer3TierImpactR2</f>
        <v>0</v>
      </c>
      <c r="G1209" s="511">
        <f>(calcReg1Seg2SampleAllocR2/calcReg1Seg2SampleAllocR1-1)*INDEX(datatblReg1Seg2Payer3,1,)*calcReg1Seg2Payer3TierImpactR2</f>
        <v>0</v>
      </c>
      <c r="H1209" s="511">
        <f>(calcReg1Seg2SampleAllocR2/calcReg1Seg2SampleAllocR1-1)*INDEX(datatblReg1Seg2Payer3,1,)*calcReg1Seg2Payer3TierImpactR2</f>
        <v>0</v>
      </c>
      <c r="I1209" s="511">
        <f>(calcReg1Seg2SampleAllocR2/calcReg1Seg2SampleAllocR1-1)*INDEX(datatblReg1Seg2Payer3,1,)*calcReg1Seg2Payer3TierImpactR2</f>
        <v>0</v>
      </c>
      <c r="J1209" t="s">
        <v>3123</v>
      </c>
    </row>
    <row r="1210" spans="1:10">
      <c r="C1210" t="s">
        <v>517</v>
      </c>
      <c r="E1210" s="511">
        <f>(calcReg1Seg2SpeakerAllocR2/calcReg1Seg2SpeakerAllocR1-1)*INDEX(datatblReg1Seg2Payer3,2,)*calcReg1Seg2Payer3TierImpactR2</f>
        <v>-9.0000000000000073E-5</v>
      </c>
      <c r="F1210" s="511">
        <f>(calcReg1Seg2SpeakerAllocR2/calcReg1Seg2SpeakerAllocR1-1)*INDEX(datatblReg1Seg2Payer3,2,)*calcReg1Seg2Payer3TierImpactR2</f>
        <v>-9.0000000000000073E-5</v>
      </c>
      <c r="G1210" s="511">
        <f>(calcReg1Seg2SpeakerAllocR2/calcReg1Seg2SpeakerAllocR1-1)*INDEX(datatblReg1Seg2Payer3,2,)*calcReg1Seg2Payer3TierImpactR2</f>
        <v>-9.0000000000000073E-5</v>
      </c>
      <c r="H1210" s="511">
        <f>(calcReg1Seg2SpeakerAllocR2/calcReg1Seg2SpeakerAllocR1-1)*INDEX(datatblReg1Seg2Payer3,2,)*calcReg1Seg2Payer3TierImpactR2</f>
        <v>-9.0000000000000073E-5</v>
      </c>
      <c r="I1210" s="511">
        <f>(calcReg1Seg2SpeakerAllocR2/calcReg1Seg2SpeakerAllocR1-1)*INDEX(datatblReg1Seg2Payer3,2,)*calcReg1Seg2Payer3TierImpactR2</f>
        <v>-9.0000000000000073E-5</v>
      </c>
      <c r="J1210" t="s">
        <v>3124</v>
      </c>
    </row>
    <row r="1211" spans="1:10">
      <c r="C1211" t="s">
        <v>2333</v>
      </c>
      <c r="E1211" s="511">
        <f>(calcReg1Seg2PromotionAllocR2/calcReg1Seg2PromotionAllocR1-1)*INDEX(datatblReg1Seg2Payer3,3,)*calcReg1Seg2Payer3TierImpactR2</f>
        <v>-2.2500000000000018E-5</v>
      </c>
      <c r="F1211" s="511">
        <f>(calcReg1Seg2PromotionAllocR2/calcReg1Seg2PromotionAllocR1-1)*INDEX(datatblReg1Seg2Payer3,3,)*calcReg1Seg2Payer3TierImpactR2</f>
        <v>-2.2500000000000018E-5</v>
      </c>
      <c r="G1211" s="511">
        <f>(calcReg1Seg2PromotionAllocR2/calcReg1Seg2PromotionAllocR1-1)*INDEX(datatblReg1Seg2Payer3,3,)*calcReg1Seg2Payer3TierImpactR2</f>
        <v>-2.2500000000000018E-5</v>
      </c>
      <c r="H1211" s="511">
        <f>(calcReg1Seg2PromotionAllocR2/calcReg1Seg2PromotionAllocR1-1)*INDEX(datatblReg1Seg2Payer3,3,)*calcReg1Seg2Payer3TierImpactR2</f>
        <v>-2.2500000000000018E-5</v>
      </c>
      <c r="I1211" s="511">
        <f>(calcReg1Seg2PromotionAllocR2/calcReg1Seg2PromotionAllocR1-1)*INDEX(datatblReg1Seg2Payer3,3,)*calcReg1Seg2Payer3TierImpactR2</f>
        <v>-2.2500000000000018E-5</v>
      </c>
      <c r="J1211" t="s">
        <v>3125</v>
      </c>
    </row>
    <row r="1212" spans="1:10">
      <c r="C1212" t="s">
        <v>2646</v>
      </c>
      <c r="E1212" s="511">
        <f>(calcReg1Seg2Rep1Payer3ImpactR2)*calcReg1Seg2Payer3TierImpactR2</f>
        <v>-1.3499999999999997E-4</v>
      </c>
      <c r="F1212" s="511">
        <f>(calcReg1Seg2Rep1Payer3ImpactR2)*calcReg1Seg2Payer3TierImpactR2</f>
        <v>-1.3499999999999997E-4</v>
      </c>
      <c r="G1212" s="511">
        <f>(calcReg1Seg2Rep1Payer3ImpactR2)*calcReg1Seg2Payer3TierImpactR2</f>
        <v>-1.3499999999999997E-4</v>
      </c>
      <c r="H1212" s="511">
        <f>(calcReg1Seg2Rep1Payer3ImpactR2)*calcReg1Seg2Payer3TierImpactR2</f>
        <v>-1.3499999999999997E-4</v>
      </c>
      <c r="I1212" s="511">
        <f>(calcReg1Seg2Rep1Payer3ImpactR2)*calcReg1Seg2Payer3TierImpactR2</f>
        <v>-1.3499999999999997E-4</v>
      </c>
      <c r="J1212" t="s">
        <v>3126</v>
      </c>
    </row>
    <row r="1214" spans="1:10" s="4" customFormat="1">
      <c r="C1214" s="4" t="s">
        <v>1489</v>
      </c>
      <c r="E1214" s="500">
        <f>SUM(E1208:E1213)</f>
        <v>5.1559615384615389E-3</v>
      </c>
      <c r="F1214" s="500">
        <f>SUM(F1208:F1213)</f>
        <v>5.1559615384615389E-3</v>
      </c>
      <c r="G1214" s="500">
        <f>SUM(G1208:G1213)</f>
        <v>5.1559615384615389E-3</v>
      </c>
      <c r="H1214" s="500">
        <f>SUM(H1208:H1213)</f>
        <v>5.1559615384615389E-3</v>
      </c>
      <c r="I1214" s="500">
        <f>SUM(I1208:I1213)</f>
        <v>5.1559615384615389E-3</v>
      </c>
      <c r="J1214" s="4" t="s">
        <v>1796</v>
      </c>
    </row>
    <row r="1215" spans="1:10">
      <c r="C1215" t="s">
        <v>1490</v>
      </c>
      <c r="E1215" s="380">
        <f>MAX(calcReg1Seg2Payer3MarketRecurCustR2*calcReg1Seg2Payer3ShareRecurCustR2,0)</f>
        <v>173.685964248765</v>
      </c>
      <c r="F1215" s="380">
        <f>MAX(calcReg1Seg2Payer3MarketRecurCustR2*calcReg1Seg2Payer3ShareRecurCustR2,0)</f>
        <v>173.685964248765</v>
      </c>
      <c r="G1215" s="380">
        <f>MAX(calcReg1Seg2Payer3MarketRecurCustR2*calcReg1Seg2Payer3ShareRecurCustR2,0)</f>
        <v>173.685964248765</v>
      </c>
      <c r="H1215" s="380">
        <f>MAX(calcReg1Seg2Payer3MarketRecurCustR2*calcReg1Seg2Payer3ShareRecurCustR2,0)</f>
        <v>173.685964248765</v>
      </c>
      <c r="I1215" s="380">
        <f>MAX(calcReg1Seg2Payer3MarketRecurCustR2*calcReg1Seg2Payer3ShareRecurCustR2,0)</f>
        <v>173.685964248765</v>
      </c>
      <c r="J1215" t="s">
        <v>1797</v>
      </c>
    </row>
    <row r="1217" spans="1:10">
      <c r="C1217" t="s">
        <v>804</v>
      </c>
      <c r="E1217" s="380">
        <f>INDEX(dataReg1Seg2Payer3NewVolume,,4)</f>
        <v>6019.529775</v>
      </c>
      <c r="F1217" s="380">
        <f>INDEX(dataReg1Seg2Payer3NewVolume,,4)</f>
        <v>6019.529775</v>
      </c>
      <c r="G1217" s="380">
        <f>INDEX(dataReg1Seg2Payer3NewVolume,,4)</f>
        <v>6019.529775</v>
      </c>
      <c r="H1217" s="380">
        <f>INDEX(dataReg1Seg2Payer3NewVolume,,4)</f>
        <v>6019.529775</v>
      </c>
      <c r="I1217" s="380">
        <f>INDEX(dataReg1Seg2Payer3NewVolume,,4)</f>
        <v>6019.529775</v>
      </c>
      <c r="J1217" t="s">
        <v>1798</v>
      </c>
    </row>
    <row r="1219" spans="1:10">
      <c r="C1219" t="s">
        <v>1486</v>
      </c>
      <c r="E1219" s="465">
        <f>calcReg1Seg2Payer3ShareNewCustR1</f>
        <v>5.4034615384615384E-3</v>
      </c>
      <c r="F1219" s="465">
        <f>calcReg1Seg2Payer3ShareNewCustR1</f>
        <v>5.4034615384615384E-3</v>
      </c>
      <c r="G1219" s="465">
        <f>calcReg1Seg2Payer3ShareNewCustR1</f>
        <v>5.4034615384615384E-3</v>
      </c>
      <c r="H1219" s="465">
        <f>calcReg1Seg2Payer3ShareNewCustR1</f>
        <v>5.4034615384615384E-3</v>
      </c>
      <c r="I1219" s="465">
        <f>calcReg1Seg2Payer3ShareNewCustR1</f>
        <v>5.4034615384615384E-3</v>
      </c>
    </row>
    <row r="1220" spans="1:10">
      <c r="C1220" t="s">
        <v>516</v>
      </c>
      <c r="E1220" s="511">
        <f>(calcReg1Seg2SampleAllocR2/calcReg1Seg2SampleAllocR1-1)*INDEX(datatblReg1Seg2Payer3,1,)*calcReg1Seg2Payer3TierImpactR2</f>
        <v>0</v>
      </c>
      <c r="F1220" s="511">
        <f>(calcReg1Seg2SampleAllocR2/calcReg1Seg2SampleAllocR1-1)*INDEX(datatblReg1Seg2Payer3,1,)*calcReg1Seg2Payer3TierImpactR2</f>
        <v>0</v>
      </c>
      <c r="G1220" s="511">
        <f>(calcReg1Seg2SampleAllocR2/calcReg1Seg2SampleAllocR1-1)*INDEX(datatblReg1Seg2Payer3,1,)*calcReg1Seg2Payer3TierImpactR2</f>
        <v>0</v>
      </c>
      <c r="H1220" s="511">
        <f>(calcReg1Seg2SampleAllocR2/calcReg1Seg2SampleAllocR1-1)*INDEX(datatblReg1Seg2Payer3,1,)*calcReg1Seg2Payer3TierImpactR2</f>
        <v>0</v>
      </c>
      <c r="I1220" s="511">
        <f>(calcReg1Seg2SampleAllocR2/calcReg1Seg2SampleAllocR1-1)*INDEX(datatblReg1Seg2Payer3,1,)*calcReg1Seg2Payer3TierImpactR2</f>
        <v>0</v>
      </c>
      <c r="J1220" t="s">
        <v>3352</v>
      </c>
    </row>
    <row r="1221" spans="1:10">
      <c r="C1221" t="s">
        <v>517</v>
      </c>
      <c r="E1221" s="511">
        <f>(calcReg1Seg2SpeakerAllocR2/calcReg1Seg2SpeakerAllocR1-1)*INDEX(datatblReg1Seg2Payer3,2,)*calcReg1Seg2Payer3TierImpactR2</f>
        <v>-9.0000000000000073E-5</v>
      </c>
      <c r="F1221" s="511">
        <f>(calcReg1Seg2SpeakerAllocR2/calcReg1Seg2SpeakerAllocR1-1)*INDEX(datatblReg1Seg2Payer3,2,)*calcReg1Seg2Payer3TierImpactR2</f>
        <v>-9.0000000000000073E-5</v>
      </c>
      <c r="G1221" s="511">
        <f>(calcReg1Seg2SpeakerAllocR2/calcReg1Seg2SpeakerAllocR1-1)*INDEX(datatblReg1Seg2Payer3,2,)*calcReg1Seg2Payer3TierImpactR2</f>
        <v>-9.0000000000000073E-5</v>
      </c>
      <c r="H1221" s="511">
        <f>(calcReg1Seg2SpeakerAllocR2/calcReg1Seg2SpeakerAllocR1-1)*INDEX(datatblReg1Seg2Payer3,2,)*calcReg1Seg2Payer3TierImpactR2</f>
        <v>-9.0000000000000073E-5</v>
      </c>
      <c r="I1221" s="511">
        <f>(calcReg1Seg2SpeakerAllocR2/calcReg1Seg2SpeakerAllocR1-1)*INDEX(datatblReg1Seg2Payer3,2,)*calcReg1Seg2Payer3TierImpactR2</f>
        <v>-9.0000000000000073E-5</v>
      </c>
      <c r="J1221" t="s">
        <v>3353</v>
      </c>
    </row>
    <row r="1222" spans="1:10">
      <c r="C1222" t="s">
        <v>2333</v>
      </c>
      <c r="E1222" s="511">
        <f>(calcReg1Seg2PromotionAllocR2/calcReg1Seg2PromotionAllocR1-1)*INDEX(datatblReg1Seg2Payer3,3,)*calcReg1Seg2Payer3TierImpactR2</f>
        <v>-2.2500000000000018E-5</v>
      </c>
      <c r="F1222" s="511">
        <f>(calcReg1Seg2PromotionAllocR2/calcReg1Seg2PromotionAllocR1-1)*INDEX(datatblReg1Seg2Payer3,3,)*calcReg1Seg2Payer3TierImpactR2</f>
        <v>-2.2500000000000018E-5</v>
      </c>
      <c r="G1222" s="511">
        <f>(calcReg1Seg2PromotionAllocR2/calcReg1Seg2PromotionAllocR1-1)*INDEX(datatblReg1Seg2Payer3,3,)*calcReg1Seg2Payer3TierImpactR2</f>
        <v>-2.2500000000000018E-5</v>
      </c>
      <c r="H1222" s="511">
        <f>(calcReg1Seg2PromotionAllocR2/calcReg1Seg2PromotionAllocR1-1)*INDEX(datatblReg1Seg2Payer3,3,)*calcReg1Seg2Payer3TierImpactR2</f>
        <v>-2.2500000000000018E-5</v>
      </c>
      <c r="I1222" s="511">
        <f>(calcReg1Seg2PromotionAllocR2/calcReg1Seg2PromotionAllocR1-1)*INDEX(datatblReg1Seg2Payer3,3,)*calcReg1Seg2Payer3TierImpactR2</f>
        <v>-2.2500000000000018E-5</v>
      </c>
      <c r="J1222" t="s">
        <v>3354</v>
      </c>
    </row>
    <row r="1223" spans="1:10">
      <c r="C1223" t="s">
        <v>2646</v>
      </c>
      <c r="E1223" s="511">
        <f>(calcReg1Seg2Rep1Payer3ImpactR2)*calcReg1Seg2Payer3TierImpactR2</f>
        <v>-1.3499999999999997E-4</v>
      </c>
      <c r="F1223" s="511">
        <f>(calcReg1Seg2Rep1Payer3ImpactR2)*calcReg1Seg2Payer3TierImpactR2</f>
        <v>-1.3499999999999997E-4</v>
      </c>
      <c r="G1223" s="511">
        <f>(calcReg1Seg2Rep1Payer3ImpactR2)*calcReg1Seg2Payer3TierImpactR2</f>
        <v>-1.3499999999999997E-4</v>
      </c>
      <c r="H1223" s="511">
        <f>(calcReg1Seg2Rep1Payer3ImpactR2)*calcReg1Seg2Payer3TierImpactR2</f>
        <v>-1.3499999999999997E-4</v>
      </c>
      <c r="I1223" s="511">
        <f>(calcReg1Seg2Rep1Payer3ImpactR2)*calcReg1Seg2Payer3TierImpactR2</f>
        <v>-1.3499999999999997E-4</v>
      </c>
      <c r="J1223" t="s">
        <v>3355</v>
      </c>
    </row>
    <row r="1225" spans="1:10" s="4" customFormat="1">
      <c r="C1225" s="4" t="s">
        <v>1534</v>
      </c>
      <c r="E1225" s="500">
        <f>SUM(E1219:E1224)</f>
        <v>5.1559615384615389E-3</v>
      </c>
      <c r="F1225" s="500">
        <f>SUM(F1219:F1224)</f>
        <v>5.1559615384615389E-3</v>
      </c>
      <c r="G1225" s="500">
        <f>SUM(G1219:G1224)</f>
        <v>5.1559615384615389E-3</v>
      </c>
      <c r="H1225" s="500">
        <f>SUM(H1219:H1224)</f>
        <v>5.1559615384615389E-3</v>
      </c>
      <c r="I1225" s="500">
        <f>SUM(I1219:I1224)</f>
        <v>5.1559615384615389E-3</v>
      </c>
      <c r="J1225" s="4" t="s">
        <v>1799</v>
      </c>
    </row>
    <row r="1226" spans="1:10">
      <c r="C1226" t="s">
        <v>1490</v>
      </c>
      <c r="E1226" s="380">
        <f>MAX(calcReg1Seg2Payer3MarketGrowthCustR2*calcReg1Seg2Payer3ShareNewCustR2,0)</f>
        <v>31.036463999524042</v>
      </c>
      <c r="F1226" s="380">
        <f>MAX(calcReg1Seg2Payer3MarketGrowthCustR2*calcReg1Seg2Payer3ShareNewCustR2,0)</f>
        <v>31.036463999524042</v>
      </c>
      <c r="G1226" s="380">
        <f>MAX(calcReg1Seg2Payer3MarketGrowthCustR2*calcReg1Seg2Payer3ShareNewCustR2,0)</f>
        <v>31.036463999524042</v>
      </c>
      <c r="H1226" s="380">
        <f>MAX(calcReg1Seg2Payer3MarketGrowthCustR2*calcReg1Seg2Payer3ShareNewCustR2,0)</f>
        <v>31.036463999524042</v>
      </c>
      <c r="I1226" s="380">
        <f>MAX(calcReg1Seg2Payer3MarketGrowthCustR2*calcReg1Seg2Payer3ShareNewCustR2,0)</f>
        <v>31.036463999524042</v>
      </c>
      <c r="J1226" s="4" t="s">
        <v>1800</v>
      </c>
    </row>
    <row r="1228" spans="1:10">
      <c r="C1228" t="s">
        <v>1537</v>
      </c>
      <c r="E1228" s="380">
        <f>calcReg1Seg2Payer3MarketRecurCustR2+calcReg1Seg2Payer3MarketGrowthCustR2</f>
        <v>39705.964973000002</v>
      </c>
      <c r="F1228" s="380">
        <f>calcReg1Seg2Payer3MarketRecurCustR2+calcReg1Seg2Payer3MarketGrowthCustR2</f>
        <v>39705.964973000002</v>
      </c>
      <c r="G1228" s="380">
        <f>calcReg1Seg2Payer3MarketRecurCustR2+calcReg1Seg2Payer3MarketGrowthCustR2</f>
        <v>39705.964973000002</v>
      </c>
      <c r="H1228" s="380">
        <f>calcReg1Seg2Payer3MarketRecurCustR2+calcReg1Seg2Payer3MarketGrowthCustR2</f>
        <v>39705.964973000002</v>
      </c>
      <c r="I1228" s="380">
        <f>calcReg1Seg2Payer3MarketRecurCustR2+calcReg1Seg2Payer3MarketGrowthCustR2</f>
        <v>39705.964973000002</v>
      </c>
      <c r="J1228" t="s">
        <v>1801</v>
      </c>
    </row>
    <row r="1229" spans="1:10">
      <c r="C1229" t="s">
        <v>1539</v>
      </c>
      <c r="E1229" s="380">
        <f>calcReg1Seg2Payer3VolumeRecurCustR2+calcReg1Seg2Payer3VolumeNewCustR2</f>
        <v>204.72242824828905</v>
      </c>
      <c r="F1229" s="380">
        <f>calcReg1Seg2Payer3VolumeRecurCustR2+calcReg1Seg2Payer3VolumeNewCustR2</f>
        <v>204.72242824828905</v>
      </c>
      <c r="G1229" s="380">
        <f>calcReg1Seg2Payer3VolumeRecurCustR2+calcReg1Seg2Payer3VolumeNewCustR2</f>
        <v>204.72242824828905</v>
      </c>
      <c r="H1229" s="380">
        <f>calcReg1Seg2Payer3VolumeRecurCustR2+calcReg1Seg2Payer3VolumeNewCustR2</f>
        <v>204.72242824828905</v>
      </c>
      <c r="I1229" s="380">
        <f>calcReg1Seg2Payer3VolumeRecurCustR2+calcReg1Seg2Payer3VolumeNewCustR2</f>
        <v>204.72242824828905</v>
      </c>
      <c r="J1229" t="s">
        <v>1802</v>
      </c>
    </row>
    <row r="1230" spans="1:10" s="4" customFormat="1">
      <c r="C1230" s="4" t="s">
        <v>841</v>
      </c>
      <c r="E1230" s="500">
        <f>calcReg1Seg2Payer3VolumeR1/calcReg1Seg2Payer3TotalVolumeR1</f>
        <v>5.4034615384615384E-3</v>
      </c>
      <c r="F1230" s="500">
        <f>calcReg1Seg2Payer3VolumeR1/calcReg1Seg2Payer3TotalVolumeR1</f>
        <v>5.4034615384615384E-3</v>
      </c>
      <c r="G1230" s="500">
        <f>calcReg1Seg2Payer3VolumeR1/calcReg1Seg2Payer3TotalVolumeR1</f>
        <v>5.4034615384615384E-3</v>
      </c>
      <c r="H1230" s="500">
        <f>calcReg1Seg2Payer3VolumeR1/calcReg1Seg2Payer3TotalVolumeR1</f>
        <v>5.4034615384615384E-3</v>
      </c>
      <c r="I1230" s="500">
        <f>calcReg1Seg2Payer3VolumeR1/calcReg1Seg2Payer3TotalVolumeR1</f>
        <v>5.4034615384615384E-3</v>
      </c>
      <c r="J1230" s="4" t="s">
        <v>1803</v>
      </c>
    </row>
    <row r="1231" spans="1:10">
      <c r="A1231" s="4"/>
    </row>
    <row r="1232" spans="1:10" s="502" customFormat="1">
      <c r="A1232" s="501" t="str">
        <f>nmReg1Seg3</f>
        <v>Harrenhal</v>
      </c>
    </row>
    <row r="1233" spans="1:10" s="376" customFormat="1">
      <c r="A1233" s="376" t="str">
        <f>nmPayer1</f>
        <v>Blue Sword/Blue Shield</v>
      </c>
    </row>
    <row r="1234" spans="1:10">
      <c r="A1234" s="16" t="s">
        <v>1488</v>
      </c>
      <c r="C1234" s="4" t="s">
        <v>803</v>
      </c>
      <c r="E1234" s="380">
        <f>INDEX(dataReg1Seg3Payer1TotalVolume,,3)</f>
        <v>33532.7048</v>
      </c>
      <c r="F1234" s="380">
        <f>INDEX(dataReg1Seg3Payer1TotalVolume,,3)</f>
        <v>33532.7048</v>
      </c>
      <c r="G1234" s="380">
        <f>INDEX(dataReg1Seg3Payer1TotalVolume,,3)</f>
        <v>33532.7048</v>
      </c>
      <c r="H1234" s="380">
        <f>INDEX(dataReg1Seg3Payer1TotalVolume,,3)</f>
        <v>33532.7048</v>
      </c>
      <c r="I1234" s="380">
        <f>INDEX(dataReg1Seg3Payer1TotalVolume,,3)</f>
        <v>33532.7048</v>
      </c>
      <c r="J1234" t="s">
        <v>1804</v>
      </c>
    </row>
    <row r="1235" spans="1:10">
      <c r="C1235" t="s">
        <v>3253</v>
      </c>
      <c r="E1235" t="str">
        <f>obalReg1Payer1Status</f>
        <v>T2 DGSE</v>
      </c>
      <c r="F1235" t="str">
        <f>obalReg1Payer1Status</f>
        <v>T2 DGSE</v>
      </c>
      <c r="G1235" t="str">
        <f>obalReg1Payer1Status</f>
        <v>T2 DGSE</v>
      </c>
      <c r="H1235" t="str">
        <f>obalReg1Payer1Status</f>
        <v>T2 DGSE</v>
      </c>
      <c r="I1235" t="str">
        <f>obalReg1Payer1Status</f>
        <v>T2 DGSE</v>
      </c>
    </row>
    <row r="1236" spans="1:10">
      <c r="C1236" t="s">
        <v>2887</v>
      </c>
      <c r="E1236">
        <f>INDEX(dataTierVolumeImpact,MATCH(E1235,MarketData!$K$12:$K$17,0),)</f>
        <v>1.1000000000000001</v>
      </c>
      <c r="F1236">
        <f>INDEX(dataTierVolumeImpact,MATCH(F1235,MarketData!$K$12:$K$17,0),)</f>
        <v>1.1000000000000001</v>
      </c>
      <c r="G1236">
        <f>INDEX(dataTierVolumeImpact,MATCH(G1235,MarketData!$K$12:$K$17,0),)</f>
        <v>1.1000000000000001</v>
      </c>
      <c r="H1236">
        <f>INDEX(dataTierVolumeImpact,MATCH(H1235,MarketData!$K$12:$K$17,0),)</f>
        <v>1.1000000000000001</v>
      </c>
      <c r="I1236">
        <f>INDEX(dataTierVolumeImpact,MATCH(I1235,MarketData!$K$12:$K$17,0),)</f>
        <v>1.1000000000000001</v>
      </c>
      <c r="J1236" t="s">
        <v>3356</v>
      </c>
    </row>
    <row r="1237" spans="1:10">
      <c r="C1237" t="s">
        <v>1487</v>
      </c>
      <c r="E1237" s="465">
        <f>obalReg1Seg3Payer1Share</f>
        <v>6.1368421052631584E-3</v>
      </c>
      <c r="F1237" s="465">
        <f>obalReg1Seg3Payer1Share</f>
        <v>6.1368421052631584E-3</v>
      </c>
      <c r="G1237" s="465">
        <f>obalReg1Seg3Payer1Share</f>
        <v>6.1368421052631584E-3</v>
      </c>
      <c r="H1237" s="465">
        <f>obalReg1Seg3Payer1Share</f>
        <v>6.1368421052631584E-3</v>
      </c>
      <c r="I1237" s="465">
        <f>obalReg1Seg3Payer1Share</f>
        <v>6.1368421052631584E-3</v>
      </c>
    </row>
    <row r="1238" spans="1:10">
      <c r="C1238" t="s">
        <v>516</v>
      </c>
      <c r="E1238" s="511">
        <f>(calcReg1Seg3SampleAllocR1/obalReg1Seg3SampleAlloc-1)*INDEX(datatblReg1Seg3Payer1,1,)*calcReg1Seg3Payer1TierImpactR1</f>
        <v>0</v>
      </c>
      <c r="F1238" s="511">
        <f>(calcReg1Seg3SampleAllocR1/obalReg1Seg3SampleAlloc-1)*INDEX(datatblReg1Seg3Payer1,1,)</f>
        <v>0</v>
      </c>
      <c r="G1238" s="511">
        <f>(calcReg1Seg3SampleAllocR1/obalReg1Seg3SampleAlloc-1)*INDEX(datatblReg1Seg3Payer1,1,)</f>
        <v>0</v>
      </c>
      <c r="H1238" s="511">
        <f>(calcReg1Seg3SampleAllocR1/obalReg1Seg3SampleAlloc-1)*INDEX(datatblReg1Seg3Payer1,1,)</f>
        <v>0</v>
      </c>
      <c r="I1238" s="511">
        <f>(calcReg1Seg3SampleAllocR1/obalReg1Seg3SampleAlloc-1)*INDEX(datatblReg1Seg3Payer1,1,)</f>
        <v>0</v>
      </c>
      <c r="J1238" t="s">
        <v>3357</v>
      </c>
    </row>
    <row r="1239" spans="1:10">
      <c r="C1239" t="s">
        <v>517</v>
      </c>
      <c r="E1239" s="511">
        <f>(calcReg1Seg3SpeakerAllocR1/obalReg1Seg3SpeakerAlloc-1)*INDEX(datatblReg1Seg3Payer1,2,)*(calcReg1Seg3Payer1TierImpactR1)</f>
        <v>0</v>
      </c>
      <c r="F1239" s="511">
        <f>(calcReg1Seg3SpeakerAllocR1/obalReg1Seg3SpeakerAlloc-1)*INDEX(datatblReg1Seg3Payer1,2,)</f>
        <v>0</v>
      </c>
      <c r="G1239" s="511">
        <f>(calcReg1Seg3SpeakerAllocR1/obalReg1Seg3SpeakerAlloc-1)*INDEX(datatblReg1Seg3Payer1,2,)</f>
        <v>0</v>
      </c>
      <c r="H1239" s="511">
        <f>(calcReg1Seg3SpeakerAllocR1/obalReg1Seg3SpeakerAlloc-1)*INDEX(datatblReg1Seg3Payer1,2,)</f>
        <v>0</v>
      </c>
      <c r="I1239" s="511">
        <f>(calcReg1Seg3SpeakerAllocR1/obalReg1Seg3SpeakerAlloc-1)*INDEX(datatblReg1Seg3Payer1,2,)</f>
        <v>0</v>
      </c>
      <c r="J1239" t="s">
        <v>3358</v>
      </c>
    </row>
    <row r="1240" spans="1:10">
      <c r="C1240" t="s">
        <v>2333</v>
      </c>
      <c r="E1240" s="511">
        <f>(calcReg1Seg3PromotionAllocR1/obalReg1Seg3PromotionAlloc-1)*INDEX(datatblReg1Seg3Payer1,3,)*calcReg1Seg3Payer1TierImpactR1</f>
        <v>0</v>
      </c>
      <c r="F1240" s="511">
        <f>(calcReg1Seg3PromotionAllocR1/obalReg1Seg3PromotionAlloc-1)*INDEX(datatblReg1Seg3Payer1,3,)</f>
        <v>0</v>
      </c>
      <c r="G1240" s="511">
        <f>(calcReg1Seg3PromotionAllocR1/obalReg1Seg3PromotionAlloc-1)*INDEX(datatblReg1Seg3Payer1,3,)</f>
        <v>0</v>
      </c>
      <c r="H1240" s="511">
        <f>(calcReg1Seg3PromotionAllocR1/obalReg1Seg3PromotionAlloc-1)*INDEX(datatblReg1Seg3Payer1,3,)</f>
        <v>0</v>
      </c>
      <c r="I1240" s="511">
        <f>(calcReg1Seg3PromotionAllocR1/obalReg1Seg3PromotionAlloc-1)*INDEX(datatblReg1Seg3Payer1,3,)</f>
        <v>0</v>
      </c>
      <c r="J1240" t="s">
        <v>3359</v>
      </c>
    </row>
    <row r="1241" spans="1:10">
      <c r="C1241" t="s">
        <v>2646</v>
      </c>
      <c r="E1241" s="511">
        <f>(calcReg1Seg3Rep1Payer1ImpactR1)*calcReg1Seg3Payer1TierImpactR1</f>
        <v>-5.4999999999999934E-5</v>
      </c>
      <c r="F1241" s="511">
        <f>(calcReg1Seg3Rep1Payer1ImpactR1)*calcReg1Seg3Payer1TierImpactR1</f>
        <v>-5.4999999999999934E-5</v>
      </c>
      <c r="G1241" s="511">
        <f>(calcReg1Seg3Rep1Payer1ImpactR1)*calcReg1Seg3Payer1TierImpactR1</f>
        <v>-5.4999999999999934E-5</v>
      </c>
      <c r="H1241" s="511">
        <f>(calcReg1Seg3Rep1Payer1ImpactR1)*calcReg1Seg3Payer1TierImpactR1</f>
        <v>-5.4999999999999934E-5</v>
      </c>
      <c r="I1241" s="511">
        <f>(calcReg1Seg3Rep1Payer1ImpactR1)*calcReg1Seg3Payer1TierImpactR1</f>
        <v>-5.4999999999999934E-5</v>
      </c>
      <c r="J1241" t="s">
        <v>3360</v>
      </c>
    </row>
    <row r="1242" spans="1:10" s="4" customFormat="1">
      <c r="C1242" s="4" t="s">
        <v>1489</v>
      </c>
      <c r="E1242" s="500">
        <f>SUM(E1237:E1241)</f>
        <v>6.0818421052631581E-3</v>
      </c>
      <c r="F1242" s="500">
        <f t="shared" ref="F1242:I1242" si="56">SUM(F1237:F1241)</f>
        <v>6.0818421052631581E-3</v>
      </c>
      <c r="G1242" s="500">
        <f t="shared" si="56"/>
        <v>6.0818421052631581E-3</v>
      </c>
      <c r="H1242" s="500">
        <f t="shared" si="56"/>
        <v>6.0818421052631581E-3</v>
      </c>
      <c r="I1242" s="500">
        <f t="shared" si="56"/>
        <v>6.0818421052631581E-3</v>
      </c>
      <c r="J1242" s="4" t="s">
        <v>1805</v>
      </c>
    </row>
    <row r="1243" spans="1:10">
      <c r="C1243" t="s">
        <v>1490</v>
      </c>
      <c r="E1243" s="380">
        <f>MAX(calcReg1Seg3Payer1MarketRecurCustR1*calcReg1Seg3Payer1ShareRecurCustR1,0)</f>
        <v>203.94061595600002</v>
      </c>
      <c r="F1243" s="380">
        <f>MAX(calcReg1Seg3Payer1MarketRecurCustR1*calcReg1Seg3Payer1ShareRecurCustR1,0)</f>
        <v>203.94061595600002</v>
      </c>
      <c r="G1243" s="380">
        <f>MAX(calcReg1Seg3Payer1MarketRecurCustR1*calcReg1Seg3Payer1ShareRecurCustR1,0)</f>
        <v>203.94061595600002</v>
      </c>
      <c r="H1243" s="380">
        <f>MAX(calcReg1Seg3Payer1MarketRecurCustR1*calcReg1Seg3Payer1ShareRecurCustR1,0)</f>
        <v>203.94061595600002</v>
      </c>
      <c r="I1243" s="380">
        <f>MAX(calcReg1Seg3Payer1MarketRecurCustR1*calcReg1Seg3Payer1ShareRecurCustR1,0)</f>
        <v>203.94061595600002</v>
      </c>
      <c r="J1243" t="s">
        <v>1806</v>
      </c>
    </row>
    <row r="1245" spans="1:10">
      <c r="C1245" t="s">
        <v>804</v>
      </c>
      <c r="E1245" s="380">
        <f>INDEX(dataReg1Seg3Payer1NewVolume,,3)</f>
        <v>5856.9</v>
      </c>
      <c r="F1245" s="380">
        <f>INDEX(dataReg1Seg3Payer1NewVolume,,3)</f>
        <v>5856.9</v>
      </c>
      <c r="G1245" s="380">
        <f>INDEX(dataReg1Seg3Payer1NewVolume,,3)</f>
        <v>5856.9</v>
      </c>
      <c r="H1245" s="380">
        <f>INDEX(dataReg1Seg3Payer1NewVolume,,3)</f>
        <v>5856.9</v>
      </c>
      <c r="I1245" s="380">
        <f>INDEX(dataReg1Seg3Payer1NewVolume,,3)</f>
        <v>5856.9</v>
      </c>
      <c r="J1245" t="s">
        <v>1807</v>
      </c>
    </row>
    <row r="1247" spans="1:10">
      <c r="C1247" t="s">
        <v>1486</v>
      </c>
      <c r="E1247" s="465">
        <f>obalReg1Seg3Payer1Share</f>
        <v>6.1368421052631584E-3</v>
      </c>
      <c r="F1247" s="465">
        <f>obalReg1Seg3Payer1Share</f>
        <v>6.1368421052631584E-3</v>
      </c>
      <c r="G1247" s="465">
        <f>obalReg1Seg3Payer1Share</f>
        <v>6.1368421052631584E-3</v>
      </c>
      <c r="H1247" s="465">
        <f>obalReg1Seg3Payer1Share</f>
        <v>6.1368421052631584E-3</v>
      </c>
      <c r="I1247" s="465">
        <f>obalReg1Seg3Payer1Share</f>
        <v>6.1368421052631584E-3</v>
      </c>
    </row>
    <row r="1248" spans="1:10">
      <c r="C1248" t="s">
        <v>516</v>
      </c>
      <c r="E1248" s="511">
        <f>(calcReg1Seg3SampleAllocR1/obalReg1Seg3SampleAlloc-1)*INDEX(datatblReg1Seg3Payer1,1,)*calcReg1Seg3Payer1TierImpactR1</f>
        <v>0</v>
      </c>
      <c r="F1248" s="511">
        <f>(calcReg1Seg3SampleAllocR1/obalReg1Seg3SampleAlloc-1)*INDEX(datatblReg1Seg3Payer1,1,)</f>
        <v>0</v>
      </c>
      <c r="G1248" s="511">
        <f>(calcReg1Seg3SampleAllocR1/obalReg1Seg3SampleAlloc-1)*INDEX(datatblReg1Seg3Payer1,1,)</f>
        <v>0</v>
      </c>
      <c r="H1248" s="511">
        <f>(calcReg1Seg3SampleAllocR1/obalReg1Seg3SampleAlloc-1)*INDEX(datatblReg1Seg3Payer1,1,)</f>
        <v>0</v>
      </c>
      <c r="I1248" s="511">
        <f>(calcReg1Seg3SampleAllocR1/obalReg1Seg3SampleAlloc-1)*INDEX(datatblReg1Seg3Payer1,1,)</f>
        <v>0</v>
      </c>
      <c r="J1248" t="s">
        <v>3361</v>
      </c>
    </row>
    <row r="1249" spans="1:10">
      <c r="C1249" t="s">
        <v>517</v>
      </c>
      <c r="E1249" s="511">
        <f>(calcReg1Seg3SpeakerAllocR1/obalReg1Seg3SpeakerAlloc-1)*INDEX(datatblReg1Seg3Payer1,2,)*(calcReg1Seg3Payer1TierImpactR1)</f>
        <v>0</v>
      </c>
      <c r="F1249" s="511">
        <f>(calcReg1Seg3SpeakerAllocR1/obalReg1Seg3SpeakerAlloc-1)*INDEX(datatblReg1Seg3Payer1,2,)</f>
        <v>0</v>
      </c>
      <c r="G1249" s="511">
        <f>(calcReg1Seg3SpeakerAllocR1/obalReg1Seg3SpeakerAlloc-1)*INDEX(datatblReg1Seg3Payer1,2,)</f>
        <v>0</v>
      </c>
      <c r="H1249" s="511">
        <f>(calcReg1Seg3SpeakerAllocR1/obalReg1Seg3SpeakerAlloc-1)*INDEX(datatblReg1Seg3Payer1,2,)</f>
        <v>0</v>
      </c>
      <c r="I1249" s="511">
        <f>(calcReg1Seg3SpeakerAllocR1/obalReg1Seg3SpeakerAlloc-1)*INDEX(datatblReg1Seg3Payer1,2,)</f>
        <v>0</v>
      </c>
      <c r="J1249" t="s">
        <v>3362</v>
      </c>
    </row>
    <row r="1250" spans="1:10">
      <c r="C1250" t="s">
        <v>2333</v>
      </c>
      <c r="E1250" s="511">
        <f>(calcReg1Seg3PromotionAllocR1/obalReg1Seg3PromotionAlloc-1)*INDEX(datatblReg1Seg3Payer1,3,)*calcReg1Seg3Payer1TierImpactR1</f>
        <v>0</v>
      </c>
      <c r="F1250" s="511">
        <f>(calcReg1Seg3PromotionAllocR1/obalReg1Seg3PromotionAlloc-1)*INDEX(datatblReg1Seg3Payer1,3,)</f>
        <v>0</v>
      </c>
      <c r="G1250" s="511">
        <f>(calcReg1Seg3PromotionAllocR1/obalReg1Seg3PromotionAlloc-1)*INDEX(datatblReg1Seg3Payer1,3,)</f>
        <v>0</v>
      </c>
      <c r="H1250" s="511">
        <f>(calcReg1Seg3PromotionAllocR1/obalReg1Seg3PromotionAlloc-1)*INDEX(datatblReg1Seg3Payer1,3,)</f>
        <v>0</v>
      </c>
      <c r="I1250" s="511">
        <f>(calcReg1Seg3PromotionAllocR1/obalReg1Seg3PromotionAlloc-1)*INDEX(datatblReg1Seg3Payer1,3,)</f>
        <v>0</v>
      </c>
      <c r="J1250" t="s">
        <v>3363</v>
      </c>
    </row>
    <row r="1251" spans="1:10">
      <c r="C1251" t="s">
        <v>2646</v>
      </c>
      <c r="E1251" s="511">
        <f>(calcReg1Seg3Rep1Payer1ImpactR1)*calcReg1Seg3Payer1TierImpactR1</f>
        <v>-5.4999999999999934E-5</v>
      </c>
      <c r="F1251" s="511">
        <f>(calcReg1Seg3Rep1Payer1ImpactR1)*calcReg1Seg3Payer1TierImpactR1</f>
        <v>-5.4999999999999934E-5</v>
      </c>
      <c r="G1251" s="511">
        <f>(calcReg1Seg3Rep1Payer1ImpactR1)*calcReg1Seg3Payer1TierImpactR1</f>
        <v>-5.4999999999999934E-5</v>
      </c>
      <c r="H1251" s="511">
        <f>(calcReg1Seg3Rep1Payer1ImpactR1)*calcReg1Seg3Payer1TierImpactR1</f>
        <v>-5.4999999999999934E-5</v>
      </c>
      <c r="I1251" s="511">
        <f>(calcReg1Seg3Rep1Payer1ImpactR1)*calcReg1Seg3Payer1TierImpactR1</f>
        <v>-5.4999999999999934E-5</v>
      </c>
      <c r="J1251" t="s">
        <v>3364</v>
      </c>
    </row>
    <row r="1252" spans="1:10">
      <c r="C1252" t="s">
        <v>2905</v>
      </c>
    </row>
    <row r="1253" spans="1:10" s="4" customFormat="1">
      <c r="C1253" s="4" t="s">
        <v>1534</v>
      </c>
      <c r="E1253" s="500">
        <f>SUM(E1247:E1252)</f>
        <v>6.0818421052631581E-3</v>
      </c>
      <c r="F1253" s="500">
        <f>SUM(F1247:F1252)</f>
        <v>6.0818421052631581E-3</v>
      </c>
      <c r="G1253" s="500">
        <f>SUM(G1247:G1252)</f>
        <v>6.0818421052631581E-3</v>
      </c>
      <c r="H1253" s="500">
        <f>SUM(H1247:H1252)</f>
        <v>6.0818421052631581E-3</v>
      </c>
      <c r="I1253" s="500">
        <f>SUM(I1247:I1252)</f>
        <v>6.0818421052631581E-3</v>
      </c>
      <c r="J1253" s="4" t="s">
        <v>1808</v>
      </c>
    </row>
    <row r="1254" spans="1:10">
      <c r="C1254" t="s">
        <v>1490</v>
      </c>
      <c r="E1254" s="380">
        <f>MAX(calcReg1Seg3Payer1MarketGrowthCustR1*calcReg1Seg3Payer1ShareNewCustR1,0)</f>
        <v>35.620741026315791</v>
      </c>
      <c r="F1254" s="380">
        <f>MAX(calcReg1Seg3Payer1MarketGrowthCustR1*calcReg1Seg3Payer1ShareNewCustR1,0)</f>
        <v>35.620741026315791</v>
      </c>
      <c r="G1254" s="380">
        <f>MAX(calcReg1Seg3Payer1MarketGrowthCustR1*calcReg1Seg3Payer1ShareNewCustR1,0)</f>
        <v>35.620741026315791</v>
      </c>
      <c r="H1254" s="380">
        <f>MAX(calcReg1Seg3Payer1MarketGrowthCustR1*calcReg1Seg3Payer1ShareNewCustR1,0)</f>
        <v>35.620741026315791</v>
      </c>
      <c r="I1254" s="380">
        <f>MAX(calcReg1Seg3Payer1MarketGrowthCustR1*calcReg1Seg3Payer1ShareNewCustR1,0)</f>
        <v>35.620741026315791</v>
      </c>
      <c r="J1254" s="4" t="s">
        <v>1809</v>
      </c>
    </row>
    <row r="1256" spans="1:10">
      <c r="C1256" t="s">
        <v>1537</v>
      </c>
      <c r="E1256" s="380">
        <f>calcReg1Seg3Payer1MarketRecurCustR1+calcReg1Seg3Payer1MarketGrowthCustR1</f>
        <v>39389.604800000001</v>
      </c>
      <c r="F1256" s="380">
        <f>calcReg1Seg3Payer1MarketRecurCustR1+calcReg1Seg3Payer1MarketGrowthCustR1</f>
        <v>39389.604800000001</v>
      </c>
      <c r="G1256" s="380">
        <f>calcReg1Seg3Payer1MarketRecurCustR1+calcReg1Seg3Payer1MarketGrowthCustR1</f>
        <v>39389.604800000001</v>
      </c>
      <c r="H1256" s="380">
        <f>calcReg1Seg3Payer1MarketRecurCustR1+calcReg1Seg3Payer1MarketGrowthCustR1</f>
        <v>39389.604800000001</v>
      </c>
      <c r="I1256" s="380">
        <f>calcReg1Seg3Payer1MarketRecurCustR1+calcReg1Seg3Payer1MarketGrowthCustR1</f>
        <v>39389.604800000001</v>
      </c>
      <c r="J1256" t="s">
        <v>1810</v>
      </c>
    </row>
    <row r="1257" spans="1:10">
      <c r="C1257" t="s">
        <v>1539</v>
      </c>
      <c r="E1257" s="380">
        <f>calcReg1Seg3Payer1VolumeRecurCustR1+calcReg1Seg3Payer1VolumeNewCustR1</f>
        <v>239.5613569823158</v>
      </c>
      <c r="F1257" s="380">
        <f>calcReg1Seg3Payer1VolumeRecurCustR1+calcReg1Seg3Payer1VolumeNewCustR1</f>
        <v>239.5613569823158</v>
      </c>
      <c r="G1257" s="380">
        <f>calcReg1Seg3Payer1VolumeRecurCustR1+calcReg1Seg3Payer1VolumeNewCustR1</f>
        <v>239.5613569823158</v>
      </c>
      <c r="H1257" s="380">
        <f>calcReg1Seg3Payer1VolumeRecurCustR1+calcReg1Seg3Payer1VolumeNewCustR1</f>
        <v>239.5613569823158</v>
      </c>
      <c r="I1257" s="380">
        <f>calcReg1Seg3Payer1VolumeRecurCustR1+calcReg1Seg3Payer1VolumeNewCustR1</f>
        <v>239.5613569823158</v>
      </c>
      <c r="J1257" t="s">
        <v>1811</v>
      </c>
    </row>
    <row r="1258" spans="1:10" s="4" customFormat="1">
      <c r="C1258" s="4" t="s">
        <v>841</v>
      </c>
      <c r="E1258" s="500">
        <f>calcReg1Seg3Payer1VolumeR1/calcReg1Seg3Payer1TotalVolumeR1</f>
        <v>6.0818421052631581E-3</v>
      </c>
      <c r="F1258" s="500">
        <f>calcReg1Seg3Payer1VolumeR1/calcReg1Seg3Payer1TotalVolumeR1</f>
        <v>6.0818421052631581E-3</v>
      </c>
      <c r="G1258" s="500">
        <f>calcReg1Seg3Payer1VolumeR1/calcReg1Seg3Payer1TotalVolumeR1</f>
        <v>6.0818421052631581E-3</v>
      </c>
      <c r="H1258" s="500">
        <f>calcReg1Seg3Payer1VolumeR1/calcReg1Seg3Payer1TotalVolumeR1</f>
        <v>6.0818421052631581E-3</v>
      </c>
      <c r="I1258" s="500">
        <f>calcReg1Seg3Payer1VolumeR1/calcReg1Seg3Payer1TotalVolumeR1</f>
        <v>6.0818421052631581E-3</v>
      </c>
      <c r="J1258" s="4" t="s">
        <v>1812</v>
      </c>
    </row>
    <row r="1260" spans="1:10">
      <c r="A1260" s="16" t="s">
        <v>1551</v>
      </c>
      <c r="C1260" t="s">
        <v>803</v>
      </c>
      <c r="E1260" s="380">
        <f>INDEX(dataReg1Seg3Payer1TotalVolume,,4)</f>
        <v>37891.956424000004</v>
      </c>
      <c r="F1260" s="380">
        <f>INDEX(dataReg1Seg3Payer1TotalVolume,,4)</f>
        <v>37891.956424000004</v>
      </c>
      <c r="G1260" s="380">
        <f>INDEX(dataReg1Seg3Payer1TotalVolume,,4)</f>
        <v>37891.956424000004</v>
      </c>
      <c r="H1260" s="380">
        <f>INDEX(dataReg1Seg3Payer1TotalVolume,,4)</f>
        <v>37891.956424000004</v>
      </c>
      <c r="I1260" s="380">
        <f>INDEX(dataReg1Seg3Payer1TotalVolume,,4)</f>
        <v>37891.956424000004</v>
      </c>
      <c r="J1260" t="s">
        <v>1813</v>
      </c>
    </row>
    <row r="1261" spans="1:10">
      <c r="C1261" t="s">
        <v>3253</v>
      </c>
      <c r="E1261" t="str">
        <f>cbalReg1Payer1Status</f>
        <v>T3 DSE</v>
      </c>
      <c r="F1261" t="str">
        <f>cbalReg1Payer1Status</f>
        <v>T3 DSE</v>
      </c>
      <c r="G1261" t="str">
        <f>cbalReg1Payer1Status</f>
        <v>T3 DSE</v>
      </c>
      <c r="H1261" t="str">
        <f>cbalReg1Payer1Status</f>
        <v>T3 DSE</v>
      </c>
      <c r="I1261" t="str">
        <f>cbalReg1Payer1Status</f>
        <v>T3 DSE</v>
      </c>
    </row>
    <row r="1262" spans="1:10">
      <c r="C1262" t="s">
        <v>2887</v>
      </c>
      <c r="E1262">
        <f>INDEX(dataTierVolumeImpact,MATCH(E1261,MarketData!$K$12:$K$17,0),)</f>
        <v>0.88</v>
      </c>
      <c r="F1262">
        <f>INDEX(dataTierVolumeImpact,MATCH(F1261,MarketData!$K$12:$K$17,0),)</f>
        <v>0.88</v>
      </c>
      <c r="G1262">
        <f>INDEX(dataTierVolumeImpact,MATCH(G1261,MarketData!$K$12:$K$17,0),)</f>
        <v>0.88</v>
      </c>
      <c r="H1262">
        <f>INDEX(dataTierVolumeImpact,MATCH(H1261,MarketData!$K$12:$K$17,0),)</f>
        <v>0.88</v>
      </c>
      <c r="I1262">
        <f>INDEX(dataTierVolumeImpact,MATCH(I1261,MarketData!$K$12:$K$17,0),)</f>
        <v>0.88</v>
      </c>
      <c r="J1262" t="s">
        <v>3365</v>
      </c>
    </row>
    <row r="1263" spans="1:10">
      <c r="C1263" t="s">
        <v>1487</v>
      </c>
      <c r="E1263" s="465">
        <f>calcReg1Seg3Payer1ShareTotalCustR1</f>
        <v>6.0818421052631581E-3</v>
      </c>
      <c r="F1263" s="465">
        <f>calcReg1Seg3Payer1ShareTotalCustR1</f>
        <v>6.0818421052631581E-3</v>
      </c>
      <c r="G1263" s="465">
        <f>calcReg1Seg3Payer1ShareTotalCustR1</f>
        <v>6.0818421052631581E-3</v>
      </c>
      <c r="H1263" s="465">
        <f>calcReg1Seg3Payer1ShareTotalCustR1</f>
        <v>6.0818421052631581E-3</v>
      </c>
      <c r="I1263" s="465">
        <f>calcReg1Seg3Payer1ShareTotalCustR1</f>
        <v>6.0818421052631581E-3</v>
      </c>
    </row>
    <row r="1264" spans="1:10">
      <c r="C1264" t="s">
        <v>516</v>
      </c>
      <c r="E1264" s="511">
        <f>(calcReg1Seg3SampleAllocR2/calcReg1Seg3SampleAllocR1-1)*INDEX(datatblReg1Seg3Payer1,1,)*calcReg1Seg3Payer1TierImpactR2</f>
        <v>0</v>
      </c>
      <c r="F1264" s="511">
        <f>(calcReg1Seg3SampleAllocR2/calcReg1Seg3SampleAllocR1-1)*INDEX(datatblReg1Seg3Payer1,1,)*calcReg1Seg3Payer1TierImpactR2</f>
        <v>0</v>
      </c>
      <c r="G1264" s="511">
        <f>(calcReg1Seg3SampleAllocR2/calcReg1Seg3SampleAllocR1-1)*INDEX(datatblReg1Seg3Payer1,1,)*calcReg1Seg3Payer1TierImpactR2</f>
        <v>0</v>
      </c>
      <c r="H1264" s="511">
        <f>(calcReg1Seg3SampleAllocR2/calcReg1Seg3SampleAllocR1-1)*INDEX(datatblReg1Seg3Payer1,1,)*calcReg1Seg3Payer1TierImpactR2</f>
        <v>0</v>
      </c>
      <c r="I1264" s="511">
        <f>(calcReg1Seg3SampleAllocR2/calcReg1Seg3SampleAllocR1-1)*INDEX(datatblReg1Seg3Payer1,1,)*calcReg1Seg3Payer1TierImpactR2</f>
        <v>0</v>
      </c>
      <c r="J1264" t="s">
        <v>3127</v>
      </c>
    </row>
    <row r="1265" spans="3:10">
      <c r="C1265" t="s">
        <v>517</v>
      </c>
      <c r="E1265" s="511">
        <f>(calcReg1Seg3SpeakerAllocR2/calcReg1Seg3SpeakerAllocR1-1)*INDEX(datatblReg1Seg3Payer1,2,)*calcReg1Seg3Payer1TierImpactR2</f>
        <v>-4.400000000000004E-5</v>
      </c>
      <c r="F1265" s="511">
        <f>(calcReg1Seg3SpeakerAllocR2/calcReg1Seg3SpeakerAllocR1-1)*INDEX(datatblReg1Seg3Payer1,2,)*calcReg1Seg3Payer1TierImpactR2</f>
        <v>-4.400000000000004E-5</v>
      </c>
      <c r="G1265" s="511">
        <f>(calcReg1Seg3SpeakerAllocR2/calcReg1Seg3SpeakerAllocR1-1)*INDEX(datatblReg1Seg3Payer1,2,)*calcReg1Seg3Payer1TierImpactR2</f>
        <v>-4.400000000000004E-5</v>
      </c>
      <c r="H1265" s="511">
        <f>(calcReg1Seg3SpeakerAllocR2/calcReg1Seg3SpeakerAllocR1-1)*INDEX(datatblReg1Seg3Payer1,2,)*calcReg1Seg3Payer1TierImpactR2</f>
        <v>-4.400000000000004E-5</v>
      </c>
      <c r="I1265" s="511">
        <f>(calcReg1Seg3SpeakerAllocR2/calcReg1Seg3SpeakerAllocR1-1)*INDEX(datatblReg1Seg3Payer1,2,)*calcReg1Seg3Payer1TierImpactR2</f>
        <v>-4.400000000000004E-5</v>
      </c>
      <c r="J1265" t="s">
        <v>3128</v>
      </c>
    </row>
    <row r="1266" spans="3:10">
      <c r="C1266" t="s">
        <v>2333</v>
      </c>
      <c r="E1266" s="511">
        <f>(calcReg1Seg3PromotionAllocR2/calcReg1Seg3PromotionAllocR1-1)*INDEX(datatblReg1Seg3Payer1,3,)*calcReg1Seg3Payer1TierImpactR2</f>
        <v>-6.6000000000000073E-5</v>
      </c>
      <c r="F1266" s="511">
        <f>(calcReg1Seg3PromotionAllocR2/calcReg1Seg3PromotionAllocR1-1)*INDEX(datatblReg1Seg3Payer1,3,)*calcReg1Seg3Payer1TierImpactR2</f>
        <v>-6.6000000000000073E-5</v>
      </c>
      <c r="G1266" s="511">
        <f>(calcReg1Seg3PromotionAllocR2/calcReg1Seg3PromotionAllocR1-1)*INDEX(datatblReg1Seg3Payer1,3,)*calcReg1Seg3Payer1TierImpactR2</f>
        <v>-6.6000000000000073E-5</v>
      </c>
      <c r="H1266" s="511">
        <f>(calcReg1Seg3PromotionAllocR2/calcReg1Seg3PromotionAllocR1-1)*INDEX(datatblReg1Seg3Payer1,3,)*calcReg1Seg3Payer1TierImpactR2</f>
        <v>-6.6000000000000073E-5</v>
      </c>
      <c r="I1266" s="511">
        <f>(calcReg1Seg3PromotionAllocR2/calcReg1Seg3PromotionAllocR1-1)*INDEX(datatblReg1Seg3Payer1,3,)*calcReg1Seg3Payer1TierImpactR2</f>
        <v>-6.6000000000000073E-5</v>
      </c>
      <c r="J1266" t="s">
        <v>3129</v>
      </c>
    </row>
    <row r="1267" spans="3:10">
      <c r="C1267" t="s">
        <v>2646</v>
      </c>
      <c r="E1267" s="511">
        <f>(calcReg1Seg3Rep1Payer1ImpactR2)*calcReg1Seg3Payer1TierImpactR2</f>
        <v>-4.3999999999999945E-5</v>
      </c>
      <c r="F1267" s="511">
        <f>(calcReg1Seg3Rep1Payer1ImpactR2)*calcReg1Seg3Payer1TierImpactR2</f>
        <v>-4.3999999999999945E-5</v>
      </c>
      <c r="G1267" s="511">
        <f>(calcReg1Seg3Rep1Payer1ImpactR2)*calcReg1Seg3Payer1TierImpactR2</f>
        <v>-4.3999999999999945E-5</v>
      </c>
      <c r="H1267" s="511">
        <f>(calcReg1Seg3Rep1Payer1ImpactR2)*calcReg1Seg3Payer1TierImpactR2</f>
        <v>-4.3999999999999945E-5</v>
      </c>
      <c r="I1267" s="511">
        <f>(calcReg1Seg3Rep1Payer1ImpactR2)*calcReg1Seg3Payer1TierImpactR2</f>
        <v>-4.3999999999999945E-5</v>
      </c>
      <c r="J1267" t="s">
        <v>3130</v>
      </c>
    </row>
    <row r="1269" spans="3:10" s="4" customFormat="1">
      <c r="C1269" s="4" t="s">
        <v>1489</v>
      </c>
      <c r="E1269" s="500">
        <f>SUM(E1263:E1268)</f>
        <v>5.9278421052631584E-3</v>
      </c>
      <c r="F1269" s="500">
        <f>SUM(F1263:F1268)</f>
        <v>5.9278421052631584E-3</v>
      </c>
      <c r="G1269" s="500">
        <f>SUM(G1263:G1268)</f>
        <v>5.9278421052631584E-3</v>
      </c>
      <c r="H1269" s="500">
        <f>SUM(H1263:H1268)</f>
        <v>5.9278421052631584E-3</v>
      </c>
      <c r="I1269" s="500">
        <f>SUM(I1263:I1268)</f>
        <v>5.9278421052631584E-3</v>
      </c>
      <c r="J1269" s="4" t="s">
        <v>1814</v>
      </c>
    </row>
    <row r="1270" spans="3:10">
      <c r="C1270" t="s">
        <v>1490</v>
      </c>
      <c r="E1270" s="380">
        <f>MAX(calcReg1Seg3Payer1MarketRecurCustR2*calcReg1Seg3Payer1ShareRecurCustR2,0)</f>
        <v>224.61753474098404</v>
      </c>
      <c r="F1270" s="380">
        <f>MAX(calcReg1Seg3Payer1MarketRecurCustR2*calcReg1Seg3Payer1ShareRecurCustR2,0)</f>
        <v>224.61753474098404</v>
      </c>
      <c r="G1270" s="380">
        <f>MAX(calcReg1Seg3Payer1MarketRecurCustR2*calcReg1Seg3Payer1ShareRecurCustR2,0)</f>
        <v>224.61753474098404</v>
      </c>
      <c r="H1270" s="380">
        <f>MAX(calcReg1Seg3Payer1MarketRecurCustR2*calcReg1Seg3Payer1ShareRecurCustR2,0)</f>
        <v>224.61753474098404</v>
      </c>
      <c r="I1270" s="380">
        <f>MAX(calcReg1Seg3Payer1MarketRecurCustR2*calcReg1Seg3Payer1ShareRecurCustR2,0)</f>
        <v>224.61753474098404</v>
      </c>
      <c r="J1270" t="s">
        <v>1815</v>
      </c>
    </row>
    <row r="1272" spans="3:10">
      <c r="C1272" t="s">
        <v>804</v>
      </c>
      <c r="E1272" s="380">
        <f>INDEX(dataReg1Seg3Payer1NewVolume,,4)</f>
        <v>6618.2970000000005</v>
      </c>
      <c r="F1272" s="380">
        <f>INDEX(dataReg1Seg3Payer1NewVolume,,4)</f>
        <v>6618.2970000000005</v>
      </c>
      <c r="G1272" s="380">
        <f>INDEX(dataReg1Seg3Payer1NewVolume,,4)</f>
        <v>6618.2970000000005</v>
      </c>
      <c r="H1272" s="380">
        <f>INDEX(dataReg1Seg3Payer1NewVolume,,4)</f>
        <v>6618.2970000000005</v>
      </c>
      <c r="I1272" s="380">
        <f>INDEX(dataReg1Seg3Payer1NewVolume,,4)</f>
        <v>6618.2970000000005</v>
      </c>
      <c r="J1272" t="s">
        <v>1816</v>
      </c>
    </row>
    <row r="1274" spans="3:10">
      <c r="C1274" t="s">
        <v>1486</v>
      </c>
      <c r="E1274" s="465">
        <f>calcReg1Seg3Payer1ShareNewCustR1</f>
        <v>6.0818421052631581E-3</v>
      </c>
      <c r="F1274" s="465">
        <f>calcReg1Seg3Payer1ShareNewCustR1</f>
        <v>6.0818421052631581E-3</v>
      </c>
      <c r="G1274" s="465">
        <f>calcReg1Seg3Payer1ShareNewCustR1</f>
        <v>6.0818421052631581E-3</v>
      </c>
      <c r="H1274" s="465">
        <f>calcReg1Seg3Payer1ShareNewCustR1</f>
        <v>6.0818421052631581E-3</v>
      </c>
      <c r="I1274" s="465">
        <f>calcReg1Seg3Payer1ShareNewCustR1</f>
        <v>6.0818421052631581E-3</v>
      </c>
    </row>
    <row r="1275" spans="3:10">
      <c r="C1275" t="s">
        <v>516</v>
      </c>
      <c r="E1275" s="511">
        <f>(calcReg1Seg3SampleAllocR2/calcReg1Seg3SampleAllocR1-1)*INDEX(datatblReg1Seg3Payer1,1,)*calcReg1Seg3Payer1TierImpactR2</f>
        <v>0</v>
      </c>
      <c r="F1275" s="511">
        <f>(calcReg1Seg3SampleAllocR2/calcReg1Seg3SampleAllocR1-1)*INDEX(datatblReg1Seg3Payer1,1,)*calcReg1Seg3Payer1TierImpactR2</f>
        <v>0</v>
      </c>
      <c r="G1275" s="511">
        <f>(calcReg1Seg3SampleAllocR2/calcReg1Seg3SampleAllocR1-1)*INDEX(datatblReg1Seg3Payer1,1,)*calcReg1Seg3Payer1TierImpactR2</f>
        <v>0</v>
      </c>
      <c r="H1275" s="511">
        <f>(calcReg1Seg3SampleAllocR2/calcReg1Seg3SampleAllocR1-1)*INDEX(datatblReg1Seg3Payer1,1,)*calcReg1Seg3Payer1TierImpactR2</f>
        <v>0</v>
      </c>
      <c r="I1275" s="511">
        <f>(calcReg1Seg3SampleAllocR2/calcReg1Seg3SampleAllocR1-1)*INDEX(datatblReg1Seg3Payer1,1,)*calcReg1Seg3Payer1TierImpactR2</f>
        <v>0</v>
      </c>
      <c r="J1275" t="s">
        <v>3366</v>
      </c>
    </row>
    <row r="1276" spans="3:10">
      <c r="C1276" t="s">
        <v>517</v>
      </c>
      <c r="E1276" s="511">
        <f>(calcReg1Seg3SpeakerAllocR2/calcReg1Seg3SpeakerAllocR1-1)*INDEX(datatblReg1Seg3Payer1,2,)*calcReg1Seg3Payer1TierImpactR2</f>
        <v>-4.400000000000004E-5</v>
      </c>
      <c r="F1276" s="511">
        <f>(calcReg1Seg3SpeakerAllocR2/calcReg1Seg3SpeakerAllocR1-1)*INDEX(datatblReg1Seg3Payer1,2,)*calcReg1Seg3Payer1TierImpactR2</f>
        <v>-4.400000000000004E-5</v>
      </c>
      <c r="G1276" s="511">
        <f>(calcReg1Seg3SpeakerAllocR2/calcReg1Seg3SpeakerAllocR1-1)*INDEX(datatblReg1Seg3Payer1,2,)*calcReg1Seg3Payer1TierImpactR2</f>
        <v>-4.400000000000004E-5</v>
      </c>
      <c r="H1276" s="511">
        <f>(calcReg1Seg3SpeakerAllocR2/calcReg1Seg3SpeakerAllocR1-1)*INDEX(datatblReg1Seg3Payer1,2,)*calcReg1Seg3Payer1TierImpactR2</f>
        <v>-4.400000000000004E-5</v>
      </c>
      <c r="I1276" s="511">
        <f>(calcReg1Seg3SpeakerAllocR2/calcReg1Seg3SpeakerAllocR1-1)*INDEX(datatblReg1Seg3Payer1,2,)*calcReg1Seg3Payer1TierImpactR2</f>
        <v>-4.400000000000004E-5</v>
      </c>
      <c r="J1276" t="s">
        <v>3367</v>
      </c>
    </row>
    <row r="1277" spans="3:10">
      <c r="C1277" t="s">
        <v>2333</v>
      </c>
      <c r="E1277" s="511">
        <f>(calcReg1Seg3PromotionAllocR2/calcReg1Seg3PromotionAllocR1-1)*INDEX(datatblReg1Seg3Payer1,3,)*calcReg1Seg3Payer1TierImpactR2</f>
        <v>-6.6000000000000073E-5</v>
      </c>
      <c r="F1277" s="511">
        <f>(calcReg1Seg3PromotionAllocR2/calcReg1Seg3PromotionAllocR1-1)*INDEX(datatblReg1Seg3Payer1,3,)*calcReg1Seg3Payer1TierImpactR2</f>
        <v>-6.6000000000000073E-5</v>
      </c>
      <c r="G1277" s="511">
        <f>(calcReg1Seg3PromotionAllocR2/calcReg1Seg3PromotionAllocR1-1)*INDEX(datatblReg1Seg3Payer1,3,)*calcReg1Seg3Payer1TierImpactR2</f>
        <v>-6.6000000000000073E-5</v>
      </c>
      <c r="H1277" s="511">
        <f>(calcReg1Seg3PromotionAllocR2/calcReg1Seg3PromotionAllocR1-1)*INDEX(datatblReg1Seg3Payer1,3,)*calcReg1Seg3Payer1TierImpactR2</f>
        <v>-6.6000000000000073E-5</v>
      </c>
      <c r="I1277" s="511">
        <f>(calcReg1Seg3PromotionAllocR2/calcReg1Seg3PromotionAllocR1-1)*INDEX(datatblReg1Seg3Payer1,3,)*calcReg1Seg3Payer1TierImpactR2</f>
        <v>-6.6000000000000073E-5</v>
      </c>
      <c r="J1277" t="s">
        <v>3368</v>
      </c>
    </row>
    <row r="1278" spans="3:10">
      <c r="C1278" t="s">
        <v>2646</v>
      </c>
      <c r="E1278" s="511">
        <f>(calcReg1Seg3Rep1Payer1ImpactR2)*calcReg1Seg3Payer1TierImpactR2</f>
        <v>-4.3999999999999945E-5</v>
      </c>
      <c r="F1278" s="511">
        <f>(calcReg1Seg3Rep1Payer1ImpactR2)*calcReg1Seg3Payer1TierImpactR2</f>
        <v>-4.3999999999999945E-5</v>
      </c>
      <c r="G1278" s="511">
        <f>(calcReg1Seg3Rep1Payer1ImpactR2)*calcReg1Seg3Payer1TierImpactR2</f>
        <v>-4.3999999999999945E-5</v>
      </c>
      <c r="H1278" s="511">
        <f>(calcReg1Seg3Rep1Payer1ImpactR2)*calcReg1Seg3Payer1TierImpactR2</f>
        <v>-4.3999999999999945E-5</v>
      </c>
      <c r="I1278" s="511">
        <f>(calcReg1Seg3Rep1Payer1ImpactR2)*calcReg1Seg3Payer1TierImpactR2</f>
        <v>-4.3999999999999945E-5</v>
      </c>
      <c r="J1278" t="s">
        <v>3369</v>
      </c>
    </row>
    <row r="1280" spans="3:10" s="4" customFormat="1">
      <c r="C1280" s="4" t="s">
        <v>1534</v>
      </c>
      <c r="E1280" s="500">
        <f>SUM(E1274:E1279)</f>
        <v>5.9278421052631584E-3</v>
      </c>
      <c r="F1280" s="500">
        <f>SUM(F1274:F1279)</f>
        <v>5.9278421052631584E-3</v>
      </c>
      <c r="G1280" s="500">
        <f>SUM(G1274:G1279)</f>
        <v>5.9278421052631584E-3</v>
      </c>
      <c r="H1280" s="500">
        <f>SUM(H1274:H1279)</f>
        <v>5.9278421052631584E-3</v>
      </c>
      <c r="I1280" s="500">
        <f>SUM(I1274:I1279)</f>
        <v>5.9278421052631584E-3</v>
      </c>
      <c r="J1280" s="4" t="s">
        <v>1817</v>
      </c>
    </row>
    <row r="1281" spans="1:10">
      <c r="C1281" t="s">
        <v>1490</v>
      </c>
      <c r="E1281" s="380">
        <f>MAX(calcReg1Seg3Payer1MarketGrowthCustR2*calcReg1Seg3Payer1ShareNewCustR2,0)</f>
        <v>39.232219621736846</v>
      </c>
      <c r="F1281" s="380">
        <f>MAX(calcReg1Seg3Payer1MarketGrowthCustR2*calcReg1Seg3Payer1ShareNewCustR2,0)</f>
        <v>39.232219621736846</v>
      </c>
      <c r="G1281" s="380">
        <f>MAX(calcReg1Seg3Payer1MarketGrowthCustR2*calcReg1Seg3Payer1ShareNewCustR2,0)</f>
        <v>39.232219621736846</v>
      </c>
      <c r="H1281" s="380">
        <f>MAX(calcReg1Seg3Payer1MarketGrowthCustR2*calcReg1Seg3Payer1ShareNewCustR2,0)</f>
        <v>39.232219621736846</v>
      </c>
      <c r="I1281" s="380">
        <f>MAX(calcReg1Seg3Payer1MarketGrowthCustR2*calcReg1Seg3Payer1ShareNewCustR2,0)</f>
        <v>39.232219621736846</v>
      </c>
      <c r="J1281" s="4" t="s">
        <v>1818</v>
      </c>
    </row>
    <row r="1283" spans="1:10">
      <c r="C1283" t="s">
        <v>1537</v>
      </c>
      <c r="E1283" s="380">
        <f>calcReg1Seg3Payer1MarketRecurCustR2+calcReg1Seg3Payer1MarketGrowthCustR2</f>
        <v>44510.253424000002</v>
      </c>
      <c r="F1283" s="380">
        <f>calcReg1Seg3Payer1MarketRecurCustR2+calcReg1Seg3Payer1MarketGrowthCustR2</f>
        <v>44510.253424000002</v>
      </c>
      <c r="G1283" s="380">
        <f>calcReg1Seg3Payer1MarketRecurCustR2+calcReg1Seg3Payer1MarketGrowthCustR2</f>
        <v>44510.253424000002</v>
      </c>
      <c r="H1283" s="380">
        <f>calcReg1Seg3Payer1MarketRecurCustR2+calcReg1Seg3Payer1MarketGrowthCustR2</f>
        <v>44510.253424000002</v>
      </c>
      <c r="I1283" s="380">
        <f>calcReg1Seg3Payer1MarketRecurCustR2+calcReg1Seg3Payer1MarketGrowthCustR2</f>
        <v>44510.253424000002</v>
      </c>
      <c r="J1283" t="s">
        <v>1819</v>
      </c>
    </row>
    <row r="1284" spans="1:10">
      <c r="C1284" t="s">
        <v>1539</v>
      </c>
      <c r="E1284" s="380">
        <f>calcReg1Seg3Payer1VolumeRecurCustR2+calcReg1Seg3Payer1VolumeNewCustR2</f>
        <v>263.84975436272089</v>
      </c>
      <c r="F1284" s="380">
        <f>calcReg1Seg3Payer1VolumeRecurCustR2+calcReg1Seg3Payer1VolumeNewCustR2</f>
        <v>263.84975436272089</v>
      </c>
      <c r="G1284" s="380">
        <f>calcReg1Seg3Payer1VolumeRecurCustR2+calcReg1Seg3Payer1VolumeNewCustR2</f>
        <v>263.84975436272089</v>
      </c>
      <c r="H1284" s="380">
        <f>calcReg1Seg3Payer1VolumeRecurCustR2+calcReg1Seg3Payer1VolumeNewCustR2</f>
        <v>263.84975436272089</v>
      </c>
      <c r="I1284" s="380">
        <f>calcReg1Seg3Payer1VolumeRecurCustR2+calcReg1Seg3Payer1VolumeNewCustR2</f>
        <v>263.84975436272089</v>
      </c>
      <c r="J1284" t="s">
        <v>1820</v>
      </c>
    </row>
    <row r="1285" spans="1:10" s="4" customFormat="1">
      <c r="C1285" s="4" t="s">
        <v>841</v>
      </c>
      <c r="E1285" s="500">
        <f>calcReg1Seg3Payer1VolumeR1/calcReg1Seg3Payer1TotalVolumeR1</f>
        <v>6.0818421052631581E-3</v>
      </c>
      <c r="F1285" s="500">
        <f>calcReg1Seg3Payer1VolumeR1/calcReg1Seg3Payer1TotalVolumeR1</f>
        <v>6.0818421052631581E-3</v>
      </c>
      <c r="G1285" s="500">
        <f>calcReg1Seg3Payer1VolumeR1/calcReg1Seg3Payer1TotalVolumeR1</f>
        <v>6.0818421052631581E-3</v>
      </c>
      <c r="H1285" s="500">
        <f>calcReg1Seg3Payer1VolumeR1/calcReg1Seg3Payer1TotalVolumeR1</f>
        <v>6.0818421052631581E-3</v>
      </c>
      <c r="I1285" s="500">
        <f>calcReg1Seg3Payer1VolumeR1/calcReg1Seg3Payer1TotalVolumeR1</f>
        <v>6.0818421052631581E-3</v>
      </c>
      <c r="J1285" s="4" t="s">
        <v>1821</v>
      </c>
    </row>
    <row r="1287" spans="1:10" s="376" customFormat="1">
      <c r="A1287" s="376" t="str">
        <f>nmPayer2</f>
        <v>WesterAid</v>
      </c>
    </row>
    <row r="1288" spans="1:10">
      <c r="A1288" s="16" t="s">
        <v>1488</v>
      </c>
      <c r="C1288" s="4" t="s">
        <v>803</v>
      </c>
      <c r="E1288" s="380">
        <f>INDEX(dataReg1Seg3Payer2TotalVolume,,3)</f>
        <v>56476.134400000003</v>
      </c>
      <c r="F1288" s="380">
        <f>INDEX(dataReg1Seg3Payer2TotalVolume,,3)</f>
        <v>56476.134400000003</v>
      </c>
      <c r="G1288" s="380">
        <f>INDEX(dataReg1Seg3Payer2TotalVolume,,3)</f>
        <v>56476.134400000003</v>
      </c>
      <c r="H1288" s="380">
        <f>INDEX(dataReg1Seg3Payer2TotalVolume,,3)</f>
        <v>56476.134400000003</v>
      </c>
      <c r="I1288" s="380">
        <f>INDEX(dataReg1Seg3Payer2TotalVolume,,3)</f>
        <v>56476.134400000003</v>
      </c>
      <c r="J1288" t="s">
        <v>1822</v>
      </c>
    </row>
    <row r="1289" spans="1:10">
      <c r="C1289" t="s">
        <v>3253</v>
      </c>
      <c r="E1289" t="str">
        <f>obalReg1Payer2Status</f>
        <v>T1 NR</v>
      </c>
      <c r="F1289" t="str">
        <f>obalReg1Payer2Status</f>
        <v>T1 NR</v>
      </c>
      <c r="G1289" t="str">
        <f>obalReg1Payer2Status</f>
        <v>T1 NR</v>
      </c>
      <c r="H1289" t="str">
        <f>obalReg1Payer2Status</f>
        <v>T1 NR</v>
      </c>
      <c r="I1289" t="str">
        <f>obalReg1Payer2Status</f>
        <v>T1 NR</v>
      </c>
    </row>
    <row r="1290" spans="1:10">
      <c r="C1290" t="s">
        <v>2887</v>
      </c>
      <c r="E1290">
        <f>INDEX(dataTierVolumeImpact,MATCH(E1289,MarketData!$K$12:$K$17,0),)</f>
        <v>1.1499999999999999</v>
      </c>
      <c r="F1290">
        <f>INDEX(dataTierVolumeImpact,MATCH(F1289,MarketData!$K$12:$K$17,0),)</f>
        <v>1.1499999999999999</v>
      </c>
      <c r="G1290">
        <f>INDEX(dataTierVolumeImpact,MATCH(G1289,MarketData!$K$12:$K$17,0),)</f>
        <v>1.1499999999999999</v>
      </c>
      <c r="H1290">
        <f>INDEX(dataTierVolumeImpact,MATCH(H1289,MarketData!$K$12:$K$17,0),)</f>
        <v>1.1499999999999999</v>
      </c>
      <c r="I1290">
        <f>INDEX(dataTierVolumeImpact,MATCH(I1289,MarketData!$K$12:$K$17,0),)</f>
        <v>1.1499999999999999</v>
      </c>
      <c r="J1290" t="s">
        <v>3370</v>
      </c>
    </row>
    <row r="1291" spans="1:10">
      <c r="C1291" t="s">
        <v>1487</v>
      </c>
      <c r="E1291" s="465">
        <f>obalReg1Seg3Payer2Share</f>
        <v>0</v>
      </c>
      <c r="F1291" s="465">
        <f>obalReg1Seg3Payer2Share</f>
        <v>0</v>
      </c>
      <c r="G1291" s="465">
        <f>obalReg1Seg3Payer2Share</f>
        <v>0</v>
      </c>
      <c r="H1291" s="465">
        <f>obalReg1Seg3Payer2Share</f>
        <v>0</v>
      </c>
      <c r="I1291" s="465">
        <f>obalReg1Seg3Payer2Share</f>
        <v>0</v>
      </c>
    </row>
    <row r="1292" spans="1:10">
      <c r="C1292" t="s">
        <v>516</v>
      </c>
      <c r="E1292" s="511">
        <f>(calcReg1Seg3SampleAllocR1/obalReg1Seg3SampleAlloc-1)*INDEX(datatblReg1Seg3Payer2,1,)*calcReg1Seg3Payer2TierImpactR1</f>
        <v>0</v>
      </c>
      <c r="F1292" s="511">
        <f>(calcReg1Seg3SampleAllocR1/obalReg1Seg3SampleAlloc-1)*INDEX(datatblReg1Seg3Payer2,1,)</f>
        <v>0</v>
      </c>
      <c r="G1292" s="511">
        <f>(calcReg1Seg3SampleAllocR1/obalReg1Seg3SampleAlloc-1)*INDEX(datatblReg1Seg3Payer2,1,)</f>
        <v>0</v>
      </c>
      <c r="H1292" s="511">
        <f>(calcReg1Seg3SampleAllocR1/obalReg1Seg3SampleAlloc-1)*INDEX(datatblReg1Seg3Payer2,1,)</f>
        <v>0</v>
      </c>
      <c r="I1292" s="511">
        <f>(calcReg1Seg3SampleAllocR1/obalReg1Seg3SampleAlloc-1)*INDEX(datatblReg1Seg3Payer2,1,)</f>
        <v>0</v>
      </c>
      <c r="J1292" t="s">
        <v>3371</v>
      </c>
    </row>
    <row r="1293" spans="1:10">
      <c r="C1293" t="s">
        <v>517</v>
      </c>
      <c r="E1293" s="511">
        <f>(calcReg1Seg3SpeakerAllocR1/obalReg1Seg3SpeakerAlloc-1)*INDEX(datatblReg1Seg3Payer2,2,)*(calcReg1Seg3Payer2TierImpactR1)</f>
        <v>0</v>
      </c>
      <c r="F1293" s="511">
        <f>(calcReg1Seg3SpeakerAllocR1/obalReg1Seg3SpeakerAlloc-1)*INDEX(datatblReg1Seg3Payer2,2,)</f>
        <v>0</v>
      </c>
      <c r="G1293" s="511">
        <f>(calcReg1Seg3SpeakerAllocR1/obalReg1Seg3SpeakerAlloc-1)*INDEX(datatblReg1Seg3Payer2,2,)</f>
        <v>0</v>
      </c>
      <c r="H1293" s="511">
        <f>(calcReg1Seg3SpeakerAllocR1/obalReg1Seg3SpeakerAlloc-1)*INDEX(datatblReg1Seg3Payer2,2,)</f>
        <v>0</v>
      </c>
      <c r="I1293" s="511">
        <f>(calcReg1Seg3SpeakerAllocR1/obalReg1Seg3SpeakerAlloc-1)*INDEX(datatblReg1Seg3Payer2,2,)</f>
        <v>0</v>
      </c>
      <c r="J1293" t="s">
        <v>3372</v>
      </c>
    </row>
    <row r="1294" spans="1:10">
      <c r="C1294" t="s">
        <v>2333</v>
      </c>
      <c r="E1294" s="511">
        <f>(calcReg1Seg3PromotionAllocR1/obalReg1Seg3PromotionAlloc-1)*INDEX(datatblReg1Seg3Payer2,3,)*calcReg1Seg3Payer2TierImpactR1</f>
        <v>0</v>
      </c>
      <c r="F1294" s="511">
        <f>(calcReg1Seg3PromotionAllocR1/obalReg1Seg3PromotionAlloc-1)*INDEX(datatblReg1Seg3Payer2,3,)</f>
        <v>0</v>
      </c>
      <c r="G1294" s="511">
        <f>(calcReg1Seg3PromotionAllocR1/obalReg1Seg3PromotionAlloc-1)*INDEX(datatblReg1Seg3Payer2,3,)</f>
        <v>0</v>
      </c>
      <c r="H1294" s="511">
        <f>(calcReg1Seg3PromotionAllocR1/obalReg1Seg3PromotionAlloc-1)*INDEX(datatblReg1Seg3Payer2,3,)</f>
        <v>0</v>
      </c>
      <c r="I1294" s="511">
        <f>(calcReg1Seg3PromotionAllocR1/obalReg1Seg3PromotionAlloc-1)*INDEX(datatblReg1Seg3Payer2,3,)</f>
        <v>0</v>
      </c>
      <c r="J1294" t="s">
        <v>3373</v>
      </c>
    </row>
    <row r="1295" spans="1:10">
      <c r="C1295" t="s">
        <v>2646</v>
      </c>
      <c r="E1295" s="511">
        <f>(calcReg1Seg3Rep1Payer2ImpactR1)*calcReg1Seg3Payer2TierImpactR1</f>
        <v>-5.749999999999992E-5</v>
      </c>
      <c r="F1295" s="511">
        <f>(calcReg1Seg3Rep1Payer2ImpactR1)*calcReg1Seg3Payer2TierImpactR1</f>
        <v>-5.749999999999992E-5</v>
      </c>
      <c r="G1295" s="511">
        <f>(calcReg1Seg3Rep1Payer2ImpactR1)*calcReg1Seg3Payer2TierImpactR1</f>
        <v>-5.749999999999992E-5</v>
      </c>
      <c r="H1295" s="511">
        <f>(calcReg1Seg3Rep1Payer2ImpactR1)*calcReg1Seg3Payer2TierImpactR1</f>
        <v>-5.749999999999992E-5</v>
      </c>
      <c r="I1295" s="511">
        <f>(calcReg1Seg3Rep1Payer2ImpactR1)*calcReg1Seg3Payer2TierImpactR1</f>
        <v>-5.749999999999992E-5</v>
      </c>
      <c r="J1295" t="s">
        <v>3374</v>
      </c>
    </row>
    <row r="1296" spans="1:10" s="4" customFormat="1">
      <c r="C1296" s="4" t="s">
        <v>1489</v>
      </c>
      <c r="E1296" s="500">
        <f>SUM(E1291:E1295)</f>
        <v>-5.749999999999992E-5</v>
      </c>
      <c r="F1296" s="500">
        <f t="shared" ref="F1296:I1296" si="57">SUM(F1291:F1295)</f>
        <v>-5.749999999999992E-5</v>
      </c>
      <c r="G1296" s="500">
        <f t="shared" si="57"/>
        <v>-5.749999999999992E-5</v>
      </c>
      <c r="H1296" s="500">
        <f t="shared" si="57"/>
        <v>-5.749999999999992E-5</v>
      </c>
      <c r="I1296" s="500">
        <f t="shared" si="57"/>
        <v>-5.749999999999992E-5</v>
      </c>
      <c r="J1296" s="4" t="s">
        <v>1823</v>
      </c>
    </row>
    <row r="1297" spans="3:10">
      <c r="C1297" t="s">
        <v>1490</v>
      </c>
      <c r="E1297" s="380">
        <f>MAX(calcReg1Seg3Payer2MarketRecurCustR1*calcReg1Seg3Payer2ShareRecurCustR1,0)</f>
        <v>0</v>
      </c>
      <c r="F1297" s="380">
        <f>MAX(calcReg1Seg3Payer2MarketRecurCustR1*calcReg1Seg3Payer2ShareRecurCustR1,0)</f>
        <v>0</v>
      </c>
      <c r="G1297" s="380">
        <f>MAX(calcReg1Seg3Payer2MarketRecurCustR1*calcReg1Seg3Payer2ShareRecurCustR1,0)</f>
        <v>0</v>
      </c>
      <c r="H1297" s="380">
        <f>MAX(calcReg1Seg3Payer2MarketRecurCustR1*calcReg1Seg3Payer2ShareRecurCustR1,0)</f>
        <v>0</v>
      </c>
      <c r="I1297" s="380">
        <f>MAX(calcReg1Seg3Payer2MarketRecurCustR1*calcReg1Seg3Payer2ShareRecurCustR1,0)</f>
        <v>0</v>
      </c>
      <c r="J1297" t="s">
        <v>1824</v>
      </c>
    </row>
    <row r="1299" spans="3:10">
      <c r="C1299" t="s">
        <v>804</v>
      </c>
      <c r="E1299" s="380">
        <f>INDEX(dataReg1Seg3Payer2NewVolume,,3)</f>
        <v>7731.1080000000002</v>
      </c>
      <c r="F1299" s="380">
        <f>INDEX(dataReg1Seg3Payer2NewVolume,,3)</f>
        <v>7731.1080000000002</v>
      </c>
      <c r="G1299" s="380">
        <f>INDEX(dataReg1Seg3Payer2NewVolume,,3)</f>
        <v>7731.1080000000002</v>
      </c>
      <c r="H1299" s="380">
        <f>INDEX(dataReg1Seg3Payer2NewVolume,,3)</f>
        <v>7731.1080000000002</v>
      </c>
      <c r="I1299" s="380">
        <f>INDEX(dataReg1Seg3Payer2NewVolume,,3)</f>
        <v>7731.1080000000002</v>
      </c>
      <c r="J1299" t="s">
        <v>1825</v>
      </c>
    </row>
    <row r="1301" spans="3:10">
      <c r="C1301" t="s">
        <v>1486</v>
      </c>
      <c r="E1301" s="465">
        <f>obalReg1Seg3Payer2Share</f>
        <v>0</v>
      </c>
      <c r="F1301" s="465">
        <f>obalReg1Seg3Payer2Share</f>
        <v>0</v>
      </c>
      <c r="G1301" s="465">
        <f>obalReg1Seg3Payer2Share</f>
        <v>0</v>
      </c>
      <c r="H1301" s="465">
        <f>obalReg1Seg3Payer2Share</f>
        <v>0</v>
      </c>
      <c r="I1301" s="465">
        <f>obalReg1Seg3Payer2Share</f>
        <v>0</v>
      </c>
    </row>
    <row r="1302" spans="3:10">
      <c r="C1302" t="s">
        <v>516</v>
      </c>
      <c r="E1302" s="511">
        <f>(calcReg1Seg3SampleAllocR1/obalReg1Seg3SampleAlloc-1)*INDEX(datatblReg1Seg3Payer2,1,)*calcReg1Seg3Payer2TierImpactR1</f>
        <v>0</v>
      </c>
      <c r="F1302" s="511">
        <f>(calcReg1Seg3SampleAllocR1/obalReg1Seg3SampleAlloc-1)*INDEX(datatblReg1Seg3Payer2,1,)</f>
        <v>0</v>
      </c>
      <c r="G1302" s="511">
        <f>(calcReg1Seg3SampleAllocR1/obalReg1Seg3SampleAlloc-1)*INDEX(datatblReg1Seg3Payer2,1,)</f>
        <v>0</v>
      </c>
      <c r="H1302" s="511">
        <f>(calcReg1Seg3SampleAllocR1/obalReg1Seg3SampleAlloc-1)*INDEX(datatblReg1Seg3Payer2,1,)</f>
        <v>0</v>
      </c>
      <c r="I1302" s="511">
        <f>(calcReg1Seg3SampleAllocR1/obalReg1Seg3SampleAlloc-1)*INDEX(datatblReg1Seg3Payer2,1,)</f>
        <v>0</v>
      </c>
      <c r="J1302" t="s">
        <v>3375</v>
      </c>
    </row>
    <row r="1303" spans="3:10">
      <c r="C1303" t="s">
        <v>517</v>
      </c>
      <c r="E1303" s="511">
        <f>(calcReg1Seg3SpeakerAllocR1/obalReg1Seg3SpeakerAlloc-1)*INDEX(datatblReg1Seg3Payer2,2,)*(calcReg1Seg3Payer2TierImpactR1)</f>
        <v>0</v>
      </c>
      <c r="F1303" s="511">
        <f>(calcReg1Seg3SpeakerAllocR1/obalReg1Seg3SpeakerAlloc-1)*INDEX(datatblReg1Seg3Payer2,2,)</f>
        <v>0</v>
      </c>
      <c r="G1303" s="511">
        <f>(calcReg1Seg3SpeakerAllocR1/obalReg1Seg3SpeakerAlloc-1)*INDEX(datatblReg1Seg3Payer2,2,)</f>
        <v>0</v>
      </c>
      <c r="H1303" s="511">
        <f>(calcReg1Seg3SpeakerAllocR1/obalReg1Seg3SpeakerAlloc-1)*INDEX(datatblReg1Seg3Payer2,2,)</f>
        <v>0</v>
      </c>
      <c r="I1303" s="511">
        <f>(calcReg1Seg3SpeakerAllocR1/obalReg1Seg3SpeakerAlloc-1)*INDEX(datatblReg1Seg3Payer2,2,)</f>
        <v>0</v>
      </c>
      <c r="J1303" t="s">
        <v>3376</v>
      </c>
    </row>
    <row r="1304" spans="3:10">
      <c r="C1304" t="s">
        <v>2333</v>
      </c>
      <c r="E1304" s="511">
        <f>(calcReg1Seg3PromotionAllocR1/obalReg1Seg3PromotionAlloc-1)*INDEX(datatblReg1Seg3Payer2,3,)*calcReg1Seg3Payer2TierImpactR1</f>
        <v>0</v>
      </c>
      <c r="F1304" s="511">
        <f>(calcReg1Seg3PromotionAllocR1/obalReg1Seg3PromotionAlloc-1)*INDEX(datatblReg1Seg3Payer2,3,)</f>
        <v>0</v>
      </c>
      <c r="G1304" s="511">
        <f>(calcReg1Seg3PromotionAllocR1/obalReg1Seg3PromotionAlloc-1)*INDEX(datatblReg1Seg3Payer2,3,)</f>
        <v>0</v>
      </c>
      <c r="H1304" s="511">
        <f>(calcReg1Seg3PromotionAllocR1/obalReg1Seg3PromotionAlloc-1)*INDEX(datatblReg1Seg3Payer2,3,)</f>
        <v>0</v>
      </c>
      <c r="I1304" s="511">
        <f>(calcReg1Seg3PromotionAllocR1/obalReg1Seg3PromotionAlloc-1)*INDEX(datatblReg1Seg3Payer2,3,)</f>
        <v>0</v>
      </c>
      <c r="J1304" t="s">
        <v>3377</v>
      </c>
    </row>
    <row r="1305" spans="3:10">
      <c r="C1305" t="s">
        <v>2646</v>
      </c>
      <c r="E1305" s="511">
        <f>(calcReg1Seg3Rep1Payer2ImpactR1)*calcReg1Seg3Payer2TierImpactR1</f>
        <v>-5.749999999999992E-5</v>
      </c>
      <c r="F1305" s="511">
        <f>(calcReg1Seg3Rep1Payer2ImpactR1)*calcReg1Seg3Payer2TierImpactR1</f>
        <v>-5.749999999999992E-5</v>
      </c>
      <c r="G1305" s="511">
        <f>(calcReg1Seg3Rep1Payer2ImpactR1)*calcReg1Seg3Payer2TierImpactR1</f>
        <v>-5.749999999999992E-5</v>
      </c>
      <c r="H1305" s="511">
        <f>(calcReg1Seg3Rep1Payer2ImpactR1)*calcReg1Seg3Payer2TierImpactR1</f>
        <v>-5.749999999999992E-5</v>
      </c>
      <c r="I1305" s="511">
        <f>(calcReg1Seg3Rep1Payer2ImpactR1)*calcReg1Seg3Payer2TierImpactR1</f>
        <v>-5.749999999999992E-5</v>
      </c>
      <c r="J1305" t="s">
        <v>3378</v>
      </c>
    </row>
    <row r="1306" spans="3:10">
      <c r="C1306" t="s">
        <v>2905</v>
      </c>
    </row>
    <row r="1307" spans="3:10" s="4" customFormat="1">
      <c r="C1307" s="4" t="s">
        <v>1534</v>
      </c>
      <c r="E1307" s="500">
        <f>SUM(E1301:E1306)</f>
        <v>-5.749999999999992E-5</v>
      </c>
      <c r="F1307" s="500">
        <f>SUM(F1301:F1306)</f>
        <v>-5.749999999999992E-5</v>
      </c>
      <c r="G1307" s="500">
        <f>SUM(G1301:G1306)</f>
        <v>-5.749999999999992E-5</v>
      </c>
      <c r="H1307" s="500">
        <f>SUM(H1301:H1306)</f>
        <v>-5.749999999999992E-5</v>
      </c>
      <c r="I1307" s="500">
        <f>SUM(I1301:I1306)</f>
        <v>-5.749999999999992E-5</v>
      </c>
      <c r="J1307" s="4" t="s">
        <v>1826</v>
      </c>
    </row>
    <row r="1308" spans="3:10">
      <c r="C1308" t="s">
        <v>1490</v>
      </c>
      <c r="E1308" s="380">
        <f>MAX(calcReg1Seg3Payer2MarketGrowthCustR1*calcReg1Seg3Payer2ShareNewCustR1,0)</f>
        <v>0</v>
      </c>
      <c r="F1308" s="380">
        <f>MAX(calcReg1Seg3Payer2MarketGrowthCustR1*calcReg1Seg3Payer2ShareNewCustR1,0)</f>
        <v>0</v>
      </c>
      <c r="G1308" s="380">
        <f>MAX(calcReg1Seg3Payer2MarketGrowthCustR1*calcReg1Seg3Payer2ShareNewCustR1,0)</f>
        <v>0</v>
      </c>
      <c r="H1308" s="380">
        <f>MAX(calcReg1Seg3Payer2MarketGrowthCustR1*calcReg1Seg3Payer2ShareNewCustR1,0)</f>
        <v>0</v>
      </c>
      <c r="I1308" s="380">
        <f>MAX(calcReg1Seg3Payer2MarketGrowthCustR1*calcReg1Seg3Payer2ShareNewCustR1,0)</f>
        <v>0</v>
      </c>
      <c r="J1308" s="4" t="s">
        <v>1827</v>
      </c>
    </row>
    <row r="1310" spans="3:10">
      <c r="C1310" t="s">
        <v>1537</v>
      </c>
      <c r="E1310" s="380">
        <f>calcReg1Seg3Payer2MarketRecurCustR1+calcReg1Seg3Payer2MarketGrowthCustR1</f>
        <v>64207.242400000003</v>
      </c>
      <c r="F1310" s="380">
        <f>calcReg1Seg3Payer2MarketRecurCustR1+calcReg1Seg3Payer2MarketGrowthCustR1</f>
        <v>64207.242400000003</v>
      </c>
      <c r="G1310" s="380">
        <f>calcReg1Seg3Payer2MarketRecurCustR1+calcReg1Seg3Payer2MarketGrowthCustR1</f>
        <v>64207.242400000003</v>
      </c>
      <c r="H1310" s="380">
        <f>calcReg1Seg3Payer2MarketRecurCustR1+calcReg1Seg3Payer2MarketGrowthCustR1</f>
        <v>64207.242400000003</v>
      </c>
      <c r="I1310" s="380">
        <f>calcReg1Seg3Payer2MarketRecurCustR1+calcReg1Seg3Payer2MarketGrowthCustR1</f>
        <v>64207.242400000003</v>
      </c>
      <c r="J1310" t="s">
        <v>1828</v>
      </c>
    </row>
    <row r="1311" spans="3:10">
      <c r="C1311" t="s">
        <v>1539</v>
      </c>
      <c r="E1311" s="380">
        <f>calcReg1Seg3Payer2VolumeRecurCustR1+calcReg1Seg3Payer2VolumeNewCustR1</f>
        <v>0</v>
      </c>
      <c r="F1311" s="380">
        <f>calcReg1Seg3Payer2VolumeRecurCustR1+calcReg1Seg3Payer2VolumeNewCustR1</f>
        <v>0</v>
      </c>
      <c r="G1311" s="380">
        <f>calcReg1Seg3Payer2VolumeRecurCustR1+calcReg1Seg3Payer2VolumeNewCustR1</f>
        <v>0</v>
      </c>
      <c r="H1311" s="380">
        <f>calcReg1Seg3Payer2VolumeRecurCustR1+calcReg1Seg3Payer2VolumeNewCustR1</f>
        <v>0</v>
      </c>
      <c r="I1311" s="380">
        <f>calcReg1Seg3Payer2VolumeRecurCustR1+calcReg1Seg3Payer2VolumeNewCustR1</f>
        <v>0</v>
      </c>
      <c r="J1311" t="s">
        <v>1829</v>
      </c>
    </row>
    <row r="1312" spans="3:10" s="4" customFormat="1">
      <c r="C1312" s="4" t="s">
        <v>841</v>
      </c>
      <c r="E1312" s="500">
        <f>calcReg1Seg3Payer2VolumeR1/calcReg1Seg3Payer2TotalVolumeR1</f>
        <v>0</v>
      </c>
      <c r="F1312" s="500">
        <f>calcReg1Seg3Payer2VolumeR1/calcReg1Seg3Payer2TotalVolumeR1</f>
        <v>0</v>
      </c>
      <c r="G1312" s="500">
        <f>calcReg1Seg3Payer2VolumeR1/calcReg1Seg3Payer2TotalVolumeR1</f>
        <v>0</v>
      </c>
      <c r="H1312" s="500">
        <f>calcReg1Seg3Payer2VolumeR1/calcReg1Seg3Payer2TotalVolumeR1</f>
        <v>0</v>
      </c>
      <c r="I1312" s="500">
        <f>calcReg1Seg3Payer2VolumeR1/calcReg1Seg3Payer2TotalVolumeR1</f>
        <v>0</v>
      </c>
      <c r="J1312" s="4" t="s">
        <v>1830</v>
      </c>
    </row>
    <row r="1314" spans="1:10">
      <c r="A1314" s="16" t="s">
        <v>1551</v>
      </c>
      <c r="C1314" t="s">
        <v>803</v>
      </c>
      <c r="E1314" s="380">
        <f>INDEX(dataReg1Seg3Payer2TotalVolume,,4)</f>
        <v>63818.031872000007</v>
      </c>
      <c r="F1314" s="380">
        <f>INDEX(dataReg1Seg3Payer2TotalVolume,,4)</f>
        <v>63818.031872000007</v>
      </c>
      <c r="G1314" s="380">
        <f>INDEX(dataReg1Seg3Payer2TotalVolume,,4)</f>
        <v>63818.031872000007</v>
      </c>
      <c r="H1314" s="380">
        <f>INDEX(dataReg1Seg3Payer2TotalVolume,,4)</f>
        <v>63818.031872000007</v>
      </c>
      <c r="I1314" s="380">
        <f>INDEX(dataReg1Seg3Payer2TotalVolume,,4)</f>
        <v>63818.031872000007</v>
      </c>
      <c r="J1314" t="s">
        <v>1831</v>
      </c>
    </row>
    <row r="1315" spans="1:10">
      <c r="C1315" t="s">
        <v>3253</v>
      </c>
      <c r="E1315" t="str">
        <f>cbalReg1Payer2Status</f>
        <v>T1 NR</v>
      </c>
      <c r="F1315" t="str">
        <f>cbalReg1Payer2Status</f>
        <v>T1 NR</v>
      </c>
      <c r="G1315" t="str">
        <f>cbalReg1Payer2Status</f>
        <v>T1 NR</v>
      </c>
      <c r="H1315" t="str">
        <f>cbalReg1Payer2Status</f>
        <v>T1 NR</v>
      </c>
      <c r="I1315" t="str">
        <f>cbalReg1Payer2Status</f>
        <v>T1 NR</v>
      </c>
    </row>
    <row r="1316" spans="1:10">
      <c r="C1316" t="s">
        <v>2887</v>
      </c>
      <c r="E1316">
        <f>INDEX(dataTierVolumeImpact,MATCH(E1315,MarketData!$K$12:$K$17,0),)</f>
        <v>1.1499999999999999</v>
      </c>
      <c r="F1316">
        <f>INDEX(dataTierVolumeImpact,MATCH(F1315,MarketData!$K$12:$K$17,0),)</f>
        <v>1.1499999999999999</v>
      </c>
      <c r="G1316">
        <f>INDEX(dataTierVolumeImpact,MATCH(G1315,MarketData!$K$12:$K$17,0),)</f>
        <v>1.1499999999999999</v>
      </c>
      <c r="H1316">
        <f>INDEX(dataTierVolumeImpact,MATCH(H1315,MarketData!$K$12:$K$17,0),)</f>
        <v>1.1499999999999999</v>
      </c>
      <c r="I1316">
        <f>INDEX(dataTierVolumeImpact,MATCH(I1315,MarketData!$K$12:$K$17,0),)</f>
        <v>1.1499999999999999</v>
      </c>
      <c r="J1316" t="s">
        <v>3379</v>
      </c>
    </row>
    <row r="1317" spans="1:10">
      <c r="C1317" t="s">
        <v>1487</v>
      </c>
      <c r="E1317" s="465">
        <f>calcReg1Seg3Payer2ShareTotalCustR1</f>
        <v>0</v>
      </c>
      <c r="F1317" s="465">
        <f>calcReg1Seg3Payer2ShareTotalCustR1</f>
        <v>0</v>
      </c>
      <c r="G1317" s="465">
        <f>calcReg1Seg3Payer2ShareTotalCustR1</f>
        <v>0</v>
      </c>
      <c r="H1317" s="465">
        <f>calcReg1Seg3Payer2ShareTotalCustR1</f>
        <v>0</v>
      </c>
      <c r="I1317" s="465">
        <f>calcReg1Seg3Payer2ShareTotalCustR1</f>
        <v>0</v>
      </c>
    </row>
    <row r="1318" spans="1:10">
      <c r="C1318" t="s">
        <v>516</v>
      </c>
      <c r="E1318" s="511">
        <f>(calcReg1Seg3SampleAllocR2/calcReg1Seg3SampleAllocR1-1)*INDEX(datatblReg1Seg3Payer2,1,)*calcReg1Seg3Payer2TierImpactR2</f>
        <v>0</v>
      </c>
      <c r="F1318" s="511">
        <f>(calcReg1Seg3SampleAllocR2/calcReg1Seg3SampleAllocR1-1)*INDEX(datatblReg1Seg3Payer2,1,)*calcReg1Seg3Payer2TierImpactR2</f>
        <v>0</v>
      </c>
      <c r="G1318" s="511">
        <f>(calcReg1Seg3SampleAllocR2/calcReg1Seg3SampleAllocR1-1)*INDEX(datatblReg1Seg3Payer2,1,)*calcReg1Seg3Payer2TierImpactR2</f>
        <v>0</v>
      </c>
      <c r="H1318" s="511">
        <f>(calcReg1Seg3SampleAllocR2/calcReg1Seg3SampleAllocR1-1)*INDEX(datatblReg1Seg3Payer2,1,)*calcReg1Seg3Payer2TierImpactR2</f>
        <v>0</v>
      </c>
      <c r="I1318" s="511">
        <f>(calcReg1Seg3SampleAllocR2/calcReg1Seg3SampleAllocR1-1)*INDEX(datatblReg1Seg3Payer2,1,)*calcReg1Seg3Payer2TierImpactR2</f>
        <v>0</v>
      </c>
      <c r="J1318" t="s">
        <v>3131</v>
      </c>
    </row>
    <row r="1319" spans="1:10">
      <c r="C1319" t="s">
        <v>517</v>
      </c>
      <c r="E1319" s="511">
        <f>(calcReg1Seg3SpeakerAllocR2/calcReg1Seg3SpeakerAllocR1-1)*INDEX(datatblReg1Seg3Payer2,2,)*calcReg1Seg3Payer2TierImpactR2</f>
        <v>-5.7500000000000042E-5</v>
      </c>
      <c r="F1319" s="511">
        <f>(calcReg1Seg3SpeakerAllocR2/calcReg1Seg3SpeakerAllocR1-1)*INDEX(datatblReg1Seg3Payer2,2,)*calcReg1Seg3Payer2TierImpactR2</f>
        <v>-5.7500000000000042E-5</v>
      </c>
      <c r="G1319" s="511">
        <f>(calcReg1Seg3SpeakerAllocR2/calcReg1Seg3SpeakerAllocR1-1)*INDEX(datatblReg1Seg3Payer2,2,)*calcReg1Seg3Payer2TierImpactR2</f>
        <v>-5.7500000000000042E-5</v>
      </c>
      <c r="H1319" s="511">
        <f>(calcReg1Seg3SpeakerAllocR2/calcReg1Seg3SpeakerAllocR1-1)*INDEX(datatblReg1Seg3Payer2,2,)*calcReg1Seg3Payer2TierImpactR2</f>
        <v>-5.7500000000000042E-5</v>
      </c>
      <c r="I1319" s="511">
        <f>(calcReg1Seg3SpeakerAllocR2/calcReg1Seg3SpeakerAllocR1-1)*INDEX(datatblReg1Seg3Payer2,2,)*calcReg1Seg3Payer2TierImpactR2</f>
        <v>-5.7500000000000042E-5</v>
      </c>
      <c r="J1319" t="s">
        <v>3132</v>
      </c>
    </row>
    <row r="1320" spans="1:10">
      <c r="C1320" t="s">
        <v>2333</v>
      </c>
      <c r="E1320" s="511">
        <f>(calcReg1Seg3PromotionAllocR2/calcReg1Seg3PromotionAllocR1-1)*INDEX(datatblReg1Seg3Payer2,3,)*calcReg1Seg3Payer2TierImpactR2</f>
        <v>-8.6250000000000077E-5</v>
      </c>
      <c r="F1320" s="511">
        <f>(calcReg1Seg3PromotionAllocR2/calcReg1Seg3PromotionAllocR1-1)*INDEX(datatblReg1Seg3Payer2,3,)*calcReg1Seg3Payer2TierImpactR2</f>
        <v>-8.6250000000000077E-5</v>
      </c>
      <c r="G1320" s="511">
        <f>(calcReg1Seg3PromotionAllocR2/calcReg1Seg3PromotionAllocR1-1)*INDEX(datatblReg1Seg3Payer2,3,)*calcReg1Seg3Payer2TierImpactR2</f>
        <v>-8.6250000000000077E-5</v>
      </c>
      <c r="H1320" s="511">
        <f>(calcReg1Seg3PromotionAllocR2/calcReg1Seg3PromotionAllocR1-1)*INDEX(datatblReg1Seg3Payer2,3,)*calcReg1Seg3Payer2TierImpactR2</f>
        <v>-8.6250000000000077E-5</v>
      </c>
      <c r="I1320" s="511">
        <f>(calcReg1Seg3PromotionAllocR2/calcReg1Seg3PromotionAllocR1-1)*INDEX(datatblReg1Seg3Payer2,3,)*calcReg1Seg3Payer2TierImpactR2</f>
        <v>-8.6250000000000077E-5</v>
      </c>
      <c r="J1320" t="s">
        <v>3133</v>
      </c>
    </row>
    <row r="1321" spans="1:10">
      <c r="C1321" t="s">
        <v>2646</v>
      </c>
      <c r="E1321" s="511">
        <f>(calcReg1Seg3Rep1Payer2ImpactR2)*calcReg1Seg3Payer2TierImpactR2</f>
        <v>-5.749999999999992E-5</v>
      </c>
      <c r="F1321" s="511">
        <f>(calcReg1Seg3Rep1Payer2ImpactR2)*calcReg1Seg3Payer2TierImpactR2</f>
        <v>-5.749999999999992E-5</v>
      </c>
      <c r="G1321" s="511">
        <f>(calcReg1Seg3Rep1Payer2ImpactR2)*calcReg1Seg3Payer2TierImpactR2</f>
        <v>-5.749999999999992E-5</v>
      </c>
      <c r="H1321" s="511">
        <f>(calcReg1Seg3Rep1Payer2ImpactR2)*calcReg1Seg3Payer2TierImpactR2</f>
        <v>-5.749999999999992E-5</v>
      </c>
      <c r="I1321" s="511">
        <f>(calcReg1Seg3Rep1Payer2ImpactR2)*calcReg1Seg3Payer2TierImpactR2</f>
        <v>-5.749999999999992E-5</v>
      </c>
      <c r="J1321" t="s">
        <v>3134</v>
      </c>
    </row>
    <row r="1323" spans="1:10" s="4" customFormat="1">
      <c r="C1323" s="4" t="s">
        <v>1489</v>
      </c>
      <c r="E1323" s="500">
        <f>SUM(E1317:E1322)</f>
        <v>-2.0125000000000004E-4</v>
      </c>
      <c r="F1323" s="500">
        <f>SUM(F1317:F1322)</f>
        <v>-2.0125000000000004E-4</v>
      </c>
      <c r="G1323" s="500">
        <f>SUM(G1317:G1322)</f>
        <v>-2.0125000000000004E-4</v>
      </c>
      <c r="H1323" s="500">
        <f>SUM(H1317:H1322)</f>
        <v>-2.0125000000000004E-4</v>
      </c>
      <c r="I1323" s="500">
        <f>SUM(I1317:I1322)</f>
        <v>-2.0125000000000004E-4</v>
      </c>
      <c r="J1323" s="4" t="s">
        <v>1832</v>
      </c>
    </row>
    <row r="1324" spans="1:10">
      <c r="C1324" t="s">
        <v>1490</v>
      </c>
      <c r="E1324" s="380">
        <f>MAX(calcReg1Seg3Payer2MarketRecurCustR2*calcReg1Seg3Payer2ShareRecurCustR2,0)</f>
        <v>0</v>
      </c>
      <c r="F1324" s="380">
        <f>MAX(calcReg1Seg3Payer2MarketRecurCustR2*calcReg1Seg3Payer2ShareRecurCustR2,0)</f>
        <v>0</v>
      </c>
      <c r="G1324" s="380">
        <f>MAX(calcReg1Seg3Payer2MarketRecurCustR2*calcReg1Seg3Payer2ShareRecurCustR2,0)</f>
        <v>0</v>
      </c>
      <c r="H1324" s="380">
        <f>MAX(calcReg1Seg3Payer2MarketRecurCustR2*calcReg1Seg3Payer2ShareRecurCustR2,0)</f>
        <v>0</v>
      </c>
      <c r="I1324" s="380">
        <f>MAX(calcReg1Seg3Payer2MarketRecurCustR2*calcReg1Seg3Payer2ShareRecurCustR2,0)</f>
        <v>0</v>
      </c>
      <c r="J1324" t="s">
        <v>1833</v>
      </c>
    </row>
    <row r="1326" spans="1:10">
      <c r="C1326" t="s">
        <v>804</v>
      </c>
      <c r="E1326" s="380">
        <f>INDEX(dataReg1Seg3Payer2NewVolume,,4)</f>
        <v>8736.1520400000009</v>
      </c>
      <c r="F1326" s="380">
        <f>INDEX(dataReg1Seg3Payer2NewVolume,,4)</f>
        <v>8736.1520400000009</v>
      </c>
      <c r="G1326" s="380">
        <f>INDEX(dataReg1Seg3Payer2NewVolume,,4)</f>
        <v>8736.1520400000009</v>
      </c>
      <c r="H1326" s="380">
        <f>INDEX(dataReg1Seg3Payer2NewVolume,,4)</f>
        <v>8736.1520400000009</v>
      </c>
      <c r="I1326" s="380">
        <f>INDEX(dataReg1Seg3Payer2NewVolume,,4)</f>
        <v>8736.1520400000009</v>
      </c>
      <c r="J1326" t="s">
        <v>1834</v>
      </c>
    </row>
    <row r="1328" spans="1:10">
      <c r="C1328" t="s">
        <v>1486</v>
      </c>
      <c r="E1328" s="465">
        <f>calcReg1Seg3Payer2ShareNewCustR1</f>
        <v>-5.749999999999992E-5</v>
      </c>
      <c r="F1328" s="465">
        <f>calcReg1Seg3Payer2ShareNewCustR1</f>
        <v>-5.749999999999992E-5</v>
      </c>
      <c r="G1328" s="465">
        <f>calcReg1Seg3Payer2ShareNewCustR1</f>
        <v>-5.749999999999992E-5</v>
      </c>
      <c r="H1328" s="465">
        <f>calcReg1Seg3Payer2ShareNewCustR1</f>
        <v>-5.749999999999992E-5</v>
      </c>
      <c r="I1328" s="465">
        <f>calcReg1Seg3Payer2ShareNewCustR1</f>
        <v>-5.749999999999992E-5</v>
      </c>
    </row>
    <row r="1329" spans="1:10">
      <c r="C1329" t="s">
        <v>516</v>
      </c>
      <c r="E1329" s="511">
        <f>(calcReg1Seg3SampleAllocR2/calcReg1Seg3SampleAllocR1-1)*INDEX(datatblReg1Seg3Payer2,1,)*calcReg1Seg3Payer2TierImpactR2</f>
        <v>0</v>
      </c>
      <c r="F1329" s="511">
        <f>(calcReg1Seg3SampleAllocR2/calcReg1Seg3SampleAllocR1-1)*INDEX(datatblReg1Seg3Payer2,1,)*calcReg1Seg3Payer2TierImpactR2</f>
        <v>0</v>
      </c>
      <c r="G1329" s="511">
        <f>(calcReg1Seg3SampleAllocR2/calcReg1Seg3SampleAllocR1-1)*INDEX(datatblReg1Seg3Payer2,1,)*calcReg1Seg3Payer2TierImpactR2</f>
        <v>0</v>
      </c>
      <c r="H1329" s="511">
        <f>(calcReg1Seg3SampleAllocR2/calcReg1Seg3SampleAllocR1-1)*INDEX(datatblReg1Seg3Payer2,1,)*calcReg1Seg3Payer2TierImpactR2</f>
        <v>0</v>
      </c>
      <c r="I1329" s="511">
        <f>(calcReg1Seg3SampleAllocR2/calcReg1Seg3SampleAllocR1-1)*INDEX(datatblReg1Seg3Payer2,1,)*calcReg1Seg3Payer2TierImpactR2</f>
        <v>0</v>
      </c>
      <c r="J1329" t="s">
        <v>3380</v>
      </c>
    </row>
    <row r="1330" spans="1:10">
      <c r="C1330" t="s">
        <v>517</v>
      </c>
      <c r="E1330" s="511">
        <f>(calcReg1Seg3SpeakerAllocR2/calcReg1Seg3SpeakerAllocR1-1)*INDEX(datatblReg1Seg3Payer2,2,)*calcReg1Seg3Payer2TierImpactR2</f>
        <v>-5.7500000000000042E-5</v>
      </c>
      <c r="F1330" s="511">
        <f>(calcReg1Seg3SpeakerAllocR2/calcReg1Seg3SpeakerAllocR1-1)*INDEX(datatblReg1Seg3Payer2,2,)*calcReg1Seg3Payer2TierImpactR2</f>
        <v>-5.7500000000000042E-5</v>
      </c>
      <c r="G1330" s="511">
        <f>(calcReg1Seg3SpeakerAllocR2/calcReg1Seg3SpeakerAllocR1-1)*INDEX(datatblReg1Seg3Payer2,2,)*calcReg1Seg3Payer2TierImpactR2</f>
        <v>-5.7500000000000042E-5</v>
      </c>
      <c r="H1330" s="511">
        <f>(calcReg1Seg3SpeakerAllocR2/calcReg1Seg3SpeakerAllocR1-1)*INDEX(datatblReg1Seg3Payer2,2,)*calcReg1Seg3Payer2TierImpactR2</f>
        <v>-5.7500000000000042E-5</v>
      </c>
      <c r="I1330" s="511">
        <f>(calcReg1Seg3SpeakerAllocR2/calcReg1Seg3SpeakerAllocR1-1)*INDEX(datatblReg1Seg3Payer2,2,)*calcReg1Seg3Payer2TierImpactR2</f>
        <v>-5.7500000000000042E-5</v>
      </c>
      <c r="J1330" t="s">
        <v>3381</v>
      </c>
    </row>
    <row r="1331" spans="1:10">
      <c r="C1331" t="s">
        <v>2333</v>
      </c>
      <c r="E1331" s="511">
        <f>(calcReg1Seg3PromotionAllocR2/calcReg1Seg3PromotionAllocR1-1)*INDEX(datatblReg1Seg3Payer2,3,)*calcReg1Seg3Payer2TierImpactR2</f>
        <v>-8.6250000000000077E-5</v>
      </c>
      <c r="F1331" s="511">
        <f>(calcReg1Seg3PromotionAllocR2/calcReg1Seg3PromotionAllocR1-1)*INDEX(datatblReg1Seg3Payer2,3,)*calcReg1Seg3Payer2TierImpactR2</f>
        <v>-8.6250000000000077E-5</v>
      </c>
      <c r="G1331" s="511">
        <f>(calcReg1Seg3PromotionAllocR2/calcReg1Seg3PromotionAllocR1-1)*INDEX(datatblReg1Seg3Payer2,3,)*calcReg1Seg3Payer2TierImpactR2</f>
        <v>-8.6250000000000077E-5</v>
      </c>
      <c r="H1331" s="511">
        <f>(calcReg1Seg3PromotionAllocR2/calcReg1Seg3PromotionAllocR1-1)*INDEX(datatblReg1Seg3Payer2,3,)*calcReg1Seg3Payer2TierImpactR2</f>
        <v>-8.6250000000000077E-5</v>
      </c>
      <c r="I1331" s="511">
        <f>(calcReg1Seg3PromotionAllocR2/calcReg1Seg3PromotionAllocR1-1)*INDEX(datatblReg1Seg3Payer2,3,)*calcReg1Seg3Payer2TierImpactR2</f>
        <v>-8.6250000000000077E-5</v>
      </c>
      <c r="J1331" t="s">
        <v>3382</v>
      </c>
    </row>
    <row r="1332" spans="1:10">
      <c r="C1332" t="s">
        <v>2646</v>
      </c>
      <c r="E1332" s="511">
        <f>(calcReg1Seg3Rep1Payer2ImpactR2)*calcReg1Seg3Payer2TierImpactR2</f>
        <v>-5.749999999999992E-5</v>
      </c>
      <c r="F1332" s="511">
        <f>(calcReg1Seg3Rep1Payer2ImpactR2)*calcReg1Seg3Payer2TierImpactR2</f>
        <v>-5.749999999999992E-5</v>
      </c>
      <c r="G1332" s="511">
        <f>(calcReg1Seg3Rep1Payer2ImpactR2)*calcReg1Seg3Payer2TierImpactR2</f>
        <v>-5.749999999999992E-5</v>
      </c>
      <c r="H1332" s="511">
        <f>(calcReg1Seg3Rep1Payer2ImpactR2)*calcReg1Seg3Payer2TierImpactR2</f>
        <v>-5.749999999999992E-5</v>
      </c>
      <c r="I1332" s="511">
        <f>(calcReg1Seg3Rep1Payer2ImpactR2)*calcReg1Seg3Payer2TierImpactR2</f>
        <v>-5.749999999999992E-5</v>
      </c>
      <c r="J1332" t="s">
        <v>3383</v>
      </c>
    </row>
    <row r="1334" spans="1:10" s="4" customFormat="1">
      <c r="C1334" s="4" t="s">
        <v>1534</v>
      </c>
      <c r="E1334" s="500">
        <f>SUM(E1328:E1333)</f>
        <v>-2.5874999999999997E-4</v>
      </c>
      <c r="F1334" s="500">
        <f>SUM(F1328:F1333)</f>
        <v>-2.5874999999999997E-4</v>
      </c>
      <c r="G1334" s="500">
        <f>SUM(G1328:G1333)</f>
        <v>-2.5874999999999997E-4</v>
      </c>
      <c r="H1334" s="500">
        <f>SUM(H1328:H1333)</f>
        <v>-2.5874999999999997E-4</v>
      </c>
      <c r="I1334" s="500">
        <f>SUM(I1328:I1333)</f>
        <v>-2.5874999999999997E-4</v>
      </c>
      <c r="J1334" s="4" t="s">
        <v>1835</v>
      </c>
    </row>
    <row r="1335" spans="1:10">
      <c r="C1335" t="s">
        <v>1490</v>
      </c>
      <c r="E1335" s="380">
        <f>MAX(calcReg1Seg3Payer2MarketGrowthCustR2*calcReg1Seg3Payer2ShareNewCustR2,0)</f>
        <v>0</v>
      </c>
      <c r="F1335" s="380">
        <f>MAX(calcReg1Seg3Payer2MarketGrowthCustR2*calcReg1Seg3Payer2ShareNewCustR2,0)</f>
        <v>0</v>
      </c>
      <c r="G1335" s="380">
        <f>MAX(calcReg1Seg3Payer2MarketGrowthCustR2*calcReg1Seg3Payer2ShareNewCustR2,0)</f>
        <v>0</v>
      </c>
      <c r="H1335" s="380">
        <f>MAX(calcReg1Seg3Payer2MarketGrowthCustR2*calcReg1Seg3Payer2ShareNewCustR2,0)</f>
        <v>0</v>
      </c>
      <c r="I1335" s="380">
        <f>MAX(calcReg1Seg3Payer2MarketGrowthCustR2*calcReg1Seg3Payer2ShareNewCustR2,0)</f>
        <v>0</v>
      </c>
      <c r="J1335" s="4" t="s">
        <v>1836</v>
      </c>
    </row>
    <row r="1337" spans="1:10">
      <c r="C1337" t="s">
        <v>1537</v>
      </c>
      <c r="E1337" s="380">
        <f>calcReg1Seg3Payer2MarketRecurCustR2+calcReg1Seg3Payer2MarketGrowthCustR2</f>
        <v>72554.183912000008</v>
      </c>
      <c r="F1337" s="380">
        <f>calcReg1Seg3Payer2MarketRecurCustR2+calcReg1Seg3Payer2MarketGrowthCustR2</f>
        <v>72554.183912000008</v>
      </c>
      <c r="G1337" s="380">
        <f>calcReg1Seg3Payer2MarketRecurCustR2+calcReg1Seg3Payer2MarketGrowthCustR2</f>
        <v>72554.183912000008</v>
      </c>
      <c r="H1337" s="380">
        <f>calcReg1Seg3Payer2MarketRecurCustR2+calcReg1Seg3Payer2MarketGrowthCustR2</f>
        <v>72554.183912000008</v>
      </c>
      <c r="I1337" s="380">
        <f>calcReg1Seg3Payer2MarketRecurCustR2+calcReg1Seg3Payer2MarketGrowthCustR2</f>
        <v>72554.183912000008</v>
      </c>
      <c r="J1337" t="s">
        <v>1837</v>
      </c>
    </row>
    <row r="1338" spans="1:10">
      <c r="C1338" t="s">
        <v>1539</v>
      </c>
      <c r="E1338" s="380">
        <f>calcReg1Seg3Payer2VolumeRecurCustR2+calcReg1Seg3Payer2VolumeNewCustR2</f>
        <v>0</v>
      </c>
      <c r="F1338" s="380">
        <f>calcReg1Seg3Payer2VolumeRecurCustR2+calcReg1Seg3Payer2VolumeNewCustR2</f>
        <v>0</v>
      </c>
      <c r="G1338" s="380">
        <f>calcReg1Seg3Payer2VolumeRecurCustR2+calcReg1Seg3Payer2VolumeNewCustR2</f>
        <v>0</v>
      </c>
      <c r="H1338" s="380">
        <f>calcReg1Seg3Payer2VolumeRecurCustR2+calcReg1Seg3Payer2VolumeNewCustR2</f>
        <v>0</v>
      </c>
      <c r="I1338" s="380">
        <f>calcReg1Seg3Payer2VolumeRecurCustR2+calcReg1Seg3Payer2VolumeNewCustR2</f>
        <v>0</v>
      </c>
      <c r="J1338" t="s">
        <v>1838</v>
      </c>
    </row>
    <row r="1339" spans="1:10" s="4" customFormat="1">
      <c r="C1339" s="4" t="s">
        <v>841</v>
      </c>
      <c r="E1339" s="500">
        <f>calcReg1Seg3Payer2VolumeR1/calcReg1Seg3Payer2TotalVolumeR1</f>
        <v>0</v>
      </c>
      <c r="F1339" s="500">
        <f>calcReg1Seg3Payer2VolumeR1/calcReg1Seg3Payer2TotalVolumeR1</f>
        <v>0</v>
      </c>
      <c r="G1339" s="500">
        <f>calcReg1Seg3Payer2VolumeR1/calcReg1Seg3Payer2TotalVolumeR1</f>
        <v>0</v>
      </c>
      <c r="H1339" s="500">
        <f>calcReg1Seg3Payer2VolumeR1/calcReg1Seg3Payer2TotalVolumeR1</f>
        <v>0</v>
      </c>
      <c r="I1339" s="500">
        <f>calcReg1Seg3Payer2VolumeR1/calcReg1Seg3Payer2TotalVolumeR1</f>
        <v>0</v>
      </c>
      <c r="J1339" s="4" t="s">
        <v>1839</v>
      </c>
    </row>
    <row r="1341" spans="1:10" s="376" customFormat="1">
      <c r="A1341" s="376" t="str">
        <f>nmPayer3</f>
        <v>Dragon Health</v>
      </c>
    </row>
    <row r="1342" spans="1:10">
      <c r="A1342" s="16" t="s">
        <v>1488</v>
      </c>
      <c r="C1342" s="4" t="s">
        <v>803</v>
      </c>
      <c r="E1342" s="380">
        <f>INDEX(dataReg1Seg3Payer3TotalVolume,,3)</f>
        <v>31767.8256</v>
      </c>
      <c r="F1342" s="380">
        <f>INDEX(dataReg1Seg3Payer3TotalVolume,,3)</f>
        <v>31767.8256</v>
      </c>
      <c r="G1342" s="380">
        <f>INDEX(dataReg1Seg3Payer3TotalVolume,,3)</f>
        <v>31767.8256</v>
      </c>
      <c r="H1342" s="380">
        <f>INDEX(dataReg1Seg3Payer3TotalVolume,,3)</f>
        <v>31767.8256</v>
      </c>
      <c r="I1342" s="380">
        <f>INDEX(dataReg1Seg3Payer3TotalVolume,,3)</f>
        <v>31767.8256</v>
      </c>
      <c r="J1342" t="s">
        <v>1840</v>
      </c>
    </row>
    <row r="1343" spans="1:10">
      <c r="C1343" t="s">
        <v>3253</v>
      </c>
      <c r="E1343" t="str">
        <f>obalReg1Payer3Status</f>
        <v>T3 SGSE</v>
      </c>
      <c r="F1343" t="str">
        <f>obalReg1Payer3Status</f>
        <v>T3 SGSE</v>
      </c>
      <c r="G1343" t="str">
        <f>obalReg1Payer3Status</f>
        <v>T3 SGSE</v>
      </c>
      <c r="H1343" t="str">
        <f>obalReg1Payer3Status</f>
        <v>T3 SGSE</v>
      </c>
      <c r="I1343" t="str">
        <f>obalReg1Payer3Status</f>
        <v>T3 SGSE</v>
      </c>
    </row>
    <row r="1344" spans="1:10">
      <c r="C1344" t="s">
        <v>2887</v>
      </c>
      <c r="E1344">
        <f>INDEX(dataTierVolumeImpact,MATCH(E1343,MarketData!$K$12:$K$17,0),)</f>
        <v>0.9</v>
      </c>
      <c r="F1344">
        <f>INDEX(dataTierVolumeImpact,MATCH(F1343,MarketData!$K$12:$K$17,0),)</f>
        <v>0.9</v>
      </c>
      <c r="G1344">
        <f>INDEX(dataTierVolumeImpact,MATCH(G1343,MarketData!$K$12:$K$17,0),)</f>
        <v>0.9</v>
      </c>
      <c r="H1344">
        <f>INDEX(dataTierVolumeImpact,MATCH(H1343,MarketData!$K$12:$K$17,0),)</f>
        <v>0.9</v>
      </c>
      <c r="I1344">
        <f>INDEX(dataTierVolumeImpact,MATCH(I1343,MarketData!$K$12:$K$17,0),)</f>
        <v>0.9</v>
      </c>
      <c r="J1344" t="s">
        <v>3384</v>
      </c>
    </row>
    <row r="1345" spans="3:10">
      <c r="C1345" t="s">
        <v>1487</v>
      </c>
      <c r="E1345" s="465">
        <f>obalReg1Seg3Payer3Share</f>
        <v>5.7444444444444452E-3</v>
      </c>
      <c r="F1345" s="465">
        <f>obalReg1Seg3Payer3Share</f>
        <v>5.7444444444444452E-3</v>
      </c>
      <c r="G1345" s="465">
        <f>obalReg1Seg3Payer3Share</f>
        <v>5.7444444444444452E-3</v>
      </c>
      <c r="H1345" s="465">
        <f>obalReg1Seg3Payer3Share</f>
        <v>5.7444444444444452E-3</v>
      </c>
      <c r="I1345" s="465">
        <f>obalReg1Seg3Payer3Share</f>
        <v>5.7444444444444452E-3</v>
      </c>
    </row>
    <row r="1346" spans="3:10">
      <c r="C1346" t="s">
        <v>516</v>
      </c>
      <c r="E1346" s="511">
        <f>(calcReg1Seg3SampleAllocR1/obalReg1Seg3SampleAlloc-1)*INDEX(datatblReg1Seg3Payer3,1,)*calcReg1Seg3Payer3TierImpactR1</f>
        <v>0</v>
      </c>
      <c r="F1346" s="511">
        <f>(calcReg1Seg3SampleAllocR1/obalReg1Seg3SampleAlloc-1)*INDEX(datatblReg1Seg3Payer3,1,)</f>
        <v>0</v>
      </c>
      <c r="G1346" s="511">
        <f>(calcReg1Seg3SampleAllocR1/obalReg1Seg3SampleAlloc-1)*INDEX(datatblReg1Seg3Payer3,1,)</f>
        <v>0</v>
      </c>
      <c r="H1346" s="511">
        <f>(calcReg1Seg3SampleAllocR1/obalReg1Seg3SampleAlloc-1)*INDEX(datatblReg1Seg3Payer3,1,)</f>
        <v>0</v>
      </c>
      <c r="I1346" s="511">
        <f>(calcReg1Seg3SampleAllocR1/obalReg1Seg3SampleAlloc-1)*INDEX(datatblReg1Seg3Payer3,1,)</f>
        <v>0</v>
      </c>
      <c r="J1346" t="s">
        <v>3385</v>
      </c>
    </row>
    <row r="1347" spans="3:10">
      <c r="C1347" t="s">
        <v>517</v>
      </c>
      <c r="E1347" s="511">
        <f>(calcReg1Seg3SpeakerAllocR1/obalReg1Seg3SpeakerAlloc-1)*INDEX(datatblReg1Seg3Payer3,2,)*(calcReg1Seg3Payer3TierImpactR1)</f>
        <v>0</v>
      </c>
      <c r="F1347" s="511">
        <f>(calcReg1Seg3SpeakerAllocR1/obalReg1Seg3SpeakerAlloc-1)*INDEX(datatblReg1Seg3Payer3,2,)</f>
        <v>0</v>
      </c>
      <c r="G1347" s="511">
        <f>(calcReg1Seg3SpeakerAllocR1/obalReg1Seg3SpeakerAlloc-1)*INDEX(datatblReg1Seg3Payer3,2,)</f>
        <v>0</v>
      </c>
      <c r="H1347" s="511">
        <f>(calcReg1Seg3SpeakerAllocR1/obalReg1Seg3SpeakerAlloc-1)*INDEX(datatblReg1Seg3Payer3,2,)</f>
        <v>0</v>
      </c>
      <c r="I1347" s="511">
        <f>(calcReg1Seg3SpeakerAllocR1/obalReg1Seg3SpeakerAlloc-1)*INDEX(datatblReg1Seg3Payer3,2,)</f>
        <v>0</v>
      </c>
      <c r="J1347" t="s">
        <v>3386</v>
      </c>
    </row>
    <row r="1348" spans="3:10">
      <c r="C1348" t="s">
        <v>2333</v>
      </c>
      <c r="E1348" s="511">
        <f>(calcReg1Seg3PromotionAllocR1/obalReg1Seg3PromotionAlloc-1)*INDEX(datatblReg1Seg3Payer3,3,)*calcReg1Seg3Payer3TierImpactR1</f>
        <v>0</v>
      </c>
      <c r="F1348" s="511">
        <f>(calcReg1Seg3PromotionAllocR1/obalReg1Seg3PromotionAlloc-1)*INDEX(datatblReg1Seg3Payer3,3,)</f>
        <v>0</v>
      </c>
      <c r="G1348" s="511">
        <f>(calcReg1Seg3PromotionAllocR1/obalReg1Seg3PromotionAlloc-1)*INDEX(datatblReg1Seg3Payer3,3,)</f>
        <v>0</v>
      </c>
      <c r="H1348" s="511">
        <f>(calcReg1Seg3PromotionAllocR1/obalReg1Seg3PromotionAlloc-1)*INDEX(datatblReg1Seg3Payer3,3,)</f>
        <v>0</v>
      </c>
      <c r="I1348" s="511">
        <f>(calcReg1Seg3PromotionAllocR1/obalReg1Seg3PromotionAlloc-1)*INDEX(datatblReg1Seg3Payer3,3,)</f>
        <v>0</v>
      </c>
      <c r="J1348" t="s">
        <v>3387</v>
      </c>
    </row>
    <row r="1349" spans="3:10">
      <c r="C1349" t="s">
        <v>2646</v>
      </c>
      <c r="E1349" s="511">
        <f>(calcReg1Seg3Rep1Payer3ImpactR1)*calcReg1Seg3Payer3TierImpactR1</f>
        <v>-4.4999999999999942E-5</v>
      </c>
      <c r="F1349" s="511">
        <f>(calcReg1Seg3Rep1Payer3ImpactR1)*calcReg1Seg3Payer3TierImpactR1</f>
        <v>-4.4999999999999942E-5</v>
      </c>
      <c r="G1349" s="511">
        <f>(calcReg1Seg3Rep1Payer3ImpactR1)*calcReg1Seg3Payer3TierImpactR1</f>
        <v>-4.4999999999999942E-5</v>
      </c>
      <c r="H1349" s="511">
        <f>(calcReg1Seg3Rep1Payer3ImpactR1)*calcReg1Seg3Payer3TierImpactR1</f>
        <v>-4.4999999999999942E-5</v>
      </c>
      <c r="I1349" s="511">
        <f>(calcReg1Seg3Rep1Payer3ImpactR1)*calcReg1Seg3Payer3TierImpactR1</f>
        <v>-4.4999999999999942E-5</v>
      </c>
      <c r="J1349" t="s">
        <v>3388</v>
      </c>
    </row>
    <row r="1350" spans="3:10" s="4" customFormat="1">
      <c r="C1350" s="4" t="s">
        <v>1489</v>
      </c>
      <c r="E1350" s="500">
        <f>SUM(E1345:E1349)</f>
        <v>5.6994444444444453E-3</v>
      </c>
      <c r="F1350" s="500">
        <f t="shared" ref="F1350:I1350" si="58">SUM(F1345:F1349)</f>
        <v>5.6994444444444453E-3</v>
      </c>
      <c r="G1350" s="500">
        <f t="shared" si="58"/>
        <v>5.6994444444444453E-3</v>
      </c>
      <c r="H1350" s="500">
        <f t="shared" si="58"/>
        <v>5.6994444444444453E-3</v>
      </c>
      <c r="I1350" s="500">
        <f t="shared" si="58"/>
        <v>5.6994444444444453E-3</v>
      </c>
      <c r="J1350" s="4" t="s">
        <v>1841</v>
      </c>
    </row>
    <row r="1351" spans="3:10">
      <c r="C1351" t="s">
        <v>1490</v>
      </c>
      <c r="E1351" s="380">
        <f>MAX(calcReg1Seg3Payer3MarketRecurCustR1*calcReg1Seg3Payer3ShareRecurCustR1,0)</f>
        <v>181.05895712800003</v>
      </c>
      <c r="F1351" s="380">
        <f>MAX(calcReg1Seg3Payer3MarketRecurCustR1*calcReg1Seg3Payer3ShareRecurCustR1,0)</f>
        <v>181.05895712800003</v>
      </c>
      <c r="G1351" s="380">
        <f>MAX(calcReg1Seg3Payer3MarketRecurCustR1*calcReg1Seg3Payer3ShareRecurCustR1,0)</f>
        <v>181.05895712800003</v>
      </c>
      <c r="H1351" s="380">
        <f>MAX(calcReg1Seg3Payer3MarketRecurCustR1*calcReg1Seg3Payer3ShareRecurCustR1,0)</f>
        <v>181.05895712800003</v>
      </c>
      <c r="I1351" s="380">
        <f>MAX(calcReg1Seg3Payer3MarketRecurCustR1*calcReg1Seg3Payer3ShareRecurCustR1,0)</f>
        <v>181.05895712800003</v>
      </c>
      <c r="J1351" t="s">
        <v>1842</v>
      </c>
    </row>
    <row r="1353" spans="3:10">
      <c r="C1353" t="s">
        <v>804</v>
      </c>
      <c r="E1353" s="380">
        <f>INDEX(dataReg1Seg3Payer3NewVolume,,3)</f>
        <v>4451.2439999999997</v>
      </c>
      <c r="F1353" s="380">
        <f>INDEX(dataReg1Seg3Payer3NewVolume,,3)</f>
        <v>4451.2439999999997</v>
      </c>
      <c r="G1353" s="380">
        <f>INDEX(dataReg1Seg3Payer3NewVolume,,3)</f>
        <v>4451.2439999999997</v>
      </c>
      <c r="H1353" s="380">
        <f>INDEX(dataReg1Seg3Payer3NewVolume,,3)</f>
        <v>4451.2439999999997</v>
      </c>
      <c r="I1353" s="380">
        <f>INDEX(dataReg1Seg3Payer3NewVolume,,3)</f>
        <v>4451.2439999999997</v>
      </c>
      <c r="J1353" t="s">
        <v>1843</v>
      </c>
    </row>
    <row r="1355" spans="3:10">
      <c r="C1355" t="s">
        <v>1486</v>
      </c>
      <c r="E1355" s="465">
        <f>obalReg1Seg3Payer3Share</f>
        <v>5.7444444444444452E-3</v>
      </c>
      <c r="F1355" s="465">
        <f>obalReg1Seg3Payer3Share</f>
        <v>5.7444444444444452E-3</v>
      </c>
      <c r="G1355" s="465">
        <f>obalReg1Seg3Payer3Share</f>
        <v>5.7444444444444452E-3</v>
      </c>
      <c r="H1355" s="465">
        <f>obalReg1Seg3Payer3Share</f>
        <v>5.7444444444444452E-3</v>
      </c>
      <c r="I1355" s="465">
        <f>obalReg1Seg3Payer3Share</f>
        <v>5.7444444444444452E-3</v>
      </c>
    </row>
    <row r="1356" spans="3:10">
      <c r="C1356" t="s">
        <v>516</v>
      </c>
      <c r="E1356" s="511">
        <f>(calcReg1Seg3SampleAllocR1/obalReg1Seg3SampleAlloc-1)*INDEX(datatblReg1Seg3Payer3,1,)*calcReg1Seg3Payer3TierImpactR1</f>
        <v>0</v>
      </c>
      <c r="F1356" s="511">
        <f>(calcReg1Seg3SampleAllocR1/obalReg1Seg3SampleAlloc-1)*INDEX(datatblReg1Seg3Payer3,1,)</f>
        <v>0</v>
      </c>
      <c r="G1356" s="511">
        <f>(calcReg1Seg3SampleAllocR1/obalReg1Seg3SampleAlloc-1)*INDEX(datatblReg1Seg3Payer3,1,)</f>
        <v>0</v>
      </c>
      <c r="H1356" s="511">
        <f>(calcReg1Seg3SampleAllocR1/obalReg1Seg3SampleAlloc-1)*INDEX(datatblReg1Seg3Payer3,1,)</f>
        <v>0</v>
      </c>
      <c r="I1356" s="511">
        <f>(calcReg1Seg3SampleAllocR1/obalReg1Seg3SampleAlloc-1)*INDEX(datatblReg1Seg3Payer3,1,)</f>
        <v>0</v>
      </c>
      <c r="J1356" t="s">
        <v>3389</v>
      </c>
    </row>
    <row r="1357" spans="3:10">
      <c r="C1357" t="s">
        <v>517</v>
      </c>
      <c r="E1357" s="511">
        <f>(calcReg1Seg3SpeakerAllocR1/obalReg1Seg3SpeakerAlloc-1)*INDEX(datatblReg1Seg3Payer3,2,)*(calcReg1Seg3Payer3TierImpactR1)</f>
        <v>0</v>
      </c>
      <c r="F1357" s="511">
        <f>(calcReg1Seg3SpeakerAllocR1/obalReg1Seg3SpeakerAlloc-1)*INDEX(datatblReg1Seg3Payer3,2,)</f>
        <v>0</v>
      </c>
      <c r="G1357" s="511">
        <f>(calcReg1Seg3SpeakerAllocR1/obalReg1Seg3SpeakerAlloc-1)*INDEX(datatblReg1Seg3Payer3,2,)</f>
        <v>0</v>
      </c>
      <c r="H1357" s="511">
        <f>(calcReg1Seg3SpeakerAllocR1/obalReg1Seg3SpeakerAlloc-1)*INDEX(datatblReg1Seg3Payer3,2,)</f>
        <v>0</v>
      </c>
      <c r="I1357" s="511">
        <f>(calcReg1Seg3SpeakerAllocR1/obalReg1Seg3SpeakerAlloc-1)*INDEX(datatblReg1Seg3Payer3,2,)</f>
        <v>0</v>
      </c>
      <c r="J1357" t="s">
        <v>3390</v>
      </c>
    </row>
    <row r="1358" spans="3:10">
      <c r="C1358" t="s">
        <v>2333</v>
      </c>
      <c r="E1358" s="511">
        <f>(calcReg1Seg3PromotionAllocR1/obalReg1Seg3PromotionAlloc-1)*INDEX(datatblReg1Seg3Payer3,3,)*calcReg1Seg3Payer3TierImpactR1</f>
        <v>0</v>
      </c>
      <c r="F1358" s="511">
        <f>(calcReg1Seg3PromotionAllocR1/obalReg1Seg3PromotionAlloc-1)*INDEX(datatblReg1Seg3Payer3,3,)</f>
        <v>0</v>
      </c>
      <c r="G1358" s="511">
        <f>(calcReg1Seg3PromotionAllocR1/obalReg1Seg3PromotionAlloc-1)*INDEX(datatblReg1Seg3Payer3,3,)</f>
        <v>0</v>
      </c>
      <c r="H1358" s="511">
        <f>(calcReg1Seg3PromotionAllocR1/obalReg1Seg3PromotionAlloc-1)*INDEX(datatblReg1Seg3Payer3,3,)</f>
        <v>0</v>
      </c>
      <c r="I1358" s="511">
        <f>(calcReg1Seg3PromotionAllocR1/obalReg1Seg3PromotionAlloc-1)*INDEX(datatblReg1Seg3Payer3,3,)</f>
        <v>0</v>
      </c>
      <c r="J1358" t="s">
        <v>3391</v>
      </c>
    </row>
    <row r="1359" spans="3:10">
      <c r="C1359" t="s">
        <v>2646</v>
      </c>
      <c r="E1359" s="511">
        <f>(calcReg1Seg3Rep1Payer3ImpactR1)*calcReg1Seg3Payer3TierImpactR1</f>
        <v>-4.4999999999999942E-5</v>
      </c>
      <c r="F1359" s="511">
        <f>(calcReg1Seg3Rep1Payer3ImpactR1)*calcReg1Seg3Payer3TierImpactR1</f>
        <v>-4.4999999999999942E-5</v>
      </c>
      <c r="G1359" s="511">
        <f>(calcReg1Seg3Rep1Payer3ImpactR1)*calcReg1Seg3Payer3TierImpactR1</f>
        <v>-4.4999999999999942E-5</v>
      </c>
      <c r="H1359" s="511">
        <f>(calcReg1Seg3Rep1Payer3ImpactR1)*calcReg1Seg3Payer3TierImpactR1</f>
        <v>-4.4999999999999942E-5</v>
      </c>
      <c r="I1359" s="511">
        <f>(calcReg1Seg3Rep1Payer3ImpactR1)*calcReg1Seg3Payer3TierImpactR1</f>
        <v>-4.4999999999999942E-5</v>
      </c>
      <c r="J1359" t="s">
        <v>3392</v>
      </c>
    </row>
    <row r="1360" spans="3:10">
      <c r="C1360" t="s">
        <v>2905</v>
      </c>
    </row>
    <row r="1361" spans="1:10" s="4" customFormat="1">
      <c r="C1361" s="4" t="s">
        <v>1534</v>
      </c>
      <c r="E1361" s="500">
        <f>SUM(E1355:E1360)</f>
        <v>5.6994444444444453E-3</v>
      </c>
      <c r="F1361" s="500">
        <f>SUM(F1355:F1360)</f>
        <v>5.6994444444444453E-3</v>
      </c>
      <c r="G1361" s="500">
        <f>SUM(G1355:G1360)</f>
        <v>5.6994444444444453E-3</v>
      </c>
      <c r="H1361" s="500">
        <f>SUM(H1355:H1360)</f>
        <v>5.6994444444444453E-3</v>
      </c>
      <c r="I1361" s="500">
        <f>SUM(I1355:I1360)</f>
        <v>5.6994444444444453E-3</v>
      </c>
      <c r="J1361" s="4" t="s">
        <v>1844</v>
      </c>
    </row>
    <row r="1362" spans="1:10">
      <c r="C1362" t="s">
        <v>1490</v>
      </c>
      <c r="E1362" s="380">
        <f>MAX(calcReg1Seg3Payer3MarketGrowthCustR1*calcReg1Seg3Payer3ShareNewCustR1,0)</f>
        <v>25.369617886666671</v>
      </c>
      <c r="F1362" s="380">
        <f>MAX(calcReg1Seg3Payer3MarketGrowthCustR1*calcReg1Seg3Payer3ShareNewCustR1,0)</f>
        <v>25.369617886666671</v>
      </c>
      <c r="G1362" s="380">
        <f>MAX(calcReg1Seg3Payer3MarketGrowthCustR1*calcReg1Seg3Payer3ShareNewCustR1,0)</f>
        <v>25.369617886666671</v>
      </c>
      <c r="H1362" s="380">
        <f>MAX(calcReg1Seg3Payer3MarketGrowthCustR1*calcReg1Seg3Payer3ShareNewCustR1,0)</f>
        <v>25.369617886666671</v>
      </c>
      <c r="I1362" s="380">
        <f>MAX(calcReg1Seg3Payer3MarketGrowthCustR1*calcReg1Seg3Payer3ShareNewCustR1,0)</f>
        <v>25.369617886666671</v>
      </c>
      <c r="J1362" s="4" t="s">
        <v>1845</v>
      </c>
    </row>
    <row r="1364" spans="1:10">
      <c r="C1364" t="s">
        <v>1537</v>
      </c>
      <c r="E1364" s="380">
        <f>calcReg1Seg3Payer3MarketRecurCustR1+calcReg1Seg3Payer3MarketGrowthCustR1</f>
        <v>36219.069600000003</v>
      </c>
      <c r="F1364" s="380">
        <f>calcReg1Seg3Payer3MarketRecurCustR1+calcReg1Seg3Payer3MarketGrowthCustR1</f>
        <v>36219.069600000003</v>
      </c>
      <c r="G1364" s="380">
        <f>calcReg1Seg3Payer3MarketRecurCustR1+calcReg1Seg3Payer3MarketGrowthCustR1</f>
        <v>36219.069600000003</v>
      </c>
      <c r="H1364" s="380">
        <f>calcReg1Seg3Payer3MarketRecurCustR1+calcReg1Seg3Payer3MarketGrowthCustR1</f>
        <v>36219.069600000003</v>
      </c>
      <c r="I1364" s="380">
        <f>calcReg1Seg3Payer3MarketRecurCustR1+calcReg1Seg3Payer3MarketGrowthCustR1</f>
        <v>36219.069600000003</v>
      </c>
      <c r="J1364" t="s">
        <v>1846</v>
      </c>
    </row>
    <row r="1365" spans="1:10">
      <c r="C1365" t="s">
        <v>1539</v>
      </c>
      <c r="E1365" s="380">
        <f>calcReg1Seg3Payer3VolumeRecurCustR1+calcReg1Seg3Payer3VolumeNewCustR1</f>
        <v>206.42857501466671</v>
      </c>
      <c r="F1365" s="380">
        <f>calcReg1Seg3Payer3VolumeRecurCustR1+calcReg1Seg3Payer3VolumeNewCustR1</f>
        <v>206.42857501466671</v>
      </c>
      <c r="G1365" s="380">
        <f>calcReg1Seg3Payer3VolumeRecurCustR1+calcReg1Seg3Payer3VolumeNewCustR1</f>
        <v>206.42857501466671</v>
      </c>
      <c r="H1365" s="380">
        <f>calcReg1Seg3Payer3VolumeRecurCustR1+calcReg1Seg3Payer3VolumeNewCustR1</f>
        <v>206.42857501466671</v>
      </c>
      <c r="I1365" s="380">
        <f>calcReg1Seg3Payer3VolumeRecurCustR1+calcReg1Seg3Payer3VolumeNewCustR1</f>
        <v>206.42857501466671</v>
      </c>
      <c r="J1365" t="s">
        <v>1847</v>
      </c>
    </row>
    <row r="1366" spans="1:10" s="4" customFormat="1">
      <c r="C1366" s="4" t="s">
        <v>841</v>
      </c>
      <c r="E1366" s="500">
        <f>calcReg1Seg3Payer3VolumeR1/calcReg1Seg3Payer3TotalVolumeR1</f>
        <v>5.6994444444444453E-3</v>
      </c>
      <c r="F1366" s="500">
        <f>calcReg1Seg3Payer3VolumeR1/calcReg1Seg3Payer3TotalVolumeR1</f>
        <v>5.6994444444444453E-3</v>
      </c>
      <c r="G1366" s="500">
        <f>calcReg1Seg3Payer3VolumeR1/calcReg1Seg3Payer3TotalVolumeR1</f>
        <v>5.6994444444444453E-3</v>
      </c>
      <c r="H1366" s="500">
        <f>calcReg1Seg3Payer3VolumeR1/calcReg1Seg3Payer3TotalVolumeR1</f>
        <v>5.6994444444444453E-3</v>
      </c>
      <c r="I1366" s="500">
        <f>calcReg1Seg3Payer3VolumeR1/calcReg1Seg3Payer3TotalVolumeR1</f>
        <v>5.6994444444444453E-3</v>
      </c>
      <c r="J1366" s="4" t="s">
        <v>1848</v>
      </c>
    </row>
    <row r="1368" spans="1:10">
      <c r="A1368" s="16" t="s">
        <v>1551</v>
      </c>
      <c r="C1368" t="s">
        <v>803</v>
      </c>
      <c r="E1368" s="380">
        <f>INDEX(dataReg1Seg3Payer3TotalVolume,,4)</f>
        <v>35897.642928000001</v>
      </c>
      <c r="F1368" s="380">
        <f>INDEX(dataReg1Seg3Payer3TotalVolume,,4)</f>
        <v>35897.642928000001</v>
      </c>
      <c r="G1368" s="380">
        <f>INDEX(dataReg1Seg3Payer3TotalVolume,,4)</f>
        <v>35897.642928000001</v>
      </c>
      <c r="H1368" s="380">
        <f>INDEX(dataReg1Seg3Payer3TotalVolume,,4)</f>
        <v>35897.642928000001</v>
      </c>
      <c r="I1368" s="380">
        <f>INDEX(dataReg1Seg3Payer3TotalVolume,,4)</f>
        <v>35897.642928000001</v>
      </c>
      <c r="J1368" t="s">
        <v>1849</v>
      </c>
    </row>
    <row r="1369" spans="1:10">
      <c r="C1369" t="s">
        <v>3253</v>
      </c>
      <c r="E1369" t="str">
        <f>cbalReg1Payer3Status</f>
        <v>T3 SGSE</v>
      </c>
      <c r="F1369" t="str">
        <f>cbalReg1Payer3Status</f>
        <v>T3 SGSE</v>
      </c>
      <c r="G1369" t="str">
        <f>cbalReg1Payer3Status</f>
        <v>T3 SGSE</v>
      </c>
      <c r="H1369" t="str">
        <f>cbalReg1Payer3Status</f>
        <v>T3 SGSE</v>
      </c>
      <c r="I1369" t="str">
        <f>cbalReg1Payer3Status</f>
        <v>T3 SGSE</v>
      </c>
    </row>
    <row r="1370" spans="1:10">
      <c r="C1370" t="s">
        <v>2887</v>
      </c>
      <c r="E1370">
        <f>INDEX(dataTierVolumeImpact,MATCH(E1369,MarketData!$K$12:$K$17,0),)</f>
        <v>0.9</v>
      </c>
      <c r="F1370">
        <f>INDEX(dataTierVolumeImpact,MATCH(F1369,MarketData!$K$12:$K$17,0),)</f>
        <v>0.9</v>
      </c>
      <c r="G1370">
        <f>INDEX(dataTierVolumeImpact,MATCH(G1369,MarketData!$K$12:$K$17,0),)</f>
        <v>0.9</v>
      </c>
      <c r="H1370">
        <f>INDEX(dataTierVolumeImpact,MATCH(H1369,MarketData!$K$12:$K$17,0),)</f>
        <v>0.9</v>
      </c>
      <c r="I1370">
        <f>INDEX(dataTierVolumeImpact,MATCH(I1369,MarketData!$K$12:$K$17,0),)</f>
        <v>0.9</v>
      </c>
      <c r="J1370" t="s">
        <v>3393</v>
      </c>
    </row>
    <row r="1371" spans="1:10">
      <c r="C1371" t="s">
        <v>1487</v>
      </c>
      <c r="E1371" s="465">
        <f>calcReg1Seg3Payer3ShareTotalCustR1</f>
        <v>5.6994444444444453E-3</v>
      </c>
      <c r="F1371" s="465">
        <f>calcReg1Seg3Payer3ShareTotalCustR1</f>
        <v>5.6994444444444453E-3</v>
      </c>
      <c r="G1371" s="465">
        <f>calcReg1Seg3Payer3ShareTotalCustR1</f>
        <v>5.6994444444444453E-3</v>
      </c>
      <c r="H1371" s="465">
        <f>calcReg1Seg3Payer3ShareTotalCustR1</f>
        <v>5.6994444444444453E-3</v>
      </c>
      <c r="I1371" s="465">
        <f>calcReg1Seg3Payer3ShareTotalCustR1</f>
        <v>5.6994444444444453E-3</v>
      </c>
    </row>
    <row r="1372" spans="1:10">
      <c r="C1372" t="s">
        <v>516</v>
      </c>
      <c r="E1372" s="511">
        <f>(calcReg1Seg3SampleAllocR2/calcReg1Seg3SampleAllocR1-1)*INDEX(datatblReg1Seg3Payer3,1,)*calcReg1Seg3Payer3TierImpactR2</f>
        <v>0</v>
      </c>
      <c r="F1372" s="511">
        <f>(calcReg1Seg3SampleAllocR2/calcReg1Seg3SampleAllocR1-1)*INDEX(datatblReg1Seg3Payer3,1,)*calcReg1Seg3Payer3TierImpactR2</f>
        <v>0</v>
      </c>
      <c r="G1372" s="511">
        <f>(calcReg1Seg3SampleAllocR2/calcReg1Seg3SampleAllocR1-1)*INDEX(datatblReg1Seg3Payer3,1,)*calcReg1Seg3Payer3TierImpactR2</f>
        <v>0</v>
      </c>
      <c r="H1372" s="511">
        <f>(calcReg1Seg3SampleAllocR2/calcReg1Seg3SampleAllocR1-1)*INDEX(datatblReg1Seg3Payer3,1,)*calcReg1Seg3Payer3TierImpactR2</f>
        <v>0</v>
      </c>
      <c r="I1372" s="511">
        <f>(calcReg1Seg3SampleAllocR2/calcReg1Seg3SampleAllocR1-1)*INDEX(datatblReg1Seg3Payer3,1,)*calcReg1Seg3Payer3TierImpactR2</f>
        <v>0</v>
      </c>
      <c r="J1372" t="s">
        <v>3135</v>
      </c>
    </row>
    <row r="1373" spans="1:10">
      <c r="C1373" t="s">
        <v>517</v>
      </c>
      <c r="E1373" s="511">
        <f>(calcReg1Seg3SpeakerAllocR2/calcReg1Seg3SpeakerAllocR1-1)*INDEX(datatblReg1Seg3Payer3,2,)*calcReg1Seg3Payer3TierImpactR2</f>
        <v>-4.5000000000000037E-5</v>
      </c>
      <c r="F1373" s="511">
        <f>(calcReg1Seg3SpeakerAllocR2/calcReg1Seg3SpeakerAllocR1-1)*INDEX(datatblReg1Seg3Payer3,2,)*calcReg1Seg3Payer3TierImpactR2</f>
        <v>-4.5000000000000037E-5</v>
      </c>
      <c r="G1373" s="511">
        <f>(calcReg1Seg3SpeakerAllocR2/calcReg1Seg3SpeakerAllocR1-1)*INDEX(datatblReg1Seg3Payer3,2,)*calcReg1Seg3Payer3TierImpactR2</f>
        <v>-4.5000000000000037E-5</v>
      </c>
      <c r="H1373" s="511">
        <f>(calcReg1Seg3SpeakerAllocR2/calcReg1Seg3SpeakerAllocR1-1)*INDEX(datatblReg1Seg3Payer3,2,)*calcReg1Seg3Payer3TierImpactR2</f>
        <v>-4.5000000000000037E-5</v>
      </c>
      <c r="I1373" s="511">
        <f>(calcReg1Seg3SpeakerAllocR2/calcReg1Seg3SpeakerAllocR1-1)*INDEX(datatblReg1Seg3Payer3,2,)*calcReg1Seg3Payer3TierImpactR2</f>
        <v>-4.5000000000000037E-5</v>
      </c>
      <c r="J1373" t="s">
        <v>3136</v>
      </c>
    </row>
    <row r="1374" spans="1:10">
      <c r="C1374" t="s">
        <v>2333</v>
      </c>
      <c r="E1374" s="511">
        <f>(calcReg1Seg3PromotionAllocR2/calcReg1Seg3PromotionAllocR1-1)*INDEX(datatblReg1Seg3Payer3,3,)*calcReg1Seg3Payer3TierImpactR2</f>
        <v>-6.7500000000000069E-5</v>
      </c>
      <c r="F1374" s="511">
        <f>(calcReg1Seg3PromotionAllocR2/calcReg1Seg3PromotionAllocR1-1)*INDEX(datatblReg1Seg3Payer3,3,)*calcReg1Seg3Payer3TierImpactR2</f>
        <v>-6.7500000000000069E-5</v>
      </c>
      <c r="G1374" s="511">
        <f>(calcReg1Seg3PromotionAllocR2/calcReg1Seg3PromotionAllocR1-1)*INDEX(datatblReg1Seg3Payer3,3,)*calcReg1Seg3Payer3TierImpactR2</f>
        <v>-6.7500000000000069E-5</v>
      </c>
      <c r="H1374" s="511">
        <f>(calcReg1Seg3PromotionAllocR2/calcReg1Seg3PromotionAllocR1-1)*INDEX(datatblReg1Seg3Payer3,3,)*calcReg1Seg3Payer3TierImpactR2</f>
        <v>-6.7500000000000069E-5</v>
      </c>
      <c r="I1374" s="511">
        <f>(calcReg1Seg3PromotionAllocR2/calcReg1Seg3PromotionAllocR1-1)*INDEX(datatblReg1Seg3Payer3,3,)*calcReg1Seg3Payer3TierImpactR2</f>
        <v>-6.7500000000000069E-5</v>
      </c>
      <c r="J1374" t="s">
        <v>3137</v>
      </c>
    </row>
    <row r="1375" spans="1:10">
      <c r="C1375" t="s">
        <v>2646</v>
      </c>
      <c r="E1375" s="511">
        <f>(calcReg1Seg3Rep1Payer3ImpactR2)*calcReg1Seg3Payer3TierImpactR2</f>
        <v>-4.4999999999999942E-5</v>
      </c>
      <c r="F1375" s="511">
        <f>(calcReg1Seg3Rep1Payer3ImpactR2)*calcReg1Seg3Payer3TierImpactR2</f>
        <v>-4.4999999999999942E-5</v>
      </c>
      <c r="G1375" s="511">
        <f>(calcReg1Seg3Rep1Payer3ImpactR2)*calcReg1Seg3Payer3TierImpactR2</f>
        <v>-4.4999999999999942E-5</v>
      </c>
      <c r="H1375" s="511">
        <f>(calcReg1Seg3Rep1Payer3ImpactR2)*calcReg1Seg3Payer3TierImpactR2</f>
        <v>-4.4999999999999942E-5</v>
      </c>
      <c r="I1375" s="511">
        <f>(calcReg1Seg3Rep1Payer3ImpactR2)*calcReg1Seg3Payer3TierImpactR2</f>
        <v>-4.4999999999999942E-5</v>
      </c>
      <c r="J1375" t="s">
        <v>3138</v>
      </c>
    </row>
    <row r="1377" spans="3:10" s="4" customFormat="1">
      <c r="C1377" s="4" t="s">
        <v>1489</v>
      </c>
      <c r="E1377" s="500">
        <f>SUM(E1371:E1376)</f>
        <v>5.5419444444444457E-3</v>
      </c>
      <c r="F1377" s="500">
        <f>SUM(F1371:F1376)</f>
        <v>5.5419444444444457E-3</v>
      </c>
      <c r="G1377" s="500">
        <f>SUM(G1371:G1376)</f>
        <v>5.5419444444444457E-3</v>
      </c>
      <c r="H1377" s="500">
        <f>SUM(H1371:H1376)</f>
        <v>5.5419444444444457E-3</v>
      </c>
      <c r="I1377" s="500">
        <f>SUM(I1371:I1376)</f>
        <v>5.5419444444444457E-3</v>
      </c>
      <c r="J1377" s="4" t="s">
        <v>1850</v>
      </c>
    </row>
    <row r="1378" spans="3:10">
      <c r="C1378" t="s">
        <v>1490</v>
      </c>
      <c r="E1378" s="380">
        <f>MAX(calcReg1Seg3Payer3MarketRecurCustR2*calcReg1Seg3Payer3ShareRecurCustR2,0)</f>
        <v>198.94274279348005</v>
      </c>
      <c r="F1378" s="380">
        <f>MAX(calcReg1Seg3Payer3MarketRecurCustR2*calcReg1Seg3Payer3ShareRecurCustR2,0)</f>
        <v>198.94274279348005</v>
      </c>
      <c r="G1378" s="380">
        <f>MAX(calcReg1Seg3Payer3MarketRecurCustR2*calcReg1Seg3Payer3ShareRecurCustR2,0)</f>
        <v>198.94274279348005</v>
      </c>
      <c r="H1378" s="380">
        <f>MAX(calcReg1Seg3Payer3MarketRecurCustR2*calcReg1Seg3Payer3ShareRecurCustR2,0)</f>
        <v>198.94274279348005</v>
      </c>
      <c r="I1378" s="380">
        <f>MAX(calcReg1Seg3Payer3MarketRecurCustR2*calcReg1Seg3Payer3ShareRecurCustR2,0)</f>
        <v>198.94274279348005</v>
      </c>
      <c r="J1378" t="s">
        <v>1851</v>
      </c>
    </row>
    <row r="1380" spans="3:10">
      <c r="C1380" t="s">
        <v>804</v>
      </c>
      <c r="E1380" s="380">
        <f>INDEX(dataReg1Seg3Payer3NewVolume,,4)</f>
        <v>5029.9057200000007</v>
      </c>
      <c r="F1380" s="380">
        <f>INDEX(dataReg1Seg3Payer3NewVolume,,4)</f>
        <v>5029.9057200000007</v>
      </c>
      <c r="G1380" s="380">
        <f>INDEX(dataReg1Seg3Payer3NewVolume,,4)</f>
        <v>5029.9057200000007</v>
      </c>
      <c r="H1380" s="380">
        <f>INDEX(dataReg1Seg3Payer3NewVolume,,4)</f>
        <v>5029.9057200000007</v>
      </c>
      <c r="I1380" s="380">
        <f>INDEX(dataReg1Seg3Payer3NewVolume,,4)</f>
        <v>5029.9057200000007</v>
      </c>
      <c r="J1380" t="s">
        <v>1852</v>
      </c>
    </row>
    <row r="1382" spans="3:10">
      <c r="C1382" t="s">
        <v>1486</v>
      </c>
      <c r="E1382" s="465">
        <f>calcReg1Seg3Payer3ShareNewCustR1</f>
        <v>5.6994444444444453E-3</v>
      </c>
      <c r="F1382" s="465">
        <f>calcReg1Seg3Payer3ShareNewCustR1</f>
        <v>5.6994444444444453E-3</v>
      </c>
      <c r="G1382" s="465">
        <f>calcReg1Seg3Payer3ShareNewCustR1</f>
        <v>5.6994444444444453E-3</v>
      </c>
      <c r="H1382" s="465">
        <f>calcReg1Seg3Payer3ShareNewCustR1</f>
        <v>5.6994444444444453E-3</v>
      </c>
      <c r="I1382" s="465">
        <f>calcReg1Seg3Payer3ShareNewCustR1</f>
        <v>5.6994444444444453E-3</v>
      </c>
    </row>
    <row r="1383" spans="3:10">
      <c r="C1383" t="s">
        <v>516</v>
      </c>
      <c r="E1383" s="511">
        <f>(calcReg1Seg3SampleAllocR2/calcReg1Seg3SampleAllocR1-1)*INDEX(datatblReg1Seg3Payer3,1,)*calcReg1Seg3Payer3TierImpactR2</f>
        <v>0</v>
      </c>
      <c r="F1383" s="511">
        <f>(calcReg1Seg3SampleAllocR2/calcReg1Seg3SampleAllocR1-1)*INDEX(datatblReg1Seg3Payer3,1,)*calcReg1Seg3Payer3TierImpactR2</f>
        <v>0</v>
      </c>
      <c r="G1383" s="511">
        <f>(calcReg1Seg3SampleAllocR2/calcReg1Seg3SampleAllocR1-1)*INDEX(datatblReg1Seg3Payer3,1,)*calcReg1Seg3Payer3TierImpactR2</f>
        <v>0</v>
      </c>
      <c r="H1383" s="511">
        <f>(calcReg1Seg3SampleAllocR2/calcReg1Seg3SampleAllocR1-1)*INDEX(datatblReg1Seg3Payer3,1,)*calcReg1Seg3Payer3TierImpactR2</f>
        <v>0</v>
      </c>
      <c r="I1383" s="511">
        <f>(calcReg1Seg3SampleAllocR2/calcReg1Seg3SampleAllocR1-1)*INDEX(datatblReg1Seg3Payer3,1,)*calcReg1Seg3Payer3TierImpactR2</f>
        <v>0</v>
      </c>
      <c r="J1383" t="s">
        <v>3394</v>
      </c>
    </row>
    <row r="1384" spans="3:10">
      <c r="C1384" t="s">
        <v>517</v>
      </c>
      <c r="E1384" s="511">
        <f>(calcReg1Seg3SpeakerAllocR2/calcReg1Seg3SpeakerAllocR1-1)*INDEX(datatblReg1Seg3Payer3,2,)*calcReg1Seg3Payer3TierImpactR2</f>
        <v>-4.5000000000000037E-5</v>
      </c>
      <c r="F1384" s="511">
        <f>(calcReg1Seg3SpeakerAllocR2/calcReg1Seg3SpeakerAllocR1-1)*INDEX(datatblReg1Seg3Payer3,2,)*calcReg1Seg3Payer3TierImpactR2</f>
        <v>-4.5000000000000037E-5</v>
      </c>
      <c r="G1384" s="511">
        <f>(calcReg1Seg3SpeakerAllocR2/calcReg1Seg3SpeakerAllocR1-1)*INDEX(datatblReg1Seg3Payer3,2,)*calcReg1Seg3Payer3TierImpactR2</f>
        <v>-4.5000000000000037E-5</v>
      </c>
      <c r="H1384" s="511">
        <f>(calcReg1Seg3SpeakerAllocR2/calcReg1Seg3SpeakerAllocR1-1)*INDEX(datatblReg1Seg3Payer3,2,)*calcReg1Seg3Payer3TierImpactR2</f>
        <v>-4.5000000000000037E-5</v>
      </c>
      <c r="I1384" s="511">
        <f>(calcReg1Seg3SpeakerAllocR2/calcReg1Seg3SpeakerAllocR1-1)*INDEX(datatblReg1Seg3Payer3,2,)*calcReg1Seg3Payer3TierImpactR2</f>
        <v>-4.5000000000000037E-5</v>
      </c>
      <c r="J1384" t="s">
        <v>3395</v>
      </c>
    </row>
    <row r="1385" spans="3:10">
      <c r="C1385" t="s">
        <v>2333</v>
      </c>
      <c r="E1385" s="511">
        <f>(calcReg1Seg3PromotionAllocR2/calcReg1Seg3PromotionAllocR1-1)*INDEX(datatblReg1Seg3Payer3,3,)*calcReg1Seg3Payer3TierImpactR2</f>
        <v>-6.7500000000000069E-5</v>
      </c>
      <c r="F1385" s="511">
        <f>(calcReg1Seg3PromotionAllocR2/calcReg1Seg3PromotionAllocR1-1)*INDEX(datatblReg1Seg3Payer3,3,)*calcReg1Seg3Payer3TierImpactR2</f>
        <v>-6.7500000000000069E-5</v>
      </c>
      <c r="G1385" s="511">
        <f>(calcReg1Seg3PromotionAllocR2/calcReg1Seg3PromotionAllocR1-1)*INDEX(datatblReg1Seg3Payer3,3,)*calcReg1Seg3Payer3TierImpactR2</f>
        <v>-6.7500000000000069E-5</v>
      </c>
      <c r="H1385" s="511">
        <f>(calcReg1Seg3PromotionAllocR2/calcReg1Seg3PromotionAllocR1-1)*INDEX(datatblReg1Seg3Payer3,3,)*calcReg1Seg3Payer3TierImpactR2</f>
        <v>-6.7500000000000069E-5</v>
      </c>
      <c r="I1385" s="511">
        <f>(calcReg1Seg3PromotionAllocR2/calcReg1Seg3PromotionAllocR1-1)*INDEX(datatblReg1Seg3Payer3,3,)*calcReg1Seg3Payer3TierImpactR2</f>
        <v>-6.7500000000000069E-5</v>
      </c>
      <c r="J1385" t="s">
        <v>3396</v>
      </c>
    </row>
    <row r="1386" spans="3:10">
      <c r="C1386" t="s">
        <v>2646</v>
      </c>
      <c r="E1386" s="511">
        <f>(calcReg1Seg3Rep1Payer3ImpactR2)*calcReg1Seg3Payer3TierImpactR2</f>
        <v>-4.4999999999999942E-5</v>
      </c>
      <c r="F1386" s="511">
        <f>(calcReg1Seg3Rep1Payer3ImpactR2)*calcReg1Seg3Payer3TierImpactR2</f>
        <v>-4.4999999999999942E-5</v>
      </c>
      <c r="G1386" s="511">
        <f>(calcReg1Seg3Rep1Payer3ImpactR2)*calcReg1Seg3Payer3TierImpactR2</f>
        <v>-4.4999999999999942E-5</v>
      </c>
      <c r="H1386" s="511">
        <f>(calcReg1Seg3Rep1Payer3ImpactR2)*calcReg1Seg3Payer3TierImpactR2</f>
        <v>-4.4999999999999942E-5</v>
      </c>
      <c r="I1386" s="511">
        <f>(calcReg1Seg3Rep1Payer3ImpactR2)*calcReg1Seg3Payer3TierImpactR2</f>
        <v>-4.4999999999999942E-5</v>
      </c>
      <c r="J1386" t="s">
        <v>3397</v>
      </c>
    </row>
    <row r="1388" spans="3:10" s="4" customFormat="1">
      <c r="C1388" s="4" t="s">
        <v>1534</v>
      </c>
      <c r="E1388" s="500">
        <f>SUM(E1382:E1387)</f>
        <v>5.5419444444444457E-3</v>
      </c>
      <c r="F1388" s="500">
        <f>SUM(F1382:F1387)</f>
        <v>5.5419444444444457E-3</v>
      </c>
      <c r="G1388" s="500">
        <f>SUM(G1382:G1387)</f>
        <v>5.5419444444444457E-3</v>
      </c>
      <c r="H1388" s="500">
        <f>SUM(H1382:H1387)</f>
        <v>5.5419444444444457E-3</v>
      </c>
      <c r="I1388" s="500">
        <f>SUM(I1382:I1387)</f>
        <v>5.5419444444444457E-3</v>
      </c>
      <c r="J1388" s="4" t="s">
        <v>1853</v>
      </c>
    </row>
    <row r="1389" spans="3:10">
      <c r="C1389" t="s">
        <v>1490</v>
      </c>
      <c r="E1389" s="380">
        <f>MAX(calcReg1Seg3Payer3MarketGrowthCustR2*calcReg1Seg3Payer3ShareNewCustR2,0)</f>
        <v>27.875458061033342</v>
      </c>
      <c r="F1389" s="380">
        <f>MAX(calcReg1Seg3Payer3MarketGrowthCustR2*calcReg1Seg3Payer3ShareNewCustR2,0)</f>
        <v>27.875458061033342</v>
      </c>
      <c r="G1389" s="380">
        <f>MAX(calcReg1Seg3Payer3MarketGrowthCustR2*calcReg1Seg3Payer3ShareNewCustR2,0)</f>
        <v>27.875458061033342</v>
      </c>
      <c r="H1389" s="380">
        <f>MAX(calcReg1Seg3Payer3MarketGrowthCustR2*calcReg1Seg3Payer3ShareNewCustR2,0)</f>
        <v>27.875458061033342</v>
      </c>
      <c r="I1389" s="380">
        <f>MAX(calcReg1Seg3Payer3MarketGrowthCustR2*calcReg1Seg3Payer3ShareNewCustR2,0)</f>
        <v>27.875458061033342</v>
      </c>
      <c r="J1389" s="4" t="s">
        <v>1854</v>
      </c>
    </row>
    <row r="1391" spans="3:10">
      <c r="C1391" t="s">
        <v>1537</v>
      </c>
      <c r="E1391" s="380">
        <f>calcReg1Seg3Payer3MarketRecurCustR2+calcReg1Seg3Payer3MarketGrowthCustR2</f>
        <v>40927.548648000004</v>
      </c>
      <c r="F1391" s="380">
        <f>calcReg1Seg3Payer3MarketRecurCustR2+calcReg1Seg3Payer3MarketGrowthCustR2</f>
        <v>40927.548648000004</v>
      </c>
      <c r="G1391" s="380">
        <f>calcReg1Seg3Payer3MarketRecurCustR2+calcReg1Seg3Payer3MarketGrowthCustR2</f>
        <v>40927.548648000004</v>
      </c>
      <c r="H1391" s="380">
        <f>calcReg1Seg3Payer3MarketRecurCustR2+calcReg1Seg3Payer3MarketGrowthCustR2</f>
        <v>40927.548648000004</v>
      </c>
      <c r="I1391" s="380">
        <f>calcReg1Seg3Payer3MarketRecurCustR2+calcReg1Seg3Payer3MarketGrowthCustR2</f>
        <v>40927.548648000004</v>
      </c>
      <c r="J1391" t="s">
        <v>1855</v>
      </c>
    </row>
    <row r="1392" spans="3:10">
      <c r="C1392" t="s">
        <v>1539</v>
      </c>
      <c r="E1392" s="380">
        <f>calcReg1Seg3Payer3VolumeRecurCustR2+calcReg1Seg3Payer3VolumeNewCustR2</f>
        <v>226.81820085451341</v>
      </c>
      <c r="F1392" s="380">
        <f>calcReg1Seg3Payer3VolumeRecurCustR2+calcReg1Seg3Payer3VolumeNewCustR2</f>
        <v>226.81820085451341</v>
      </c>
      <c r="G1392" s="380">
        <f>calcReg1Seg3Payer3VolumeRecurCustR2+calcReg1Seg3Payer3VolumeNewCustR2</f>
        <v>226.81820085451341</v>
      </c>
      <c r="H1392" s="380">
        <f>calcReg1Seg3Payer3VolumeRecurCustR2+calcReg1Seg3Payer3VolumeNewCustR2</f>
        <v>226.81820085451341</v>
      </c>
      <c r="I1392" s="380">
        <f>calcReg1Seg3Payer3VolumeRecurCustR2+calcReg1Seg3Payer3VolumeNewCustR2</f>
        <v>226.81820085451341</v>
      </c>
      <c r="J1392" t="s">
        <v>1856</v>
      </c>
    </row>
    <row r="1393" spans="1:10" s="4" customFormat="1">
      <c r="C1393" s="4" t="s">
        <v>841</v>
      </c>
      <c r="E1393" s="500">
        <f>calcReg1Seg3Payer3VolumeR1/calcReg1Seg3Payer3TotalVolumeR1</f>
        <v>5.6994444444444453E-3</v>
      </c>
      <c r="F1393" s="500">
        <f>calcReg1Seg3Payer3VolumeR1/calcReg1Seg3Payer3TotalVolumeR1</f>
        <v>5.6994444444444453E-3</v>
      </c>
      <c r="G1393" s="500">
        <f>calcReg1Seg3Payer3VolumeR1/calcReg1Seg3Payer3TotalVolumeR1</f>
        <v>5.6994444444444453E-3</v>
      </c>
      <c r="H1393" s="500">
        <f>calcReg1Seg3Payer3VolumeR1/calcReg1Seg3Payer3TotalVolumeR1</f>
        <v>5.6994444444444453E-3</v>
      </c>
      <c r="I1393" s="500">
        <f>calcReg1Seg3Payer3VolumeR1/calcReg1Seg3Payer3TotalVolumeR1</f>
        <v>5.6994444444444453E-3</v>
      </c>
      <c r="J1393" s="4" t="s">
        <v>1857</v>
      </c>
    </row>
    <row r="1396" spans="1:10">
      <c r="A1396" s="4" t="s">
        <v>1867</v>
      </c>
    </row>
    <row r="1397" spans="1:10">
      <c r="A1397" t="s">
        <v>622</v>
      </c>
      <c r="B1397" t="str">
        <f>nmPayer1</f>
        <v>Blue Sword/Blue Shield</v>
      </c>
    </row>
    <row r="1398" spans="1:10">
      <c r="C1398" t="s">
        <v>1541</v>
      </c>
      <c r="E1398" s="380">
        <f>calcReg1Seg1Payer1VolumeRecurCustR1+calcReg1Seg2Payer1VolumeRecurCustR1+calcReg1Seg3Payer1VolumeRecurCustR1</f>
        <v>547.60675525600004</v>
      </c>
      <c r="F1398" s="380">
        <f>calcReg1Seg1Payer1VolumeRecurCustR1+calcReg1Seg2Payer1VolumeRecurCustR1+calcReg1Seg3Payer1VolumeRecurCustR1</f>
        <v>547.60675525600004</v>
      </c>
      <c r="G1398" s="380">
        <f>calcReg1Seg1Payer1VolumeRecurCustR1+calcReg1Seg2Payer1VolumeRecurCustR1+calcReg1Seg3Payer1VolumeRecurCustR1</f>
        <v>547.60675525600004</v>
      </c>
      <c r="H1398" s="380">
        <f>calcReg1Seg1Payer1VolumeRecurCustR1+calcReg1Seg2Payer1VolumeRecurCustR1+calcReg1Seg3Payer1VolumeRecurCustR1</f>
        <v>547.60675525600004</v>
      </c>
      <c r="I1398" s="380">
        <f>calcReg1Seg1Payer1VolumeRecurCustR1+calcReg1Seg2Payer1VolumeRecurCustR1+calcReg1Seg3Payer1VolumeRecurCustR1</f>
        <v>547.60675525600004</v>
      </c>
      <c r="J1398" t="s">
        <v>1903</v>
      </c>
    </row>
    <row r="1399" spans="1:10">
      <c r="C1399" t="s">
        <v>804</v>
      </c>
      <c r="E1399" s="380">
        <f>calcReg1Seg1Payer1VolumeNewCustR1+calcReg1Seg2Payer1VolumeNewCustR1+calcReg1Seg3Payer1VolumeNewCustR1</f>
        <v>68.708461461315807</v>
      </c>
      <c r="F1399" s="380">
        <f>calcReg1Seg1Payer1VolumeNewCustR1+calcReg1Seg2Payer1VolumeNewCustR1+calcReg1Seg3Payer1VolumeNewCustR1</f>
        <v>68.708461461315807</v>
      </c>
      <c r="G1399" s="380">
        <f>calcReg1Seg1Payer1VolumeNewCustR1+calcReg1Seg2Payer1VolumeNewCustR1+calcReg1Seg3Payer1VolumeNewCustR1</f>
        <v>68.708461461315807</v>
      </c>
      <c r="H1399" s="380">
        <f>calcReg1Seg1Payer1VolumeNewCustR1+calcReg1Seg2Payer1VolumeNewCustR1+calcReg1Seg3Payer1VolumeNewCustR1</f>
        <v>68.708461461315807</v>
      </c>
      <c r="I1399" s="380">
        <f>calcReg1Seg1Payer1VolumeNewCustR1+calcReg1Seg2Payer1VolumeNewCustR1+calcReg1Seg3Payer1VolumeNewCustR1</f>
        <v>68.708461461315807</v>
      </c>
      <c r="J1399" t="s">
        <v>1904</v>
      </c>
    </row>
    <row r="1400" spans="1:10" s="4" customFormat="1">
      <c r="C1400" s="4" t="s">
        <v>1860</v>
      </c>
      <c r="E1400" s="457">
        <f>calcReg1Payer1RecurCustR1+calcReg1Payer1NewCustR1</f>
        <v>616.31521671731582</v>
      </c>
      <c r="F1400" s="457">
        <f>calcReg1Payer1RecurCustR1+calcReg1Payer1NewCustR1</f>
        <v>616.31521671731582</v>
      </c>
      <c r="G1400" s="457">
        <f>calcReg1Payer1RecurCustR1+calcReg1Payer1NewCustR1</f>
        <v>616.31521671731582</v>
      </c>
      <c r="H1400" s="457">
        <f>calcReg1Payer1RecurCustR1+calcReg1Payer1NewCustR1</f>
        <v>616.31521671731582</v>
      </c>
      <c r="I1400" s="457">
        <f>calcReg1Payer1RecurCustR1+calcReg1Payer1NewCustR1</f>
        <v>616.31521671731582</v>
      </c>
      <c r="J1400" s="4" t="s">
        <v>1905</v>
      </c>
    </row>
    <row r="1401" spans="1:10">
      <c r="C1401" t="s">
        <v>1862</v>
      </c>
      <c r="E1401">
        <f>calcReg1Seg1Payer1MarketGrowthCustR1+calcReg1Seg2Payer1MarketGrowthCustR1+calcReg1Seg3Payer1MarketGrowthCustR1</f>
        <v>14460.852000000001</v>
      </c>
      <c r="F1401">
        <f>calcReg1Seg1Payer1MarketGrowthCustR1+calcReg1Seg2Payer1MarketGrowthCustR1+calcReg1Seg3Payer1MarketGrowthCustR1</f>
        <v>14460.852000000001</v>
      </c>
      <c r="G1401">
        <f>calcReg1Seg1Payer1MarketGrowthCustR1+calcReg1Seg2Payer1MarketGrowthCustR1+calcReg1Seg3Payer1MarketGrowthCustR1</f>
        <v>14460.852000000001</v>
      </c>
      <c r="H1401">
        <f>calcReg1Seg1Payer1MarketGrowthCustR1+calcReg1Seg2Payer1MarketGrowthCustR1+calcReg1Seg3Payer1MarketGrowthCustR1</f>
        <v>14460.852000000001</v>
      </c>
      <c r="I1401">
        <f>calcReg1Seg1Payer1MarketGrowthCustR1+calcReg1Seg2Payer1MarketGrowthCustR1+calcReg1Seg3Payer1MarketGrowthCustR1</f>
        <v>14460.852000000001</v>
      </c>
      <c r="J1401" t="s">
        <v>1906</v>
      </c>
    </row>
    <row r="1402" spans="1:10">
      <c r="C1402" t="s">
        <v>1537</v>
      </c>
      <c r="E1402">
        <f>calcReg1Seg1Payer1TotalVolumeR1+calcReg1Seg2Payer1TotalVolumeR1+calcReg1Seg3Payer1TotalVolumeR1</f>
        <v>137057.33679999999</v>
      </c>
      <c r="F1402">
        <f>calcReg1Seg1Payer1TotalVolumeR1+calcReg1Seg2Payer1TotalVolumeR1+calcReg1Seg3Payer1TotalVolumeR1</f>
        <v>137057.33679999999</v>
      </c>
      <c r="G1402">
        <f>calcReg1Seg1Payer1TotalVolumeR1+calcReg1Seg2Payer1TotalVolumeR1+calcReg1Seg3Payer1TotalVolumeR1</f>
        <v>137057.33679999999</v>
      </c>
      <c r="H1402">
        <f>calcReg1Seg1Payer1TotalVolumeR1+calcReg1Seg2Payer1TotalVolumeR1+calcReg1Seg3Payer1TotalVolumeR1</f>
        <v>137057.33679999999</v>
      </c>
      <c r="I1402">
        <f>calcReg1Seg1Payer1TotalVolumeR1+calcReg1Seg2Payer1TotalVolumeR1+calcReg1Seg3Payer1TotalVolumeR1</f>
        <v>137057.33679999999</v>
      </c>
      <c r="J1402" t="s">
        <v>1907</v>
      </c>
    </row>
    <row r="1403" spans="1:10">
      <c r="C1403" t="s">
        <v>861</v>
      </c>
      <c r="E1403" s="465">
        <f>calcReg1Payer1NewCustR1/calcReg1Payer1MarketGrowthCustR1</f>
        <v>4.7513425530747288E-3</v>
      </c>
      <c r="F1403" s="465">
        <f>calcReg1Payer1NewCustR1/calcReg1Payer1MarketGrowthCustR1</f>
        <v>4.7513425530747288E-3</v>
      </c>
      <c r="G1403" s="465">
        <f>calcReg1Payer1NewCustR1/calcReg1Payer1MarketGrowthCustR1</f>
        <v>4.7513425530747288E-3</v>
      </c>
      <c r="H1403" s="465">
        <f>calcReg1Payer1NewCustR1/calcReg1Payer1MarketGrowthCustR1</f>
        <v>4.7513425530747288E-3</v>
      </c>
      <c r="I1403" s="465">
        <f>calcReg1Payer1NewCustR1/calcReg1Payer1MarketGrowthCustR1</f>
        <v>4.7513425530747288E-3</v>
      </c>
      <c r="J1403" s="465" t="s">
        <v>1908</v>
      </c>
    </row>
    <row r="1404" spans="1:10">
      <c r="C1404" t="s">
        <v>841</v>
      </c>
      <c r="E1404" s="465">
        <f>calcReg1Payer1TotalCustR1/calcReg1Payer1TotalVolumeR1</f>
        <v>4.4967692434931062E-3</v>
      </c>
      <c r="F1404" s="465">
        <f>calcReg1Payer1TotalCustR1/calcReg1Payer1TotalVolumeR1</f>
        <v>4.4967692434931062E-3</v>
      </c>
      <c r="G1404" s="465">
        <f>calcReg1Payer1TotalCustR1/calcReg1Payer1TotalVolumeR1</f>
        <v>4.4967692434931062E-3</v>
      </c>
      <c r="H1404" s="465">
        <f>calcReg1Payer1TotalCustR1/calcReg1Payer1TotalVolumeR1</f>
        <v>4.4967692434931062E-3</v>
      </c>
      <c r="I1404" s="465">
        <f>calcReg1Payer1TotalCustR1/calcReg1Payer1TotalVolumeR1</f>
        <v>4.4967692434931062E-3</v>
      </c>
      <c r="J1404" s="465" t="s">
        <v>1909</v>
      </c>
    </row>
    <row r="1405" spans="1:10">
      <c r="A1405" t="s">
        <v>623</v>
      </c>
    </row>
    <row r="1406" spans="1:10">
      <c r="C1406" t="s">
        <v>1541</v>
      </c>
      <c r="E1406" s="380">
        <f>calcReg1Seg1Payer1VolumeRecurCustR2+calcReg1Seg2Payer1VolumeRecurCustR2+calcReg1Seg3Payer1VolumeRecurCustR2</f>
        <v>586.93334446484403</v>
      </c>
      <c r="F1406" s="380">
        <f>calcReg1Seg1Payer1VolumeRecurCustR2+calcReg1Seg2Payer1VolumeRecurCustR2+calcReg1Seg3Payer1VolumeRecurCustR2</f>
        <v>586.93334446484403</v>
      </c>
      <c r="G1406" s="380">
        <f>calcReg1Seg1Payer1VolumeRecurCustR2+calcReg1Seg2Payer1VolumeRecurCustR2+calcReg1Seg3Payer1VolumeRecurCustR2</f>
        <v>586.93334446484403</v>
      </c>
      <c r="H1406" s="380">
        <f>calcReg1Seg1Payer1VolumeRecurCustR2+calcReg1Seg2Payer1VolumeRecurCustR2+calcReg1Seg3Payer1VolumeRecurCustR2</f>
        <v>586.93334446484403</v>
      </c>
      <c r="I1406" s="380">
        <f>calcReg1Seg1Payer1VolumeRecurCustR2+calcReg1Seg2Payer1VolumeRecurCustR2+calcReg1Seg3Payer1VolumeRecurCustR2</f>
        <v>586.93334446484403</v>
      </c>
      <c r="J1406" t="s">
        <v>1910</v>
      </c>
    </row>
    <row r="1407" spans="1:10">
      <c r="C1407" t="s">
        <v>804</v>
      </c>
      <c r="E1407" s="380">
        <f>calcReg1Seg1Payer1VolumeNewCustR2+calcReg1Seg2Payer1VolumeNewCustR2+calcReg1Seg3Payer1VolumeNewCustR2</f>
        <v>79.555390636016853</v>
      </c>
      <c r="F1407" s="380">
        <f>calcReg1Seg1Payer1VolumeNewCustR2+calcReg1Seg2Payer1VolumeNewCustR2+calcReg1Seg3Payer1VolumeNewCustR2</f>
        <v>79.555390636016853</v>
      </c>
      <c r="G1407" s="380">
        <f>calcReg1Seg1Payer1VolumeNewCustR2+calcReg1Seg2Payer1VolumeNewCustR2+calcReg1Seg3Payer1VolumeNewCustR2</f>
        <v>79.555390636016853</v>
      </c>
      <c r="H1407" s="380">
        <f>calcReg1Seg1Payer1VolumeNewCustR2+calcReg1Seg2Payer1VolumeNewCustR2+calcReg1Seg3Payer1VolumeNewCustR2</f>
        <v>79.555390636016853</v>
      </c>
      <c r="I1407" s="380">
        <f>calcReg1Seg1Payer1VolumeNewCustR2+calcReg1Seg2Payer1VolumeNewCustR2+calcReg1Seg3Payer1VolumeNewCustR2</f>
        <v>79.555390636016853</v>
      </c>
      <c r="J1407" t="s">
        <v>1911</v>
      </c>
    </row>
    <row r="1408" spans="1:10" s="4" customFormat="1">
      <c r="C1408" s="4" t="s">
        <v>1860</v>
      </c>
      <c r="E1408" s="457">
        <f>calcReg1Payer1RecurCustR2+calcReg1Payer1NewCustR2</f>
        <v>666.48873510086082</v>
      </c>
      <c r="F1408" s="457">
        <f>calcReg1Payer1RecurCustR2+calcReg1Payer1NewCustR2</f>
        <v>666.48873510086082</v>
      </c>
      <c r="G1408" s="457">
        <f>calcReg1Payer1RecurCustR2+calcReg1Payer1NewCustR2</f>
        <v>666.48873510086082</v>
      </c>
      <c r="H1408" s="457">
        <f>calcReg1Payer1RecurCustR2+calcReg1Payer1NewCustR2</f>
        <v>666.48873510086082</v>
      </c>
      <c r="I1408" s="457">
        <f>calcReg1Payer1RecurCustR2+calcReg1Payer1NewCustR2</f>
        <v>666.48873510086082</v>
      </c>
      <c r="J1408" s="4" t="s">
        <v>1912</v>
      </c>
    </row>
    <row r="1409" spans="1:10">
      <c r="C1409" t="s">
        <v>1862</v>
      </c>
      <c r="E1409">
        <f>calcReg1Seg1Payer1MarketGrowthCustR2+calcReg1Seg2Payer1MarketGrowthCustR2+calcReg1Seg3Payer1MarketGrowthCustR2</f>
        <v>17847.220020000001</v>
      </c>
      <c r="F1409">
        <f>calcReg1Seg1Payer1MarketGrowthCustR2+calcReg1Seg2Payer1MarketGrowthCustR2+calcReg1Seg3Payer1MarketGrowthCustR2</f>
        <v>17847.220020000001</v>
      </c>
      <c r="G1409">
        <f>calcReg1Seg1Payer1MarketGrowthCustR2+calcReg1Seg2Payer1MarketGrowthCustR2+calcReg1Seg3Payer1MarketGrowthCustR2</f>
        <v>17847.220020000001</v>
      </c>
      <c r="H1409">
        <f>calcReg1Seg1Payer1MarketGrowthCustR2+calcReg1Seg2Payer1MarketGrowthCustR2+calcReg1Seg3Payer1MarketGrowthCustR2</f>
        <v>17847.220020000001</v>
      </c>
      <c r="I1409">
        <f>calcReg1Seg1Payer1MarketGrowthCustR2+calcReg1Seg2Payer1MarketGrowthCustR2+calcReg1Seg3Payer1MarketGrowthCustR2</f>
        <v>17847.220020000001</v>
      </c>
      <c r="J1409" t="s">
        <v>1913</v>
      </c>
    </row>
    <row r="1410" spans="1:10">
      <c r="C1410" t="s">
        <v>1537</v>
      </c>
      <c r="E1410">
        <f>calcReg1Seg1Payer1TotalVolumeR2+calcReg1Seg2Payer1TotalVolumeR2+calcReg1Seg3Payer1TotalVolumeR2</f>
        <v>155285.035244</v>
      </c>
      <c r="F1410">
        <f>calcReg1Seg1Payer1TotalVolumeR2+calcReg1Seg2Payer1TotalVolumeR2+calcReg1Seg3Payer1TotalVolumeR2</f>
        <v>155285.035244</v>
      </c>
      <c r="G1410">
        <f>calcReg1Seg1Payer1TotalVolumeR2+calcReg1Seg2Payer1TotalVolumeR2+calcReg1Seg3Payer1TotalVolumeR2</f>
        <v>155285.035244</v>
      </c>
      <c r="H1410">
        <f>calcReg1Seg1Payer1TotalVolumeR2+calcReg1Seg2Payer1TotalVolumeR2+calcReg1Seg3Payer1TotalVolumeR2</f>
        <v>155285.035244</v>
      </c>
      <c r="I1410">
        <f>calcReg1Seg1Payer1TotalVolumeR2+calcReg1Seg2Payer1TotalVolumeR2+calcReg1Seg3Payer1TotalVolumeR2</f>
        <v>155285.035244</v>
      </c>
      <c r="J1410" t="s">
        <v>1914</v>
      </c>
    </row>
    <row r="1411" spans="1:10">
      <c r="C1411" t="s">
        <v>861</v>
      </c>
      <c r="E1411" s="465">
        <f>calcReg1Payer1NewCustR2/calcReg1Payer1MarketGrowthCustR2</f>
        <v>4.457578858044293E-3</v>
      </c>
      <c r="F1411" s="465">
        <f>calcReg1Payer1NewCustR2/calcReg1Payer1MarketGrowthCustR2</f>
        <v>4.457578858044293E-3</v>
      </c>
      <c r="G1411" s="465">
        <f>calcReg1Payer1NewCustR2/calcReg1Payer1MarketGrowthCustR2</f>
        <v>4.457578858044293E-3</v>
      </c>
      <c r="H1411" s="465">
        <f>calcReg1Payer1NewCustR2/calcReg1Payer1MarketGrowthCustR2</f>
        <v>4.457578858044293E-3</v>
      </c>
      <c r="I1411" s="465">
        <f>calcReg1Payer1NewCustR2/calcReg1Payer1MarketGrowthCustR2</f>
        <v>4.457578858044293E-3</v>
      </c>
      <c r="J1411" s="465" t="s">
        <v>1915</v>
      </c>
    </row>
    <row r="1412" spans="1:10">
      <c r="C1412" t="s">
        <v>841</v>
      </c>
      <c r="E1412" s="465">
        <f>calcReg1Payer1TotalCustR2/calcReg1Payer1TotalVolumeR2</f>
        <v>4.2920345418578452E-3</v>
      </c>
      <c r="F1412" s="465">
        <f>calcReg1Payer1TotalCustR2/calcReg1Payer1TotalVolumeR2</f>
        <v>4.2920345418578452E-3</v>
      </c>
      <c r="G1412" s="465">
        <f>calcReg1Payer1TotalCustR2/calcReg1Payer1TotalVolumeR2</f>
        <v>4.2920345418578452E-3</v>
      </c>
      <c r="H1412" s="465">
        <f>calcReg1Payer1TotalCustR2/calcReg1Payer1TotalVolumeR2</f>
        <v>4.2920345418578452E-3</v>
      </c>
      <c r="I1412" s="465">
        <f>calcReg1Payer1TotalCustR2/calcReg1Payer1TotalVolumeR2</f>
        <v>4.2920345418578452E-3</v>
      </c>
      <c r="J1412" s="465" t="s">
        <v>1916</v>
      </c>
    </row>
    <row r="1414" spans="1:10">
      <c r="A1414" t="s">
        <v>622</v>
      </c>
      <c r="B1414" t="str">
        <f>nmPayer2</f>
        <v>WesterAid</v>
      </c>
    </row>
    <row r="1415" spans="1:10">
      <c r="C1415" t="s">
        <v>1541</v>
      </c>
      <c r="E1415" s="380">
        <f>calcReg1Seg1Payer2VolumeRecurCustR1+calcReg1Seg2Payer2VolumeRecurCustR1+calcReg1Seg3Payer2VolumeRecurCustR1</f>
        <v>0</v>
      </c>
      <c r="F1415" s="380">
        <f>calcReg1Seg1Payer2VolumeRecurCustR1+calcReg1Seg2Payer2VolumeRecurCustR1+calcReg1Seg3Payer2VolumeRecurCustR1</f>
        <v>0</v>
      </c>
      <c r="G1415" s="380">
        <f>calcReg1Seg1Payer2VolumeRecurCustR1+calcReg1Seg2Payer2VolumeRecurCustR1+calcReg1Seg3Payer2VolumeRecurCustR1</f>
        <v>0</v>
      </c>
      <c r="H1415" s="380">
        <f>calcReg1Seg1Payer2VolumeRecurCustR1+calcReg1Seg2Payer2VolumeRecurCustR1+calcReg1Seg3Payer2VolumeRecurCustR1</f>
        <v>0</v>
      </c>
      <c r="I1415" s="380">
        <f>calcReg1Seg1Payer2VolumeRecurCustR1+calcReg1Seg2Payer2VolumeRecurCustR1+calcReg1Seg3Payer2VolumeRecurCustR1</f>
        <v>0</v>
      </c>
      <c r="J1415" t="s">
        <v>1917</v>
      </c>
    </row>
    <row r="1416" spans="1:10">
      <c r="C1416" t="s">
        <v>804</v>
      </c>
      <c r="E1416" s="380">
        <f>calcReg1Seg1Payer2VolumeNewCustR1+calcReg1Seg2Payer2VolumeNewCustR1+calcReg1Seg3Payer2VolumeNewCustR1</f>
        <v>0</v>
      </c>
      <c r="F1416" s="380">
        <f>calcReg1Seg1Payer2VolumeNewCustR1+calcReg1Seg2Payer2VolumeNewCustR1+calcReg1Seg3Payer2VolumeNewCustR1</f>
        <v>0</v>
      </c>
      <c r="G1416" s="380">
        <f>calcReg1Seg1Payer2VolumeNewCustR1+calcReg1Seg2Payer2VolumeNewCustR1+calcReg1Seg3Payer2VolumeNewCustR1</f>
        <v>0</v>
      </c>
      <c r="H1416" s="380">
        <f>calcReg1Seg1Payer2VolumeNewCustR1+calcReg1Seg2Payer2VolumeNewCustR1+calcReg1Seg3Payer2VolumeNewCustR1</f>
        <v>0</v>
      </c>
      <c r="I1416" s="380">
        <f>calcReg1Seg1Payer2VolumeNewCustR1+calcReg1Seg2Payer2VolumeNewCustR1+calcReg1Seg3Payer2VolumeNewCustR1</f>
        <v>0</v>
      </c>
      <c r="J1416" t="s">
        <v>1918</v>
      </c>
    </row>
    <row r="1417" spans="1:10" s="4" customFormat="1">
      <c r="C1417" s="4" t="s">
        <v>1860</v>
      </c>
      <c r="E1417" s="457">
        <f>calcReg1Payer2RecurCustR1+calcReg1Payer2NewCustR1</f>
        <v>0</v>
      </c>
      <c r="F1417" s="457">
        <f>calcReg1Payer2RecurCustR1+calcReg1Payer2NewCustR1</f>
        <v>0</v>
      </c>
      <c r="G1417" s="457">
        <f>calcReg1Payer2RecurCustR1+calcReg1Payer2NewCustR1</f>
        <v>0</v>
      </c>
      <c r="H1417" s="457">
        <f>calcReg1Payer2RecurCustR1+calcReg1Payer2NewCustR1</f>
        <v>0</v>
      </c>
      <c r="I1417" s="457">
        <f>calcReg1Payer2RecurCustR1+calcReg1Payer2NewCustR1</f>
        <v>0</v>
      </c>
      <c r="J1417" s="4" t="s">
        <v>1919</v>
      </c>
    </row>
    <row r="1418" spans="1:10">
      <c r="C1418" t="s">
        <v>1862</v>
      </c>
      <c r="E1418">
        <f>calcReg1Seg1Payer2MarketGrowthCustR1+calcReg1Seg2Payer2MarketGrowthCustR1+calcReg1Seg3Payer2MarketGrowthCustR1</f>
        <v>11732.6325</v>
      </c>
      <c r="F1418">
        <f>calcReg1Seg1Payer2MarketGrowthCustR1+calcReg1Seg2Payer2MarketGrowthCustR1+calcReg1Seg3Payer2MarketGrowthCustR1</f>
        <v>11732.6325</v>
      </c>
      <c r="G1418">
        <f>calcReg1Seg1Payer2MarketGrowthCustR1+calcReg1Seg2Payer2MarketGrowthCustR1+calcReg1Seg3Payer2MarketGrowthCustR1</f>
        <v>11732.6325</v>
      </c>
      <c r="H1418">
        <f>calcReg1Seg1Payer2MarketGrowthCustR1+calcReg1Seg2Payer2MarketGrowthCustR1+calcReg1Seg3Payer2MarketGrowthCustR1</f>
        <v>11732.6325</v>
      </c>
      <c r="I1418">
        <f>calcReg1Seg1Payer2MarketGrowthCustR1+calcReg1Seg2Payer2MarketGrowthCustR1+calcReg1Seg3Payer2MarketGrowthCustR1</f>
        <v>11732.6325</v>
      </c>
      <c r="J1418" t="s">
        <v>1920</v>
      </c>
    </row>
    <row r="1419" spans="1:10">
      <c r="C1419" t="s">
        <v>1537</v>
      </c>
      <c r="E1419">
        <f>calcReg1Seg1Payer2TotalVolumeR1+calcReg1Seg2Payer2TotalVolumeR1+calcReg1Seg3Payer2TotalVolumeR1</f>
        <v>117381.3799</v>
      </c>
      <c r="F1419">
        <f>calcReg1Seg1Payer2TotalVolumeR1+calcReg1Seg2Payer2TotalVolumeR1+calcReg1Seg3Payer2TotalVolumeR1</f>
        <v>117381.3799</v>
      </c>
      <c r="G1419">
        <f>calcReg1Seg1Payer2TotalVolumeR1+calcReg1Seg2Payer2TotalVolumeR1+calcReg1Seg3Payer2TotalVolumeR1</f>
        <v>117381.3799</v>
      </c>
      <c r="H1419">
        <f>calcReg1Seg1Payer2TotalVolumeR1+calcReg1Seg2Payer2TotalVolumeR1+calcReg1Seg3Payer2TotalVolumeR1</f>
        <v>117381.3799</v>
      </c>
      <c r="I1419">
        <f>calcReg1Seg1Payer2TotalVolumeR1+calcReg1Seg2Payer2TotalVolumeR1+calcReg1Seg3Payer2TotalVolumeR1</f>
        <v>117381.3799</v>
      </c>
      <c r="J1419" t="s">
        <v>1921</v>
      </c>
    </row>
    <row r="1420" spans="1:10">
      <c r="C1420" t="s">
        <v>861</v>
      </c>
      <c r="E1420" s="465">
        <f>calcReg1Payer2NewCustR1/calcReg1Payer2MarketGrowthCustR1</f>
        <v>0</v>
      </c>
      <c r="F1420" s="465">
        <f>calcReg1Payer2NewCustR1/calcReg1Payer2MarketGrowthCustR1</f>
        <v>0</v>
      </c>
      <c r="G1420" s="465">
        <f>calcReg1Payer2NewCustR1/calcReg1Payer2MarketGrowthCustR1</f>
        <v>0</v>
      </c>
      <c r="H1420" s="465">
        <f>calcReg1Payer2NewCustR1/calcReg1Payer2MarketGrowthCustR1</f>
        <v>0</v>
      </c>
      <c r="I1420" s="465">
        <f>calcReg1Payer2NewCustR1/calcReg1Payer2MarketGrowthCustR1</f>
        <v>0</v>
      </c>
      <c r="J1420" s="465" t="s">
        <v>1922</v>
      </c>
    </row>
    <row r="1421" spans="1:10">
      <c r="C1421" t="s">
        <v>841</v>
      </c>
      <c r="E1421" s="465">
        <f>calcReg1Payer2TotalCustR1/calcReg1Payer2TotalVolumeR1</f>
        <v>0</v>
      </c>
      <c r="F1421" s="465">
        <f>calcReg1Payer2TotalCustR1/calcReg1Payer2TotalVolumeR1</f>
        <v>0</v>
      </c>
      <c r="G1421" s="465">
        <f>calcReg1Payer2TotalCustR1/calcReg1Payer2TotalVolumeR1</f>
        <v>0</v>
      </c>
      <c r="H1421" s="465">
        <f>calcReg1Payer2TotalCustR1/calcReg1Payer2TotalVolumeR1</f>
        <v>0</v>
      </c>
      <c r="I1421" s="465">
        <f>calcReg1Payer2TotalCustR1/calcReg1Payer2TotalVolumeR1</f>
        <v>0</v>
      </c>
      <c r="J1421" s="465" t="s">
        <v>1923</v>
      </c>
    </row>
    <row r="1422" spans="1:10">
      <c r="A1422" t="s">
        <v>623</v>
      </c>
    </row>
    <row r="1423" spans="1:10">
      <c r="C1423" t="s">
        <v>1541</v>
      </c>
      <c r="E1423" s="380">
        <f>calcReg1Seg1Payer2VolumeRecurCustR2+calcReg1Seg2Payer2VolumeRecurCustR2+calcReg1Seg3Payer2VolumeRecurCustR2</f>
        <v>0</v>
      </c>
      <c r="F1423" s="380">
        <f>calcReg1Seg1Payer2VolumeRecurCustR2+calcReg1Seg2Payer2VolumeRecurCustR2+calcReg1Seg3Payer2VolumeRecurCustR2</f>
        <v>0</v>
      </c>
      <c r="G1423" s="380">
        <f>calcReg1Seg1Payer2VolumeRecurCustR2+calcReg1Seg2Payer2VolumeRecurCustR2+calcReg1Seg3Payer2VolumeRecurCustR2</f>
        <v>0</v>
      </c>
      <c r="H1423" s="380">
        <f>calcReg1Seg1Payer2VolumeRecurCustR2+calcReg1Seg2Payer2VolumeRecurCustR2+calcReg1Seg3Payer2VolumeRecurCustR2</f>
        <v>0</v>
      </c>
      <c r="I1423" s="380">
        <f>calcReg1Seg1Payer2VolumeRecurCustR2+calcReg1Seg2Payer2VolumeRecurCustR2+calcReg1Seg3Payer2VolumeRecurCustR2</f>
        <v>0</v>
      </c>
      <c r="J1423" t="s">
        <v>1924</v>
      </c>
    </row>
    <row r="1424" spans="1:10">
      <c r="C1424" t="s">
        <v>804</v>
      </c>
      <c r="E1424" s="380">
        <f>calcReg1Seg1Payer2VolumeNewCustR2+calcReg1Seg2Payer2VolumeNewCustR2+calcReg1Seg3Payer2VolumeNewCustR2</f>
        <v>0</v>
      </c>
      <c r="F1424" s="380">
        <f>calcReg1Seg1Payer2VolumeNewCustR2+calcReg1Seg2Payer2VolumeNewCustR2+calcReg1Seg3Payer2VolumeNewCustR2</f>
        <v>0</v>
      </c>
      <c r="G1424" s="380">
        <f>calcReg1Seg1Payer2VolumeNewCustR2+calcReg1Seg2Payer2VolumeNewCustR2+calcReg1Seg3Payer2VolumeNewCustR2</f>
        <v>0</v>
      </c>
      <c r="H1424" s="380">
        <f>calcReg1Seg1Payer2VolumeNewCustR2+calcReg1Seg2Payer2VolumeNewCustR2+calcReg1Seg3Payer2VolumeNewCustR2</f>
        <v>0</v>
      </c>
      <c r="I1424" s="380">
        <f>calcReg1Seg1Payer2VolumeNewCustR2+calcReg1Seg2Payer2VolumeNewCustR2+calcReg1Seg3Payer2VolumeNewCustR2</f>
        <v>0</v>
      </c>
      <c r="J1424" t="s">
        <v>1925</v>
      </c>
    </row>
    <row r="1425" spans="1:10" s="4" customFormat="1">
      <c r="C1425" s="4" t="s">
        <v>1860</v>
      </c>
      <c r="E1425" s="457">
        <f>calcReg1Payer2RecurCustR2+calcReg1Payer2NewCustR2</f>
        <v>0</v>
      </c>
      <c r="F1425" s="457">
        <f>calcReg1Payer2RecurCustR2+calcReg1Payer2NewCustR2</f>
        <v>0</v>
      </c>
      <c r="G1425" s="457">
        <f>calcReg1Payer2RecurCustR2+calcReg1Payer2NewCustR2</f>
        <v>0</v>
      </c>
      <c r="H1425" s="457">
        <f>calcReg1Payer2RecurCustR2+calcReg1Payer2NewCustR2</f>
        <v>0</v>
      </c>
      <c r="I1425" s="457">
        <f>calcReg1Payer2RecurCustR2+calcReg1Payer2NewCustR2</f>
        <v>0</v>
      </c>
      <c r="J1425" s="4" t="s">
        <v>1926</v>
      </c>
    </row>
    <row r="1426" spans="1:10">
      <c r="C1426" t="s">
        <v>1862</v>
      </c>
      <c r="E1426">
        <f>calcReg1Seg1Payer2MarketGrowthCustR2+calcReg1Seg2Payer2MarketGrowthCustR2+calcReg1Seg3Payer2MarketGrowthCustR2</f>
        <v>14170.879125000001</v>
      </c>
      <c r="F1426">
        <f>calcReg1Seg1Payer2MarketGrowthCustR2+calcReg1Seg2Payer2MarketGrowthCustR2+calcReg1Seg3Payer2MarketGrowthCustR2</f>
        <v>14170.879125000001</v>
      </c>
      <c r="G1426">
        <f>calcReg1Seg1Payer2MarketGrowthCustR2+calcReg1Seg2Payer2MarketGrowthCustR2+calcReg1Seg3Payer2MarketGrowthCustR2</f>
        <v>14170.879125000001</v>
      </c>
      <c r="H1426">
        <f>calcReg1Seg1Payer2MarketGrowthCustR2+calcReg1Seg2Payer2MarketGrowthCustR2+calcReg1Seg3Payer2MarketGrowthCustR2</f>
        <v>14170.879125000001</v>
      </c>
      <c r="I1426">
        <f>calcReg1Seg1Payer2MarketGrowthCustR2+calcReg1Seg2Payer2MarketGrowthCustR2+calcReg1Seg3Payer2MarketGrowthCustR2</f>
        <v>14170.879125000001</v>
      </c>
      <c r="J1426" t="s">
        <v>1927</v>
      </c>
    </row>
    <row r="1427" spans="1:10">
      <c r="C1427" t="s">
        <v>1537</v>
      </c>
      <c r="E1427">
        <f>calcReg1Seg1Payer2TotalVolumeR2+calcReg1Seg2Payer2TotalVolumeR2+calcReg1Seg3Payer2TotalVolumeR2</f>
        <v>132713.53402700002</v>
      </c>
      <c r="F1427">
        <f>calcReg1Seg1Payer2TotalVolumeR2+calcReg1Seg2Payer2TotalVolumeR2+calcReg1Seg3Payer2TotalVolumeR2</f>
        <v>132713.53402700002</v>
      </c>
      <c r="G1427">
        <f>calcReg1Seg1Payer2TotalVolumeR2+calcReg1Seg2Payer2TotalVolumeR2+calcReg1Seg3Payer2TotalVolumeR2</f>
        <v>132713.53402700002</v>
      </c>
      <c r="H1427">
        <f>calcReg1Seg1Payer2TotalVolumeR2+calcReg1Seg2Payer2TotalVolumeR2+calcReg1Seg3Payer2TotalVolumeR2</f>
        <v>132713.53402700002</v>
      </c>
      <c r="I1427">
        <f>calcReg1Seg1Payer2TotalVolumeR2+calcReg1Seg2Payer2TotalVolumeR2+calcReg1Seg3Payer2TotalVolumeR2</f>
        <v>132713.53402700002</v>
      </c>
      <c r="J1427" t="s">
        <v>1928</v>
      </c>
    </row>
    <row r="1428" spans="1:10">
      <c r="C1428" t="s">
        <v>861</v>
      </c>
      <c r="E1428" s="465">
        <f>calcReg1Payer2NewCustR2/calcReg1Payer2MarketGrowthCustR2</f>
        <v>0</v>
      </c>
      <c r="F1428" s="465">
        <f>calcReg1Payer2NewCustR2/calcReg1Payer2MarketGrowthCustR2</f>
        <v>0</v>
      </c>
      <c r="G1428" s="465">
        <f>calcReg1Payer2NewCustR2/calcReg1Payer2MarketGrowthCustR2</f>
        <v>0</v>
      </c>
      <c r="H1428" s="465">
        <f>calcReg1Payer2NewCustR2/calcReg1Payer2MarketGrowthCustR2</f>
        <v>0</v>
      </c>
      <c r="I1428" s="465">
        <f>calcReg1Payer2NewCustR2/calcReg1Payer2MarketGrowthCustR2</f>
        <v>0</v>
      </c>
      <c r="J1428" s="465" t="s">
        <v>1929</v>
      </c>
    </row>
    <row r="1429" spans="1:10">
      <c r="C1429" t="s">
        <v>841</v>
      </c>
      <c r="E1429" s="465">
        <f>calcReg1Payer2TotalCustR2/calcReg1Payer2TotalVolumeR2</f>
        <v>0</v>
      </c>
      <c r="F1429" s="465">
        <f>calcReg1Payer2TotalCustR2/calcReg1Payer2TotalVolumeR2</f>
        <v>0</v>
      </c>
      <c r="G1429" s="465">
        <f>calcReg1Payer2TotalCustR2/calcReg1Payer2TotalVolumeR2</f>
        <v>0</v>
      </c>
      <c r="H1429" s="465">
        <f>calcReg1Payer2TotalCustR2/calcReg1Payer2TotalVolumeR2</f>
        <v>0</v>
      </c>
      <c r="I1429" s="465">
        <f>calcReg1Payer2TotalCustR2/calcReg1Payer2TotalVolumeR2</f>
        <v>0</v>
      </c>
      <c r="J1429" s="465" t="s">
        <v>1930</v>
      </c>
    </row>
    <row r="1431" spans="1:10">
      <c r="A1431" t="s">
        <v>622</v>
      </c>
      <c r="B1431" t="str">
        <f>nmPayer3</f>
        <v>Dragon Health</v>
      </c>
    </row>
    <row r="1432" spans="1:10">
      <c r="C1432" t="s">
        <v>1541</v>
      </c>
      <c r="E1432" s="380">
        <f>calcReg1Seg1Payer3VolumeRecurCustR1+calcReg1Seg2Payer3VolumeRecurCustR1+calcReg1Seg3Payer3VolumeRecurCustR1</f>
        <v>530.18340342100009</v>
      </c>
      <c r="F1432" s="380">
        <f>calcReg1Seg1Payer3VolumeRecurCustR1+calcReg1Seg2Payer3VolumeRecurCustR1+calcReg1Seg3Payer3VolumeRecurCustR1</f>
        <v>530.18340342100009</v>
      </c>
      <c r="G1432" s="380">
        <f>calcReg1Seg1Payer3VolumeRecurCustR1+calcReg1Seg2Payer3VolumeRecurCustR1+calcReg1Seg3Payer3VolumeRecurCustR1</f>
        <v>530.18340342100009</v>
      </c>
      <c r="H1432" s="380">
        <f>calcReg1Seg1Payer3VolumeRecurCustR1+calcReg1Seg2Payer3VolumeRecurCustR1+calcReg1Seg3Payer3VolumeRecurCustR1</f>
        <v>530.18340342100009</v>
      </c>
      <c r="I1432" s="380">
        <f>calcReg1Seg1Payer3VolumeRecurCustR1+calcReg1Seg2Payer3VolumeRecurCustR1+calcReg1Seg3Payer3VolumeRecurCustR1</f>
        <v>530.18340342100009</v>
      </c>
      <c r="J1432" t="s">
        <v>1931</v>
      </c>
    </row>
    <row r="1433" spans="1:10">
      <c r="C1433" t="s">
        <v>804</v>
      </c>
      <c r="E1433" s="380">
        <f>calcReg1Seg1Payer3VolumeNewCustR1+calcReg1Seg2Payer3VolumeNewCustR1+calcReg1Seg3Payer3VolumeNewCustR1</f>
        <v>72.155010852628209</v>
      </c>
      <c r="F1433" s="380">
        <f>calcReg1Seg1Payer3VolumeNewCustR1+calcReg1Seg2Payer3VolumeNewCustR1+calcReg1Seg3Payer3VolumeNewCustR1</f>
        <v>72.155010852628209</v>
      </c>
      <c r="G1433" s="380">
        <f>calcReg1Seg1Payer3VolumeNewCustR1+calcReg1Seg2Payer3VolumeNewCustR1+calcReg1Seg3Payer3VolumeNewCustR1</f>
        <v>72.155010852628209</v>
      </c>
      <c r="H1433" s="380">
        <f>calcReg1Seg1Payer3VolumeNewCustR1+calcReg1Seg2Payer3VolumeNewCustR1+calcReg1Seg3Payer3VolumeNewCustR1</f>
        <v>72.155010852628209</v>
      </c>
      <c r="I1433" s="380">
        <f>calcReg1Seg1Payer3VolumeNewCustR1+calcReg1Seg2Payer3VolumeNewCustR1+calcReg1Seg3Payer3VolumeNewCustR1</f>
        <v>72.155010852628209</v>
      </c>
      <c r="J1433" t="s">
        <v>1932</v>
      </c>
    </row>
    <row r="1434" spans="1:10" s="4" customFormat="1">
      <c r="C1434" s="4" t="s">
        <v>1860</v>
      </c>
      <c r="E1434" s="457">
        <f>calcReg1Payer3RecurCustR1+calcReg1Payer3NewCustR1</f>
        <v>602.33841427362836</v>
      </c>
      <c r="F1434" s="457">
        <f>calcReg1Payer3RecurCustR1+calcReg1Payer3NewCustR1</f>
        <v>602.33841427362836</v>
      </c>
      <c r="G1434" s="457">
        <f>calcReg1Payer3RecurCustR1+calcReg1Payer3NewCustR1</f>
        <v>602.33841427362836</v>
      </c>
      <c r="H1434" s="457">
        <f>calcReg1Payer3RecurCustR1+calcReg1Payer3NewCustR1</f>
        <v>602.33841427362836</v>
      </c>
      <c r="I1434" s="457">
        <f>calcReg1Payer3RecurCustR1+calcReg1Payer3NewCustR1</f>
        <v>602.33841427362836</v>
      </c>
      <c r="J1434" s="4" t="s">
        <v>1933</v>
      </c>
    </row>
    <row r="1435" spans="1:10">
      <c r="C1435" t="s">
        <v>1862</v>
      </c>
      <c r="E1435">
        <f>calcReg1Seg1Payer3MarketGrowthCustR1+calcReg1Seg2Payer3MarketGrowthCustR1+calcReg1Seg3Payer3MarketGrowthCustR1</f>
        <v>12673.1535</v>
      </c>
      <c r="F1435">
        <f>calcReg1Seg1Payer3MarketGrowthCustR1+calcReg1Seg2Payer3MarketGrowthCustR1+calcReg1Seg3Payer3MarketGrowthCustR1</f>
        <v>12673.1535</v>
      </c>
      <c r="G1435">
        <f>calcReg1Seg1Payer3MarketGrowthCustR1+calcReg1Seg2Payer3MarketGrowthCustR1+calcReg1Seg3Payer3MarketGrowthCustR1</f>
        <v>12673.1535</v>
      </c>
      <c r="H1435">
        <f>calcReg1Seg1Payer3MarketGrowthCustR1+calcReg1Seg2Payer3MarketGrowthCustR1+calcReg1Seg3Payer3MarketGrowthCustR1</f>
        <v>12673.1535</v>
      </c>
      <c r="I1435">
        <f>calcReg1Seg1Payer3MarketGrowthCustR1+calcReg1Seg2Payer3MarketGrowthCustR1+calcReg1Seg3Payer3MarketGrowthCustR1</f>
        <v>12673.1535</v>
      </c>
      <c r="J1435" t="s">
        <v>1934</v>
      </c>
    </row>
    <row r="1436" spans="1:10">
      <c r="C1436" t="s">
        <v>1537</v>
      </c>
      <c r="E1436">
        <f>calcReg1Seg1Payer3TotalVolumeR1+calcReg1Seg2Payer3TotalVolumeR1+calcReg1Seg3Payer3TotalVolumeR1</f>
        <v>104492.4709</v>
      </c>
      <c r="F1436">
        <f>calcReg1Seg1Payer3TotalVolumeR1+calcReg1Seg2Payer3TotalVolumeR1+calcReg1Seg3Payer3TotalVolumeR1</f>
        <v>104492.4709</v>
      </c>
      <c r="G1436">
        <f>calcReg1Seg1Payer3TotalVolumeR1+calcReg1Seg2Payer3TotalVolumeR1+calcReg1Seg3Payer3TotalVolumeR1</f>
        <v>104492.4709</v>
      </c>
      <c r="H1436">
        <f>calcReg1Seg1Payer3TotalVolumeR1+calcReg1Seg2Payer3TotalVolumeR1+calcReg1Seg3Payer3TotalVolumeR1</f>
        <v>104492.4709</v>
      </c>
      <c r="I1436">
        <f>calcReg1Seg1Payer3TotalVolumeR1+calcReg1Seg2Payer3TotalVolumeR1+calcReg1Seg3Payer3TotalVolumeR1</f>
        <v>104492.4709</v>
      </c>
      <c r="J1436" t="s">
        <v>1935</v>
      </c>
    </row>
    <row r="1437" spans="1:10">
      <c r="C1437" t="s">
        <v>861</v>
      </c>
      <c r="E1437" s="465">
        <f>calcReg1Payer3NewCustR1/calcReg1Payer3MarketGrowthCustR1</f>
        <v>5.6935324623526582E-3</v>
      </c>
      <c r="F1437" s="465">
        <f>calcReg1Payer3NewCustR1/calcReg1Payer3MarketGrowthCustR1</f>
        <v>5.6935324623526582E-3</v>
      </c>
      <c r="G1437" s="465">
        <f>calcReg1Payer3NewCustR1/calcReg1Payer3MarketGrowthCustR1</f>
        <v>5.6935324623526582E-3</v>
      </c>
      <c r="H1437" s="465">
        <f>calcReg1Payer3NewCustR1/calcReg1Payer3MarketGrowthCustR1</f>
        <v>5.6935324623526582E-3</v>
      </c>
      <c r="I1437" s="465">
        <f>calcReg1Payer3NewCustR1/calcReg1Payer3MarketGrowthCustR1</f>
        <v>5.6935324623526582E-3</v>
      </c>
      <c r="J1437" s="465" t="s">
        <v>1936</v>
      </c>
    </row>
    <row r="1438" spans="1:10">
      <c r="C1438" t="s">
        <v>841</v>
      </c>
      <c r="E1438" s="465">
        <f>calcReg1Payer3TotalCustR1/calcReg1Payer3TotalVolumeR1</f>
        <v>5.764419283855105E-3</v>
      </c>
      <c r="F1438" s="465">
        <f>calcReg1Payer3TotalCustR1/calcReg1Payer3TotalVolumeR1</f>
        <v>5.764419283855105E-3</v>
      </c>
      <c r="G1438" s="465">
        <f>calcReg1Payer3TotalCustR1/calcReg1Payer3TotalVolumeR1</f>
        <v>5.764419283855105E-3</v>
      </c>
      <c r="H1438" s="465">
        <f>calcReg1Payer3TotalCustR1/calcReg1Payer3TotalVolumeR1</f>
        <v>5.764419283855105E-3</v>
      </c>
      <c r="I1438" s="465">
        <f>calcReg1Payer3TotalCustR1/calcReg1Payer3TotalVolumeR1</f>
        <v>5.764419283855105E-3</v>
      </c>
      <c r="J1438" s="465" t="s">
        <v>1937</v>
      </c>
    </row>
    <row r="1439" spans="1:10">
      <c r="A1439" t="s">
        <v>623</v>
      </c>
    </row>
    <row r="1440" spans="1:10">
      <c r="C1440" t="s">
        <v>1541</v>
      </c>
      <c r="E1440" s="380">
        <f>calcReg1Seg1Payer3VolumeRecurCustR2+calcReg1Seg2Payer3VolumeRecurCustR2+calcReg1Seg3Payer3VolumeRecurCustR2</f>
        <v>574.3316426895351</v>
      </c>
      <c r="F1440" s="380">
        <f>calcReg1Seg1Payer3VolumeRecurCustR2+calcReg1Seg2Payer3VolumeRecurCustR2+calcReg1Seg3Payer3VolumeRecurCustR2</f>
        <v>574.3316426895351</v>
      </c>
      <c r="G1440" s="380">
        <f>calcReg1Seg1Payer3VolumeRecurCustR2+calcReg1Seg2Payer3VolumeRecurCustR2+calcReg1Seg3Payer3VolumeRecurCustR2</f>
        <v>574.3316426895351</v>
      </c>
      <c r="H1440" s="380">
        <f>calcReg1Seg1Payer3VolumeRecurCustR2+calcReg1Seg2Payer3VolumeRecurCustR2+calcReg1Seg3Payer3VolumeRecurCustR2</f>
        <v>574.3316426895351</v>
      </c>
      <c r="I1440" s="380">
        <f>calcReg1Seg1Payer3VolumeRecurCustR2+calcReg1Seg2Payer3VolumeRecurCustR2+calcReg1Seg3Payer3VolumeRecurCustR2</f>
        <v>574.3316426895351</v>
      </c>
      <c r="J1440" t="s">
        <v>1938</v>
      </c>
    </row>
    <row r="1441" spans="1:10">
      <c r="C1441" t="s">
        <v>804</v>
      </c>
      <c r="E1441" s="380">
        <f>calcReg1Seg1Payer3VolumeNewCustR2+calcReg1Seg2Payer3VolumeNewCustR2+calcReg1Seg3Payer3VolumeNewCustR2</f>
        <v>84.728505292557386</v>
      </c>
      <c r="F1441" s="380">
        <f>calcReg1Seg1Payer3VolumeNewCustR2+calcReg1Seg2Payer3VolumeNewCustR2+calcReg1Seg3Payer3VolumeNewCustR2</f>
        <v>84.728505292557386</v>
      </c>
      <c r="G1441" s="380">
        <f>calcReg1Seg1Payer3VolumeNewCustR2+calcReg1Seg2Payer3VolumeNewCustR2+calcReg1Seg3Payer3VolumeNewCustR2</f>
        <v>84.728505292557386</v>
      </c>
      <c r="H1441" s="380">
        <f>calcReg1Seg1Payer3VolumeNewCustR2+calcReg1Seg2Payer3VolumeNewCustR2+calcReg1Seg3Payer3VolumeNewCustR2</f>
        <v>84.728505292557386</v>
      </c>
      <c r="I1441" s="380">
        <f>calcReg1Seg1Payer3VolumeNewCustR2+calcReg1Seg2Payer3VolumeNewCustR2+calcReg1Seg3Payer3VolumeNewCustR2</f>
        <v>84.728505292557386</v>
      </c>
      <c r="J1441" t="s">
        <v>1939</v>
      </c>
    </row>
    <row r="1442" spans="1:10" s="4" customFormat="1">
      <c r="C1442" s="4" t="s">
        <v>1860</v>
      </c>
      <c r="E1442" s="457">
        <f>calcReg1Payer3RecurCustR2+calcReg1Payer3NewCustR2</f>
        <v>659.06014798209253</v>
      </c>
      <c r="F1442" s="457">
        <f>calcReg1Payer3RecurCustR2+calcReg1Payer3NewCustR2</f>
        <v>659.06014798209253</v>
      </c>
      <c r="G1442" s="457">
        <f>calcReg1Payer3RecurCustR2+calcReg1Payer3NewCustR2</f>
        <v>659.06014798209253</v>
      </c>
      <c r="H1442" s="457">
        <f>calcReg1Payer3RecurCustR2+calcReg1Payer3NewCustR2</f>
        <v>659.06014798209253</v>
      </c>
      <c r="I1442" s="457">
        <f>calcReg1Payer3RecurCustR2+calcReg1Payer3NewCustR2</f>
        <v>659.06014798209253</v>
      </c>
      <c r="J1442" s="4" t="s">
        <v>1940</v>
      </c>
    </row>
    <row r="1443" spans="1:10">
      <c r="C1443" t="s">
        <v>1862</v>
      </c>
      <c r="E1443">
        <f>calcReg1Seg1Payer3MarketGrowthCustR2+calcReg1Seg2Payer3MarketGrowthCustR2+calcReg1Seg3Payer3MarketGrowthCustR2</f>
        <v>15324.968295000001</v>
      </c>
      <c r="F1443">
        <f>calcReg1Seg1Payer3MarketGrowthCustR2+calcReg1Seg2Payer3MarketGrowthCustR2+calcReg1Seg3Payer3MarketGrowthCustR2</f>
        <v>15324.968295000001</v>
      </c>
      <c r="G1443">
        <f>calcReg1Seg1Payer3MarketGrowthCustR2+calcReg1Seg2Payer3MarketGrowthCustR2+calcReg1Seg3Payer3MarketGrowthCustR2</f>
        <v>15324.968295000001</v>
      </c>
      <c r="H1443">
        <f>calcReg1Seg1Payer3MarketGrowthCustR2+calcReg1Seg2Payer3MarketGrowthCustR2+calcReg1Seg3Payer3MarketGrowthCustR2</f>
        <v>15324.968295000001</v>
      </c>
      <c r="I1443">
        <f>calcReg1Seg1Payer3MarketGrowthCustR2+calcReg1Seg2Payer3MarketGrowthCustR2+calcReg1Seg3Payer3MarketGrowthCustR2</f>
        <v>15324.968295000001</v>
      </c>
      <c r="J1443" t="s">
        <v>1941</v>
      </c>
    </row>
    <row r="1444" spans="1:10">
      <c r="C1444" t="s">
        <v>1537</v>
      </c>
      <c r="E1444">
        <f>calcReg1Seg1Payer3TotalVolumeR2+calcReg1Seg2Payer3TotalVolumeR2+calcReg1Seg3Payer3TotalVolumeR2</f>
        <v>118313.448137</v>
      </c>
      <c r="F1444">
        <f>calcReg1Seg1Payer3TotalVolumeR2+calcReg1Seg2Payer3TotalVolumeR2+calcReg1Seg3Payer3TotalVolumeR2</f>
        <v>118313.448137</v>
      </c>
      <c r="G1444">
        <f>calcReg1Seg1Payer3TotalVolumeR2+calcReg1Seg2Payer3TotalVolumeR2+calcReg1Seg3Payer3TotalVolumeR2</f>
        <v>118313.448137</v>
      </c>
      <c r="H1444">
        <f>calcReg1Seg1Payer3TotalVolumeR2+calcReg1Seg2Payer3TotalVolumeR2+calcReg1Seg3Payer3TotalVolumeR2</f>
        <v>118313.448137</v>
      </c>
      <c r="I1444">
        <f>calcReg1Seg1Payer3TotalVolumeR2+calcReg1Seg2Payer3TotalVolumeR2+calcReg1Seg3Payer3TotalVolumeR2</f>
        <v>118313.448137</v>
      </c>
      <c r="J1444" t="s">
        <v>1942</v>
      </c>
    </row>
    <row r="1445" spans="1:10">
      <c r="C1445" t="s">
        <v>861</v>
      </c>
      <c r="E1445" s="465">
        <f>calcReg1Payer3NewCustR2/calcReg1Payer3MarketGrowthCustR2</f>
        <v>5.5287882925148576E-3</v>
      </c>
      <c r="F1445" s="465">
        <f>calcReg1Payer3NewCustR2/calcReg1Payer3MarketGrowthCustR2</f>
        <v>5.5287882925148576E-3</v>
      </c>
      <c r="G1445" s="465">
        <f>calcReg1Payer3NewCustR2/calcReg1Payer3MarketGrowthCustR2</f>
        <v>5.5287882925148576E-3</v>
      </c>
      <c r="H1445" s="465">
        <f>calcReg1Payer3NewCustR2/calcReg1Payer3MarketGrowthCustR2</f>
        <v>5.5287882925148576E-3</v>
      </c>
      <c r="I1445" s="465">
        <f>calcReg1Payer3NewCustR2/calcReg1Payer3MarketGrowthCustR2</f>
        <v>5.5287882925148576E-3</v>
      </c>
      <c r="J1445" s="465" t="s">
        <v>1943</v>
      </c>
    </row>
    <row r="1446" spans="1:10">
      <c r="C1446" t="s">
        <v>841</v>
      </c>
      <c r="E1446" s="465">
        <f>calcReg1Payer3TotalCustR2/calcReg1Payer3TotalVolumeR2</f>
        <v>5.570458458948299E-3</v>
      </c>
      <c r="F1446" s="465">
        <f>calcReg1Payer3TotalCustR2/calcReg1Payer3TotalVolumeR2</f>
        <v>5.570458458948299E-3</v>
      </c>
      <c r="G1446" s="465">
        <f>calcReg1Payer3TotalCustR2/calcReg1Payer3TotalVolumeR2</f>
        <v>5.570458458948299E-3</v>
      </c>
      <c r="H1446" s="465">
        <f>calcReg1Payer3TotalCustR2/calcReg1Payer3TotalVolumeR2</f>
        <v>5.570458458948299E-3</v>
      </c>
      <c r="I1446" s="465">
        <f>calcReg1Payer3TotalCustR2/calcReg1Payer3TotalVolumeR2</f>
        <v>5.570458458948299E-3</v>
      </c>
      <c r="J1446" s="465" t="s">
        <v>1944</v>
      </c>
    </row>
    <row r="1448" spans="1:10">
      <c r="A1448" s="4" t="s">
        <v>1945</v>
      </c>
    </row>
    <row r="1449" spans="1:10">
      <c r="A1449" t="s">
        <v>622</v>
      </c>
      <c r="B1449" s="4" t="str">
        <f>nmReg1Seg1</f>
        <v>Riverrun</v>
      </c>
    </row>
    <row r="1450" spans="1:10">
      <c r="C1450" t="s">
        <v>804</v>
      </c>
      <c r="E1450" s="380">
        <f>calcReg1Seg1Payer1VolumeNewCustR1+calcReg1Seg1Payer2VolumeNewCustR1+calcReg1Seg1Payer3VolumeNewCustR1</f>
        <v>33.275232705000008</v>
      </c>
      <c r="F1450" s="380">
        <f>calcReg1Seg1Payer1VolumeNewCustR1+calcReg1Seg1Payer2VolumeNewCustR1+calcReg1Seg1Payer3VolumeNewCustR1</f>
        <v>33.275232705000008</v>
      </c>
      <c r="G1450" s="380">
        <f>calcReg1Seg1Payer1VolumeNewCustR1+calcReg1Seg1Payer2VolumeNewCustR1+calcReg1Seg1Payer3VolumeNewCustR1</f>
        <v>33.275232705000008</v>
      </c>
      <c r="H1450" s="380">
        <f>calcReg1Seg1Payer1VolumeNewCustR1+calcReg1Seg1Payer2VolumeNewCustR1+calcReg1Seg1Payer3VolumeNewCustR1</f>
        <v>33.275232705000008</v>
      </c>
      <c r="I1450" s="380">
        <f>calcReg1Seg1Payer1VolumeNewCustR1+calcReg1Seg1Payer2VolumeNewCustR1+calcReg1Seg1Payer3VolumeNewCustR1</f>
        <v>33.275232705000008</v>
      </c>
      <c r="J1450" t="s">
        <v>1988</v>
      </c>
    </row>
    <row r="1451" spans="1:10">
      <c r="C1451" t="s">
        <v>803</v>
      </c>
      <c r="E1451" s="380">
        <f>calcReg1Seg1Payer1VolumeRecurCustR1+calcReg1Seg1Payer2VolumeRecurCustR1+calcReg1Seg1Payer3VolumeRecurCustR1</f>
        <v>340.00027769399992</v>
      </c>
      <c r="F1451" s="380">
        <f>calcReg1Seg1Payer1VolumeRecurCustR1+calcReg1Seg1Payer2VolumeRecurCustR1+calcReg1Seg1Payer3VolumeRecurCustR1</f>
        <v>340.00027769399992</v>
      </c>
      <c r="G1451" s="380">
        <f>calcReg1Seg1Payer1VolumeRecurCustR1+calcReg1Seg1Payer2VolumeRecurCustR1+calcReg1Seg1Payer3VolumeRecurCustR1</f>
        <v>340.00027769399992</v>
      </c>
      <c r="H1451" s="380">
        <f>calcReg1Seg1Payer1VolumeRecurCustR1+calcReg1Seg1Payer2VolumeRecurCustR1+calcReg1Seg1Payer3VolumeRecurCustR1</f>
        <v>340.00027769399992</v>
      </c>
      <c r="I1451" s="380">
        <f>calcReg1Seg1Payer1VolumeRecurCustR1+calcReg1Seg1Payer2VolumeRecurCustR1+calcReg1Seg1Payer3VolumeRecurCustR1</f>
        <v>340.00027769399992</v>
      </c>
      <c r="J1451" t="s">
        <v>1989</v>
      </c>
    </row>
    <row r="1452" spans="1:10" s="4" customFormat="1">
      <c r="C1452" s="4" t="s">
        <v>1860</v>
      </c>
      <c r="E1452" s="457">
        <f>calcReg1Seg1NewCustR1+calcReg1Seg1RecurCustR1</f>
        <v>373.27551039899993</v>
      </c>
      <c r="F1452" s="457">
        <f>calcReg1Seg1NewCustR1+calcReg1Seg1RecurCustR1</f>
        <v>373.27551039899993</v>
      </c>
      <c r="G1452" s="457">
        <f>calcReg1Seg1NewCustR1+calcReg1Seg1RecurCustR1</f>
        <v>373.27551039899993</v>
      </c>
      <c r="H1452" s="457">
        <f>calcReg1Seg1NewCustR1+calcReg1Seg1RecurCustR1</f>
        <v>373.27551039899993</v>
      </c>
      <c r="I1452" s="457">
        <f>calcReg1Seg1NewCustR1+calcReg1Seg1RecurCustR1</f>
        <v>373.27551039899993</v>
      </c>
      <c r="J1452" s="4" t="s">
        <v>1990</v>
      </c>
    </row>
    <row r="1453" spans="1:10">
      <c r="C1453" t="s">
        <v>1862</v>
      </c>
      <c r="E1453" s="380">
        <f>calcReg1Seg1Payer1MarketGrowthCustR1+calcReg1Seg1Payer2MarketGrowthCustR1+calcReg1Seg1Payer3MarketGrowthCustR1</f>
        <v>9868.9500000000007</v>
      </c>
      <c r="F1453" s="380">
        <f>calcReg1Seg1Payer1MarketGrowthCustR1+calcReg1Seg1Payer2MarketGrowthCustR1+calcReg1Seg1Payer3MarketGrowthCustR1</f>
        <v>9868.9500000000007</v>
      </c>
      <c r="G1453" s="380">
        <f>calcReg1Seg1Payer1MarketGrowthCustR1+calcReg1Seg1Payer2MarketGrowthCustR1+calcReg1Seg1Payer3MarketGrowthCustR1</f>
        <v>9868.9500000000007</v>
      </c>
      <c r="H1453" s="380">
        <f>calcReg1Seg1Payer1MarketGrowthCustR1+calcReg1Seg1Payer2MarketGrowthCustR1+calcReg1Seg1Payer3MarketGrowthCustR1</f>
        <v>9868.9500000000007</v>
      </c>
      <c r="I1453" s="380">
        <f>calcReg1Seg1Payer1MarketGrowthCustR1+calcReg1Seg1Payer2MarketGrowthCustR1+calcReg1Seg1Payer3MarketGrowthCustR1</f>
        <v>9868.9500000000007</v>
      </c>
      <c r="J1453" t="s">
        <v>1991</v>
      </c>
    </row>
    <row r="1454" spans="1:10">
      <c r="C1454" t="s">
        <v>1537</v>
      </c>
      <c r="E1454" s="380">
        <f>calcReg1Seg1Payer1TotalVolumeR1+calcReg1Seg1Payer2TotalVolumeR1+calcReg1Seg1Payer3TotalVolumeR1</f>
        <v>116430.66679999998</v>
      </c>
      <c r="F1454" s="380">
        <f>calcReg1Seg1Payer1TotalVolumeR1+calcReg1Seg1Payer2TotalVolumeR1+calcReg1Seg1Payer3TotalVolumeR1</f>
        <v>116430.66679999998</v>
      </c>
      <c r="G1454" s="380">
        <f>calcReg1Seg1Payer1TotalVolumeR1+calcReg1Seg1Payer2TotalVolumeR1+calcReg1Seg1Payer3TotalVolumeR1</f>
        <v>116430.66679999998</v>
      </c>
      <c r="H1454" s="380">
        <f>calcReg1Seg1Payer1TotalVolumeR1+calcReg1Seg1Payer2TotalVolumeR1+calcReg1Seg1Payer3TotalVolumeR1</f>
        <v>116430.66679999998</v>
      </c>
      <c r="I1454" s="380">
        <f>calcReg1Seg1Payer1TotalVolumeR1+calcReg1Seg1Payer2TotalVolumeR1+calcReg1Seg1Payer3TotalVolumeR1</f>
        <v>116430.66679999998</v>
      </c>
      <c r="J1454" t="s">
        <v>1992</v>
      </c>
    </row>
    <row r="1455" spans="1:10">
      <c r="A1455" s="4"/>
      <c r="C1455" t="s">
        <v>861</v>
      </c>
      <c r="E1455" s="465">
        <f>calcReg1Seg1NewCustR1/calcReg1Seg1MarketGrowthCustR1</f>
        <v>3.3717095238095245E-3</v>
      </c>
      <c r="F1455" s="465">
        <f>calcReg1Seg1NewCustR1/calcReg1Seg1MarketGrowthCustR1</f>
        <v>3.3717095238095245E-3</v>
      </c>
      <c r="G1455" s="465">
        <f>calcReg1Seg1NewCustR1/calcReg1Seg1MarketGrowthCustR1</f>
        <v>3.3717095238095245E-3</v>
      </c>
      <c r="H1455" s="465">
        <f>calcReg1Seg1NewCustR1/calcReg1Seg1MarketGrowthCustR1</f>
        <v>3.3717095238095245E-3</v>
      </c>
      <c r="I1455" s="465">
        <f>calcReg1Seg1NewCustR1/calcReg1Seg1MarketGrowthCustR1</f>
        <v>3.3717095238095245E-3</v>
      </c>
      <c r="J1455" t="s">
        <v>1993</v>
      </c>
    </row>
    <row r="1456" spans="1:10">
      <c r="A1456" s="4"/>
      <c r="C1456" t="s">
        <v>841</v>
      </c>
      <c r="E1456" s="465">
        <f>calcReg1Seg1VolumeTotalCustR1/calcReg1Seg1TotalVolumeR1</f>
        <v>3.2059896302079754E-3</v>
      </c>
      <c r="F1456" s="465">
        <f>calcReg1Seg1VolumeTotalCustR1/calcReg1Seg1TotalVolumeR1</f>
        <v>3.2059896302079754E-3</v>
      </c>
      <c r="G1456" s="465">
        <f>calcReg1Seg1VolumeTotalCustR1/calcReg1Seg1TotalVolumeR1</f>
        <v>3.2059896302079754E-3</v>
      </c>
      <c r="H1456" s="465">
        <f>calcReg1Seg1VolumeTotalCustR1/calcReg1Seg1TotalVolumeR1</f>
        <v>3.2059896302079754E-3</v>
      </c>
      <c r="I1456" s="465">
        <f>calcReg1Seg1VolumeTotalCustR1/calcReg1Seg1TotalVolumeR1</f>
        <v>3.2059896302079754E-3</v>
      </c>
      <c r="J1456" t="s">
        <v>1994</v>
      </c>
    </row>
    <row r="1457" spans="1:10">
      <c r="A1457" t="s">
        <v>623</v>
      </c>
      <c r="B1457" s="4"/>
    </row>
    <row r="1458" spans="1:10">
      <c r="C1458" t="s">
        <v>804</v>
      </c>
      <c r="E1458" s="380">
        <f>calcReg1Seg1Payer1VolumeNewCustR2+calcReg1Seg1Payer2VolumeNewCustR2+calcReg1Seg1Payer3VolumeNewCustR2</f>
        <v>47.387715091199993</v>
      </c>
      <c r="F1458" s="380">
        <f>calcReg1Seg1Payer1VolumeNewCustR2+calcReg1Seg1Payer2VolumeNewCustR2+calcReg1Seg1Payer3VolumeNewCustR2</f>
        <v>47.387715091199993</v>
      </c>
      <c r="G1458" s="380">
        <f>calcReg1Seg1Payer1VolumeNewCustR2+calcReg1Seg1Payer2VolumeNewCustR2+calcReg1Seg1Payer3VolumeNewCustR2</f>
        <v>47.387715091199993</v>
      </c>
      <c r="H1458" s="380">
        <f>calcReg1Seg1Payer1VolumeNewCustR2+calcReg1Seg1Payer2VolumeNewCustR2+calcReg1Seg1Payer3VolumeNewCustR2</f>
        <v>47.387715091199993</v>
      </c>
      <c r="I1458" s="380">
        <f>calcReg1Seg1Payer1VolumeNewCustR2+calcReg1Seg1Payer2VolumeNewCustR2+calcReg1Seg1Payer3VolumeNewCustR2</f>
        <v>47.387715091199993</v>
      </c>
      <c r="J1458" t="s">
        <v>1995</v>
      </c>
    </row>
    <row r="1459" spans="1:10">
      <c r="C1459" t="s">
        <v>803</v>
      </c>
      <c r="E1459" s="380">
        <f>calcReg1Seg1Payer1VolumeRecurCustR2+calcReg1Seg1Payer2VolumeRecurCustR2+calcReg1Seg1Payer3VolumeRecurCustR2</f>
        <v>362.21108589266998</v>
      </c>
      <c r="F1459" s="380">
        <f>calcReg1Seg1Payer1VolumeRecurCustR2+calcReg1Seg1Payer2VolumeRecurCustR2+calcReg1Seg1Payer3VolumeRecurCustR2</f>
        <v>362.21108589266998</v>
      </c>
      <c r="G1459" s="380">
        <f>calcReg1Seg1Payer1VolumeRecurCustR2+calcReg1Seg1Payer2VolumeRecurCustR2+calcReg1Seg1Payer3VolumeRecurCustR2</f>
        <v>362.21108589266998</v>
      </c>
      <c r="H1459" s="380">
        <f>calcReg1Seg1Payer1VolumeRecurCustR2+calcReg1Seg1Payer2VolumeRecurCustR2+calcReg1Seg1Payer3VolumeRecurCustR2</f>
        <v>362.21108589266998</v>
      </c>
      <c r="I1459" s="380">
        <f>calcReg1Seg1Payer1VolumeRecurCustR2+calcReg1Seg1Payer2VolumeRecurCustR2+calcReg1Seg1Payer3VolumeRecurCustR2</f>
        <v>362.21108589266998</v>
      </c>
      <c r="J1459" t="s">
        <v>1996</v>
      </c>
    </row>
    <row r="1460" spans="1:10" s="4" customFormat="1">
      <c r="C1460" s="4" t="s">
        <v>1860</v>
      </c>
      <c r="E1460" s="457">
        <f>calcReg1Seg1NewCustR2+calcReg1Seg1RecurCustR2</f>
        <v>409.59880098386998</v>
      </c>
      <c r="F1460" s="457">
        <f>calcReg1Seg1NewCustR2+calcReg1Seg1RecurCustR2</f>
        <v>409.59880098386998</v>
      </c>
      <c r="G1460" s="457">
        <f>calcReg1Seg1NewCustR2+calcReg1Seg1RecurCustR2</f>
        <v>409.59880098386998</v>
      </c>
      <c r="H1460" s="457">
        <f>calcReg1Seg1NewCustR2+calcReg1Seg1RecurCustR2</f>
        <v>409.59880098386998</v>
      </c>
      <c r="I1460" s="457">
        <f>calcReg1Seg1NewCustR2+calcReg1Seg1RecurCustR2</f>
        <v>409.59880098386998</v>
      </c>
      <c r="J1460" s="4" t="s">
        <v>1997</v>
      </c>
    </row>
    <row r="1461" spans="1:10">
      <c r="C1461" t="s">
        <v>1862</v>
      </c>
      <c r="E1461" s="380">
        <f>calcReg1Seg1Payer1MarketGrowthCustR2+calcReg1Seg1Payer2MarketGrowthCustR2+calcReg1Seg1Payer3MarketGrowthCustR2</f>
        <v>14575.68</v>
      </c>
      <c r="F1461" s="380">
        <f>calcReg1Seg1Payer1MarketGrowthCustR2+calcReg1Seg1Payer2MarketGrowthCustR2+calcReg1Seg1Payer3MarketGrowthCustR2</f>
        <v>14575.68</v>
      </c>
      <c r="G1461" s="380">
        <f>calcReg1Seg1Payer1MarketGrowthCustR2+calcReg1Seg1Payer2MarketGrowthCustR2+calcReg1Seg1Payer3MarketGrowthCustR2</f>
        <v>14575.68</v>
      </c>
      <c r="H1461" s="380">
        <f>calcReg1Seg1Payer1MarketGrowthCustR2+calcReg1Seg1Payer2MarketGrowthCustR2+calcReg1Seg1Payer3MarketGrowthCustR2</f>
        <v>14575.68</v>
      </c>
      <c r="I1461" s="380">
        <f>calcReg1Seg1Payer1MarketGrowthCustR2+calcReg1Seg1Payer2MarketGrowthCustR2+calcReg1Seg1Payer3MarketGrowthCustR2</f>
        <v>14575.68</v>
      </c>
      <c r="J1461" t="s">
        <v>1998</v>
      </c>
    </row>
    <row r="1462" spans="1:10">
      <c r="C1462" t="s">
        <v>1537</v>
      </c>
      <c r="E1462" s="380">
        <f>calcReg1Seg1Payer1TotalVolumeR2+calcReg1Seg1Payer2TotalVolumeR2+calcReg1Seg1Payer3TotalVolumeR2</f>
        <v>132286.428904</v>
      </c>
      <c r="F1462" s="380">
        <f>calcReg1Seg1Payer1TotalVolumeR2+calcReg1Seg1Payer2TotalVolumeR2+calcReg1Seg1Payer3TotalVolumeR2</f>
        <v>132286.428904</v>
      </c>
      <c r="G1462" s="380">
        <f>calcReg1Seg1Payer1TotalVolumeR2+calcReg1Seg1Payer2TotalVolumeR2+calcReg1Seg1Payer3TotalVolumeR2</f>
        <v>132286.428904</v>
      </c>
      <c r="H1462" s="380">
        <f>calcReg1Seg1Payer1TotalVolumeR2+calcReg1Seg1Payer2TotalVolumeR2+calcReg1Seg1Payer3TotalVolumeR2</f>
        <v>132286.428904</v>
      </c>
      <c r="I1462" s="380">
        <f>calcReg1Seg1Payer1TotalVolumeR2+calcReg1Seg1Payer2TotalVolumeR2+calcReg1Seg1Payer3TotalVolumeR2</f>
        <v>132286.428904</v>
      </c>
      <c r="J1462" t="s">
        <v>1999</v>
      </c>
    </row>
    <row r="1463" spans="1:10">
      <c r="A1463" s="4"/>
      <c r="C1463" t="s">
        <v>861</v>
      </c>
      <c r="E1463" s="465">
        <f>calcReg1Seg1NewCustR2/calcReg1Seg1MarketGrowthCustR2</f>
        <v>3.2511495238095232E-3</v>
      </c>
      <c r="F1463" s="465">
        <f>calcReg1Seg1NewCustR2/calcReg1Seg1MarketGrowthCustR2</f>
        <v>3.2511495238095232E-3</v>
      </c>
      <c r="G1463" s="465">
        <f>calcReg1Seg1NewCustR2/calcReg1Seg1MarketGrowthCustR2</f>
        <v>3.2511495238095232E-3</v>
      </c>
      <c r="H1463" s="465">
        <f>calcReg1Seg1NewCustR2/calcReg1Seg1MarketGrowthCustR2</f>
        <v>3.2511495238095232E-3</v>
      </c>
      <c r="I1463" s="465">
        <f>calcReg1Seg1NewCustR2/calcReg1Seg1MarketGrowthCustR2</f>
        <v>3.2511495238095232E-3</v>
      </c>
      <c r="J1463" t="s">
        <v>2000</v>
      </c>
    </row>
    <row r="1464" spans="1:10">
      <c r="A1464" s="4"/>
      <c r="C1464" t="s">
        <v>841</v>
      </c>
      <c r="E1464" s="465">
        <f>calcReg1Seg1VolumeTotalCustR2/calcReg1Seg1TotalVolumeR2</f>
        <v>3.0963025034194173E-3</v>
      </c>
      <c r="F1464" s="465">
        <f>calcReg1Seg1VolumeTotalCustR2/calcReg1Seg1TotalVolumeR2</f>
        <v>3.0963025034194173E-3</v>
      </c>
      <c r="G1464" s="465">
        <f>calcReg1Seg1VolumeTotalCustR2/calcReg1Seg1TotalVolumeR2</f>
        <v>3.0963025034194173E-3</v>
      </c>
      <c r="H1464" s="465">
        <f>calcReg1Seg1VolumeTotalCustR2/calcReg1Seg1TotalVolumeR2</f>
        <v>3.0963025034194173E-3</v>
      </c>
      <c r="I1464" s="465">
        <f>calcReg1Seg1VolumeTotalCustR2/calcReg1Seg1TotalVolumeR2</f>
        <v>3.0963025034194173E-3</v>
      </c>
      <c r="J1464" t="s">
        <v>2001</v>
      </c>
    </row>
    <row r="1465" spans="1:10">
      <c r="A1465" s="4"/>
    </row>
    <row r="1466" spans="1:10">
      <c r="A1466" t="s">
        <v>622</v>
      </c>
      <c r="B1466" s="4" t="str">
        <f>nmReg1Seg2</f>
        <v>Winterfell</v>
      </c>
    </row>
    <row r="1467" spans="1:10">
      <c r="C1467" t="s">
        <v>804</v>
      </c>
      <c r="E1467" s="380">
        <f>calcReg1Seg2Payer1VolumeNewCustR1+calcReg1Seg2Payer2VolumeNewCustR1+calcReg1Seg2Payer3VolumeNewCustR1</f>
        <v>46.597880695961535</v>
      </c>
      <c r="F1467" s="380">
        <f>calcReg1Seg2Payer1VolumeNewCustR1+calcReg1Seg2Payer2VolumeNewCustR1+calcReg1Seg2Payer3VolumeNewCustR1</f>
        <v>46.597880695961535</v>
      </c>
      <c r="G1467" s="380">
        <f>calcReg1Seg2Payer1VolumeNewCustR1+calcReg1Seg2Payer2VolumeNewCustR1+calcReg1Seg2Payer3VolumeNewCustR1</f>
        <v>46.597880695961535</v>
      </c>
      <c r="H1467" s="380">
        <f>calcReg1Seg2Payer1VolumeNewCustR1+calcReg1Seg2Payer2VolumeNewCustR1+calcReg1Seg2Payer3VolumeNewCustR1</f>
        <v>46.597880695961535</v>
      </c>
      <c r="I1467" s="380">
        <f>calcReg1Seg2Payer1VolumeNewCustR1+calcReg1Seg2Payer2VolumeNewCustR1+calcReg1Seg2Payer3VolumeNewCustR1</f>
        <v>46.597880695961535</v>
      </c>
      <c r="J1467" t="s">
        <v>2002</v>
      </c>
    </row>
    <row r="1468" spans="1:10">
      <c r="C1468" t="s">
        <v>803</v>
      </c>
      <c r="E1468" s="380">
        <f>calcReg1Seg2Payer1VolumeRecurCustR1+calcReg1Seg2Payer2VolumeRecurCustR1+calcReg1Seg2Payer3VolumeRecurCustR1</f>
        <v>352.79030789900003</v>
      </c>
      <c r="F1468" s="380">
        <f>calcReg1Seg2Payer1VolumeRecurCustR1+calcReg1Seg2Payer2VolumeRecurCustR1+calcReg1Seg2Payer3VolumeRecurCustR1</f>
        <v>352.79030789900003</v>
      </c>
      <c r="G1468" s="380">
        <f>calcReg1Seg2Payer1VolumeRecurCustR1+calcReg1Seg2Payer2VolumeRecurCustR1+calcReg1Seg2Payer3VolumeRecurCustR1</f>
        <v>352.79030789900003</v>
      </c>
      <c r="H1468" s="380">
        <f>calcReg1Seg2Payer1VolumeRecurCustR1+calcReg1Seg2Payer2VolumeRecurCustR1+calcReg1Seg2Payer3VolumeRecurCustR1</f>
        <v>352.79030789900003</v>
      </c>
      <c r="I1468" s="380">
        <f>calcReg1Seg2Payer1VolumeRecurCustR1+calcReg1Seg2Payer2VolumeRecurCustR1+calcReg1Seg2Payer3VolumeRecurCustR1</f>
        <v>352.79030789900003</v>
      </c>
      <c r="J1468" t="s">
        <v>2003</v>
      </c>
    </row>
    <row r="1469" spans="1:10" s="4" customFormat="1">
      <c r="C1469" s="4" t="s">
        <v>1860</v>
      </c>
      <c r="E1469" s="457">
        <f>calcReg1Seg2NewCustR1+calcReg1Seg2RecurCustR1</f>
        <v>399.38818859496155</v>
      </c>
      <c r="F1469" s="457">
        <f>calcReg1Seg2NewCustR1+calcReg1Seg2RecurCustR1</f>
        <v>399.38818859496155</v>
      </c>
      <c r="G1469" s="457">
        <f>calcReg1Seg2NewCustR1+calcReg1Seg2RecurCustR1</f>
        <v>399.38818859496155</v>
      </c>
      <c r="H1469" s="457">
        <f>calcReg1Seg2NewCustR1+calcReg1Seg2RecurCustR1</f>
        <v>399.38818859496155</v>
      </c>
      <c r="I1469" s="457">
        <f>calcReg1Seg2NewCustR1+calcReg1Seg2RecurCustR1</f>
        <v>399.38818859496155</v>
      </c>
      <c r="J1469" s="4" t="s">
        <v>2004</v>
      </c>
    </row>
    <row r="1470" spans="1:10">
      <c r="C1470" t="s">
        <v>1862</v>
      </c>
      <c r="E1470" s="380">
        <f>calcReg1Seg2Payer1MarketGrowthCustR1+calcReg1Seg2Payer2MarketGrowthCustR1+calcReg1Seg2Payer3MarketGrowthCustR1</f>
        <v>10958.436</v>
      </c>
      <c r="F1470" s="380">
        <f>calcReg1Seg2Payer1MarketGrowthCustR1+calcReg1Seg2Payer2MarketGrowthCustR1+calcReg1Seg2Payer3MarketGrowthCustR1</f>
        <v>10958.436</v>
      </c>
      <c r="G1470" s="380">
        <f>calcReg1Seg2Payer1MarketGrowthCustR1+calcReg1Seg2Payer2MarketGrowthCustR1+calcReg1Seg2Payer3MarketGrowthCustR1</f>
        <v>10958.436</v>
      </c>
      <c r="H1470" s="380">
        <f>calcReg1Seg2Payer1MarketGrowthCustR1+calcReg1Seg2Payer2MarketGrowthCustR1+calcReg1Seg2Payer3MarketGrowthCustR1</f>
        <v>10958.436</v>
      </c>
      <c r="I1470" s="380">
        <f>calcReg1Seg2Payer1MarketGrowthCustR1+calcReg1Seg2Payer2MarketGrowthCustR1+calcReg1Seg2Payer3MarketGrowthCustR1</f>
        <v>10958.436</v>
      </c>
      <c r="J1470" t="s">
        <v>2005</v>
      </c>
    </row>
    <row r="1471" spans="1:10">
      <c r="C1471" t="s">
        <v>1537</v>
      </c>
      <c r="E1471" s="380">
        <f>calcReg1Seg2Payer1TotalVolumeR1+calcReg1Seg2Payer2TotalVolumeR1+calcReg1Seg2Payer3TotalVolumeR1</f>
        <v>102684.60400000001</v>
      </c>
      <c r="F1471" s="380">
        <f>calcReg1Seg2Payer1TotalVolumeR1+calcReg1Seg2Payer2TotalVolumeR1+calcReg1Seg2Payer3TotalVolumeR1</f>
        <v>102684.60400000001</v>
      </c>
      <c r="G1471" s="380">
        <f>calcReg1Seg2Payer1TotalVolumeR1+calcReg1Seg2Payer2TotalVolumeR1+calcReg1Seg2Payer3TotalVolumeR1</f>
        <v>102684.60400000001</v>
      </c>
      <c r="H1471" s="380">
        <f>calcReg1Seg2Payer1TotalVolumeR1+calcReg1Seg2Payer2TotalVolumeR1+calcReg1Seg2Payer3TotalVolumeR1</f>
        <v>102684.60400000001</v>
      </c>
      <c r="I1471" s="380">
        <f>calcReg1Seg2Payer1TotalVolumeR1+calcReg1Seg2Payer2TotalVolumeR1+calcReg1Seg2Payer3TotalVolumeR1</f>
        <v>102684.60400000001</v>
      </c>
      <c r="J1471" t="s">
        <v>2006</v>
      </c>
    </row>
    <row r="1472" spans="1:10">
      <c r="A1472" s="4"/>
      <c r="C1472" t="s">
        <v>861</v>
      </c>
      <c r="E1472" s="465">
        <f>calcReg1Seg2NewCustR1/calcReg1Seg2MarketGrowthCustR1</f>
        <v>4.2522382478632475E-3</v>
      </c>
      <c r="F1472" s="465">
        <f>calcReg1Seg2NewCustR1/calcReg1Seg2MarketGrowthCustR1</f>
        <v>4.2522382478632475E-3</v>
      </c>
      <c r="G1472" s="465">
        <f>calcReg1Seg2NewCustR1/calcReg1Seg2MarketGrowthCustR1</f>
        <v>4.2522382478632475E-3</v>
      </c>
      <c r="H1472" s="465">
        <f>calcReg1Seg2NewCustR1/calcReg1Seg2MarketGrowthCustR1</f>
        <v>4.2522382478632475E-3</v>
      </c>
      <c r="I1472" s="465">
        <f>calcReg1Seg2NewCustR1/calcReg1Seg2MarketGrowthCustR1</f>
        <v>4.2522382478632475E-3</v>
      </c>
      <c r="J1472" t="s">
        <v>2007</v>
      </c>
    </row>
    <row r="1473" spans="1:10">
      <c r="A1473" s="4"/>
      <c r="C1473" t="s">
        <v>841</v>
      </c>
      <c r="E1473" s="465">
        <f>calcReg1Seg2VolumeTotalCustR1/calcReg1Seg2TotalVolumeR1</f>
        <v>3.889465148981453E-3</v>
      </c>
      <c r="F1473" s="465">
        <f>calcReg1Seg2VolumeTotalCustR1/calcReg1Seg2TotalVolumeR1</f>
        <v>3.889465148981453E-3</v>
      </c>
      <c r="G1473" s="465">
        <f>calcReg1Seg2VolumeTotalCustR1/calcReg1Seg2TotalVolumeR1</f>
        <v>3.889465148981453E-3</v>
      </c>
      <c r="H1473" s="465">
        <f>calcReg1Seg2VolumeTotalCustR1/calcReg1Seg2TotalVolumeR1</f>
        <v>3.889465148981453E-3</v>
      </c>
      <c r="I1473" s="465">
        <f>calcReg1Seg2VolumeTotalCustR1/calcReg1Seg2TotalVolumeR1</f>
        <v>3.889465148981453E-3</v>
      </c>
      <c r="J1473" t="s">
        <v>2008</v>
      </c>
    </row>
    <row r="1474" spans="1:10">
      <c r="A1474" t="s">
        <v>623</v>
      </c>
      <c r="B1474" s="4"/>
    </row>
    <row r="1475" spans="1:10">
      <c r="C1475" t="s">
        <v>804</v>
      </c>
      <c r="E1475" s="380">
        <f>calcReg1Seg2Payer1VolumeNewCustR2+calcReg1Seg2Payer2VolumeNewCustR2+calcReg1Seg2Payer3VolumeNewCustR2</f>
        <v>49.788503154604044</v>
      </c>
      <c r="F1475" s="380">
        <f>calcReg1Seg2Payer1VolumeNewCustR2+calcReg1Seg2Payer2VolumeNewCustR2+calcReg1Seg2Payer3VolumeNewCustR2</f>
        <v>49.788503154604044</v>
      </c>
      <c r="G1475" s="380">
        <f>calcReg1Seg2Payer1VolumeNewCustR2+calcReg1Seg2Payer2VolumeNewCustR2+calcReg1Seg2Payer3VolumeNewCustR2</f>
        <v>49.788503154604044</v>
      </c>
      <c r="H1475" s="380">
        <f>calcReg1Seg2Payer1VolumeNewCustR2+calcReg1Seg2Payer2VolumeNewCustR2+calcReg1Seg2Payer3VolumeNewCustR2</f>
        <v>49.788503154604044</v>
      </c>
      <c r="I1475" s="380">
        <f>calcReg1Seg2Payer1VolumeNewCustR2+calcReg1Seg2Payer2VolumeNewCustR2+calcReg1Seg2Payer3VolumeNewCustR2</f>
        <v>49.788503154604044</v>
      </c>
      <c r="J1475" t="s">
        <v>2009</v>
      </c>
    </row>
    <row r="1476" spans="1:10">
      <c r="C1476" t="s">
        <v>803</v>
      </c>
      <c r="E1476" s="380">
        <f>calcReg1Seg2Payer1VolumeRecurCustR2+calcReg1Seg2Payer2VolumeRecurCustR2+calcReg1Seg2Payer3VolumeRecurCustR2</f>
        <v>375.49362372724505</v>
      </c>
      <c r="F1476" s="380">
        <f>calcReg1Seg2Payer1VolumeRecurCustR2+calcReg1Seg2Payer2VolumeRecurCustR2+calcReg1Seg2Payer3VolumeRecurCustR2</f>
        <v>375.49362372724505</v>
      </c>
      <c r="G1476" s="380">
        <f>calcReg1Seg2Payer1VolumeRecurCustR2+calcReg1Seg2Payer2VolumeRecurCustR2+calcReg1Seg2Payer3VolumeRecurCustR2</f>
        <v>375.49362372724505</v>
      </c>
      <c r="H1476" s="380">
        <f>calcReg1Seg2Payer1VolumeRecurCustR2+calcReg1Seg2Payer2VolumeRecurCustR2+calcReg1Seg2Payer3VolumeRecurCustR2</f>
        <v>375.49362372724505</v>
      </c>
      <c r="I1476" s="380">
        <f>calcReg1Seg2Payer1VolumeRecurCustR2+calcReg1Seg2Payer2VolumeRecurCustR2+calcReg1Seg2Payer3VolumeRecurCustR2</f>
        <v>375.49362372724505</v>
      </c>
      <c r="J1476" t="s">
        <v>2010</v>
      </c>
    </row>
    <row r="1477" spans="1:10" s="4" customFormat="1">
      <c r="C1477" s="4" t="s">
        <v>1860</v>
      </c>
      <c r="E1477" s="457">
        <f>calcReg1Seg2NewCustR2+calcReg1Seg2RecurCustR2</f>
        <v>425.28212688184908</v>
      </c>
      <c r="F1477" s="457">
        <f>calcReg1Seg2NewCustR2+calcReg1Seg2RecurCustR2</f>
        <v>425.28212688184908</v>
      </c>
      <c r="G1477" s="457">
        <f>calcReg1Seg2NewCustR2+calcReg1Seg2RecurCustR2</f>
        <v>425.28212688184908</v>
      </c>
      <c r="H1477" s="457">
        <f>calcReg1Seg2NewCustR2+calcReg1Seg2RecurCustR2</f>
        <v>425.28212688184908</v>
      </c>
      <c r="I1477" s="457">
        <f>calcReg1Seg2NewCustR2+calcReg1Seg2RecurCustR2</f>
        <v>425.28212688184908</v>
      </c>
      <c r="J1477" s="4" t="s">
        <v>2011</v>
      </c>
    </row>
    <row r="1478" spans="1:10">
      <c r="C1478" t="s">
        <v>1862</v>
      </c>
      <c r="E1478" s="380">
        <f>calcReg1Seg2Payer1MarketGrowthCustR2+calcReg1Seg2Payer2MarketGrowthCustR2+calcReg1Seg2Payer3MarketGrowthCustR2</f>
        <v>12383.03268</v>
      </c>
      <c r="F1478" s="380">
        <f>calcReg1Seg2Payer1MarketGrowthCustR2+calcReg1Seg2Payer2MarketGrowthCustR2+calcReg1Seg2Payer3MarketGrowthCustR2</f>
        <v>12383.03268</v>
      </c>
      <c r="G1478" s="380">
        <f>calcReg1Seg2Payer1MarketGrowthCustR2+calcReg1Seg2Payer2MarketGrowthCustR2+calcReg1Seg2Payer3MarketGrowthCustR2</f>
        <v>12383.03268</v>
      </c>
      <c r="H1478" s="380">
        <f>calcReg1Seg2Payer1MarketGrowthCustR2+calcReg1Seg2Payer2MarketGrowthCustR2+calcReg1Seg2Payer3MarketGrowthCustR2</f>
        <v>12383.03268</v>
      </c>
      <c r="I1478" s="380">
        <f>calcReg1Seg2Payer1MarketGrowthCustR2+calcReg1Seg2Payer2MarketGrowthCustR2+calcReg1Seg2Payer3MarketGrowthCustR2</f>
        <v>12383.03268</v>
      </c>
      <c r="J1478" t="s">
        <v>2012</v>
      </c>
    </row>
    <row r="1479" spans="1:10">
      <c r="C1479" t="s">
        <v>1537</v>
      </c>
      <c r="E1479" s="380">
        <f>calcReg1Seg2Payer1TotalVolumeR2+calcReg1Seg2Payer2TotalVolumeR2+calcReg1Seg2Payer3TotalVolumeR2</f>
        <v>116033.60252000001</v>
      </c>
      <c r="F1479" s="380">
        <f>calcReg1Seg2Payer1TotalVolumeR2+calcReg1Seg2Payer2TotalVolumeR2+calcReg1Seg2Payer3TotalVolumeR2</f>
        <v>116033.60252000001</v>
      </c>
      <c r="G1479" s="380">
        <f>calcReg1Seg2Payer1TotalVolumeR2+calcReg1Seg2Payer2TotalVolumeR2+calcReg1Seg2Payer3TotalVolumeR2</f>
        <v>116033.60252000001</v>
      </c>
      <c r="H1479" s="380">
        <f>calcReg1Seg2Payer1TotalVolumeR2+calcReg1Seg2Payer2TotalVolumeR2+calcReg1Seg2Payer3TotalVolumeR2</f>
        <v>116033.60252000001</v>
      </c>
      <c r="I1479" s="380">
        <f>calcReg1Seg2Payer1TotalVolumeR2+calcReg1Seg2Payer2TotalVolumeR2+calcReg1Seg2Payer3TotalVolumeR2</f>
        <v>116033.60252000001</v>
      </c>
      <c r="J1479" t="s">
        <v>2013</v>
      </c>
    </row>
    <row r="1480" spans="1:10">
      <c r="A1480" s="4"/>
      <c r="C1480" t="s">
        <v>861</v>
      </c>
      <c r="E1480" s="465">
        <f>calcReg1Seg2NewCustR2/calcReg1Seg2MarketGrowthCustR2</f>
        <v>4.020703525641026E-3</v>
      </c>
      <c r="F1480" s="465">
        <f>calcReg1Seg2NewCustR2/calcReg1Seg2MarketGrowthCustR2</f>
        <v>4.020703525641026E-3</v>
      </c>
      <c r="G1480" s="465">
        <f>calcReg1Seg2NewCustR2/calcReg1Seg2MarketGrowthCustR2</f>
        <v>4.020703525641026E-3</v>
      </c>
      <c r="H1480" s="465">
        <f>calcReg1Seg2NewCustR2/calcReg1Seg2MarketGrowthCustR2</f>
        <v>4.020703525641026E-3</v>
      </c>
      <c r="I1480" s="465">
        <f>calcReg1Seg2NewCustR2/calcReg1Seg2MarketGrowthCustR2</f>
        <v>4.020703525641026E-3</v>
      </c>
      <c r="J1480" t="s">
        <v>2014</v>
      </c>
    </row>
    <row r="1481" spans="1:10">
      <c r="A1481" s="4"/>
      <c r="C1481" t="s">
        <v>841</v>
      </c>
      <c r="E1481" s="465">
        <f>calcReg1Seg2VolumeTotalCustR2/calcReg1Seg2TotalVolumeR2</f>
        <v>3.6651635185466708E-3</v>
      </c>
      <c r="F1481" s="465">
        <f>calcReg1Seg2VolumeTotalCustR2/calcReg1Seg2TotalVolumeR2</f>
        <v>3.6651635185466708E-3</v>
      </c>
      <c r="G1481" s="465">
        <f>calcReg1Seg2VolumeTotalCustR2/calcReg1Seg2TotalVolumeR2</f>
        <v>3.6651635185466708E-3</v>
      </c>
      <c r="H1481" s="465">
        <f>calcReg1Seg2VolumeTotalCustR2/calcReg1Seg2TotalVolumeR2</f>
        <v>3.6651635185466708E-3</v>
      </c>
      <c r="I1481" s="465">
        <f>calcReg1Seg2VolumeTotalCustR2/calcReg1Seg2TotalVolumeR2</f>
        <v>3.6651635185466708E-3</v>
      </c>
      <c r="J1481" t="s">
        <v>2015</v>
      </c>
    </row>
    <row r="1482" spans="1:10">
      <c r="A1482" s="4"/>
    </row>
    <row r="1483" spans="1:10">
      <c r="A1483" t="s">
        <v>622</v>
      </c>
      <c r="B1483" s="4" t="str">
        <f>nmReg1Seg3</f>
        <v>Harrenhal</v>
      </c>
    </row>
    <row r="1484" spans="1:10">
      <c r="C1484" t="s">
        <v>804</v>
      </c>
      <c r="E1484" s="380">
        <f>calcReg1Seg3Payer1VolumeNewCustR1+calcReg1Seg3Payer2VolumeNewCustR1+calcReg1Seg3Payer3VolumeNewCustR1</f>
        <v>60.990358912982458</v>
      </c>
      <c r="F1484" s="380">
        <f>calcReg1Seg3Payer1VolumeNewCustR1+calcReg1Seg3Payer2VolumeNewCustR1+calcReg1Seg3Payer3VolumeNewCustR1</f>
        <v>60.990358912982458</v>
      </c>
      <c r="G1484" s="380">
        <f>calcReg1Seg3Payer1VolumeNewCustR1+calcReg1Seg3Payer2VolumeNewCustR1+calcReg1Seg3Payer3VolumeNewCustR1</f>
        <v>60.990358912982458</v>
      </c>
      <c r="H1484" s="380">
        <f>calcReg1Seg3Payer1VolumeNewCustR1+calcReg1Seg3Payer2VolumeNewCustR1+calcReg1Seg3Payer3VolumeNewCustR1</f>
        <v>60.990358912982458</v>
      </c>
      <c r="I1484" s="380">
        <f>calcReg1Seg3Payer1VolumeNewCustR1+calcReg1Seg3Payer2VolumeNewCustR1+calcReg1Seg3Payer3VolumeNewCustR1</f>
        <v>60.990358912982458</v>
      </c>
      <c r="J1484" t="s">
        <v>2016</v>
      </c>
    </row>
    <row r="1485" spans="1:10">
      <c r="C1485" t="s">
        <v>803</v>
      </c>
      <c r="E1485" s="380">
        <f>calcReg1Seg3Payer1VolumeRecurCustR1+calcReg1Seg3Payer2VolumeRecurCustR1+calcReg1Seg3Payer3VolumeRecurCustR1</f>
        <v>384.99957308400008</v>
      </c>
      <c r="F1485" s="380">
        <f>calcReg1Seg3Payer1VolumeRecurCustR1+calcReg1Seg3Payer2VolumeRecurCustR1+calcReg1Seg3Payer3VolumeRecurCustR1</f>
        <v>384.99957308400008</v>
      </c>
      <c r="G1485" s="380">
        <f>calcReg1Seg3Payer1VolumeRecurCustR1+calcReg1Seg3Payer2VolumeRecurCustR1+calcReg1Seg3Payer3VolumeRecurCustR1</f>
        <v>384.99957308400008</v>
      </c>
      <c r="H1485" s="380">
        <f>calcReg1Seg3Payer1VolumeRecurCustR1+calcReg1Seg3Payer2VolumeRecurCustR1+calcReg1Seg3Payer3VolumeRecurCustR1</f>
        <v>384.99957308400008</v>
      </c>
      <c r="I1485" s="380">
        <f>calcReg1Seg3Payer1VolumeRecurCustR1+calcReg1Seg3Payer2VolumeRecurCustR1+calcReg1Seg3Payer3VolumeRecurCustR1</f>
        <v>384.99957308400008</v>
      </c>
      <c r="J1485" t="s">
        <v>2017</v>
      </c>
    </row>
    <row r="1486" spans="1:10" s="4" customFormat="1">
      <c r="C1486" s="4" t="s">
        <v>1860</v>
      </c>
      <c r="E1486" s="457">
        <f>calcReg1Seg3NewCustR1+calcReg1Seg3RecurCustR1</f>
        <v>445.98993199698253</v>
      </c>
      <c r="F1486" s="457">
        <f>calcReg1Seg3NewCustR1+calcReg1Seg3RecurCustR1</f>
        <v>445.98993199698253</v>
      </c>
      <c r="G1486" s="457">
        <f>calcReg1Seg3NewCustR1+calcReg1Seg3RecurCustR1</f>
        <v>445.98993199698253</v>
      </c>
      <c r="H1486" s="457">
        <f>calcReg1Seg3NewCustR1+calcReg1Seg3RecurCustR1</f>
        <v>445.98993199698253</v>
      </c>
      <c r="I1486" s="457">
        <f>calcReg1Seg3NewCustR1+calcReg1Seg3RecurCustR1</f>
        <v>445.98993199698253</v>
      </c>
      <c r="J1486" s="4" t="s">
        <v>2018</v>
      </c>
    </row>
    <row r="1487" spans="1:10">
      <c r="C1487" t="s">
        <v>1862</v>
      </c>
      <c r="E1487" s="380">
        <f>calcReg1Seg3Payer1MarketGrowthCustR1+calcReg1Seg3Payer2MarketGrowthCustR1+calcReg1Seg3Payer3MarketGrowthCustR1</f>
        <v>18039.252</v>
      </c>
      <c r="F1487" s="380">
        <f>calcReg1Seg3Payer1MarketGrowthCustR1+calcReg1Seg3Payer2MarketGrowthCustR1+calcReg1Seg3Payer3MarketGrowthCustR1</f>
        <v>18039.252</v>
      </c>
      <c r="G1487" s="380">
        <f>calcReg1Seg3Payer1MarketGrowthCustR1+calcReg1Seg3Payer2MarketGrowthCustR1+calcReg1Seg3Payer3MarketGrowthCustR1</f>
        <v>18039.252</v>
      </c>
      <c r="H1487" s="380">
        <f>calcReg1Seg3Payer1MarketGrowthCustR1+calcReg1Seg3Payer2MarketGrowthCustR1+calcReg1Seg3Payer3MarketGrowthCustR1</f>
        <v>18039.252</v>
      </c>
      <c r="I1487" s="380">
        <f>calcReg1Seg3Payer1MarketGrowthCustR1+calcReg1Seg3Payer2MarketGrowthCustR1+calcReg1Seg3Payer3MarketGrowthCustR1</f>
        <v>18039.252</v>
      </c>
      <c r="J1487" t="s">
        <v>2019</v>
      </c>
    </row>
    <row r="1488" spans="1:10">
      <c r="C1488" t="s">
        <v>1537</v>
      </c>
      <c r="E1488" s="380">
        <f>calcReg1Seg3Payer1TotalVolumeR1+calcReg1Seg3Payer2TotalVolumeR1+calcReg1Seg3Payer3TotalVolumeR1</f>
        <v>139815.91680000001</v>
      </c>
      <c r="F1488" s="380">
        <f>calcReg1Seg3Payer1TotalVolumeR1+calcReg1Seg3Payer2TotalVolumeR1+calcReg1Seg3Payer3TotalVolumeR1</f>
        <v>139815.91680000001</v>
      </c>
      <c r="G1488" s="380">
        <f>calcReg1Seg3Payer1TotalVolumeR1+calcReg1Seg3Payer2TotalVolumeR1+calcReg1Seg3Payer3TotalVolumeR1</f>
        <v>139815.91680000001</v>
      </c>
      <c r="H1488" s="380">
        <f>calcReg1Seg3Payer1TotalVolumeR1+calcReg1Seg3Payer2TotalVolumeR1+calcReg1Seg3Payer3TotalVolumeR1</f>
        <v>139815.91680000001</v>
      </c>
      <c r="I1488" s="380">
        <f>calcReg1Seg3Payer1TotalVolumeR1+calcReg1Seg3Payer2TotalVolumeR1+calcReg1Seg3Payer3TotalVolumeR1</f>
        <v>139815.91680000001</v>
      </c>
      <c r="J1488" t="s">
        <v>2020</v>
      </c>
    </row>
    <row r="1489" spans="1:10">
      <c r="A1489" s="4"/>
      <c r="C1489" t="s">
        <v>861</v>
      </c>
      <c r="E1489" s="465">
        <f>calcReg1Seg3NewCustR1/calcReg1Seg3MarketGrowthCustR1</f>
        <v>3.3809804815067971E-3</v>
      </c>
      <c r="F1489" s="465">
        <f>calcReg1Seg3NewCustR1/calcReg1Seg3MarketGrowthCustR1</f>
        <v>3.3809804815067971E-3</v>
      </c>
      <c r="G1489" s="465">
        <f>calcReg1Seg3NewCustR1/calcReg1Seg3MarketGrowthCustR1</f>
        <v>3.3809804815067971E-3</v>
      </c>
      <c r="H1489" s="465">
        <f>calcReg1Seg3NewCustR1/calcReg1Seg3MarketGrowthCustR1</f>
        <v>3.3809804815067971E-3</v>
      </c>
      <c r="I1489" s="465">
        <f>calcReg1Seg3NewCustR1/calcReg1Seg3MarketGrowthCustR1</f>
        <v>3.3809804815067971E-3</v>
      </c>
      <c r="J1489" t="s">
        <v>2021</v>
      </c>
    </row>
    <row r="1490" spans="1:10">
      <c r="A1490" s="4"/>
      <c r="C1490" t="s">
        <v>841</v>
      </c>
      <c r="E1490" s="465">
        <f>calcReg1Seg3VolumeTotalCustR1/calcReg1Seg3TotalVolumeR1</f>
        <v>3.1898366237869029E-3</v>
      </c>
      <c r="F1490" s="465">
        <f>calcReg1Seg3VolumeTotalCustR1/calcReg1Seg3TotalVolumeR1</f>
        <v>3.1898366237869029E-3</v>
      </c>
      <c r="G1490" s="465">
        <f>calcReg1Seg3VolumeTotalCustR1/calcReg1Seg3TotalVolumeR1</f>
        <v>3.1898366237869029E-3</v>
      </c>
      <c r="H1490" s="465">
        <f>calcReg1Seg3VolumeTotalCustR1/calcReg1Seg3TotalVolumeR1</f>
        <v>3.1898366237869029E-3</v>
      </c>
      <c r="I1490" s="465">
        <f>calcReg1Seg3VolumeTotalCustR1/calcReg1Seg3TotalVolumeR1</f>
        <v>3.1898366237869029E-3</v>
      </c>
      <c r="J1490" t="s">
        <v>2022</v>
      </c>
    </row>
    <row r="1491" spans="1:10">
      <c r="A1491" t="s">
        <v>623</v>
      </c>
      <c r="B1491" s="4"/>
    </row>
    <row r="1492" spans="1:10">
      <c r="C1492" t="s">
        <v>804</v>
      </c>
      <c r="E1492" s="380">
        <f>calcReg1Seg3Payer1VolumeNewCustR2+calcReg1Seg3Payer2VolumeNewCustR2+calcReg1Seg3Payer3VolumeNewCustR2</f>
        <v>67.107677682770188</v>
      </c>
      <c r="F1492" s="380">
        <f>calcReg1Seg3Payer1VolumeNewCustR2+calcReg1Seg3Payer2VolumeNewCustR2+calcReg1Seg3Payer3VolumeNewCustR2</f>
        <v>67.107677682770188</v>
      </c>
      <c r="G1492" s="380">
        <f>calcReg1Seg3Payer1VolumeNewCustR2+calcReg1Seg3Payer2VolumeNewCustR2+calcReg1Seg3Payer3VolumeNewCustR2</f>
        <v>67.107677682770188</v>
      </c>
      <c r="H1492" s="380">
        <f>calcReg1Seg3Payer1VolumeNewCustR2+calcReg1Seg3Payer2VolumeNewCustR2+calcReg1Seg3Payer3VolumeNewCustR2</f>
        <v>67.107677682770188</v>
      </c>
      <c r="I1492" s="380">
        <f>calcReg1Seg3Payer1VolumeNewCustR2+calcReg1Seg3Payer2VolumeNewCustR2+calcReg1Seg3Payer3VolumeNewCustR2</f>
        <v>67.107677682770188</v>
      </c>
      <c r="J1492" t="s">
        <v>2023</v>
      </c>
    </row>
    <row r="1493" spans="1:10">
      <c r="C1493" t="s">
        <v>803</v>
      </c>
      <c r="E1493" s="380">
        <f>calcReg1Seg3Payer1VolumeRecurCustR2+calcReg1Seg3Payer2VolumeRecurCustR2+calcReg1Seg3Payer3VolumeRecurCustR2</f>
        <v>423.56027753446409</v>
      </c>
      <c r="F1493" s="380">
        <f>calcReg1Seg3Payer1VolumeRecurCustR2+calcReg1Seg3Payer2VolumeRecurCustR2+calcReg1Seg3Payer3VolumeRecurCustR2</f>
        <v>423.56027753446409</v>
      </c>
      <c r="G1493" s="380">
        <f>calcReg1Seg3Payer1VolumeRecurCustR2+calcReg1Seg3Payer2VolumeRecurCustR2+calcReg1Seg3Payer3VolumeRecurCustR2</f>
        <v>423.56027753446409</v>
      </c>
      <c r="H1493" s="380">
        <f>calcReg1Seg3Payer1VolumeRecurCustR2+calcReg1Seg3Payer2VolumeRecurCustR2+calcReg1Seg3Payer3VolumeRecurCustR2</f>
        <v>423.56027753446409</v>
      </c>
      <c r="I1493" s="380">
        <f>calcReg1Seg3Payer1VolumeRecurCustR2+calcReg1Seg3Payer2VolumeRecurCustR2+calcReg1Seg3Payer3VolumeRecurCustR2</f>
        <v>423.56027753446409</v>
      </c>
      <c r="J1493" t="s">
        <v>2024</v>
      </c>
    </row>
    <row r="1494" spans="1:10" s="4" customFormat="1">
      <c r="C1494" s="4" t="s">
        <v>1860</v>
      </c>
      <c r="E1494" s="457">
        <f>calcReg1Seg3NewCustR2+calcReg1Seg3RecurCustR2</f>
        <v>490.66795521723429</v>
      </c>
      <c r="F1494" s="457">
        <f>calcReg1Seg3NewCustR2+calcReg1Seg3RecurCustR2</f>
        <v>490.66795521723429</v>
      </c>
      <c r="G1494" s="457">
        <f>calcReg1Seg3NewCustR2+calcReg1Seg3RecurCustR2</f>
        <v>490.66795521723429</v>
      </c>
      <c r="H1494" s="457">
        <f>calcReg1Seg3NewCustR2+calcReg1Seg3RecurCustR2</f>
        <v>490.66795521723429</v>
      </c>
      <c r="I1494" s="457">
        <f>calcReg1Seg3NewCustR2+calcReg1Seg3RecurCustR2</f>
        <v>490.66795521723429</v>
      </c>
      <c r="J1494" s="4" t="s">
        <v>2025</v>
      </c>
    </row>
    <row r="1495" spans="1:10">
      <c r="C1495" t="s">
        <v>1862</v>
      </c>
      <c r="E1495" s="380">
        <f>calcReg1Seg3Payer1MarketGrowthCustR2+calcReg1Seg3Payer2MarketGrowthCustR2+calcReg1Seg3Payer3MarketGrowthCustR2</f>
        <v>20384.354760000002</v>
      </c>
      <c r="F1495" s="380">
        <f>calcReg1Seg3Payer1MarketGrowthCustR2+calcReg1Seg3Payer2MarketGrowthCustR2+calcReg1Seg3Payer3MarketGrowthCustR2</f>
        <v>20384.354760000002</v>
      </c>
      <c r="G1495" s="380">
        <f>calcReg1Seg3Payer1MarketGrowthCustR2+calcReg1Seg3Payer2MarketGrowthCustR2+calcReg1Seg3Payer3MarketGrowthCustR2</f>
        <v>20384.354760000002</v>
      </c>
      <c r="H1495" s="380">
        <f>calcReg1Seg3Payer1MarketGrowthCustR2+calcReg1Seg3Payer2MarketGrowthCustR2+calcReg1Seg3Payer3MarketGrowthCustR2</f>
        <v>20384.354760000002</v>
      </c>
      <c r="I1495" s="380">
        <f>calcReg1Seg3Payer1MarketGrowthCustR2+calcReg1Seg3Payer2MarketGrowthCustR2+calcReg1Seg3Payer3MarketGrowthCustR2</f>
        <v>20384.354760000002</v>
      </c>
      <c r="J1495" t="s">
        <v>2026</v>
      </c>
    </row>
    <row r="1496" spans="1:10">
      <c r="C1496" t="s">
        <v>1537</v>
      </c>
      <c r="E1496" s="380">
        <f>calcReg1Seg3Payer1TotalVolumeR2+calcReg1Seg3Payer2TotalVolumeR2+calcReg1Seg3Payer3TotalVolumeR2</f>
        <v>157991.985984</v>
      </c>
      <c r="F1496" s="380">
        <f>calcReg1Seg3Payer1TotalVolumeR2+calcReg1Seg3Payer2TotalVolumeR2+calcReg1Seg3Payer3TotalVolumeR2</f>
        <v>157991.985984</v>
      </c>
      <c r="G1496" s="380">
        <f>calcReg1Seg3Payer1TotalVolumeR2+calcReg1Seg3Payer2TotalVolumeR2+calcReg1Seg3Payer3TotalVolumeR2</f>
        <v>157991.985984</v>
      </c>
      <c r="H1496" s="380">
        <f>calcReg1Seg3Payer1TotalVolumeR2+calcReg1Seg3Payer2TotalVolumeR2+calcReg1Seg3Payer3TotalVolumeR2</f>
        <v>157991.985984</v>
      </c>
      <c r="I1496" s="380">
        <f>calcReg1Seg3Payer1TotalVolumeR2+calcReg1Seg3Payer2TotalVolumeR2+calcReg1Seg3Payer3TotalVolumeR2</f>
        <v>157991.985984</v>
      </c>
      <c r="J1496" t="s">
        <v>2027</v>
      </c>
    </row>
    <row r="1497" spans="1:10">
      <c r="A1497" s="4"/>
      <c r="C1497" t="s">
        <v>861</v>
      </c>
      <c r="E1497" s="465">
        <f>calcReg1Seg3NewCustR2/calcReg1Seg3MarketGrowthCustR2</f>
        <v>3.2921168451431611E-3</v>
      </c>
      <c r="F1497" s="465">
        <f>calcReg1Seg3NewCustR2/calcReg1Seg3MarketGrowthCustR2</f>
        <v>3.2921168451431611E-3</v>
      </c>
      <c r="G1497" s="465">
        <f>calcReg1Seg3NewCustR2/calcReg1Seg3MarketGrowthCustR2</f>
        <v>3.2921168451431611E-3</v>
      </c>
      <c r="H1497" s="465">
        <f>calcReg1Seg3NewCustR2/calcReg1Seg3MarketGrowthCustR2</f>
        <v>3.2921168451431611E-3</v>
      </c>
      <c r="I1497" s="465">
        <f>calcReg1Seg3NewCustR2/calcReg1Seg3MarketGrowthCustR2</f>
        <v>3.2921168451431611E-3</v>
      </c>
      <c r="J1497" t="s">
        <v>2028</v>
      </c>
    </row>
    <row r="1498" spans="1:10">
      <c r="A1498" s="4"/>
      <c r="C1498" t="s">
        <v>841</v>
      </c>
      <c r="E1498" s="465">
        <f>calcReg1Seg3VolumeTotalCustR2/calcReg1Seg3TotalVolumeR2</f>
        <v>3.1056509110970014E-3</v>
      </c>
      <c r="F1498" s="465">
        <f>calcReg1Seg3VolumeTotalCustR2/calcReg1Seg3TotalVolumeR2</f>
        <v>3.1056509110970014E-3</v>
      </c>
      <c r="G1498" s="465">
        <f>calcReg1Seg3VolumeTotalCustR2/calcReg1Seg3TotalVolumeR2</f>
        <v>3.1056509110970014E-3</v>
      </c>
      <c r="H1498" s="465">
        <f>calcReg1Seg3VolumeTotalCustR2/calcReg1Seg3TotalVolumeR2</f>
        <v>3.1056509110970014E-3</v>
      </c>
      <c r="I1498" s="465">
        <f>calcReg1Seg3VolumeTotalCustR2/calcReg1Seg3TotalVolumeR2</f>
        <v>3.1056509110970014E-3</v>
      </c>
      <c r="J1498" t="s">
        <v>2029</v>
      </c>
    </row>
    <row r="1499" spans="1:10">
      <c r="A1499" s="4"/>
    </row>
    <row r="1500" spans="1:10">
      <c r="A1500" s="4" t="s">
        <v>2030</v>
      </c>
    </row>
    <row r="1501" spans="1:10">
      <c r="A1501" t="str">
        <f>nmReg1</f>
        <v>The Region</v>
      </c>
    </row>
    <row r="1502" spans="1:10">
      <c r="A1502" t="s">
        <v>622</v>
      </c>
      <c r="C1502" t="s">
        <v>803</v>
      </c>
      <c r="E1502" s="380">
        <f>calcReg1Seg3RecurCustR1+calcReg1Seg2RecurCustR1+calcReg1Seg1RecurCustR1</f>
        <v>1077.7901586769999</v>
      </c>
      <c r="F1502" s="380">
        <f>calcReg1Seg3RecurCustR1+calcReg1Seg2RecurCustR1+calcReg1Seg1RecurCustR1</f>
        <v>1077.7901586769999</v>
      </c>
      <c r="G1502" s="380">
        <f>calcReg1Seg3RecurCustR1+calcReg1Seg2RecurCustR1+calcReg1Seg1RecurCustR1</f>
        <v>1077.7901586769999</v>
      </c>
      <c r="H1502" s="380">
        <f>calcReg1Seg3RecurCustR1+calcReg1Seg2RecurCustR1+calcReg1Seg1RecurCustR1</f>
        <v>1077.7901586769999</v>
      </c>
      <c r="I1502" s="380">
        <f>calcReg1Seg3RecurCustR1+calcReg1Seg2RecurCustR1+calcReg1Seg1RecurCustR1</f>
        <v>1077.7901586769999</v>
      </c>
      <c r="J1502" s="380" t="s">
        <v>2031</v>
      </c>
    </row>
    <row r="1503" spans="1:10">
      <c r="C1503" t="s">
        <v>804</v>
      </c>
      <c r="E1503" s="380">
        <f>calcReg1Seg3NewCustR1+calcReg1Seg2NewCustR1+calcReg1Seg1NewCustR1</f>
        <v>140.86347231394399</v>
      </c>
      <c r="F1503" s="380">
        <f>calcReg1Seg3NewCustR1+calcReg1Seg2NewCustR1+calcReg1Seg1NewCustR1</f>
        <v>140.86347231394399</v>
      </c>
      <c r="G1503" s="380">
        <f>calcReg1Seg3NewCustR1+calcReg1Seg2NewCustR1+calcReg1Seg1NewCustR1</f>
        <v>140.86347231394399</v>
      </c>
      <c r="H1503" s="380">
        <f>calcReg1Seg3NewCustR1+calcReg1Seg2NewCustR1+calcReg1Seg1NewCustR1</f>
        <v>140.86347231394399</v>
      </c>
      <c r="I1503" s="380">
        <f>calcReg1Seg3NewCustR1+calcReg1Seg2NewCustR1+calcReg1Seg1NewCustR1</f>
        <v>140.86347231394399</v>
      </c>
      <c r="J1503" s="380" t="s">
        <v>2032</v>
      </c>
    </row>
    <row r="1504" spans="1:10">
      <c r="C1504" t="s">
        <v>1860</v>
      </c>
      <c r="E1504" s="380">
        <f>calcReg1RecurCustR1+calcReg1NewCustR1</f>
        <v>1218.6536309909438</v>
      </c>
      <c r="F1504" s="380">
        <f>calcReg1RecurCustR1+calcReg1NewCustR1</f>
        <v>1218.6536309909438</v>
      </c>
      <c r="G1504" s="380">
        <f>calcReg1RecurCustR1+calcReg1NewCustR1</f>
        <v>1218.6536309909438</v>
      </c>
      <c r="H1504" s="380">
        <f>calcReg1RecurCustR1+calcReg1NewCustR1</f>
        <v>1218.6536309909438</v>
      </c>
      <c r="I1504" s="380">
        <f>calcReg1RecurCustR1+calcReg1NewCustR1</f>
        <v>1218.6536309909438</v>
      </c>
      <c r="J1504" s="380" t="s">
        <v>2033</v>
      </c>
    </row>
    <row r="1505" spans="1:10">
      <c r="C1505" t="s">
        <v>1862</v>
      </c>
      <c r="E1505" s="380">
        <f>calcReg1Seg3MarketGrowthCustR1+calcReg1Seg1MarketGrowthCustR1+calcReg1Seg2MarketGrowthCustR1</f>
        <v>38866.637999999999</v>
      </c>
      <c r="F1505" s="380">
        <f>calcReg1Seg3MarketGrowthCustR1+calcReg1Seg1MarketGrowthCustR1+calcReg1Seg2MarketGrowthCustR1</f>
        <v>38866.637999999999</v>
      </c>
      <c r="G1505" s="380">
        <f>calcReg1Seg3MarketGrowthCustR1+calcReg1Seg1MarketGrowthCustR1+calcReg1Seg2MarketGrowthCustR1</f>
        <v>38866.637999999999</v>
      </c>
      <c r="H1505" s="380">
        <f>calcReg1Seg3MarketGrowthCustR1+calcReg1Seg1MarketGrowthCustR1+calcReg1Seg2MarketGrowthCustR1</f>
        <v>38866.637999999999</v>
      </c>
      <c r="I1505" s="380">
        <f>calcReg1Seg3MarketGrowthCustR1+calcReg1Seg1MarketGrowthCustR1+calcReg1Seg2MarketGrowthCustR1</f>
        <v>38866.637999999999</v>
      </c>
      <c r="J1505" s="380" t="s">
        <v>2034</v>
      </c>
    </row>
    <row r="1506" spans="1:10">
      <c r="C1506" t="s">
        <v>1537</v>
      </c>
      <c r="E1506" s="380">
        <f>calcReg1Seg3TotalVolumeR1+calcReg1Seg2TotalVolumeR1+calcReg1Seg1TotalVolumeR1</f>
        <v>358931.18759999995</v>
      </c>
      <c r="F1506" s="380">
        <f>calcReg1Seg3TotalVolumeR1+calcReg1Seg2TotalVolumeR1+calcReg1Seg1TotalVolumeR1</f>
        <v>358931.18759999995</v>
      </c>
      <c r="G1506" s="380">
        <f>calcReg1Seg3TotalVolumeR1+calcReg1Seg2TotalVolumeR1+calcReg1Seg1TotalVolumeR1</f>
        <v>358931.18759999995</v>
      </c>
      <c r="H1506" s="380">
        <f>calcReg1Seg3TotalVolumeR1+calcReg1Seg2TotalVolumeR1+calcReg1Seg1TotalVolumeR1</f>
        <v>358931.18759999995</v>
      </c>
      <c r="I1506" s="380">
        <f>calcReg1Seg3TotalVolumeR1+calcReg1Seg2TotalVolumeR1+calcReg1Seg1TotalVolumeR1</f>
        <v>358931.18759999995</v>
      </c>
      <c r="J1506" s="380" t="s">
        <v>2035</v>
      </c>
    </row>
    <row r="1507" spans="1:10">
      <c r="C1507" t="s">
        <v>861</v>
      </c>
      <c r="E1507" s="465">
        <f>calcReg1NewCustR1/calcReg1MarketGrowthCustR1</f>
        <v>3.6242772609749265E-3</v>
      </c>
      <c r="F1507" s="465">
        <f>calcReg1NewCustR1/calcReg1MarketGrowthCustR1</f>
        <v>3.6242772609749265E-3</v>
      </c>
      <c r="G1507" s="465">
        <f>calcReg1NewCustR1/calcReg1MarketGrowthCustR1</f>
        <v>3.6242772609749265E-3</v>
      </c>
      <c r="H1507" s="465">
        <f>calcReg1NewCustR1/calcReg1MarketGrowthCustR1</f>
        <v>3.6242772609749265E-3</v>
      </c>
      <c r="I1507" s="465">
        <f>calcReg1NewCustR1/calcReg1MarketGrowthCustR1</f>
        <v>3.6242772609749265E-3</v>
      </c>
      <c r="J1507" s="380" t="s">
        <v>2036</v>
      </c>
    </row>
    <row r="1508" spans="1:10">
      <c r="C1508" t="s">
        <v>841</v>
      </c>
      <c r="E1508" s="465">
        <f>calcReg1VolumeTotalCustR1/calcReg1TotalVolumeR1</f>
        <v>3.3952291500203534E-3</v>
      </c>
      <c r="F1508" s="465">
        <f>calcReg1VolumeTotalCustR1/calcReg1TotalVolumeR1</f>
        <v>3.3952291500203534E-3</v>
      </c>
      <c r="G1508" s="465">
        <f>calcReg1VolumeTotalCustR1/calcReg1TotalVolumeR1</f>
        <v>3.3952291500203534E-3</v>
      </c>
      <c r="H1508" s="465">
        <f>calcReg1VolumeTotalCustR1/calcReg1TotalVolumeR1</f>
        <v>3.3952291500203534E-3</v>
      </c>
      <c r="I1508" s="465">
        <f>calcReg1VolumeTotalCustR1/calcReg1TotalVolumeR1</f>
        <v>3.3952291500203534E-3</v>
      </c>
      <c r="J1508" s="380" t="s">
        <v>2037</v>
      </c>
    </row>
    <row r="1510" spans="1:10">
      <c r="A1510" t="s">
        <v>622</v>
      </c>
      <c r="C1510" t="s">
        <v>803</v>
      </c>
      <c r="E1510" s="380">
        <f>calcReg1Seg3RecurCustR2+calcReg1Seg2RecurCustR2+calcReg1Seg1RecurCustR2</f>
        <v>1161.264987154379</v>
      </c>
      <c r="F1510" s="380">
        <f>calcReg1Seg3RecurCustR2+calcReg1Seg2RecurCustR2+calcReg1Seg1RecurCustR2</f>
        <v>1161.264987154379</v>
      </c>
      <c r="G1510" s="380">
        <f>calcReg1Seg3RecurCustR2+calcReg1Seg2RecurCustR2+calcReg1Seg1RecurCustR2</f>
        <v>1161.264987154379</v>
      </c>
      <c r="H1510" s="380">
        <f>calcReg1Seg3RecurCustR2+calcReg1Seg2RecurCustR2+calcReg1Seg1RecurCustR2</f>
        <v>1161.264987154379</v>
      </c>
      <c r="I1510" s="380">
        <f>calcReg1Seg3RecurCustR2+calcReg1Seg2RecurCustR2+calcReg1Seg1RecurCustR2</f>
        <v>1161.264987154379</v>
      </c>
      <c r="J1510" s="380" t="s">
        <v>2038</v>
      </c>
    </row>
    <row r="1511" spans="1:10">
      <c r="C1511" t="s">
        <v>804</v>
      </c>
      <c r="E1511" s="380">
        <f>calcReg1Seg3NewCustR2+calcReg1Seg2NewCustR2+calcReg1Seg1NewCustR2</f>
        <v>164.28389592857422</v>
      </c>
      <c r="F1511" s="380">
        <f>calcReg1Seg3NewCustR2+calcReg1Seg2NewCustR2+calcReg1Seg1NewCustR2</f>
        <v>164.28389592857422</v>
      </c>
      <c r="G1511" s="380">
        <f>calcReg1Seg3NewCustR2+calcReg1Seg2NewCustR2+calcReg1Seg1NewCustR2</f>
        <v>164.28389592857422</v>
      </c>
      <c r="H1511" s="380">
        <f>calcReg1Seg3NewCustR2+calcReg1Seg2NewCustR2+calcReg1Seg1NewCustR2</f>
        <v>164.28389592857422</v>
      </c>
      <c r="I1511" s="380">
        <f>calcReg1Seg3NewCustR2+calcReg1Seg2NewCustR2+calcReg1Seg1NewCustR2</f>
        <v>164.28389592857422</v>
      </c>
      <c r="J1511" s="380" t="s">
        <v>2039</v>
      </c>
    </row>
    <row r="1512" spans="1:10">
      <c r="C1512" t="s">
        <v>1860</v>
      </c>
      <c r="E1512" s="380">
        <f>calcReg1RecurCustR2+calcReg1NewCustR2</f>
        <v>1325.5488830829531</v>
      </c>
      <c r="F1512" s="380">
        <f>calcReg1RecurCustR2+calcReg1NewCustR2</f>
        <v>1325.5488830829531</v>
      </c>
      <c r="G1512" s="380">
        <f>calcReg1RecurCustR2+calcReg1NewCustR2</f>
        <v>1325.5488830829531</v>
      </c>
      <c r="H1512" s="380">
        <f>calcReg1RecurCustR2+calcReg1NewCustR2</f>
        <v>1325.5488830829531</v>
      </c>
      <c r="I1512" s="380">
        <f>calcReg1RecurCustR2+calcReg1NewCustR2</f>
        <v>1325.5488830829531</v>
      </c>
      <c r="J1512" s="380" t="s">
        <v>2040</v>
      </c>
    </row>
    <row r="1513" spans="1:10">
      <c r="C1513" t="s">
        <v>1862</v>
      </c>
      <c r="E1513" s="380">
        <f>calcReg1Seg3MarketGrowthCustR2+calcReg1Seg1MarketGrowthCustR2+calcReg1Seg2MarketGrowthCustR2</f>
        <v>47343.067439999999</v>
      </c>
      <c r="F1513" s="380">
        <f>calcReg1Seg3MarketGrowthCustR2+calcReg1Seg1MarketGrowthCustR2+calcReg1Seg2MarketGrowthCustR2</f>
        <v>47343.067439999999</v>
      </c>
      <c r="G1513" s="380">
        <f>calcReg1Seg3MarketGrowthCustR2+calcReg1Seg1MarketGrowthCustR2+calcReg1Seg2MarketGrowthCustR2</f>
        <v>47343.067439999999</v>
      </c>
      <c r="H1513" s="380">
        <f>calcReg1Seg3MarketGrowthCustR2+calcReg1Seg1MarketGrowthCustR2+calcReg1Seg2MarketGrowthCustR2</f>
        <v>47343.067439999999</v>
      </c>
      <c r="I1513" s="380">
        <f>calcReg1Seg3MarketGrowthCustR2+calcReg1Seg1MarketGrowthCustR2+calcReg1Seg2MarketGrowthCustR2</f>
        <v>47343.067439999999</v>
      </c>
      <c r="J1513" s="380" t="s">
        <v>2041</v>
      </c>
    </row>
    <row r="1514" spans="1:10">
      <c r="C1514" t="s">
        <v>1537</v>
      </c>
      <c r="E1514" s="380">
        <f>calcReg1Seg3TotalVolumeR2+calcReg1Seg2TotalVolumeR2+calcReg1Seg1TotalVolumeR2</f>
        <v>406312.01740799996</v>
      </c>
      <c r="F1514" s="380">
        <f>calcReg1Seg3TotalVolumeR2+calcReg1Seg2TotalVolumeR2+calcReg1Seg1TotalVolumeR2</f>
        <v>406312.01740799996</v>
      </c>
      <c r="G1514" s="380">
        <f>calcReg1Seg3TotalVolumeR2+calcReg1Seg2TotalVolumeR2+calcReg1Seg1TotalVolumeR2</f>
        <v>406312.01740799996</v>
      </c>
      <c r="H1514" s="380">
        <f>calcReg1Seg3TotalVolumeR2+calcReg1Seg2TotalVolumeR2+calcReg1Seg1TotalVolumeR2</f>
        <v>406312.01740799996</v>
      </c>
      <c r="I1514" s="380">
        <f>calcReg1Seg3TotalVolumeR2+calcReg1Seg2TotalVolumeR2+calcReg1Seg1TotalVolumeR2</f>
        <v>406312.01740799996</v>
      </c>
      <c r="J1514" s="380" t="s">
        <v>2044</v>
      </c>
    </row>
    <row r="1515" spans="1:10">
      <c r="C1515" t="s">
        <v>861</v>
      </c>
      <c r="E1515" s="465">
        <f>calcReg1NewCustR2/calcReg1MarketGrowthCustR2</f>
        <v>3.4700729127190291E-3</v>
      </c>
      <c r="F1515" s="465">
        <f>calcReg1NewCustR2/calcReg1MarketGrowthCustR2</f>
        <v>3.4700729127190291E-3</v>
      </c>
      <c r="G1515" s="465">
        <f>calcReg1NewCustR2/calcReg1MarketGrowthCustR2</f>
        <v>3.4700729127190291E-3</v>
      </c>
      <c r="H1515" s="465">
        <f>calcReg1NewCustR2/calcReg1MarketGrowthCustR2</f>
        <v>3.4700729127190291E-3</v>
      </c>
      <c r="I1515" s="465">
        <f>calcReg1NewCustR2/calcReg1MarketGrowthCustR2</f>
        <v>3.4700729127190291E-3</v>
      </c>
      <c r="J1515" s="380" t="s">
        <v>2042</v>
      </c>
    </row>
    <row r="1516" spans="1:10">
      <c r="C1516" t="s">
        <v>841</v>
      </c>
      <c r="E1516" s="465">
        <f>calcReg1VolumeTotalCustR2/calcReg1TotalVolumeR2</f>
        <v>3.262391527425332E-3</v>
      </c>
      <c r="F1516" s="465">
        <f>calcReg1VolumeTotalCustR2/calcReg1TotalVolumeR2</f>
        <v>3.262391527425332E-3</v>
      </c>
      <c r="G1516" s="465">
        <f>calcReg1VolumeTotalCustR2/calcReg1TotalVolumeR2</f>
        <v>3.262391527425332E-3</v>
      </c>
      <c r="H1516" s="465">
        <f>calcReg1VolumeTotalCustR2/calcReg1TotalVolumeR2</f>
        <v>3.262391527425332E-3</v>
      </c>
      <c r="I1516" s="465">
        <f>calcReg1VolumeTotalCustR2/calcReg1TotalVolumeR2</f>
        <v>3.262391527425332E-3</v>
      </c>
      <c r="J1516" s="380" t="s">
        <v>2043</v>
      </c>
    </row>
    <row r="1518" spans="1:10" s="507" customFormat="1">
      <c r="A1518" s="506" t="s">
        <v>2059</v>
      </c>
    </row>
    <row r="1519" spans="1:10" s="509" customFormat="1">
      <c r="A1519" s="508" t="str">
        <f>nmComp1</f>
        <v>Vibrant</v>
      </c>
    </row>
    <row r="1520" spans="1:10">
      <c r="A1520" s="4" t="str">
        <f>nmReg1Seg1</f>
        <v>Riverrun</v>
      </c>
    </row>
    <row r="1521" spans="1:10">
      <c r="A1521" s="4" t="s">
        <v>622</v>
      </c>
      <c r="B1521" t="str">
        <f>nmPayer1</f>
        <v>Blue Sword/Blue Shield</v>
      </c>
      <c r="D1521" t="s">
        <v>1486</v>
      </c>
      <c r="E1521" s="511">
        <f>obalReg1Seg1Comp1Payer1Share</f>
        <v>1.1499999999999998E-2</v>
      </c>
      <c r="F1521" s="511">
        <f>obalReg1Seg1Comp1Payer1Share</f>
        <v>1.1499999999999998E-2</v>
      </c>
      <c r="G1521" s="511">
        <f>obalReg1Seg1Comp1Payer1Share</f>
        <v>1.1499999999999998E-2</v>
      </c>
      <c r="H1521" s="511">
        <f>obalReg1Seg1Comp1Payer1Share</f>
        <v>1.1499999999999998E-2</v>
      </c>
      <c r="I1521" s="511">
        <f>obalReg1Seg1Comp1Payer1Share</f>
        <v>1.1499999999999998E-2</v>
      </c>
    </row>
    <row r="1522" spans="1:10">
      <c r="D1522" t="s">
        <v>3745</v>
      </c>
      <c r="E1522" s="511">
        <f>calcReg1Seg1Comp1Payer1ShareLostR1+calcReg1Seg1Comp1Payer1ShareWonR1</f>
        <v>1.6499999999999937E-5</v>
      </c>
      <c r="F1522" s="511">
        <f>calcReg1Seg1Comp1Payer1ShareLostR1+calcReg1Seg1Comp1Payer1ShareWonR1</f>
        <v>1.6499999999999937E-5</v>
      </c>
      <c r="G1522" s="511">
        <f>calcReg1Seg1Comp1Payer1ShareLostR1+calcReg1Seg1Comp1Payer1ShareWonR1</f>
        <v>1.6499999999999937E-5</v>
      </c>
      <c r="H1522" s="511">
        <f>calcReg1Seg1Comp1Payer1ShareLostR1+calcReg1Seg1Comp1Payer1ShareWonR1</f>
        <v>1.6499999999999937E-5</v>
      </c>
      <c r="I1522" s="511">
        <f>calcReg1Seg1Comp1Payer1ShareLostR1+calcReg1Seg1Comp1Payer1ShareWonR1</f>
        <v>1.6499999999999937E-5</v>
      </c>
    </row>
    <row r="1523" spans="1:10">
      <c r="E1523" s="511"/>
      <c r="F1523" s="511"/>
      <c r="G1523" s="511"/>
      <c r="H1523" s="511"/>
      <c r="I1523" s="511"/>
    </row>
    <row r="1524" spans="1:10" s="4" customFormat="1">
      <c r="D1524" s="4" t="s">
        <v>1534</v>
      </c>
      <c r="E1524" s="569">
        <f>SUM(E1521:E1523)</f>
        <v>1.1516499999999997E-2</v>
      </c>
      <c r="F1524" s="569">
        <f t="shared" ref="F1524:I1524" si="59">SUM(F1521:F1523)</f>
        <v>1.1516499999999997E-2</v>
      </c>
      <c r="G1524" s="569">
        <f t="shared" si="59"/>
        <v>1.1516499999999997E-2</v>
      </c>
      <c r="H1524" s="569">
        <f t="shared" si="59"/>
        <v>1.1516499999999997E-2</v>
      </c>
      <c r="I1524" s="569">
        <f t="shared" si="59"/>
        <v>1.1516499999999997E-2</v>
      </c>
      <c r="J1524" s="4" t="s">
        <v>2096</v>
      </c>
    </row>
    <row r="1525" spans="1:10">
      <c r="E1525" s="511"/>
      <c r="F1525" s="511"/>
      <c r="G1525" s="511"/>
      <c r="H1525" s="511"/>
      <c r="I1525" s="511"/>
    </row>
    <row r="1526" spans="1:10">
      <c r="A1526" s="4" t="s">
        <v>623</v>
      </c>
      <c r="D1526" t="s">
        <v>1486</v>
      </c>
      <c r="E1526" s="511">
        <f>calcReg1Seg1Comp1Payer1TotalShareR1</f>
        <v>1.1516499999999997E-2</v>
      </c>
      <c r="F1526" s="511">
        <f>calcReg1Seg1Comp1Payer1TotalShareR1</f>
        <v>1.1516499999999997E-2</v>
      </c>
      <c r="G1526" s="511">
        <f>calcReg1Seg1Comp1Payer1TotalShareR1</f>
        <v>1.1516499999999997E-2</v>
      </c>
      <c r="H1526" s="511">
        <f>calcReg1Seg1Comp1Payer1TotalShareR1</f>
        <v>1.1516499999999997E-2</v>
      </c>
      <c r="I1526" s="511">
        <f>calcReg1Seg1Comp1Payer1TotalShareR1</f>
        <v>1.1516499999999997E-2</v>
      </c>
    </row>
    <row r="1527" spans="1:10">
      <c r="D1527" t="s">
        <v>3745</v>
      </c>
      <c r="E1527" s="511">
        <f>calcReg1Seg1Comp1Payer1ShareLostR2+calcReg1Seg1Comp1Payer1ShareWonR2</f>
        <v>0</v>
      </c>
      <c r="F1527" s="511">
        <f>calcReg1Seg1Comp1Payer1ShareLostR2+calcReg1Seg1Comp1Payer1ShareWonR2</f>
        <v>0</v>
      </c>
      <c r="G1527" s="511">
        <f>calcReg1Seg1Comp1Payer1ShareLostR2+calcReg1Seg1Comp1Payer1ShareWonR2</f>
        <v>0</v>
      </c>
      <c r="H1527" s="511">
        <f>calcReg1Seg1Comp1Payer1ShareLostR2+calcReg1Seg1Comp1Payer1ShareWonR2</f>
        <v>0</v>
      </c>
      <c r="I1527" s="511">
        <f>calcReg1Seg1Comp1Payer1ShareLostR2+calcReg1Seg1Comp1Payer1ShareWonR2</f>
        <v>0</v>
      </c>
    </row>
    <row r="1528" spans="1:10">
      <c r="E1528" s="511"/>
      <c r="F1528" s="511"/>
      <c r="G1528" s="511"/>
      <c r="H1528" s="511"/>
      <c r="I1528" s="511"/>
    </row>
    <row r="1529" spans="1:10" s="4" customFormat="1">
      <c r="D1529" s="4" t="s">
        <v>1534</v>
      </c>
      <c r="E1529" s="569">
        <f>SUM(E1526:E1528)</f>
        <v>1.1516499999999997E-2</v>
      </c>
      <c r="F1529" s="569">
        <f t="shared" ref="F1529:I1529" si="60">SUM(F1526:F1528)</f>
        <v>1.1516499999999997E-2</v>
      </c>
      <c r="G1529" s="569">
        <f t="shared" si="60"/>
        <v>1.1516499999999997E-2</v>
      </c>
      <c r="H1529" s="569">
        <f t="shared" si="60"/>
        <v>1.1516499999999997E-2</v>
      </c>
      <c r="I1529" s="569">
        <f t="shared" si="60"/>
        <v>1.1516499999999997E-2</v>
      </c>
      <c r="J1529" s="4" t="s">
        <v>2097</v>
      </c>
    </row>
    <row r="1530" spans="1:10">
      <c r="E1530" s="511"/>
      <c r="F1530" s="511"/>
      <c r="G1530" s="511"/>
      <c r="H1530" s="511"/>
      <c r="I1530" s="511"/>
    </row>
    <row r="1531" spans="1:10">
      <c r="A1531" s="4" t="s">
        <v>622</v>
      </c>
      <c r="B1531" t="str">
        <f>nmPayer2</f>
        <v>WesterAid</v>
      </c>
      <c r="D1531" t="s">
        <v>1486</v>
      </c>
      <c r="E1531" s="511">
        <f>obalReg1Seg1Comp1Payer2Share</f>
        <v>7.499999999999998E-3</v>
      </c>
      <c r="F1531" s="511">
        <f>obalReg1Seg1Comp1Payer2Share</f>
        <v>7.499999999999998E-3</v>
      </c>
      <c r="G1531" s="511">
        <f>obalReg1Seg1Comp1Payer2Share</f>
        <v>7.499999999999998E-3</v>
      </c>
      <c r="H1531" s="511">
        <f>obalReg1Seg1Comp1Payer2Share</f>
        <v>7.499999999999998E-3</v>
      </c>
      <c r="I1531" s="511">
        <f>obalReg1Seg1Comp1Payer2Share</f>
        <v>7.499999999999998E-3</v>
      </c>
    </row>
    <row r="1532" spans="1:10">
      <c r="D1532" t="s">
        <v>3745</v>
      </c>
      <c r="E1532" s="511">
        <f>calcReg1Seg1Comp1Payer2ShareLostR1+calcReg1Seg1Comp1Payer2ShareWonR1</f>
        <v>0</v>
      </c>
      <c r="F1532" s="511">
        <f>calcReg1Seg1Comp1Payer2ShareLostR1+calcReg1Seg1Comp1Payer2ShareWonR1</f>
        <v>0</v>
      </c>
      <c r="G1532" s="511">
        <f>calcReg1Seg1Comp1Payer2ShareLostR1+calcReg1Seg1Comp1Payer2ShareWonR1</f>
        <v>0</v>
      </c>
      <c r="H1532" s="511">
        <f>calcReg1Seg1Comp1Payer2ShareLostR1+calcReg1Seg1Comp1Payer2ShareWonR1</f>
        <v>0</v>
      </c>
      <c r="I1532" s="511">
        <f>calcReg1Seg1Comp1Payer2ShareLostR1+calcReg1Seg1Comp1Payer2ShareWonR1</f>
        <v>0</v>
      </c>
    </row>
    <row r="1533" spans="1:10">
      <c r="E1533" s="511"/>
      <c r="F1533" s="511"/>
      <c r="G1533" s="511"/>
      <c r="H1533" s="511"/>
      <c r="I1533" s="511"/>
    </row>
    <row r="1534" spans="1:10" s="4" customFormat="1">
      <c r="D1534" s="4" t="s">
        <v>1534</v>
      </c>
      <c r="E1534" s="569">
        <f>SUM(E1531:E1533)</f>
        <v>7.499999999999998E-3</v>
      </c>
      <c r="F1534" s="569">
        <f t="shared" ref="F1534:I1534" si="61">SUM(F1531:F1533)</f>
        <v>7.499999999999998E-3</v>
      </c>
      <c r="G1534" s="569">
        <f t="shared" si="61"/>
        <v>7.499999999999998E-3</v>
      </c>
      <c r="H1534" s="569">
        <f t="shared" si="61"/>
        <v>7.499999999999998E-3</v>
      </c>
      <c r="I1534" s="569">
        <f t="shared" si="61"/>
        <v>7.499999999999998E-3</v>
      </c>
      <c r="J1534" s="4" t="s">
        <v>2098</v>
      </c>
    </row>
    <row r="1535" spans="1:10">
      <c r="E1535" s="511"/>
      <c r="F1535" s="511"/>
      <c r="G1535" s="511"/>
      <c r="H1535" s="511"/>
      <c r="I1535" s="511"/>
    </row>
    <row r="1536" spans="1:10">
      <c r="A1536" s="4" t="s">
        <v>623</v>
      </c>
      <c r="D1536" t="s">
        <v>1486</v>
      </c>
      <c r="E1536" s="511">
        <f>calcReg1Seg1Comp1Payer2TotalShareR1</f>
        <v>7.499999999999998E-3</v>
      </c>
      <c r="F1536" s="511">
        <f>calcReg1Seg1Comp1Payer2TotalShareR1</f>
        <v>7.499999999999998E-3</v>
      </c>
      <c r="G1536" s="511">
        <f>calcReg1Seg1Comp1Payer2TotalShareR1</f>
        <v>7.499999999999998E-3</v>
      </c>
      <c r="H1536" s="511">
        <f>calcReg1Seg1Comp1Payer2TotalShareR1</f>
        <v>7.499999999999998E-3</v>
      </c>
      <c r="I1536" s="511">
        <f>calcReg1Seg1Comp1Payer2TotalShareR1</f>
        <v>7.499999999999998E-3</v>
      </c>
    </row>
    <row r="1537" spans="1:10">
      <c r="D1537" t="s">
        <v>3745</v>
      </c>
      <c r="E1537" s="511">
        <f>calcReg1Seg1Comp1Payer2ShareLostR2+calcReg1Seg1Comp1Payer2ShareWonR2</f>
        <v>0</v>
      </c>
      <c r="F1537" s="511">
        <f>calcReg1Seg1Comp1Payer2ShareLostR2+calcReg1Seg1Comp1Payer2ShareWonR2</f>
        <v>0</v>
      </c>
      <c r="G1537" s="511">
        <f>calcReg1Seg1Comp1Payer2ShareLostR2+calcReg1Seg1Comp1Payer2ShareWonR2</f>
        <v>0</v>
      </c>
      <c r="H1537" s="511">
        <f>calcReg1Seg1Comp1Payer2ShareLostR2+calcReg1Seg1Comp1Payer2ShareWonR2</f>
        <v>0</v>
      </c>
      <c r="I1537" s="511">
        <f>calcReg1Seg1Comp1Payer2ShareLostR2+calcReg1Seg1Comp1Payer2ShareWonR2</f>
        <v>0</v>
      </c>
    </row>
    <row r="1538" spans="1:10">
      <c r="E1538" s="511"/>
      <c r="F1538" s="511"/>
      <c r="G1538" s="511"/>
      <c r="H1538" s="511"/>
      <c r="I1538" s="511"/>
    </row>
    <row r="1539" spans="1:10" s="4" customFormat="1">
      <c r="D1539" s="4" t="s">
        <v>1534</v>
      </c>
      <c r="E1539" s="569">
        <f>SUM(E1536:E1538)</f>
        <v>7.499999999999998E-3</v>
      </c>
      <c r="F1539" s="569">
        <f t="shared" ref="F1539:I1539" si="62">SUM(F1536:F1538)</f>
        <v>7.499999999999998E-3</v>
      </c>
      <c r="G1539" s="569">
        <f t="shared" si="62"/>
        <v>7.499999999999998E-3</v>
      </c>
      <c r="H1539" s="569">
        <f t="shared" si="62"/>
        <v>7.499999999999998E-3</v>
      </c>
      <c r="I1539" s="569">
        <f t="shared" si="62"/>
        <v>7.499999999999998E-3</v>
      </c>
      <c r="J1539" s="4" t="s">
        <v>2099</v>
      </c>
    </row>
    <row r="1540" spans="1:10">
      <c r="E1540" s="511"/>
      <c r="F1540" s="511"/>
      <c r="G1540" s="511"/>
      <c r="H1540" s="511"/>
      <c r="I1540" s="511"/>
    </row>
    <row r="1541" spans="1:10">
      <c r="A1541" s="4" t="s">
        <v>622</v>
      </c>
      <c r="B1541" t="str">
        <f>nmPayer3</f>
        <v>Dragon Health</v>
      </c>
      <c r="D1541" t="s">
        <v>1486</v>
      </c>
      <c r="E1541" s="511">
        <f>obalReg1Seg1Comp1Payer3Share</f>
        <v>8.2142857142857139E-3</v>
      </c>
      <c r="F1541" s="511">
        <f>obalReg1Seg1Comp1Payer3Share</f>
        <v>8.2142857142857139E-3</v>
      </c>
      <c r="G1541" s="511">
        <f>obalReg1Seg1Comp1Payer3Share</f>
        <v>8.2142857142857139E-3</v>
      </c>
      <c r="H1541" s="511">
        <f>obalReg1Seg1Comp1Payer3Share</f>
        <v>8.2142857142857139E-3</v>
      </c>
      <c r="I1541" s="511">
        <f>obalReg1Seg1Comp1Payer3Share</f>
        <v>8.2142857142857139E-3</v>
      </c>
    </row>
    <row r="1542" spans="1:10">
      <c r="D1542" t="s">
        <v>3745</v>
      </c>
      <c r="E1542" s="511">
        <f>calcReg1Seg1Comp1Payer3ShareLostR1+calcReg1Seg1Comp1Payer3ShareWonR1</f>
        <v>1.3499999999999798E-5</v>
      </c>
      <c r="F1542" s="511">
        <f>calcReg1Seg1Comp1Payer3ShareLostR1+calcReg1Seg1Comp1Payer3ShareWonR1</f>
        <v>1.3499999999999798E-5</v>
      </c>
      <c r="G1542" s="511">
        <f>calcReg1Seg1Comp1Payer3ShareLostR1+calcReg1Seg1Comp1Payer3ShareWonR1</f>
        <v>1.3499999999999798E-5</v>
      </c>
      <c r="H1542" s="511">
        <f>calcReg1Seg1Comp1Payer3ShareLostR1+calcReg1Seg1Comp1Payer3ShareWonR1</f>
        <v>1.3499999999999798E-5</v>
      </c>
      <c r="I1542" s="511">
        <f>calcReg1Seg1Comp1Payer3ShareLostR1+calcReg1Seg1Comp1Payer3ShareWonR1</f>
        <v>1.3499999999999798E-5</v>
      </c>
    </row>
    <row r="1543" spans="1:10">
      <c r="E1543" s="511"/>
      <c r="F1543" s="511"/>
      <c r="G1543" s="511"/>
      <c r="H1543" s="511"/>
      <c r="I1543" s="511"/>
    </row>
    <row r="1544" spans="1:10" s="4" customFormat="1">
      <c r="D1544" s="4" t="s">
        <v>1534</v>
      </c>
      <c r="E1544" s="569">
        <f>SUM(E1541:E1543)</f>
        <v>8.2277857142857135E-3</v>
      </c>
      <c r="F1544" s="569">
        <f t="shared" ref="F1544:I1544" si="63">SUM(F1541:F1543)</f>
        <v>8.2277857142857135E-3</v>
      </c>
      <c r="G1544" s="569">
        <f t="shared" si="63"/>
        <v>8.2277857142857135E-3</v>
      </c>
      <c r="H1544" s="569">
        <f t="shared" si="63"/>
        <v>8.2277857142857135E-3</v>
      </c>
      <c r="I1544" s="569">
        <f t="shared" si="63"/>
        <v>8.2277857142857135E-3</v>
      </c>
      <c r="J1544" s="4" t="s">
        <v>2100</v>
      </c>
    </row>
    <row r="1545" spans="1:10">
      <c r="E1545" s="511"/>
      <c r="F1545" s="511"/>
      <c r="G1545" s="511"/>
      <c r="H1545" s="511"/>
      <c r="I1545" s="511"/>
    </row>
    <row r="1546" spans="1:10">
      <c r="A1546" s="4" t="s">
        <v>623</v>
      </c>
      <c r="D1546" t="s">
        <v>1486</v>
      </c>
      <c r="E1546" s="511">
        <f>calcReg1Seg1Comp1Payer3TotalShareR1</f>
        <v>8.2277857142857135E-3</v>
      </c>
      <c r="F1546" s="511">
        <f>calcReg1Seg1Comp1Payer3TotalShareR1</f>
        <v>8.2277857142857135E-3</v>
      </c>
      <c r="G1546" s="511">
        <f>calcReg1Seg1Comp1Payer3TotalShareR1</f>
        <v>8.2277857142857135E-3</v>
      </c>
      <c r="H1546" s="511">
        <f>calcReg1Seg1Comp1Payer3TotalShareR1</f>
        <v>8.2277857142857135E-3</v>
      </c>
      <c r="I1546" s="511">
        <f>calcReg1Seg1Comp1Payer3TotalShareR1</f>
        <v>8.2277857142857135E-3</v>
      </c>
    </row>
    <row r="1547" spans="1:10">
      <c r="D1547" t="s">
        <v>3745</v>
      </c>
      <c r="E1547" s="511">
        <f>calcReg1Seg1Comp1Payer3ShareLostR2+calcReg1Seg1Comp1Payer3ShareWonR2</f>
        <v>0</v>
      </c>
      <c r="F1547" s="511">
        <f>calcReg1Seg1Comp1Payer3ShareLostR2+calcReg1Seg1Comp1Payer3ShareWonR2</f>
        <v>0</v>
      </c>
      <c r="G1547" s="511">
        <f>calcReg1Seg1Comp1Payer3ShareLostR2+calcReg1Seg1Comp1Payer3ShareWonR2</f>
        <v>0</v>
      </c>
      <c r="H1547" s="511">
        <f>calcReg1Seg1Comp1Payer3ShareLostR2+calcReg1Seg1Comp1Payer3ShareWonR2</f>
        <v>0</v>
      </c>
      <c r="I1547" s="511">
        <f>calcReg1Seg1Comp1Payer3ShareLostR2+calcReg1Seg1Comp1Payer3ShareWonR2</f>
        <v>0</v>
      </c>
    </row>
    <row r="1548" spans="1:10">
      <c r="E1548" s="511"/>
      <c r="F1548" s="511"/>
      <c r="G1548" s="511"/>
      <c r="H1548" s="511"/>
      <c r="I1548" s="511"/>
    </row>
    <row r="1549" spans="1:10" s="4" customFormat="1">
      <c r="D1549" s="4" t="s">
        <v>1534</v>
      </c>
      <c r="E1549" s="569">
        <f>SUM(E1546:E1548)</f>
        <v>8.2277857142857135E-3</v>
      </c>
      <c r="F1549" s="569">
        <f t="shared" ref="F1549:I1549" si="64">SUM(F1546:F1548)</f>
        <v>8.2277857142857135E-3</v>
      </c>
      <c r="G1549" s="569">
        <f t="shared" si="64"/>
        <v>8.2277857142857135E-3</v>
      </c>
      <c r="H1549" s="569">
        <f t="shared" si="64"/>
        <v>8.2277857142857135E-3</v>
      </c>
      <c r="I1549" s="569">
        <f t="shared" si="64"/>
        <v>8.2277857142857135E-3</v>
      </c>
      <c r="J1549" s="4" t="s">
        <v>2101</v>
      </c>
    </row>
    <row r="1550" spans="1:10">
      <c r="E1550" s="511"/>
      <c r="F1550" s="511"/>
      <c r="G1550" s="511"/>
      <c r="H1550" s="511"/>
      <c r="I1550" s="511"/>
    </row>
    <row r="1551" spans="1:10">
      <c r="A1551" s="4" t="str">
        <f>nmReg1Seg2</f>
        <v>Winterfell</v>
      </c>
      <c r="E1551" s="511"/>
      <c r="F1551" s="511"/>
      <c r="G1551" s="511"/>
      <c r="H1551" s="511"/>
      <c r="I1551" s="511"/>
    </row>
    <row r="1552" spans="1:10">
      <c r="A1552" s="4" t="s">
        <v>622</v>
      </c>
      <c r="B1552" t="str">
        <f>nmPayer1</f>
        <v>Blue Sword/Blue Shield</v>
      </c>
      <c r="D1552" t="s">
        <v>1486</v>
      </c>
      <c r="E1552" s="511">
        <f>obalReg1Seg2Comp1Payer1Share</f>
        <v>8.624999999999999E-3</v>
      </c>
      <c r="F1552" s="511">
        <f>obalReg1Seg2Comp1Payer1Share</f>
        <v>8.624999999999999E-3</v>
      </c>
      <c r="G1552" s="511">
        <f>obalReg1Seg2Comp1Payer1Share</f>
        <v>8.624999999999999E-3</v>
      </c>
      <c r="H1552" s="511">
        <f>obalReg1Seg2Comp1Payer1Share</f>
        <v>8.624999999999999E-3</v>
      </c>
      <c r="I1552" s="511">
        <f>obalReg1Seg2Comp1Payer1Share</f>
        <v>8.624999999999999E-3</v>
      </c>
    </row>
    <row r="1553" spans="1:10">
      <c r="D1553" t="s">
        <v>3745</v>
      </c>
      <c r="E1553" s="511">
        <f>calcReg1Seg2Comp1Payer1ShareLostR1+calcReg1Seg2Comp1Payer1ShareWonR1</f>
        <v>4.3999999999999945E-5</v>
      </c>
      <c r="F1553" s="511">
        <f>calcReg1Seg2Comp1Payer1ShareLostR1+calcReg1Seg2Comp1Payer1ShareWonR1</f>
        <v>4.3999999999999945E-5</v>
      </c>
      <c r="G1553" s="511">
        <f>calcReg1Seg2Comp1Payer1ShareLostR1+calcReg1Seg2Comp1Payer1ShareWonR1</f>
        <v>4.3999999999999945E-5</v>
      </c>
      <c r="H1553" s="511">
        <f>calcReg1Seg2Comp1Payer1ShareLostR1+calcReg1Seg2Comp1Payer1ShareWonR1</f>
        <v>4.3999999999999945E-5</v>
      </c>
      <c r="I1553" s="511">
        <f>calcReg1Seg2Comp1Payer1ShareLostR1+calcReg1Seg2Comp1Payer1ShareWonR1</f>
        <v>4.3999999999999945E-5</v>
      </c>
    </row>
    <row r="1554" spans="1:10">
      <c r="E1554" s="511"/>
      <c r="F1554" s="511"/>
      <c r="G1554" s="511"/>
      <c r="H1554" s="511"/>
      <c r="I1554" s="511"/>
    </row>
    <row r="1555" spans="1:10" s="4" customFormat="1">
      <c r="D1555" s="4" t="s">
        <v>1534</v>
      </c>
      <c r="E1555" s="569">
        <f>SUM(E1552:E1554)</f>
        <v>8.6689999999999996E-3</v>
      </c>
      <c r="F1555" s="569">
        <f t="shared" ref="F1555:I1555" si="65">SUM(F1552:F1554)</f>
        <v>8.6689999999999996E-3</v>
      </c>
      <c r="G1555" s="569">
        <f t="shared" si="65"/>
        <v>8.6689999999999996E-3</v>
      </c>
      <c r="H1555" s="569">
        <f t="shared" si="65"/>
        <v>8.6689999999999996E-3</v>
      </c>
      <c r="I1555" s="569">
        <f t="shared" si="65"/>
        <v>8.6689999999999996E-3</v>
      </c>
      <c r="J1555" s="4" t="s">
        <v>2102</v>
      </c>
    </row>
    <row r="1556" spans="1:10">
      <c r="E1556" s="511"/>
      <c r="F1556" s="511"/>
      <c r="G1556" s="511"/>
      <c r="H1556" s="511"/>
      <c r="I1556" s="511"/>
    </row>
    <row r="1557" spans="1:10">
      <c r="A1557" s="4" t="s">
        <v>623</v>
      </c>
      <c r="D1557" t="s">
        <v>1486</v>
      </c>
      <c r="E1557" s="511">
        <f>calcReg1Seg2Comp1Payer1TotalShareR1</f>
        <v>8.6689999999999996E-3</v>
      </c>
      <c r="F1557" s="511">
        <f>calcReg1Seg2Comp1Payer1TotalShareR1</f>
        <v>8.6689999999999996E-3</v>
      </c>
      <c r="G1557" s="511">
        <f>calcReg1Seg2Comp1Payer1TotalShareR1</f>
        <v>8.6689999999999996E-3</v>
      </c>
      <c r="H1557" s="511">
        <f>calcReg1Seg2Comp1Payer1TotalShareR1</f>
        <v>8.6689999999999996E-3</v>
      </c>
      <c r="I1557" s="511">
        <f>calcReg1Seg2Comp1Payer1TotalShareR1</f>
        <v>8.6689999999999996E-3</v>
      </c>
    </row>
    <row r="1558" spans="1:10">
      <c r="D1558" t="s">
        <v>3745</v>
      </c>
      <c r="E1558" s="511">
        <f>calcReg1Seg2Comp1Payer1ShareLostR2+calcReg1Seg2Comp1Payer1ShareWonR2</f>
        <v>0</v>
      </c>
      <c r="F1558" s="511">
        <f>calcReg1Seg2Comp1Payer1ShareLostR2+calcReg1Seg2Comp1Payer1ShareWonR2</f>
        <v>0</v>
      </c>
      <c r="G1558" s="511">
        <f>calcReg1Seg2Comp1Payer1ShareLostR2+calcReg1Seg2Comp1Payer1ShareWonR2</f>
        <v>0</v>
      </c>
      <c r="H1558" s="511">
        <f>calcReg1Seg2Comp1Payer1ShareLostR2+calcReg1Seg2Comp1Payer1ShareWonR2</f>
        <v>0</v>
      </c>
      <c r="I1558" s="511">
        <f>calcReg1Seg2Comp1Payer1ShareLostR2+calcReg1Seg2Comp1Payer1ShareWonR2</f>
        <v>0</v>
      </c>
    </row>
    <row r="1559" spans="1:10">
      <c r="E1559" s="511"/>
      <c r="F1559" s="511"/>
      <c r="G1559" s="511"/>
      <c r="H1559" s="511"/>
      <c r="I1559" s="511"/>
    </row>
    <row r="1560" spans="1:10" s="4" customFormat="1">
      <c r="D1560" s="4" t="s">
        <v>1534</v>
      </c>
      <c r="E1560" s="569">
        <f>SUM(E1557:E1559)</f>
        <v>8.6689999999999996E-3</v>
      </c>
      <c r="F1560" s="569">
        <f t="shared" ref="F1560:I1560" si="66">SUM(F1557:F1559)</f>
        <v>8.6689999999999996E-3</v>
      </c>
      <c r="G1560" s="569">
        <f t="shared" si="66"/>
        <v>8.6689999999999996E-3</v>
      </c>
      <c r="H1560" s="569">
        <f t="shared" si="66"/>
        <v>8.6689999999999996E-3</v>
      </c>
      <c r="I1560" s="569">
        <f t="shared" si="66"/>
        <v>8.6689999999999996E-3</v>
      </c>
      <c r="J1560" s="4" t="s">
        <v>2103</v>
      </c>
    </row>
    <row r="1561" spans="1:10">
      <c r="E1561" s="511"/>
      <c r="F1561" s="511"/>
      <c r="G1561" s="511"/>
      <c r="H1561" s="511"/>
      <c r="I1561" s="511"/>
    </row>
    <row r="1562" spans="1:10">
      <c r="A1562" s="4" t="s">
        <v>622</v>
      </c>
      <c r="B1562" t="str">
        <f>nmPayer2</f>
        <v>WesterAid</v>
      </c>
      <c r="D1562" t="s">
        <v>1486</v>
      </c>
      <c r="E1562" s="511">
        <f>obalReg1Seg2Comp1Payer2Share</f>
        <v>1.232142857142857E-2</v>
      </c>
      <c r="F1562" s="511">
        <f>obalReg1Seg2Comp1Payer2Share</f>
        <v>1.232142857142857E-2</v>
      </c>
      <c r="G1562" s="511">
        <f>obalReg1Seg2Comp1Payer2Share</f>
        <v>1.232142857142857E-2</v>
      </c>
      <c r="H1562" s="511">
        <f>obalReg1Seg2Comp1Payer2Share</f>
        <v>1.232142857142857E-2</v>
      </c>
      <c r="I1562" s="511">
        <f>obalReg1Seg2Comp1Payer2Share</f>
        <v>1.232142857142857E-2</v>
      </c>
    </row>
    <row r="1563" spans="1:10">
      <c r="D1563" t="s">
        <v>3745</v>
      </c>
      <c r="E1563" s="511">
        <f>calcReg1Seg2Comp1Payer2ShareLostR1+calcReg1Seg2Comp1Payer2ShareWonR1</f>
        <v>0</v>
      </c>
      <c r="F1563" s="511">
        <f>calcReg1Seg2Comp1Payer2ShareLostR1+calcReg1Seg2Comp1Payer2ShareWonR1</f>
        <v>0</v>
      </c>
      <c r="G1563" s="511">
        <f>calcReg1Seg2Comp1Payer2ShareLostR1+calcReg1Seg2Comp1Payer2ShareWonR1</f>
        <v>0</v>
      </c>
      <c r="H1563" s="511">
        <f>calcReg1Seg2Comp1Payer2ShareLostR1+calcReg1Seg2Comp1Payer2ShareWonR1</f>
        <v>0</v>
      </c>
      <c r="I1563" s="511">
        <f>calcReg1Seg2Comp1Payer2ShareLostR1+calcReg1Seg2Comp1Payer2ShareWonR1</f>
        <v>0</v>
      </c>
    </row>
    <row r="1564" spans="1:10">
      <c r="E1564" s="511"/>
      <c r="F1564" s="511"/>
      <c r="G1564" s="511"/>
      <c r="H1564" s="511"/>
      <c r="I1564" s="511"/>
    </row>
    <row r="1565" spans="1:10" s="4" customFormat="1">
      <c r="D1565" s="4" t="s">
        <v>1534</v>
      </c>
      <c r="E1565" s="569">
        <f>SUM(E1562:E1564)</f>
        <v>1.232142857142857E-2</v>
      </c>
      <c r="F1565" s="569">
        <f t="shared" ref="F1565:I1565" si="67">SUM(F1562:F1564)</f>
        <v>1.232142857142857E-2</v>
      </c>
      <c r="G1565" s="569">
        <f t="shared" si="67"/>
        <v>1.232142857142857E-2</v>
      </c>
      <c r="H1565" s="569">
        <f t="shared" si="67"/>
        <v>1.232142857142857E-2</v>
      </c>
      <c r="I1565" s="569">
        <f t="shared" si="67"/>
        <v>1.232142857142857E-2</v>
      </c>
      <c r="J1565" s="4" t="s">
        <v>2104</v>
      </c>
    </row>
    <row r="1566" spans="1:10">
      <c r="E1566" s="511"/>
      <c r="F1566" s="511"/>
      <c r="G1566" s="511"/>
      <c r="H1566" s="511"/>
      <c r="I1566" s="511"/>
    </row>
    <row r="1567" spans="1:10">
      <c r="A1567" s="4" t="s">
        <v>623</v>
      </c>
      <c r="D1567" t="s">
        <v>1486</v>
      </c>
      <c r="E1567" s="511">
        <f>calcReg1Seg2Comp1Payer2TotalShareR1</f>
        <v>1.232142857142857E-2</v>
      </c>
      <c r="F1567" s="511">
        <f>calcReg1Seg2Comp1Payer2TotalShareR1</f>
        <v>1.232142857142857E-2</v>
      </c>
      <c r="G1567" s="511">
        <f>calcReg1Seg2Comp1Payer2TotalShareR1</f>
        <v>1.232142857142857E-2</v>
      </c>
      <c r="H1567" s="511">
        <f>calcReg1Seg2Comp1Payer2TotalShareR1</f>
        <v>1.232142857142857E-2</v>
      </c>
      <c r="I1567" s="511">
        <f>calcReg1Seg2Comp1Payer2TotalShareR1</f>
        <v>1.232142857142857E-2</v>
      </c>
    </row>
    <row r="1568" spans="1:10">
      <c r="D1568" t="s">
        <v>3745</v>
      </c>
      <c r="E1568" s="511">
        <f>calcReg1Seg2Comp1Payer2ShareLostR2+calcReg1Seg2Comp1Payer2ShareWonR2</f>
        <v>0</v>
      </c>
      <c r="F1568" s="511">
        <f>calcReg1Seg2Comp1Payer2ShareLostR2+calcReg1Seg2Comp1Payer2ShareWonR2</f>
        <v>0</v>
      </c>
      <c r="G1568" s="511">
        <f>calcReg1Seg2Comp1Payer2ShareLostR2+calcReg1Seg2Comp1Payer2ShareWonR2</f>
        <v>0</v>
      </c>
      <c r="H1568" s="511">
        <f>calcReg1Seg2Comp1Payer2ShareLostR2+calcReg1Seg2Comp1Payer2ShareWonR2</f>
        <v>0</v>
      </c>
      <c r="I1568" s="511">
        <f>calcReg1Seg2Comp1Payer2ShareLostR2+calcReg1Seg2Comp1Payer2ShareWonR2</f>
        <v>0</v>
      </c>
    </row>
    <row r="1569" spans="1:10">
      <c r="E1569" s="511"/>
      <c r="F1569" s="511"/>
      <c r="G1569" s="511"/>
      <c r="H1569" s="511"/>
      <c r="I1569" s="511"/>
    </row>
    <row r="1570" spans="1:10" s="4" customFormat="1">
      <c r="D1570" s="4" t="s">
        <v>1534</v>
      </c>
      <c r="E1570" s="569">
        <f>SUM(E1567:E1569)</f>
        <v>1.232142857142857E-2</v>
      </c>
      <c r="F1570" s="569">
        <f t="shared" ref="F1570:I1570" si="68">SUM(F1567:F1569)</f>
        <v>1.232142857142857E-2</v>
      </c>
      <c r="G1570" s="569">
        <f t="shared" si="68"/>
        <v>1.232142857142857E-2</v>
      </c>
      <c r="H1570" s="569">
        <f t="shared" si="68"/>
        <v>1.232142857142857E-2</v>
      </c>
      <c r="I1570" s="569">
        <f t="shared" si="68"/>
        <v>1.232142857142857E-2</v>
      </c>
      <c r="J1570" s="4" t="s">
        <v>2105</v>
      </c>
    </row>
    <row r="1571" spans="1:10">
      <c r="E1571" s="511"/>
      <c r="F1571" s="511"/>
      <c r="G1571" s="511"/>
      <c r="H1571" s="511"/>
      <c r="I1571" s="511"/>
    </row>
    <row r="1572" spans="1:10">
      <c r="A1572" s="4" t="s">
        <v>622</v>
      </c>
      <c r="B1572" t="str">
        <f>nmPayer3</f>
        <v>Dragon Health</v>
      </c>
      <c r="D1572" t="s">
        <v>1486</v>
      </c>
      <c r="E1572" s="511">
        <f>obalReg1Seg2Comp1Payer3Share</f>
        <v>6.6346153846153838E-3</v>
      </c>
      <c r="F1572" s="511">
        <f>obalReg1Seg2Comp1Payer3Share</f>
        <v>6.6346153846153838E-3</v>
      </c>
      <c r="G1572" s="511">
        <f>obalReg1Seg2Comp1Payer3Share</f>
        <v>6.6346153846153838E-3</v>
      </c>
      <c r="H1572" s="511">
        <f>obalReg1Seg2Comp1Payer3Share</f>
        <v>6.6346153846153838E-3</v>
      </c>
      <c r="I1572" s="511">
        <f>obalReg1Seg2Comp1Payer3Share</f>
        <v>6.6346153846153838E-3</v>
      </c>
    </row>
    <row r="1573" spans="1:10">
      <c r="D1573" t="s">
        <v>3745</v>
      </c>
      <c r="E1573" s="511">
        <f>calcReg1Seg2Comp1Payer3ShareLostR1+calcReg1Seg2Comp1Payer3ShareWonR1</f>
        <v>2.6999999999999941E-5</v>
      </c>
      <c r="F1573" s="511">
        <f>calcReg1Seg2Comp1Payer3ShareLostR1+calcReg1Seg2Comp1Payer3ShareWonR1</f>
        <v>2.6999999999999941E-5</v>
      </c>
      <c r="G1573" s="511">
        <f>calcReg1Seg2Comp1Payer3ShareLostR1+calcReg1Seg2Comp1Payer3ShareWonR1</f>
        <v>2.6999999999999941E-5</v>
      </c>
      <c r="H1573" s="511">
        <f>calcReg1Seg2Comp1Payer3ShareLostR1+calcReg1Seg2Comp1Payer3ShareWonR1</f>
        <v>2.6999999999999941E-5</v>
      </c>
      <c r="I1573" s="511">
        <f>calcReg1Seg2Comp1Payer3ShareLostR1+calcReg1Seg2Comp1Payer3ShareWonR1</f>
        <v>2.6999999999999941E-5</v>
      </c>
    </row>
    <row r="1574" spans="1:10">
      <c r="E1574" s="511"/>
      <c r="F1574" s="511"/>
      <c r="G1574" s="511"/>
      <c r="H1574" s="511"/>
      <c r="I1574" s="511"/>
    </row>
    <row r="1575" spans="1:10" s="4" customFormat="1">
      <c r="D1575" s="4" t="s">
        <v>1534</v>
      </c>
      <c r="E1575" s="569">
        <f>SUM(E1572:E1574)</f>
        <v>6.6616153846153839E-3</v>
      </c>
      <c r="F1575" s="569">
        <f t="shared" ref="F1575:I1575" si="69">SUM(F1572:F1574)</f>
        <v>6.6616153846153839E-3</v>
      </c>
      <c r="G1575" s="569">
        <f t="shared" si="69"/>
        <v>6.6616153846153839E-3</v>
      </c>
      <c r="H1575" s="569">
        <f t="shared" si="69"/>
        <v>6.6616153846153839E-3</v>
      </c>
      <c r="I1575" s="569">
        <f t="shared" si="69"/>
        <v>6.6616153846153839E-3</v>
      </c>
      <c r="J1575" s="4" t="s">
        <v>2106</v>
      </c>
    </row>
    <row r="1576" spans="1:10">
      <c r="E1576" s="511"/>
      <c r="F1576" s="511"/>
      <c r="G1576" s="511"/>
      <c r="H1576" s="511"/>
      <c r="I1576" s="511"/>
    </row>
    <row r="1577" spans="1:10">
      <c r="A1577" s="4" t="s">
        <v>623</v>
      </c>
      <c r="D1577" t="s">
        <v>1486</v>
      </c>
      <c r="E1577" s="511">
        <f>calcReg1Seg2Comp1Payer3TotalShareR1</f>
        <v>6.6616153846153839E-3</v>
      </c>
      <c r="F1577" s="511">
        <f>calcReg1Seg2Comp1Payer3TotalShareR1</f>
        <v>6.6616153846153839E-3</v>
      </c>
      <c r="G1577" s="511">
        <f>calcReg1Seg2Comp1Payer3TotalShareR1</f>
        <v>6.6616153846153839E-3</v>
      </c>
      <c r="H1577" s="511">
        <f>calcReg1Seg2Comp1Payer3TotalShareR1</f>
        <v>6.6616153846153839E-3</v>
      </c>
      <c r="I1577" s="511">
        <f>calcReg1Seg2Comp1Payer3TotalShareR1</f>
        <v>6.6616153846153839E-3</v>
      </c>
    </row>
    <row r="1578" spans="1:10">
      <c r="D1578" t="s">
        <v>3745</v>
      </c>
      <c r="E1578" s="511">
        <f>calcReg1Seg2Comp1Payer3ShareLostR2+calcReg1Seg2Comp1Payer3ShareWonR2</f>
        <v>0</v>
      </c>
      <c r="F1578" s="511">
        <f>calcReg1Seg2Comp1Payer3ShareLostR2+calcReg1Seg2Comp1Payer3ShareWonR2</f>
        <v>0</v>
      </c>
      <c r="G1578" s="511">
        <f>calcReg1Seg2Comp1Payer3ShareLostR2+calcReg1Seg2Comp1Payer3ShareWonR2</f>
        <v>0</v>
      </c>
      <c r="H1578" s="511">
        <f>calcReg1Seg2Comp1Payer3ShareLostR2+calcReg1Seg2Comp1Payer3ShareWonR2</f>
        <v>0</v>
      </c>
      <c r="I1578" s="511">
        <f>calcReg1Seg2Comp1Payer3ShareLostR2+calcReg1Seg2Comp1Payer3ShareWonR2</f>
        <v>0</v>
      </c>
    </row>
    <row r="1579" spans="1:10">
      <c r="E1579" s="511"/>
      <c r="F1579" s="511"/>
      <c r="G1579" s="511"/>
      <c r="H1579" s="511"/>
      <c r="I1579" s="511"/>
    </row>
    <row r="1580" spans="1:10" s="4" customFormat="1">
      <c r="D1580" s="4" t="s">
        <v>1534</v>
      </c>
      <c r="E1580" s="569">
        <f>SUM(E1577:E1579)</f>
        <v>6.6616153846153839E-3</v>
      </c>
      <c r="F1580" s="569">
        <f t="shared" ref="F1580:I1580" si="70">SUM(F1577:F1579)</f>
        <v>6.6616153846153839E-3</v>
      </c>
      <c r="G1580" s="569">
        <f t="shared" si="70"/>
        <v>6.6616153846153839E-3</v>
      </c>
      <c r="H1580" s="569">
        <f t="shared" si="70"/>
        <v>6.6616153846153839E-3</v>
      </c>
      <c r="I1580" s="569">
        <f t="shared" si="70"/>
        <v>6.6616153846153839E-3</v>
      </c>
      <c r="J1580" s="4" t="s">
        <v>2107</v>
      </c>
    </row>
    <row r="1581" spans="1:10">
      <c r="A1581" s="4" t="str">
        <f>nmReg1Seg3</f>
        <v>Harrenhal</v>
      </c>
      <c r="E1581" s="511"/>
      <c r="F1581" s="511"/>
      <c r="G1581" s="511"/>
      <c r="H1581" s="511"/>
      <c r="I1581" s="511"/>
    </row>
    <row r="1582" spans="1:10">
      <c r="A1582" s="4" t="s">
        <v>622</v>
      </c>
      <c r="B1582" t="str">
        <f>nmPayer1</f>
        <v>Blue Sword/Blue Shield</v>
      </c>
      <c r="D1582" t="s">
        <v>1486</v>
      </c>
      <c r="E1582" s="511">
        <f>obalReg1Seg3Comp1Payer1Share</f>
        <v>1.8157894736842109E-2</v>
      </c>
      <c r="F1582" s="511">
        <f>obalReg1Seg3Comp1Payer1Share</f>
        <v>1.8157894736842109E-2</v>
      </c>
      <c r="G1582" s="511">
        <f>obalReg1Seg3Comp1Payer1Share</f>
        <v>1.8157894736842109E-2</v>
      </c>
      <c r="H1582" s="511">
        <f>obalReg1Seg3Comp1Payer1Share</f>
        <v>1.8157894736842109E-2</v>
      </c>
      <c r="I1582" s="511">
        <f>obalReg1Seg3Comp1Payer1Share</f>
        <v>1.8157894736842109E-2</v>
      </c>
    </row>
    <row r="1583" spans="1:10">
      <c r="D1583" t="s">
        <v>3745</v>
      </c>
      <c r="E1583" s="511">
        <f>calcReg1Seg3Comp1Payer1ShareLostR1+calcReg1Seg3Comp1Payer1ShareWonR1</f>
        <v>1.1000000000000073E-5</v>
      </c>
      <c r="F1583" s="511">
        <f>calcReg1Seg3Comp1Payer1ShareLostR1+calcReg1Seg3Comp1Payer1ShareWonR1</f>
        <v>1.1000000000000073E-5</v>
      </c>
      <c r="G1583" s="511">
        <f>calcReg1Seg3Comp1Payer1ShareLostR1+calcReg1Seg3Comp1Payer1ShareWonR1</f>
        <v>1.1000000000000073E-5</v>
      </c>
      <c r="H1583" s="511">
        <f>calcReg1Seg3Comp1Payer1ShareLostR1+calcReg1Seg3Comp1Payer1ShareWonR1</f>
        <v>1.1000000000000073E-5</v>
      </c>
      <c r="I1583" s="511">
        <f>calcReg1Seg3Comp1Payer1ShareLostR1+calcReg1Seg3Comp1Payer1ShareWonR1</f>
        <v>1.1000000000000073E-5</v>
      </c>
    </row>
    <row r="1584" spans="1:10">
      <c r="E1584" s="511"/>
      <c r="F1584" s="511"/>
      <c r="G1584" s="511"/>
      <c r="H1584" s="511"/>
      <c r="I1584" s="511"/>
    </row>
    <row r="1585" spans="1:10" s="4" customFormat="1">
      <c r="D1585" s="4" t="s">
        <v>1534</v>
      </c>
      <c r="E1585" s="569">
        <f>SUM(E1582:E1584)</f>
        <v>1.816889473684211E-2</v>
      </c>
      <c r="F1585" s="569">
        <f t="shared" ref="F1585:I1585" si="71">SUM(F1582:F1584)</f>
        <v>1.816889473684211E-2</v>
      </c>
      <c r="G1585" s="569">
        <f t="shared" si="71"/>
        <v>1.816889473684211E-2</v>
      </c>
      <c r="H1585" s="569">
        <f t="shared" si="71"/>
        <v>1.816889473684211E-2</v>
      </c>
      <c r="I1585" s="569">
        <f t="shared" si="71"/>
        <v>1.816889473684211E-2</v>
      </c>
      <c r="J1585" s="4" t="s">
        <v>2108</v>
      </c>
    </row>
    <row r="1586" spans="1:10">
      <c r="E1586" s="511"/>
      <c r="F1586" s="511"/>
      <c r="G1586" s="511"/>
      <c r="H1586" s="511"/>
      <c r="I1586" s="511"/>
    </row>
    <row r="1587" spans="1:10">
      <c r="A1587" s="4" t="s">
        <v>623</v>
      </c>
      <c r="D1587" t="s">
        <v>1486</v>
      </c>
      <c r="E1587" s="511">
        <f>calcReg1Seg3Comp1Payer1TotalShareR1</f>
        <v>1.816889473684211E-2</v>
      </c>
      <c r="F1587" s="511">
        <f>calcReg1Seg3Comp1Payer1TotalShareR1</f>
        <v>1.816889473684211E-2</v>
      </c>
      <c r="G1587" s="511">
        <f>calcReg1Seg3Comp1Payer1TotalShareR1</f>
        <v>1.816889473684211E-2</v>
      </c>
      <c r="H1587" s="511">
        <f>calcReg1Seg3Comp1Payer1TotalShareR1</f>
        <v>1.816889473684211E-2</v>
      </c>
      <c r="I1587" s="511">
        <f>calcReg1Seg3Comp1Payer1TotalShareR1</f>
        <v>1.816889473684211E-2</v>
      </c>
    </row>
    <row r="1588" spans="1:10">
      <c r="D1588" t="s">
        <v>3745</v>
      </c>
      <c r="E1588" s="511">
        <f>calcReg1Seg3Comp1Payer1ShareLostR2+calcReg1Seg3Comp1Payer1ShareWonR2</f>
        <v>0</v>
      </c>
      <c r="F1588" s="511">
        <f>calcReg1Seg3Comp1Payer1ShareLostR2+calcReg1Seg3Comp1Payer1ShareWonR2</f>
        <v>0</v>
      </c>
      <c r="G1588" s="511">
        <f>calcReg1Seg3Comp1Payer1ShareLostR2+calcReg1Seg3Comp1Payer1ShareWonR2</f>
        <v>0</v>
      </c>
      <c r="H1588" s="511">
        <f>calcReg1Seg3Comp1Payer1ShareLostR2+calcReg1Seg3Comp1Payer1ShareWonR2</f>
        <v>0</v>
      </c>
      <c r="I1588" s="511">
        <f>calcReg1Seg3Comp1Payer1ShareLostR2+calcReg1Seg3Comp1Payer1ShareWonR2</f>
        <v>0</v>
      </c>
    </row>
    <row r="1589" spans="1:10">
      <c r="E1589" s="511"/>
      <c r="F1589" s="511"/>
      <c r="G1589" s="511"/>
      <c r="H1589" s="511"/>
      <c r="I1589" s="511"/>
    </row>
    <row r="1590" spans="1:10" s="4" customFormat="1">
      <c r="D1590" s="4" t="s">
        <v>1534</v>
      </c>
      <c r="E1590" s="569">
        <f>SUM(E1587:E1589)</f>
        <v>1.816889473684211E-2</v>
      </c>
      <c r="F1590" s="569">
        <f t="shared" ref="F1590:I1590" si="72">SUM(F1587:F1589)</f>
        <v>1.816889473684211E-2</v>
      </c>
      <c r="G1590" s="569">
        <f t="shared" si="72"/>
        <v>1.816889473684211E-2</v>
      </c>
      <c r="H1590" s="569">
        <f t="shared" si="72"/>
        <v>1.816889473684211E-2</v>
      </c>
      <c r="I1590" s="569">
        <f t="shared" si="72"/>
        <v>1.816889473684211E-2</v>
      </c>
      <c r="J1590" s="4" t="s">
        <v>2109</v>
      </c>
    </row>
    <row r="1591" spans="1:10">
      <c r="E1591" s="511"/>
      <c r="F1591" s="511"/>
      <c r="G1591" s="511"/>
      <c r="H1591" s="511"/>
      <c r="I1591" s="511"/>
    </row>
    <row r="1592" spans="1:10">
      <c r="A1592" s="4" t="s">
        <v>622</v>
      </c>
      <c r="B1592" t="str">
        <f>nmPayer2</f>
        <v>WesterAid</v>
      </c>
      <c r="D1592" t="s">
        <v>1486</v>
      </c>
      <c r="E1592" s="511">
        <f>obalReg1Seg3Comp1Payer2Share</f>
        <v>5.3906250000000005E-3</v>
      </c>
      <c r="F1592" s="511">
        <f>obalReg1Seg3Comp1Payer2Share</f>
        <v>5.3906250000000005E-3</v>
      </c>
      <c r="G1592" s="511">
        <f>obalReg1Seg3Comp1Payer2Share</f>
        <v>5.3906250000000005E-3</v>
      </c>
      <c r="H1592" s="511">
        <f>obalReg1Seg3Comp1Payer2Share</f>
        <v>5.3906250000000005E-3</v>
      </c>
      <c r="I1592" s="511">
        <f>obalReg1Seg3Comp1Payer2Share</f>
        <v>5.3906250000000005E-3</v>
      </c>
    </row>
    <row r="1593" spans="1:10">
      <c r="D1593" t="s">
        <v>3745</v>
      </c>
      <c r="E1593" s="511">
        <f>calcReg1Seg3Comp1Payer2ShareLostR1+calcReg1Seg3Comp1Payer2ShareWonR1</f>
        <v>0</v>
      </c>
      <c r="F1593" s="511">
        <f>calcReg1Seg3Comp1Payer2ShareLostR1+calcReg1Seg3Comp1Payer2ShareWonR1</f>
        <v>0</v>
      </c>
      <c r="G1593" s="511">
        <f>calcReg1Seg3Comp1Payer2ShareLostR1+calcReg1Seg3Comp1Payer2ShareWonR1</f>
        <v>0</v>
      </c>
      <c r="H1593" s="511">
        <f>calcReg1Seg3Comp1Payer2ShareLostR1+calcReg1Seg3Comp1Payer2ShareWonR1</f>
        <v>0</v>
      </c>
      <c r="I1593" s="511">
        <f>calcReg1Seg3Comp1Payer2ShareLostR1+calcReg1Seg3Comp1Payer2ShareWonR1</f>
        <v>0</v>
      </c>
    </row>
    <row r="1594" spans="1:10">
      <c r="E1594" s="511"/>
      <c r="F1594" s="511"/>
      <c r="G1594" s="511"/>
      <c r="H1594" s="511"/>
      <c r="I1594" s="511"/>
    </row>
    <row r="1595" spans="1:10" s="4" customFormat="1">
      <c r="D1595" s="4" t="s">
        <v>1534</v>
      </c>
      <c r="E1595" s="569">
        <f>SUM(E1592:E1594)</f>
        <v>5.3906250000000005E-3</v>
      </c>
      <c r="F1595" s="569">
        <f t="shared" ref="F1595:I1595" si="73">SUM(F1592:F1594)</f>
        <v>5.3906250000000005E-3</v>
      </c>
      <c r="G1595" s="569">
        <f t="shared" si="73"/>
        <v>5.3906250000000005E-3</v>
      </c>
      <c r="H1595" s="569">
        <f t="shared" si="73"/>
        <v>5.3906250000000005E-3</v>
      </c>
      <c r="I1595" s="569">
        <f t="shared" si="73"/>
        <v>5.3906250000000005E-3</v>
      </c>
      <c r="J1595" s="4" t="s">
        <v>2110</v>
      </c>
    </row>
    <row r="1596" spans="1:10">
      <c r="E1596" s="511"/>
      <c r="F1596" s="511"/>
      <c r="G1596" s="511"/>
      <c r="H1596" s="511"/>
      <c r="I1596" s="511"/>
    </row>
    <row r="1597" spans="1:10">
      <c r="A1597" s="4" t="s">
        <v>623</v>
      </c>
      <c r="D1597" t="s">
        <v>1486</v>
      </c>
      <c r="E1597" s="511">
        <f>calcReg1Seg3Comp1Payer2TotalShareR1</f>
        <v>5.3906250000000005E-3</v>
      </c>
      <c r="F1597" s="511">
        <f>calcReg1Seg3Comp1Payer2TotalShareR1</f>
        <v>5.3906250000000005E-3</v>
      </c>
      <c r="G1597" s="511">
        <f>calcReg1Seg3Comp1Payer2TotalShareR1</f>
        <v>5.3906250000000005E-3</v>
      </c>
      <c r="H1597" s="511">
        <f>calcReg1Seg3Comp1Payer2TotalShareR1</f>
        <v>5.3906250000000005E-3</v>
      </c>
      <c r="I1597" s="511">
        <f>calcReg1Seg3Comp1Payer2TotalShareR1</f>
        <v>5.3906250000000005E-3</v>
      </c>
    </row>
    <row r="1598" spans="1:10">
      <c r="D1598" t="s">
        <v>3745</v>
      </c>
      <c r="E1598" s="511">
        <f>calcReg1Seg3Comp1Payer2ShareLostR2+calcReg1Seg3Comp1Payer2ShareWonR2</f>
        <v>0</v>
      </c>
      <c r="F1598" s="511">
        <f>calcReg1Seg3Comp1Payer2ShareLostR2+calcReg1Seg3Comp1Payer2ShareWonR2</f>
        <v>0</v>
      </c>
      <c r="G1598" s="511">
        <f>calcReg1Seg3Comp1Payer2ShareLostR2+calcReg1Seg3Comp1Payer2ShareWonR2</f>
        <v>0</v>
      </c>
      <c r="H1598" s="511">
        <f>calcReg1Seg3Comp1Payer2ShareLostR2+calcReg1Seg3Comp1Payer2ShareWonR2</f>
        <v>0</v>
      </c>
      <c r="I1598" s="511">
        <f>calcReg1Seg3Comp1Payer2ShareLostR2+calcReg1Seg3Comp1Payer2ShareWonR2</f>
        <v>0</v>
      </c>
    </row>
    <row r="1599" spans="1:10">
      <c r="E1599" s="511"/>
      <c r="F1599" s="511"/>
      <c r="G1599" s="511"/>
      <c r="H1599" s="511"/>
      <c r="I1599" s="511"/>
    </row>
    <row r="1600" spans="1:10" s="4" customFormat="1">
      <c r="D1600" s="4" t="s">
        <v>1534</v>
      </c>
      <c r="E1600" s="569">
        <f>SUM(E1597:E1599)</f>
        <v>5.3906250000000005E-3</v>
      </c>
      <c r="F1600" s="569">
        <f t="shared" ref="F1600:I1600" si="74">SUM(F1597:F1599)</f>
        <v>5.3906250000000005E-3</v>
      </c>
      <c r="G1600" s="569">
        <f t="shared" si="74"/>
        <v>5.3906250000000005E-3</v>
      </c>
      <c r="H1600" s="569">
        <f t="shared" si="74"/>
        <v>5.3906250000000005E-3</v>
      </c>
      <c r="I1600" s="569">
        <f t="shared" si="74"/>
        <v>5.3906250000000005E-3</v>
      </c>
      <c r="J1600" s="4" t="s">
        <v>2111</v>
      </c>
    </row>
    <row r="1601" spans="1:10">
      <c r="E1601" s="511"/>
      <c r="F1601" s="511"/>
      <c r="G1601" s="511"/>
      <c r="H1601" s="511"/>
      <c r="I1601" s="511"/>
    </row>
    <row r="1602" spans="1:10">
      <c r="A1602" s="4" t="s">
        <v>622</v>
      </c>
      <c r="B1602" t="str">
        <f>nmPayer3</f>
        <v>Dragon Health</v>
      </c>
      <c r="D1602" t="s">
        <v>1486</v>
      </c>
      <c r="E1602" s="511">
        <f>obalReg1Seg3Comp1Payer3Share</f>
        <v>9.5833333333333361E-3</v>
      </c>
      <c r="F1602" s="511">
        <f>obalReg1Seg3Comp1Payer3Share</f>
        <v>9.5833333333333361E-3</v>
      </c>
      <c r="G1602" s="511">
        <f>obalReg1Seg3Comp1Payer3Share</f>
        <v>9.5833333333333361E-3</v>
      </c>
      <c r="H1602" s="511">
        <f>obalReg1Seg3Comp1Payer3Share</f>
        <v>9.5833333333333361E-3</v>
      </c>
      <c r="I1602" s="511">
        <f>obalReg1Seg3Comp1Payer3Share</f>
        <v>9.5833333333333361E-3</v>
      </c>
    </row>
    <row r="1603" spans="1:10">
      <c r="D1603" t="s">
        <v>3745</v>
      </c>
      <c r="E1603" s="511">
        <f>calcReg1Seg3Comp1Payer3ShareLostR1+calcReg1Seg3Comp1Payer3ShareWonR1</f>
        <v>8.9999999999999799E-6</v>
      </c>
      <c r="F1603" s="511">
        <f>calcReg1Seg3Comp1Payer3ShareLostR1+calcReg1Seg3Comp1Payer3ShareWonR1</f>
        <v>8.9999999999999799E-6</v>
      </c>
      <c r="G1603" s="511">
        <f>calcReg1Seg3Comp1Payer3ShareLostR1+calcReg1Seg3Comp1Payer3ShareWonR1</f>
        <v>8.9999999999999799E-6</v>
      </c>
      <c r="H1603" s="511">
        <f>calcReg1Seg3Comp1Payer3ShareLostR1+calcReg1Seg3Comp1Payer3ShareWonR1</f>
        <v>8.9999999999999799E-6</v>
      </c>
      <c r="I1603" s="511">
        <f>calcReg1Seg3Comp1Payer3ShareLostR1+calcReg1Seg3Comp1Payer3ShareWonR1</f>
        <v>8.9999999999999799E-6</v>
      </c>
    </row>
    <row r="1604" spans="1:10">
      <c r="E1604" s="511"/>
      <c r="F1604" s="511"/>
      <c r="G1604" s="511"/>
      <c r="H1604" s="511"/>
      <c r="I1604" s="511"/>
    </row>
    <row r="1605" spans="1:10" s="4" customFormat="1">
      <c r="D1605" s="4" t="s">
        <v>1534</v>
      </c>
      <c r="E1605" s="569">
        <f>SUM(E1602:E1604)</f>
        <v>9.5923333333333364E-3</v>
      </c>
      <c r="F1605" s="569">
        <f t="shared" ref="F1605:I1605" si="75">SUM(F1602:F1604)</f>
        <v>9.5923333333333364E-3</v>
      </c>
      <c r="G1605" s="569">
        <f t="shared" si="75"/>
        <v>9.5923333333333364E-3</v>
      </c>
      <c r="H1605" s="569">
        <f t="shared" si="75"/>
        <v>9.5923333333333364E-3</v>
      </c>
      <c r="I1605" s="569">
        <f t="shared" si="75"/>
        <v>9.5923333333333364E-3</v>
      </c>
      <c r="J1605" s="4" t="s">
        <v>2112</v>
      </c>
    </row>
    <row r="1606" spans="1:10">
      <c r="E1606" s="511"/>
      <c r="F1606" s="511"/>
      <c r="G1606" s="511"/>
      <c r="H1606" s="511"/>
      <c r="I1606" s="511"/>
    </row>
    <row r="1607" spans="1:10">
      <c r="A1607" s="4" t="s">
        <v>623</v>
      </c>
      <c r="D1607" t="s">
        <v>1486</v>
      </c>
      <c r="E1607" s="511">
        <f>calcReg1Seg3Comp1Payer3TotalShareR1</f>
        <v>9.5923333333333364E-3</v>
      </c>
      <c r="F1607" s="511">
        <f>calcReg1Seg3Comp1Payer3TotalShareR1</f>
        <v>9.5923333333333364E-3</v>
      </c>
      <c r="G1607" s="511">
        <f>calcReg1Seg3Comp1Payer3TotalShareR1</f>
        <v>9.5923333333333364E-3</v>
      </c>
      <c r="H1607" s="511">
        <f>calcReg1Seg3Comp1Payer3TotalShareR1</f>
        <v>9.5923333333333364E-3</v>
      </c>
      <c r="I1607" s="511">
        <f>calcReg1Seg3Comp1Payer3TotalShareR1</f>
        <v>9.5923333333333364E-3</v>
      </c>
    </row>
    <row r="1608" spans="1:10">
      <c r="D1608" t="s">
        <v>3745</v>
      </c>
      <c r="E1608" s="511">
        <f>calcReg1Seg3Comp1Payer3ShareLostR2+calcReg1Seg3Comp1Payer3ShareWonR2</f>
        <v>0</v>
      </c>
      <c r="F1608" s="511">
        <f>calcReg1Seg3Comp1Payer3ShareLostR2+calcReg1Seg3Comp1Payer3ShareWonR2</f>
        <v>0</v>
      </c>
      <c r="G1608" s="511">
        <f>calcReg1Seg3Comp1Payer3ShareLostR2+calcReg1Seg3Comp1Payer3ShareWonR2</f>
        <v>0</v>
      </c>
      <c r="H1608" s="511">
        <f>calcReg1Seg3Comp1Payer3ShareLostR2+calcReg1Seg3Comp1Payer3ShareWonR2</f>
        <v>0</v>
      </c>
      <c r="I1608" s="511">
        <f>calcReg1Seg3Comp1Payer3ShareLostR2+calcReg1Seg3Comp1Payer3ShareWonR2</f>
        <v>0</v>
      </c>
    </row>
    <row r="1609" spans="1:10">
      <c r="E1609" s="511"/>
      <c r="F1609" s="511"/>
      <c r="G1609" s="511"/>
      <c r="H1609" s="511"/>
      <c r="I1609" s="511"/>
    </row>
    <row r="1610" spans="1:10" s="4" customFormat="1">
      <c r="D1610" s="4" t="s">
        <v>1534</v>
      </c>
      <c r="E1610" s="569">
        <f>SUM(E1607:E1609)</f>
        <v>9.5923333333333364E-3</v>
      </c>
      <c r="F1610" s="569">
        <f t="shared" ref="F1610:I1610" si="76">SUM(F1607:F1609)</f>
        <v>9.5923333333333364E-3</v>
      </c>
      <c r="G1610" s="569">
        <f t="shared" si="76"/>
        <v>9.5923333333333364E-3</v>
      </c>
      <c r="H1610" s="569">
        <f t="shared" si="76"/>
        <v>9.5923333333333364E-3</v>
      </c>
      <c r="I1610" s="569">
        <f t="shared" si="76"/>
        <v>9.5923333333333364E-3</v>
      </c>
      <c r="J1610" s="4" t="s">
        <v>2113</v>
      </c>
    </row>
    <row r="1612" spans="1:10">
      <c r="A1612" s="4" t="s">
        <v>1945</v>
      </c>
    </row>
    <row r="1613" spans="1:10">
      <c r="A1613" t="s">
        <v>622</v>
      </c>
      <c r="B1613" s="4" t="str">
        <f>nmReg1Seg1</f>
        <v>Riverrun</v>
      </c>
    </row>
    <row r="1614" spans="1:10">
      <c r="B1614" s="4"/>
      <c r="C1614" t="str">
        <f>nmPayer1</f>
        <v>Blue Sword/Blue Shield</v>
      </c>
      <c r="E1614">
        <f>(calcReg1Seg1Comp1Payer1TotalShareR1*calcReg1Seg1Payer1TotalVolumeR1)</f>
        <v>547.52935106099983</v>
      </c>
      <c r="F1614">
        <f>(calcReg1Seg1Comp1Payer1TotalShareR1*calcReg1Seg1Payer1TotalVolumeR1)</f>
        <v>547.52935106099983</v>
      </c>
      <c r="G1614">
        <f>(calcReg1Seg1Comp1Payer1TotalShareR1*calcReg1Seg1Payer1TotalVolumeR1)</f>
        <v>547.52935106099983</v>
      </c>
      <c r="H1614">
        <f>(calcReg1Seg1Comp1Payer1TotalShareR1*calcReg1Seg1Payer1TotalVolumeR1)</f>
        <v>547.52935106099983</v>
      </c>
      <c r="I1614">
        <f>(calcReg1Seg1Comp1Payer1TotalShareR1*calcReg1Seg1Payer1TotalVolumeR1)</f>
        <v>547.52935106099983</v>
      </c>
      <c r="J1614" t="s">
        <v>2132</v>
      </c>
    </row>
    <row r="1615" spans="1:10">
      <c r="B1615" s="4"/>
      <c r="C1615" t="str">
        <f>nmPayer2</f>
        <v>WesterAid</v>
      </c>
      <c r="E1615">
        <f>(calcReg1Seg1Comp1Payer2TotalShareR1*calcReg1Seg1Payer2TotalVolumeR1)</f>
        <v>268.1419019999999</v>
      </c>
      <c r="F1615">
        <f>(calcReg1Seg1Comp1Payer2TotalShareR1*calcReg1Seg1Payer2TotalVolumeR1)</f>
        <v>268.1419019999999</v>
      </c>
      <c r="G1615">
        <f>(calcReg1Seg1Comp1Payer2TotalShareR1*calcReg1Seg1Payer2TotalVolumeR1)</f>
        <v>268.1419019999999</v>
      </c>
      <c r="H1615">
        <f>(calcReg1Seg1Comp1Payer2TotalShareR1*calcReg1Seg1Payer2TotalVolumeR1)</f>
        <v>268.1419019999999</v>
      </c>
      <c r="I1615">
        <f>(calcReg1Seg1Comp1Payer2TotalShareR1*calcReg1Seg1Payer2TotalVolumeR1)</f>
        <v>268.1419019999999</v>
      </c>
      <c r="J1615" t="s">
        <v>2133</v>
      </c>
    </row>
    <row r="1616" spans="1:10">
      <c r="B1616" s="4"/>
      <c r="C1616" t="str">
        <f>nmPayer3</f>
        <v>Dragon Health</v>
      </c>
      <c r="E1616">
        <f>(calcReg1Seg1Comp1Payer3TotalShareR1*calcReg1Seg1Payer3TotalVolumeR1)</f>
        <v>272.63079961919993</v>
      </c>
      <c r="F1616">
        <f>(calcReg1Seg1Comp1Payer3TotalShareR1*calcReg1Seg1Payer3TotalVolumeR1)</f>
        <v>272.63079961919993</v>
      </c>
      <c r="G1616">
        <f>(calcReg1Seg1Comp1Payer3TotalShareR1*calcReg1Seg1Payer3TotalVolumeR1)</f>
        <v>272.63079961919993</v>
      </c>
      <c r="H1616">
        <f>(calcReg1Seg1Comp1Payer3TotalShareR1*calcReg1Seg1Payer3TotalVolumeR1)</f>
        <v>272.63079961919993</v>
      </c>
      <c r="I1616">
        <f>(calcReg1Seg1Comp1Payer3TotalShareR1*calcReg1Seg1Payer3TotalVolumeR1)</f>
        <v>272.63079961919993</v>
      </c>
      <c r="J1616" t="s">
        <v>2134</v>
      </c>
    </row>
    <row r="1617" spans="1:10" s="4" customFormat="1">
      <c r="C1617" s="4" t="s">
        <v>1860</v>
      </c>
      <c r="E1617" s="457">
        <f>calcReg1Seg1Comp1Payer1TotalCustR1+calcReg1Seg1Comp1Payer2TotalCustR1+calcReg1Seg1Comp1Payer3TotalCustR1</f>
        <v>1088.3020526801997</v>
      </c>
      <c r="F1617" s="457">
        <f>calcReg1Seg1Comp1Payer1TotalCustR1+calcReg1Seg1Comp1Payer2TotalCustR1+calcReg1Seg1Comp1Payer3TotalCustR1</f>
        <v>1088.3020526801997</v>
      </c>
      <c r="G1617" s="457">
        <f>calcReg1Seg1Comp1Payer1TotalCustR1+calcReg1Seg1Comp1Payer2TotalCustR1+calcReg1Seg1Comp1Payer3TotalCustR1</f>
        <v>1088.3020526801997</v>
      </c>
      <c r="H1617" s="457">
        <f>calcReg1Seg1Comp1Payer1TotalCustR1+calcReg1Seg1Comp1Payer2TotalCustR1+calcReg1Seg1Comp1Payer3TotalCustR1</f>
        <v>1088.3020526801997</v>
      </c>
      <c r="I1617" s="457">
        <f>calcReg1Seg1Comp1Payer1TotalCustR1+calcReg1Seg1Comp1Payer2TotalCustR1+calcReg1Seg1Comp1Payer3TotalCustR1</f>
        <v>1088.3020526801997</v>
      </c>
      <c r="J1617" s="4" t="s">
        <v>2138</v>
      </c>
    </row>
    <row r="1618" spans="1:10">
      <c r="B1618" s="4"/>
      <c r="E1618" s="511">
        <f>calcReg1Seg1Comp1TotalCustR1/calcReg1Seg1TotalVolumeR1</f>
        <v>9.3472113712931171E-3</v>
      </c>
      <c r="F1618" s="511">
        <f>calcReg1Seg1Comp1TotalCustR1/calcReg1Seg1TotalVolumeR1</f>
        <v>9.3472113712931171E-3</v>
      </c>
      <c r="G1618" s="511">
        <f>calcReg1Seg1Comp1TotalCustR1/calcReg1Seg1TotalVolumeR1</f>
        <v>9.3472113712931171E-3</v>
      </c>
      <c r="H1618" s="511">
        <f>calcReg1Seg1Comp1TotalCustR1/calcReg1Seg1TotalVolumeR1</f>
        <v>9.3472113712931171E-3</v>
      </c>
      <c r="I1618" s="511">
        <f>calcReg1Seg1Comp1TotalCustR1/calcReg1Seg1TotalVolumeR1</f>
        <v>9.3472113712931171E-3</v>
      </c>
      <c r="J1618" t="s">
        <v>2156</v>
      </c>
    </row>
    <row r="1619" spans="1:10">
      <c r="A1619" s="510" t="s">
        <v>623</v>
      </c>
      <c r="B1619" s="4"/>
      <c r="C1619" t="str">
        <f>nmPayer1</f>
        <v>Blue Sword/Blue Shield</v>
      </c>
      <c r="E1619">
        <f>(calcReg1Seg1Comp1Payer1TotalShareR2*calcReg1Seg1Payer1TotalVolumeR2)</f>
        <v>623.43274932581983</v>
      </c>
      <c r="F1619">
        <f>(calcReg1Seg1Comp1Payer1TotalShareR2*calcReg1Seg1Payer1TotalVolumeR2)</f>
        <v>623.43274932581983</v>
      </c>
      <c r="G1619">
        <f>(calcReg1Seg1Comp1Payer1TotalShareR2*calcReg1Seg1Payer1TotalVolumeR2)</f>
        <v>623.43274932581983</v>
      </c>
      <c r="H1619">
        <f>(calcReg1Seg1Comp1Payer1TotalShareR2*calcReg1Seg1Payer1TotalVolumeR2)</f>
        <v>623.43274932581983</v>
      </c>
      <c r="I1619">
        <f>(calcReg1Seg1Comp1Payer1TotalShareR2*calcReg1Seg1Payer1TotalVolumeR2)</f>
        <v>623.43274932581983</v>
      </c>
      <c r="J1619" t="s">
        <v>2135</v>
      </c>
    </row>
    <row r="1620" spans="1:10">
      <c r="B1620" s="4"/>
      <c r="C1620" t="str">
        <f>nmPayer2</f>
        <v>WesterAid</v>
      </c>
      <c r="E1620">
        <f>(calcReg1Seg1Comp1Payer2TotalShareR2*calcReg1Seg1Payer2TotalVolumeR2)</f>
        <v>303.54465980999993</v>
      </c>
      <c r="F1620">
        <f>(calcReg1Seg1Comp1Payer2TotalShareR2*calcReg1Seg1Payer2TotalVolumeR2)</f>
        <v>303.54465980999993</v>
      </c>
      <c r="G1620">
        <f>(calcReg1Seg1Comp1Payer2TotalShareR2*calcReg1Seg1Payer2TotalVolumeR2)</f>
        <v>303.54465980999993</v>
      </c>
      <c r="H1620">
        <f>(calcReg1Seg1Comp1Payer2TotalShareR2*calcReg1Seg1Payer2TotalVolumeR2)</f>
        <v>303.54465980999993</v>
      </c>
      <c r="I1620">
        <f>(calcReg1Seg1Comp1Payer2TotalShareR2*calcReg1Seg1Payer2TotalVolumeR2)</f>
        <v>303.54465980999993</v>
      </c>
      <c r="J1620" t="s">
        <v>2136</v>
      </c>
    </row>
    <row r="1621" spans="1:10">
      <c r="B1621" s="4"/>
      <c r="C1621" t="str">
        <f>nmPayer3</f>
        <v>Dragon Health</v>
      </c>
      <c r="E1621">
        <f>(calcReg1Seg1Comp1Payer3TotalShareR2*calcReg1Seg1Payer3TotalVolumeR2)</f>
        <v>310.02242692596599</v>
      </c>
      <c r="F1621">
        <f>(calcReg1Seg1Comp1Payer3TotalShareR2*calcReg1Seg1Payer3TotalVolumeR2)</f>
        <v>310.02242692596599</v>
      </c>
      <c r="G1621">
        <f>(calcReg1Seg1Comp1Payer3TotalShareR2*calcReg1Seg1Payer3TotalVolumeR2)</f>
        <v>310.02242692596599</v>
      </c>
      <c r="H1621">
        <f>(calcReg1Seg1Comp1Payer3TotalShareR2*calcReg1Seg1Payer3TotalVolumeR2)</f>
        <v>310.02242692596599</v>
      </c>
      <c r="I1621">
        <f>(calcReg1Seg1Comp1Payer3TotalShareR2*calcReg1Seg1Payer3TotalVolumeR2)</f>
        <v>310.02242692596599</v>
      </c>
      <c r="J1621" t="s">
        <v>2137</v>
      </c>
    </row>
    <row r="1622" spans="1:10" s="4" customFormat="1">
      <c r="C1622" s="4" t="s">
        <v>1860</v>
      </c>
      <c r="E1622" s="457">
        <f>calcReg1Seg1Comp1Payer1TotalCustR2+calcReg1Seg1Comp1Payer2TotalCustR2+calcReg1Seg1Comp1Payer3TotalCustR2</f>
        <v>1236.9998360617856</v>
      </c>
      <c r="F1622" s="457">
        <f>calcReg1Seg1Comp1Payer1TotalCustR2+calcReg1Seg1Comp1Payer2TotalCustR2+calcReg1Seg1Comp1Payer3TotalCustR2</f>
        <v>1236.9998360617856</v>
      </c>
      <c r="G1622" s="457">
        <f>calcReg1Seg1Comp1Payer1TotalCustR2+calcReg1Seg1Comp1Payer2TotalCustR2+calcReg1Seg1Comp1Payer3TotalCustR2</f>
        <v>1236.9998360617856</v>
      </c>
      <c r="H1622" s="457">
        <f>calcReg1Seg1Comp1Payer1TotalCustR2+calcReg1Seg1Comp1Payer2TotalCustR2+calcReg1Seg1Comp1Payer3TotalCustR2</f>
        <v>1236.9998360617856</v>
      </c>
      <c r="I1622" s="457">
        <f>calcReg1Seg1Comp1Payer1TotalCustR2+calcReg1Seg1Comp1Payer2TotalCustR2+calcReg1Seg1Comp1Payer3TotalCustR2</f>
        <v>1236.9998360617856</v>
      </c>
      <c r="J1622" s="4" t="s">
        <v>2139</v>
      </c>
    </row>
    <row r="1623" spans="1:10">
      <c r="B1623" s="4"/>
      <c r="E1623" s="511">
        <f>calcReg1Seg1Comp1TotalCustR2/calcReg1Seg1TotalVolumeR2</f>
        <v>9.3509201685342477E-3</v>
      </c>
      <c r="F1623" s="511">
        <f>calcReg1Seg1Comp1TotalCustR2/calcReg1Seg1TotalVolumeR2</f>
        <v>9.3509201685342477E-3</v>
      </c>
      <c r="G1623" s="511">
        <f>calcReg1Seg1Comp1TotalCustR2/calcReg1Seg1TotalVolumeR2</f>
        <v>9.3509201685342477E-3</v>
      </c>
      <c r="H1623" s="511">
        <f>calcReg1Seg1Comp1TotalCustR2/calcReg1Seg1TotalVolumeR2</f>
        <v>9.3509201685342477E-3</v>
      </c>
      <c r="I1623" s="511">
        <f>calcReg1Seg1Comp1TotalCustR2/calcReg1Seg1TotalVolumeR2</f>
        <v>9.3509201685342477E-3</v>
      </c>
      <c r="J1623" t="s">
        <v>2157</v>
      </c>
    </row>
    <row r="1624" spans="1:10">
      <c r="A1624" t="s">
        <v>622</v>
      </c>
      <c r="B1624" s="4" t="str">
        <f>nmReg1Seg2</f>
        <v>Winterfell</v>
      </c>
    </row>
    <row r="1625" spans="1:10">
      <c r="B1625" s="4"/>
      <c r="C1625" t="str">
        <f>nmPayer1</f>
        <v>Blue Sword/Blue Shield</v>
      </c>
      <c r="E1625">
        <f>(calcReg1Seg2Comp1Payer1TotalShareR1*calcReg1Seg2Payer1TotalVolumeR1)</f>
        <v>434.53100696199999</v>
      </c>
      <c r="F1625">
        <f>(calcReg1Seg2Comp1Payer1TotalShareR1*calcReg1Seg2Payer1TotalVolumeR1)</f>
        <v>434.53100696199999</v>
      </c>
      <c r="G1625">
        <f>(calcReg1Seg2Comp1Payer1TotalShareR1*calcReg1Seg2Payer1TotalVolumeR1)</f>
        <v>434.53100696199999</v>
      </c>
      <c r="H1625">
        <f>(calcReg1Seg2Comp1Payer1TotalShareR1*calcReg1Seg2Payer1TotalVolumeR1)</f>
        <v>434.53100696199999</v>
      </c>
      <c r="I1625">
        <f>(calcReg1Seg2Comp1Payer1TotalShareR1*calcReg1Seg2Payer1TotalVolumeR1)</f>
        <v>434.53100696199999</v>
      </c>
      <c r="J1625" t="s">
        <v>2140</v>
      </c>
    </row>
    <row r="1626" spans="1:10">
      <c r="B1626" s="4"/>
      <c r="C1626" t="str">
        <f>nmPayer2</f>
        <v>WesterAid</v>
      </c>
      <c r="E1626">
        <f>(calcReg1Seg2Comp1Payer2TotalShareR1*calcReg1Seg2Payer2TotalVolumeR1)</f>
        <v>214.66249805357143</v>
      </c>
      <c r="F1626">
        <f>(calcReg1Seg2Comp1Payer2TotalShareR1*calcReg1Seg2Payer2TotalVolumeR1)</f>
        <v>214.66249805357143</v>
      </c>
      <c r="G1626">
        <f>(calcReg1Seg2Comp1Payer2TotalShareR1*calcReg1Seg2Payer2TotalVolumeR1)</f>
        <v>214.66249805357143</v>
      </c>
      <c r="H1626">
        <f>(calcReg1Seg2Comp1Payer2TotalShareR1*calcReg1Seg2Payer2TotalVolumeR1)</f>
        <v>214.66249805357143</v>
      </c>
      <c r="I1626">
        <f>(calcReg1Seg2Comp1Payer2TotalShareR1*calcReg1Seg2Payer2TotalVolumeR1)</f>
        <v>214.66249805357143</v>
      </c>
      <c r="J1626" t="s">
        <v>2141</v>
      </c>
    </row>
    <row r="1627" spans="1:10">
      <c r="B1627" s="4"/>
      <c r="C1627" t="str">
        <f>nmPayer3</f>
        <v>Dragon Health</v>
      </c>
      <c r="E1627">
        <f>(calcReg1Seg2Comp1Payer3TotalShareR1*calcReg1Seg2Payer3TotalVolumeR1)</f>
        <v>234.07598860631538</v>
      </c>
      <c r="F1627">
        <f>(calcReg1Seg2Comp1Payer3TotalShareR1*calcReg1Seg2Payer3TotalVolumeR1)</f>
        <v>234.07598860631538</v>
      </c>
      <c r="G1627">
        <f>(calcReg1Seg2Comp1Payer3TotalShareR1*calcReg1Seg2Payer3TotalVolumeR1)</f>
        <v>234.07598860631538</v>
      </c>
      <c r="H1627">
        <f>(calcReg1Seg2Comp1Payer3TotalShareR1*calcReg1Seg2Payer3TotalVolumeR1)</f>
        <v>234.07598860631538</v>
      </c>
      <c r="I1627">
        <f>(calcReg1Seg2Comp1Payer3TotalShareR1*calcReg1Seg2Payer3TotalVolumeR1)</f>
        <v>234.07598860631538</v>
      </c>
      <c r="J1627" t="s">
        <v>2142</v>
      </c>
    </row>
    <row r="1628" spans="1:10" s="4" customFormat="1">
      <c r="C1628" s="4" t="s">
        <v>1860</v>
      </c>
      <c r="E1628" s="457">
        <f>calcReg1Seg2Comp1Payer1TotalCustR1+calcReg1Seg2Comp1Payer2TotalCustR1+calcReg1Seg2Comp1Payer3TotalCustR1</f>
        <v>883.2694936218868</v>
      </c>
      <c r="F1628" s="457">
        <f>calcReg1Seg2Comp1Payer1TotalCustR1+calcReg1Seg2Comp1Payer2TotalCustR1+calcReg1Seg2Comp1Payer3TotalCustR1</f>
        <v>883.2694936218868</v>
      </c>
      <c r="G1628" s="457">
        <f>calcReg1Seg2Comp1Payer1TotalCustR1+calcReg1Seg2Comp1Payer2TotalCustR1+calcReg1Seg2Comp1Payer3TotalCustR1</f>
        <v>883.2694936218868</v>
      </c>
      <c r="H1628" s="457">
        <f>calcReg1Seg2Comp1Payer1TotalCustR1+calcReg1Seg2Comp1Payer2TotalCustR1+calcReg1Seg2Comp1Payer3TotalCustR1</f>
        <v>883.2694936218868</v>
      </c>
      <c r="I1628" s="457">
        <f>calcReg1Seg2Comp1Payer1TotalCustR1+calcReg1Seg2Comp1Payer2TotalCustR1+calcReg1Seg2Comp1Payer3TotalCustR1</f>
        <v>883.2694936218868</v>
      </c>
      <c r="J1628" s="4" t="s">
        <v>2143</v>
      </c>
    </row>
    <row r="1629" spans="1:10">
      <c r="B1629" s="4"/>
      <c r="E1629" s="511">
        <f>calcReg1Seg2Comp1TotalCustR1/calcReg1Seg2TotalVolumeR1</f>
        <v>8.6017714361725228E-3</v>
      </c>
      <c r="F1629" s="511">
        <f>calcReg1Seg2Comp1TotalCustR1/calcReg1Seg2TotalVolumeR1</f>
        <v>8.6017714361725228E-3</v>
      </c>
      <c r="G1629" s="511">
        <f>calcReg1Seg2Comp1TotalCustR1/calcReg1Seg2TotalVolumeR1</f>
        <v>8.6017714361725228E-3</v>
      </c>
      <c r="H1629" s="511">
        <f>calcReg1Seg2Comp1TotalCustR1/calcReg1Seg2TotalVolumeR1</f>
        <v>8.6017714361725228E-3</v>
      </c>
      <c r="I1629" s="511">
        <f>calcReg1Seg2Comp1TotalCustR1/calcReg1Seg2TotalVolumeR1</f>
        <v>8.6017714361725228E-3</v>
      </c>
      <c r="J1629" t="s">
        <v>2158</v>
      </c>
    </row>
    <row r="1630" spans="1:10">
      <c r="A1630" s="510" t="s">
        <v>623</v>
      </c>
      <c r="B1630" s="4"/>
      <c r="C1630" t="str">
        <f>nmPayer1</f>
        <v>Blue Sword/Blue Shield</v>
      </c>
      <c r="E1630">
        <f>(calcReg1Seg2Comp1Payer1TotalShareR2*calcReg1Seg2Payer1TotalVolumeR2)</f>
        <v>491.02003786706001</v>
      </c>
      <c r="F1630">
        <f>(calcReg1Seg2Comp1Payer1TotalShareR2*calcReg1Seg2Payer1TotalVolumeR2)</f>
        <v>491.02003786706001</v>
      </c>
      <c r="G1630">
        <f>(calcReg1Seg2Comp1Payer1TotalShareR2*calcReg1Seg2Payer1TotalVolumeR2)</f>
        <v>491.02003786706001</v>
      </c>
      <c r="H1630">
        <f>(calcReg1Seg2Comp1Payer1TotalShareR2*calcReg1Seg2Payer1TotalVolumeR2)</f>
        <v>491.02003786706001</v>
      </c>
      <c r="I1630">
        <f>(calcReg1Seg2Comp1Payer1TotalShareR2*calcReg1Seg2Payer1TotalVolumeR2)</f>
        <v>491.02003786706001</v>
      </c>
      <c r="J1630" t="s">
        <v>2144</v>
      </c>
    </row>
    <row r="1631" spans="1:10">
      <c r="B1631" s="4"/>
      <c r="C1631" t="str">
        <f>nmPayer2</f>
        <v>WesterAid</v>
      </c>
      <c r="E1631">
        <f>(calcReg1Seg2Comp1Payer2TotalShareR2*calcReg1Seg2Payer2TotalVolumeR2)</f>
        <v>242.56862280053573</v>
      </c>
      <c r="F1631">
        <f>(calcReg1Seg2Comp1Payer2TotalShareR2*calcReg1Seg2Payer2TotalVolumeR2)</f>
        <v>242.56862280053573</v>
      </c>
      <c r="G1631">
        <f>(calcReg1Seg2Comp1Payer2TotalShareR2*calcReg1Seg2Payer2TotalVolumeR2)</f>
        <v>242.56862280053573</v>
      </c>
      <c r="H1631">
        <f>(calcReg1Seg2Comp1Payer2TotalShareR2*calcReg1Seg2Payer2TotalVolumeR2)</f>
        <v>242.56862280053573</v>
      </c>
      <c r="I1631">
        <f>(calcReg1Seg2Comp1Payer2TotalShareR2*calcReg1Seg2Payer2TotalVolumeR2)</f>
        <v>242.56862280053573</v>
      </c>
      <c r="J1631" t="s">
        <v>2145</v>
      </c>
    </row>
    <row r="1632" spans="1:10">
      <c r="B1632" s="4"/>
      <c r="C1632" t="str">
        <f>nmPayer3</f>
        <v>Dragon Health</v>
      </c>
      <c r="E1632">
        <f>(calcReg1Seg2Comp1Payer3TotalShareR2*calcReg1Seg2Payer3TotalVolumeR2)</f>
        <v>264.50586712513638</v>
      </c>
      <c r="F1632">
        <f>(calcReg1Seg2Comp1Payer3TotalShareR2*calcReg1Seg2Payer3TotalVolumeR2)</f>
        <v>264.50586712513638</v>
      </c>
      <c r="G1632">
        <f>(calcReg1Seg2Comp1Payer3TotalShareR2*calcReg1Seg2Payer3TotalVolumeR2)</f>
        <v>264.50586712513638</v>
      </c>
      <c r="H1632">
        <f>(calcReg1Seg2Comp1Payer3TotalShareR2*calcReg1Seg2Payer3TotalVolumeR2)</f>
        <v>264.50586712513638</v>
      </c>
      <c r="I1632">
        <f>(calcReg1Seg2Comp1Payer3TotalShareR2*calcReg1Seg2Payer3TotalVolumeR2)</f>
        <v>264.50586712513638</v>
      </c>
      <c r="J1632" t="s">
        <v>2146</v>
      </c>
    </row>
    <row r="1633" spans="1:10" s="4" customFormat="1">
      <c r="C1633" s="4" t="s">
        <v>1860</v>
      </c>
      <c r="E1633" s="457">
        <f>calcReg1Seg2Comp1Payer1TotalCustR2+calcReg1Seg2Comp1Payer2TotalCustR2+calcReg1Seg2Comp1Payer3TotalCustR2</f>
        <v>998.09452779273215</v>
      </c>
      <c r="F1633" s="457">
        <f>calcReg1Seg2Comp1Payer1TotalCustR2+calcReg1Seg2Comp1Payer2TotalCustR2+calcReg1Seg2Comp1Payer3TotalCustR2</f>
        <v>998.09452779273215</v>
      </c>
      <c r="G1633" s="457">
        <f>calcReg1Seg2Comp1Payer1TotalCustR2+calcReg1Seg2Comp1Payer2TotalCustR2+calcReg1Seg2Comp1Payer3TotalCustR2</f>
        <v>998.09452779273215</v>
      </c>
      <c r="H1633" s="457">
        <f>calcReg1Seg2Comp1Payer1TotalCustR2+calcReg1Seg2Comp1Payer2TotalCustR2+calcReg1Seg2Comp1Payer3TotalCustR2</f>
        <v>998.09452779273215</v>
      </c>
      <c r="I1633" s="457">
        <f>calcReg1Seg2Comp1Payer1TotalCustR2+calcReg1Seg2Comp1Payer2TotalCustR2+calcReg1Seg2Comp1Payer3TotalCustR2</f>
        <v>998.09452779273215</v>
      </c>
      <c r="J1633" s="4" t="s">
        <v>2147</v>
      </c>
    </row>
    <row r="1634" spans="1:10">
      <c r="B1634" s="4"/>
      <c r="E1634" s="511">
        <f>calcReg1Seg2Comp1TotalCustR2/calcReg1Seg2TotalVolumeR2</f>
        <v>8.6017714361725228E-3</v>
      </c>
      <c r="F1634" s="511">
        <f>calcReg1Seg2Comp1TotalCustR2/calcReg1Seg2TotalVolumeR2</f>
        <v>8.6017714361725228E-3</v>
      </c>
      <c r="G1634" s="511">
        <f>calcReg1Seg2Comp1TotalCustR2/calcReg1Seg2TotalVolumeR2</f>
        <v>8.6017714361725228E-3</v>
      </c>
      <c r="H1634" s="511">
        <f>calcReg1Seg2Comp1TotalCustR2/calcReg1Seg2TotalVolumeR2</f>
        <v>8.6017714361725228E-3</v>
      </c>
      <c r="I1634" s="511">
        <f>calcReg1Seg2Comp1TotalCustR2/calcReg1Seg2TotalVolumeR2</f>
        <v>8.6017714361725228E-3</v>
      </c>
      <c r="J1634" t="s">
        <v>2159</v>
      </c>
    </row>
    <row r="1635" spans="1:10">
      <c r="A1635" t="s">
        <v>622</v>
      </c>
      <c r="B1635" s="4" t="str">
        <f>nmReg1Seg3</f>
        <v>Harrenhal</v>
      </c>
    </row>
    <row r="1636" spans="1:10">
      <c r="B1636" s="4"/>
      <c r="C1636" t="str">
        <f>nmPayer1</f>
        <v>Blue Sword/Blue Shield</v>
      </c>
      <c r="E1636">
        <f>(calcReg1Seg3Comp1Payer1TotalShareR1*calcReg1Seg3Payer1TotalVolumeR1)</f>
        <v>715.66558333701073</v>
      </c>
      <c r="F1636">
        <f>(calcReg1Seg3Comp1Payer1TotalShareR1*calcReg1Seg3Payer1TotalVolumeR1)</f>
        <v>715.66558333701073</v>
      </c>
      <c r="G1636">
        <f>(calcReg1Seg3Comp1Payer1TotalShareR1*calcReg1Seg3Payer1TotalVolumeR1)</f>
        <v>715.66558333701073</v>
      </c>
      <c r="H1636">
        <f>(calcReg1Seg3Comp1Payer1TotalShareR1*calcReg1Seg3Payer1TotalVolumeR1)</f>
        <v>715.66558333701073</v>
      </c>
      <c r="I1636">
        <f>(calcReg1Seg3Comp1Payer1TotalShareR1*calcReg1Seg3Payer1TotalVolumeR1)</f>
        <v>715.66558333701073</v>
      </c>
      <c r="J1636" t="s">
        <v>2148</v>
      </c>
    </row>
    <row r="1637" spans="1:10">
      <c r="B1637" s="4"/>
      <c r="C1637" t="str">
        <f>nmPayer2</f>
        <v>WesterAid</v>
      </c>
      <c r="E1637">
        <f>(calcReg1Seg3Comp1Payer2TotalShareR1*calcReg1Seg3Payer2TotalVolumeR1)</f>
        <v>346.11716606250002</v>
      </c>
      <c r="F1637">
        <f>(calcReg1Seg3Comp1Payer2TotalShareR1*calcReg1Seg3Payer2TotalVolumeR1)</f>
        <v>346.11716606250002</v>
      </c>
      <c r="G1637">
        <f>(calcReg1Seg3Comp1Payer2TotalShareR1*calcReg1Seg3Payer2TotalVolumeR1)</f>
        <v>346.11716606250002</v>
      </c>
      <c r="H1637">
        <f>(calcReg1Seg3Comp1Payer2TotalShareR1*calcReg1Seg3Payer2TotalVolumeR1)</f>
        <v>346.11716606250002</v>
      </c>
      <c r="I1637">
        <f>(calcReg1Seg3Comp1Payer2TotalShareR1*calcReg1Seg3Payer2TotalVolumeR1)</f>
        <v>346.11716606250002</v>
      </c>
      <c r="J1637" t="s">
        <v>2149</v>
      </c>
    </row>
    <row r="1638" spans="1:10">
      <c r="B1638" s="4"/>
      <c r="C1638" t="str">
        <f>nmPayer3</f>
        <v>Dragon Health</v>
      </c>
      <c r="E1638">
        <f>(calcReg1Seg3Comp1Payer3TotalShareR1*calcReg1Seg3Payer3TotalVolumeR1)</f>
        <v>347.42538862640015</v>
      </c>
      <c r="F1638">
        <f>(calcReg1Seg3Comp1Payer3TotalShareR1*calcReg1Seg3Payer3TotalVolumeR1)</f>
        <v>347.42538862640015</v>
      </c>
      <c r="G1638">
        <f>(calcReg1Seg3Comp1Payer3TotalShareR1*calcReg1Seg3Payer3TotalVolumeR1)</f>
        <v>347.42538862640015</v>
      </c>
      <c r="H1638">
        <f>(calcReg1Seg3Comp1Payer3TotalShareR1*calcReg1Seg3Payer3TotalVolumeR1)</f>
        <v>347.42538862640015</v>
      </c>
      <c r="I1638">
        <f>(calcReg1Seg3Comp1Payer3TotalShareR1*calcReg1Seg3Payer3TotalVolumeR1)</f>
        <v>347.42538862640015</v>
      </c>
      <c r="J1638" t="s">
        <v>2150</v>
      </c>
    </row>
    <row r="1639" spans="1:10" s="4" customFormat="1">
      <c r="C1639" s="4" t="s">
        <v>1860</v>
      </c>
      <c r="E1639" s="457">
        <f>calcReg1Seg3Comp1Payer1TotalCustR1+calcReg1Seg3Comp1Payer2TotalCustR1+calcReg1Seg3Comp1Payer3TotalCustR1</f>
        <v>1409.208138025911</v>
      </c>
      <c r="F1639" s="457">
        <f>calcReg1Seg3Comp1Payer1TotalCustR1+calcReg1Seg3Comp1Payer2TotalCustR1+calcReg1Seg3Comp1Payer3TotalCustR1</f>
        <v>1409.208138025911</v>
      </c>
      <c r="G1639" s="457">
        <f>calcReg1Seg3Comp1Payer1TotalCustR1+calcReg1Seg3Comp1Payer2TotalCustR1+calcReg1Seg3Comp1Payer3TotalCustR1</f>
        <v>1409.208138025911</v>
      </c>
      <c r="H1639" s="457">
        <f>calcReg1Seg3Comp1Payer1TotalCustR1+calcReg1Seg3Comp1Payer2TotalCustR1+calcReg1Seg3Comp1Payer3TotalCustR1</f>
        <v>1409.208138025911</v>
      </c>
      <c r="I1639" s="457">
        <f>calcReg1Seg3Comp1Payer1TotalCustR1+calcReg1Seg3Comp1Payer2TotalCustR1+calcReg1Seg3Comp1Payer3TotalCustR1</f>
        <v>1409.208138025911</v>
      </c>
      <c r="J1639" s="4" t="s">
        <v>2151</v>
      </c>
    </row>
    <row r="1640" spans="1:10">
      <c r="B1640" s="4"/>
      <c r="E1640" s="511">
        <f>calcReg1Seg3Comp1TotalCustR1/calcReg1Seg3TotalVolumeR1</f>
        <v>1.0079025123024554E-2</v>
      </c>
      <c r="F1640" s="511">
        <f>calcReg1Seg3Comp1TotalCustR1/calcReg1Seg3TotalVolumeR1</f>
        <v>1.0079025123024554E-2</v>
      </c>
      <c r="G1640" s="511">
        <f>calcReg1Seg3Comp1TotalCustR1/calcReg1Seg3TotalVolumeR1</f>
        <v>1.0079025123024554E-2</v>
      </c>
      <c r="H1640" s="511">
        <f>calcReg1Seg3Comp1TotalCustR1/calcReg1Seg3TotalVolumeR1</f>
        <v>1.0079025123024554E-2</v>
      </c>
      <c r="I1640" s="511">
        <f>calcReg1Seg3Comp1TotalCustR1/calcReg1Seg3TotalVolumeR1</f>
        <v>1.0079025123024554E-2</v>
      </c>
      <c r="J1640" t="s">
        <v>2160</v>
      </c>
    </row>
    <row r="1641" spans="1:10">
      <c r="A1641" s="510" t="s">
        <v>623</v>
      </c>
      <c r="B1641" s="4"/>
      <c r="C1641" t="str">
        <f>nmPayer1</f>
        <v>Blue Sword/Blue Shield</v>
      </c>
      <c r="E1641">
        <f>(calcReg1Seg3Comp1Payer1TotalShareR2*calcReg1Seg3Payer1TotalVolumeR2)</f>
        <v>808.70210917082215</v>
      </c>
      <c r="F1641">
        <f>(calcReg1Seg3Comp1Payer1TotalShareR2*calcReg1Seg3Payer1TotalVolumeR2)</f>
        <v>808.70210917082215</v>
      </c>
      <c r="G1641">
        <f>(calcReg1Seg3Comp1Payer1TotalShareR2*calcReg1Seg3Payer1TotalVolumeR2)</f>
        <v>808.70210917082215</v>
      </c>
      <c r="H1641">
        <f>(calcReg1Seg3Comp1Payer1TotalShareR2*calcReg1Seg3Payer1TotalVolumeR2)</f>
        <v>808.70210917082215</v>
      </c>
      <c r="I1641">
        <f>(calcReg1Seg3Comp1Payer1TotalShareR2*calcReg1Seg3Payer1TotalVolumeR2)</f>
        <v>808.70210917082215</v>
      </c>
      <c r="J1641" t="s">
        <v>2152</v>
      </c>
    </row>
    <row r="1642" spans="1:10">
      <c r="B1642" s="4"/>
      <c r="C1642" t="str">
        <f>nmPayer2</f>
        <v>WesterAid</v>
      </c>
      <c r="E1642">
        <f>(calcReg1Seg3Comp1Payer2TotalShareR2*calcReg1Seg3Payer2TotalVolumeR2)</f>
        <v>391.1123976506251</v>
      </c>
      <c r="F1642">
        <f>(calcReg1Seg3Comp1Payer2TotalShareR2*calcReg1Seg3Payer2TotalVolumeR2)</f>
        <v>391.1123976506251</v>
      </c>
      <c r="G1642">
        <f>(calcReg1Seg3Comp1Payer2TotalShareR2*calcReg1Seg3Payer2TotalVolumeR2)</f>
        <v>391.1123976506251</v>
      </c>
      <c r="H1642">
        <f>(calcReg1Seg3Comp1Payer2TotalShareR2*calcReg1Seg3Payer2TotalVolumeR2)</f>
        <v>391.1123976506251</v>
      </c>
      <c r="I1642">
        <f>(calcReg1Seg3Comp1Payer2TotalShareR2*calcReg1Seg3Payer2TotalVolumeR2)</f>
        <v>391.1123976506251</v>
      </c>
      <c r="J1642" t="s">
        <v>2153</v>
      </c>
    </row>
    <row r="1643" spans="1:10">
      <c r="B1643" s="4"/>
      <c r="C1643" t="str">
        <f>nmPayer3</f>
        <v>Dragon Health</v>
      </c>
      <c r="E1643">
        <f>(calcReg1Seg3Comp1Payer3TotalShareR2*calcReg1Seg3Payer3TotalVolumeR2)</f>
        <v>392.59068914783217</v>
      </c>
      <c r="F1643">
        <f>(calcReg1Seg3Comp1Payer3TotalShareR2*calcReg1Seg3Payer3TotalVolumeR2)</f>
        <v>392.59068914783217</v>
      </c>
      <c r="G1643">
        <f>(calcReg1Seg3Comp1Payer3TotalShareR2*calcReg1Seg3Payer3TotalVolumeR2)</f>
        <v>392.59068914783217</v>
      </c>
      <c r="H1643">
        <f>(calcReg1Seg3Comp1Payer3TotalShareR2*calcReg1Seg3Payer3TotalVolumeR2)</f>
        <v>392.59068914783217</v>
      </c>
      <c r="I1643">
        <f>(calcReg1Seg3Comp1Payer3TotalShareR2*calcReg1Seg3Payer3TotalVolumeR2)</f>
        <v>392.59068914783217</v>
      </c>
      <c r="J1643" t="s">
        <v>2154</v>
      </c>
    </row>
    <row r="1644" spans="1:10" s="4" customFormat="1">
      <c r="C1644" s="4" t="s">
        <v>1860</v>
      </c>
      <c r="E1644" s="457">
        <f>calcReg1Seg3Comp1Payer1TotalCustR2+calcReg1Seg3Comp1Payer2TotalCustR2+calcReg1Seg3Comp1Payer3TotalCustR2</f>
        <v>1592.4051959692792</v>
      </c>
      <c r="F1644" s="457">
        <f>calcReg1Seg3Comp1Payer1TotalCustR2+calcReg1Seg3Comp1Payer2TotalCustR2+calcReg1Seg3Comp1Payer3TotalCustR2</f>
        <v>1592.4051959692792</v>
      </c>
      <c r="G1644" s="457">
        <f>calcReg1Seg3Comp1Payer1TotalCustR2+calcReg1Seg3Comp1Payer2TotalCustR2+calcReg1Seg3Comp1Payer3TotalCustR2</f>
        <v>1592.4051959692792</v>
      </c>
      <c r="H1644" s="457">
        <f>calcReg1Seg3Comp1Payer1TotalCustR2+calcReg1Seg3Comp1Payer2TotalCustR2+calcReg1Seg3Comp1Payer3TotalCustR2</f>
        <v>1592.4051959692792</v>
      </c>
      <c r="I1644" s="457">
        <f>calcReg1Seg3Comp1Payer1TotalCustR2+calcReg1Seg3Comp1Payer2TotalCustR2+calcReg1Seg3Comp1Payer3TotalCustR2</f>
        <v>1592.4051959692792</v>
      </c>
      <c r="J1644" s="4" t="s">
        <v>2155</v>
      </c>
    </row>
    <row r="1645" spans="1:10">
      <c r="B1645" s="4"/>
      <c r="E1645" s="511">
        <f>calcReg1Seg3Comp1TotalCustR2/calcReg1Seg3TotalVolumeR2</f>
        <v>1.0079025123024554E-2</v>
      </c>
      <c r="F1645" s="511">
        <f>calcReg1Seg3Comp1TotalCustR2/calcReg1Seg3TotalVolumeR2</f>
        <v>1.0079025123024554E-2</v>
      </c>
      <c r="G1645" s="511">
        <f>calcReg1Seg3Comp1TotalCustR2/calcReg1Seg3TotalVolumeR2</f>
        <v>1.0079025123024554E-2</v>
      </c>
      <c r="H1645" s="511">
        <f>calcReg1Seg3Comp1TotalCustR2/calcReg1Seg3TotalVolumeR2</f>
        <v>1.0079025123024554E-2</v>
      </c>
      <c r="I1645" s="511">
        <f>calcReg1Seg3Comp1TotalCustR2/calcReg1Seg3TotalVolumeR2</f>
        <v>1.0079025123024554E-2</v>
      </c>
      <c r="J1645" t="s">
        <v>2161</v>
      </c>
    </row>
    <row r="1646" spans="1:10">
      <c r="A1646" t="s">
        <v>2192</v>
      </c>
      <c r="B1646" s="4"/>
      <c r="E1646" s="511"/>
      <c r="F1646" s="511"/>
      <c r="G1646" s="511"/>
      <c r="H1646" s="511"/>
      <c r="I1646" s="511"/>
    </row>
    <row r="1647" spans="1:10">
      <c r="A1647" s="4" t="s">
        <v>622</v>
      </c>
      <c r="B1647" s="4"/>
      <c r="C1647" t="str">
        <f>nmPayer1</f>
        <v>Blue Sword/Blue Shield</v>
      </c>
      <c r="E1647" s="511">
        <f>(calcReg1Seg1Comp1Payer1TotalCustR1+calcReg1Seg2Comp1Payer1TotalCustR1+calcReg1Seg3Comp1Payer1TotalCustR1)/calcReg1Payer1TotalVolumeR1</f>
        <v>1.2386975998500582E-2</v>
      </c>
      <c r="F1647" s="511">
        <f>(calcReg1Seg1Comp1Payer1TotalCustR1+calcReg1Seg2Comp1Payer1TotalCustR1+calcReg1Seg3Comp1Payer1TotalCustR1)/calcReg1Payer1TotalVolumeR1</f>
        <v>1.2386975998500582E-2</v>
      </c>
      <c r="G1647" s="511">
        <f>(calcReg1Seg1Comp1Payer1TotalCustR1+calcReg1Seg2Comp1Payer1TotalCustR1+calcReg1Seg3Comp1Payer1TotalCustR1)/calcReg1Payer1TotalVolumeR1</f>
        <v>1.2386975998500582E-2</v>
      </c>
      <c r="H1647" s="511">
        <f>(calcReg1Seg1Comp1Payer1TotalCustR1+calcReg1Seg2Comp1Payer1TotalCustR1+calcReg1Seg3Comp1Payer1TotalCustR1)/calcReg1Payer1TotalVolumeR1</f>
        <v>1.2386975998500582E-2</v>
      </c>
      <c r="I1647" s="511">
        <f>(calcReg1Seg1Comp1Payer1TotalCustR1+calcReg1Seg2Comp1Payer1TotalCustR1+calcReg1Seg3Comp1Payer1TotalCustR1)/calcReg1Payer1TotalVolumeR1</f>
        <v>1.2386975998500582E-2</v>
      </c>
      <c r="J1647" t="s">
        <v>2193</v>
      </c>
    </row>
    <row r="1648" spans="1:10">
      <c r="B1648" s="4"/>
      <c r="C1648" t="str">
        <f>nmPayer2</f>
        <v>WesterAid</v>
      </c>
      <c r="E1648" s="511">
        <f>(calcReg1Seg1Comp1Payer2TotalCustR1+calcReg1Seg2Comp1Payer2TotalCustR1+calcReg1Seg3Comp1Payer2TotalCustR1)/calcReg1Payer2TotalVolumeR1</f>
        <v>7.0617807255482033E-3</v>
      </c>
      <c r="F1648" s="511">
        <f>(calcReg1Seg1Comp1Payer2TotalCustR1+calcReg1Seg2Comp1Payer2TotalCustR1+calcReg1Seg3Comp1Payer2TotalCustR1)/calcReg1Payer2TotalVolumeR1</f>
        <v>7.0617807255482033E-3</v>
      </c>
      <c r="G1648" s="511">
        <f>(calcReg1Seg1Comp1Payer2TotalCustR1+calcReg1Seg2Comp1Payer2TotalCustR1+calcReg1Seg3Comp1Payer2TotalCustR1)/calcReg1Payer2TotalVolumeR1</f>
        <v>7.0617807255482033E-3</v>
      </c>
      <c r="H1648" s="511">
        <f>(calcReg1Seg1Comp1Payer2TotalCustR1+calcReg1Seg2Comp1Payer2TotalCustR1+calcReg1Seg3Comp1Payer2TotalCustR1)/calcReg1Payer2TotalVolumeR1</f>
        <v>7.0617807255482033E-3</v>
      </c>
      <c r="I1648" s="511">
        <f>(calcReg1Seg1Comp1Payer2TotalCustR1+calcReg1Seg2Comp1Payer2TotalCustR1+calcReg1Seg3Comp1Payer2TotalCustR1)/calcReg1Payer2TotalVolumeR1</f>
        <v>7.0617807255482033E-3</v>
      </c>
      <c r="J1648" t="s">
        <v>2194</v>
      </c>
    </row>
    <row r="1649" spans="1:10">
      <c r="B1649" s="4"/>
      <c r="C1649" t="str">
        <f>nmPayer3</f>
        <v>Dragon Health</v>
      </c>
      <c r="E1649" s="511">
        <f>(calcReg1Seg1Comp1Payer3TotalCustR1+calcReg1Seg2Comp1Payer3TotalCustR1+calcReg1Seg3Comp1Payer3TotalCustR1)/calcReg1Payer3TotalVolumeR1</f>
        <v>8.1741025883991757E-3</v>
      </c>
      <c r="F1649" s="511">
        <f>(calcReg1Seg1Comp1Payer3TotalCustR1+calcReg1Seg2Comp1Payer3TotalCustR1+calcReg1Seg3Comp1Payer3TotalCustR1)/calcReg1Payer3TotalVolumeR1</f>
        <v>8.1741025883991757E-3</v>
      </c>
      <c r="G1649" s="511">
        <f>(calcReg1Seg1Comp1Payer3TotalCustR1+calcReg1Seg2Comp1Payer3TotalCustR1+calcReg1Seg3Comp1Payer3TotalCustR1)/calcReg1Payer3TotalVolumeR1</f>
        <v>8.1741025883991757E-3</v>
      </c>
      <c r="H1649" s="511">
        <f>(calcReg1Seg1Comp1Payer3TotalCustR1+calcReg1Seg2Comp1Payer3TotalCustR1+calcReg1Seg3Comp1Payer3TotalCustR1)/calcReg1Payer3TotalVolumeR1</f>
        <v>8.1741025883991757E-3</v>
      </c>
      <c r="I1649" s="511">
        <f>(calcReg1Seg1Comp1Payer3TotalCustR1+calcReg1Seg2Comp1Payer3TotalCustR1+calcReg1Seg3Comp1Payer3TotalCustR1)/calcReg1Payer3TotalVolumeR1</f>
        <v>8.1741025883991757E-3</v>
      </c>
      <c r="J1649" t="s">
        <v>2195</v>
      </c>
    </row>
    <row r="1650" spans="1:10">
      <c r="B1650" s="4"/>
      <c r="E1650" s="511"/>
      <c r="F1650" s="511"/>
      <c r="G1650" s="511"/>
      <c r="H1650" s="511"/>
      <c r="I1650" s="511"/>
    </row>
    <row r="1651" spans="1:10">
      <c r="A1651" s="4" t="s">
        <v>623</v>
      </c>
      <c r="B1651" s="4"/>
      <c r="C1651" t="str">
        <f>nmPayer1</f>
        <v>Blue Sword/Blue Shield</v>
      </c>
      <c r="E1651" s="511">
        <f>(calcReg1Seg1Comp1Payer1TotalCustR2+calcReg1Seg2Comp1Payer1TotalCustR2+calcReg1Seg3Comp1Payer1TotalCustR2)/calcReg1Payer1TotalVolumeR2</f>
        <v>1.2384676304074253E-2</v>
      </c>
      <c r="F1651" s="511">
        <f>(calcReg1Seg1Comp1Payer1TotalCustR2+calcReg1Seg2Comp1Payer1TotalCustR2+calcReg1Seg3Comp1Payer1TotalCustR2)/calcReg1Payer1TotalVolumeR2</f>
        <v>1.2384676304074253E-2</v>
      </c>
      <c r="G1651" s="511">
        <f>(calcReg1Seg1Comp1Payer1TotalCustR2+calcReg1Seg2Comp1Payer1TotalCustR2+calcReg1Seg3Comp1Payer1TotalCustR2)/calcReg1Payer1TotalVolumeR2</f>
        <v>1.2384676304074253E-2</v>
      </c>
      <c r="H1651" s="511">
        <f>(calcReg1Seg1Comp1Payer1TotalCustR2+calcReg1Seg2Comp1Payer1TotalCustR2+calcReg1Seg3Comp1Payer1TotalCustR2)/calcReg1Payer1TotalVolumeR2</f>
        <v>1.2384676304074253E-2</v>
      </c>
      <c r="I1651" s="511">
        <f>(calcReg1Seg1Comp1Payer1TotalCustR2+calcReg1Seg2Comp1Payer1TotalCustR2+calcReg1Seg3Comp1Payer1TotalCustR2)/calcReg1Payer1TotalVolumeR2</f>
        <v>1.2384676304074253E-2</v>
      </c>
      <c r="J1651" t="s">
        <v>2196</v>
      </c>
    </row>
    <row r="1652" spans="1:10">
      <c r="B1652" s="4"/>
      <c r="C1652" t="str">
        <f>nmPayer2</f>
        <v>WesterAid</v>
      </c>
      <c r="E1652" s="511">
        <f>(calcReg1Seg1Comp1Payer2TotalCustR2+calcReg1Seg2Comp1Payer2TotalCustR2+calcReg1Seg3Comp1Payer2TotalCustR2)/calcReg1Payer2TotalVolumeR2</f>
        <v>7.0620203668940503E-3</v>
      </c>
      <c r="F1652" s="511">
        <f>(calcReg1Seg1Comp1Payer2TotalCustR2+calcReg1Seg2Comp1Payer2TotalCustR2+calcReg1Seg3Comp1Payer2TotalCustR2)/calcReg1Payer2TotalVolumeR2</f>
        <v>7.0620203668940503E-3</v>
      </c>
      <c r="G1652" s="511">
        <f>(calcReg1Seg1Comp1Payer2TotalCustR2+calcReg1Seg2Comp1Payer2TotalCustR2+calcReg1Seg3Comp1Payer2TotalCustR2)/calcReg1Payer2TotalVolumeR2</f>
        <v>7.0620203668940503E-3</v>
      </c>
      <c r="H1652" s="511">
        <f>(calcReg1Seg1Comp1Payer2TotalCustR2+calcReg1Seg2Comp1Payer2TotalCustR2+calcReg1Seg3Comp1Payer2TotalCustR2)/calcReg1Payer2TotalVolumeR2</f>
        <v>7.0620203668940503E-3</v>
      </c>
      <c r="I1652" s="511">
        <f>(calcReg1Seg1Comp1Payer2TotalCustR2+calcReg1Seg2Comp1Payer2TotalCustR2+calcReg1Seg3Comp1Payer2TotalCustR2)/calcReg1Payer2TotalVolumeR2</f>
        <v>7.0620203668940503E-3</v>
      </c>
      <c r="J1652" t="s">
        <v>2197</v>
      </c>
    </row>
    <row r="1653" spans="1:10">
      <c r="B1653" s="4"/>
      <c r="C1653" t="str">
        <f>nmPayer3</f>
        <v>Dragon Health</v>
      </c>
      <c r="E1653" s="511">
        <f>(calcReg1Seg1Comp1Payer3TotalCustR2+calcReg1Seg2Comp1Payer3TotalCustR2+calcReg1Seg3Comp1Payer3TotalCustR2)/calcReg1Payer3TotalVolumeR2</f>
        <v>8.1742101039863849E-3</v>
      </c>
      <c r="F1653" s="511">
        <f>(calcReg1Seg1Comp1Payer3TotalCustR2+calcReg1Seg2Comp1Payer3TotalCustR2+calcReg1Seg3Comp1Payer3TotalCustR2)/calcReg1Payer3TotalVolumeR2</f>
        <v>8.1742101039863849E-3</v>
      </c>
      <c r="G1653" s="511">
        <f>(calcReg1Seg1Comp1Payer3TotalCustR2+calcReg1Seg2Comp1Payer3TotalCustR2+calcReg1Seg3Comp1Payer3TotalCustR2)/calcReg1Payer3TotalVolumeR2</f>
        <v>8.1742101039863849E-3</v>
      </c>
      <c r="H1653" s="511">
        <f>(calcReg1Seg1Comp1Payer3TotalCustR2+calcReg1Seg2Comp1Payer3TotalCustR2+calcReg1Seg3Comp1Payer3TotalCustR2)/calcReg1Payer3TotalVolumeR2</f>
        <v>8.1742101039863849E-3</v>
      </c>
      <c r="I1653" s="511">
        <f>(calcReg1Seg1Comp1Payer3TotalCustR2+calcReg1Seg2Comp1Payer3TotalCustR2+calcReg1Seg3Comp1Payer3TotalCustR2)/calcReg1Payer3TotalVolumeR2</f>
        <v>8.1742101039863849E-3</v>
      </c>
      <c r="J1653" t="s">
        <v>2198</v>
      </c>
    </row>
    <row r="1654" spans="1:10">
      <c r="B1654" s="4"/>
      <c r="E1654" s="511"/>
      <c r="F1654" s="511"/>
      <c r="G1654" s="511"/>
      <c r="H1654" s="511"/>
      <c r="I1654" s="511"/>
    </row>
    <row r="1655" spans="1:10">
      <c r="B1655" s="4" t="s">
        <v>1860</v>
      </c>
      <c r="E1655" s="517">
        <f>calcReg1Seg1Comp1TotalCustR1+calcReg1Seg2Comp1TotalCustR1+calcReg1Seg3Comp1TotalCustR1</f>
        <v>3380.7796843279975</v>
      </c>
      <c r="F1655" s="517">
        <f t="shared" ref="F1655:I1656" si="77">calcReg1Seg1Comp1TotalCustR2+calcReg1Seg2Comp1TotalCustR2+calcReg1Seg3Comp1TotalCustR2</f>
        <v>3827.499559823797</v>
      </c>
      <c r="G1655" s="517">
        <f t="shared" si="77"/>
        <v>3827.499559823797</v>
      </c>
      <c r="H1655" s="517">
        <f t="shared" si="77"/>
        <v>3827.499559823797</v>
      </c>
      <c r="I1655" s="517">
        <f t="shared" si="77"/>
        <v>3827.499559823797</v>
      </c>
      <c r="J1655" t="s">
        <v>2224</v>
      </c>
    </row>
    <row r="1656" spans="1:10">
      <c r="B1656" s="4" t="s">
        <v>1860</v>
      </c>
      <c r="E1656" s="517">
        <f>calcReg1Seg1Comp1TotalCustR2+calcReg1Seg2Comp1TotalCustR2+calcReg1Seg3Comp1TotalCustR2</f>
        <v>3827.499559823797</v>
      </c>
      <c r="F1656" s="517">
        <f t="shared" si="77"/>
        <v>3827.499559823797</v>
      </c>
      <c r="G1656" s="517">
        <f t="shared" si="77"/>
        <v>3827.499559823797</v>
      </c>
      <c r="H1656" s="517">
        <f t="shared" si="77"/>
        <v>3827.499559823797</v>
      </c>
      <c r="I1656" s="517">
        <f t="shared" si="77"/>
        <v>3827.499559823797</v>
      </c>
      <c r="J1656" t="s">
        <v>2225</v>
      </c>
    </row>
    <row r="1657" spans="1:10">
      <c r="B1657" s="4"/>
      <c r="E1657" s="511"/>
      <c r="F1657" s="511"/>
      <c r="G1657" s="511"/>
      <c r="H1657" s="511"/>
      <c r="I1657" s="511"/>
    </row>
    <row r="1658" spans="1:10">
      <c r="B1658" s="4" t="s">
        <v>1860</v>
      </c>
      <c r="E1658" s="517">
        <f>calcReg1Seg1Comp2TotalCustR1+calcReg1Seg2Comp2TotalCustR1+calcReg1Seg3Comp2TotalCustR1</f>
        <v>9022.2728358987933</v>
      </c>
      <c r="F1658" s="517">
        <f t="shared" ref="F1658:I1659" si="78">calcReg1Seg1Comp2TotalCustR2+calcReg1Seg2Comp2TotalCustR2+calcReg1Seg3Comp2TotalCustR2</f>
        <v>10214.430972578277</v>
      </c>
      <c r="G1658" s="517">
        <f t="shared" si="78"/>
        <v>10214.430972578277</v>
      </c>
      <c r="H1658" s="517">
        <f t="shared" si="78"/>
        <v>10214.430972578277</v>
      </c>
      <c r="I1658" s="517">
        <f t="shared" si="78"/>
        <v>10214.430972578277</v>
      </c>
      <c r="J1658" t="s">
        <v>2226</v>
      </c>
    </row>
    <row r="1659" spans="1:10">
      <c r="B1659" s="4" t="s">
        <v>1860</v>
      </c>
      <c r="E1659" s="517">
        <f>calcReg1Seg1Comp2TotalCustR2+calcReg1Seg2Comp2TotalCustR2+calcReg1Seg3Comp2TotalCustR2</f>
        <v>10214.430972578277</v>
      </c>
      <c r="F1659" s="517">
        <f t="shared" si="78"/>
        <v>10214.430972578277</v>
      </c>
      <c r="G1659" s="517">
        <f t="shared" si="78"/>
        <v>10214.430972578277</v>
      </c>
      <c r="H1659" s="517">
        <f t="shared" si="78"/>
        <v>10214.430972578277</v>
      </c>
      <c r="I1659" s="517">
        <f t="shared" si="78"/>
        <v>10214.430972578277</v>
      </c>
      <c r="J1659" t="s">
        <v>2227</v>
      </c>
    </row>
    <row r="1660" spans="1:10">
      <c r="B1660" s="4"/>
      <c r="E1660" s="511"/>
      <c r="F1660" s="511"/>
      <c r="G1660" s="511"/>
      <c r="H1660" s="511"/>
      <c r="I1660" s="511"/>
    </row>
    <row r="1661" spans="1:10">
      <c r="B1661" s="4" t="s">
        <v>1860</v>
      </c>
      <c r="E1661" s="517">
        <f>calcProd1Seg1Comp1TotalCustR1+calcProd1Seg2Comp1TotalCustR1+calcProd1Seg3Comp1TotalCustR1</f>
        <v>1085.7056273723069</v>
      </c>
      <c r="F1661" s="517">
        <f t="shared" ref="F1661:I1662" si="79">calcProd1Seg1Comp1TotalCustR2+calcProd1Seg2Comp1TotalCustR2+calcProd1Seg3Comp1TotalCustR2</f>
        <v>1235.8056704637113</v>
      </c>
      <c r="G1661" s="517">
        <f t="shared" si="79"/>
        <v>1235.8056704637113</v>
      </c>
      <c r="H1661" s="517">
        <f t="shared" si="79"/>
        <v>1235.8056704637113</v>
      </c>
      <c r="I1661" s="517">
        <f t="shared" si="79"/>
        <v>1235.8056704637113</v>
      </c>
      <c r="J1661" t="s">
        <v>2228</v>
      </c>
    </row>
    <row r="1662" spans="1:10">
      <c r="B1662" s="4" t="s">
        <v>1860</v>
      </c>
      <c r="E1662" s="517">
        <f>calcProd1Seg1Comp1TotalCustR2+calcProd1Seg2Comp1TotalCustR2+calcProd1Seg3Comp1TotalCustR2</f>
        <v>1235.8056704637113</v>
      </c>
      <c r="F1662" s="517">
        <f t="shared" si="79"/>
        <v>1235.8056704637113</v>
      </c>
      <c r="G1662" s="517">
        <f t="shared" si="79"/>
        <v>1235.8056704637113</v>
      </c>
      <c r="H1662" s="517">
        <f t="shared" si="79"/>
        <v>1235.8056704637113</v>
      </c>
      <c r="I1662" s="517">
        <f t="shared" si="79"/>
        <v>1235.8056704637113</v>
      </c>
      <c r="J1662" t="s">
        <v>2229</v>
      </c>
    </row>
    <row r="1663" spans="1:10">
      <c r="B1663" s="4"/>
      <c r="E1663" s="511"/>
      <c r="F1663" s="511"/>
      <c r="G1663" s="511"/>
      <c r="H1663" s="511"/>
      <c r="I1663" s="511"/>
    </row>
    <row r="1664" spans="1:10">
      <c r="B1664" s="4" t="s">
        <v>1860</v>
      </c>
      <c r="E1664" s="517">
        <f>calcProd1Seg1Comp2TotalCustR1+calcProd1Seg2Comp2TotalCustR1+calcProd1Seg3Comp2TotalCustR1</f>
        <v>2938.7918383654051</v>
      </c>
      <c r="F1664" s="517">
        <f t="shared" ref="F1664:I1665" si="80">calcProd1Seg1Comp2TotalCustR2+calcProd1Seg2Comp2TotalCustR2+calcProd1Seg3Comp2TotalCustR2</f>
        <v>3345.2221779873944</v>
      </c>
      <c r="G1664" s="517">
        <f t="shared" si="80"/>
        <v>3345.2221779873944</v>
      </c>
      <c r="H1664" s="517">
        <f t="shared" si="80"/>
        <v>3345.2221779873944</v>
      </c>
      <c r="I1664" s="517">
        <f t="shared" si="80"/>
        <v>3345.2221779873944</v>
      </c>
      <c r="J1664" t="s">
        <v>2230</v>
      </c>
    </row>
    <row r="1665" spans="1:10">
      <c r="B1665" s="4" t="s">
        <v>1860</v>
      </c>
      <c r="E1665" s="517">
        <f>calcProd1Seg1Comp2TotalCustR2+calcProd1Seg2Comp2TotalCustR2+calcProd1Seg3Comp2TotalCustR2</f>
        <v>3345.2221779873944</v>
      </c>
      <c r="F1665" s="517">
        <f t="shared" si="80"/>
        <v>3345.2221779873944</v>
      </c>
      <c r="G1665" s="517">
        <f t="shared" si="80"/>
        <v>3345.2221779873944</v>
      </c>
      <c r="H1665" s="517">
        <f t="shared" si="80"/>
        <v>3345.2221779873944</v>
      </c>
      <c r="I1665" s="517">
        <f t="shared" si="80"/>
        <v>3345.2221779873944</v>
      </c>
      <c r="J1665" t="s">
        <v>2231</v>
      </c>
    </row>
    <row r="1666" spans="1:10">
      <c r="B1666" s="4"/>
      <c r="E1666" s="511"/>
      <c r="F1666" s="511"/>
      <c r="G1666" s="511"/>
      <c r="H1666" s="511"/>
      <c r="I1666" s="511"/>
    </row>
    <row r="1667" spans="1:10">
      <c r="B1667" s="4"/>
      <c r="E1667" s="511"/>
      <c r="F1667" s="511"/>
      <c r="G1667" s="511"/>
      <c r="H1667" s="511"/>
      <c r="I1667" s="511"/>
    </row>
    <row r="1668" spans="1:10" s="509" customFormat="1">
      <c r="A1668" s="508" t="str">
        <f>nmComp2</f>
        <v>Pristine</v>
      </c>
    </row>
    <row r="1669" spans="1:10">
      <c r="A1669" s="4" t="str">
        <f>nmReg1Seg1</f>
        <v>Riverrun</v>
      </c>
    </row>
    <row r="1670" spans="1:10">
      <c r="A1670" s="4" t="s">
        <v>622</v>
      </c>
      <c r="B1670" t="str">
        <f>nmPayer1</f>
        <v>Blue Sword/Blue Shield</v>
      </c>
      <c r="D1670" t="s">
        <v>1486</v>
      </c>
      <c r="E1670" s="511">
        <f>obalReg1Seg1Comp2Payer1Share</f>
        <v>3.0666666666666668E-2</v>
      </c>
      <c r="F1670" s="511">
        <f>obalReg1Seg1Comp2Payer1Share</f>
        <v>3.0666666666666668E-2</v>
      </c>
      <c r="G1670" s="511">
        <f>obalReg1Seg1Comp2Payer1Share</f>
        <v>3.0666666666666668E-2</v>
      </c>
      <c r="H1670" s="511">
        <f>obalReg1Seg1Comp2Payer1Share</f>
        <v>3.0666666666666668E-2</v>
      </c>
      <c r="I1670" s="511">
        <f>obalReg1Seg1Comp2Payer1Share</f>
        <v>3.0666666666666668E-2</v>
      </c>
    </row>
    <row r="1671" spans="1:10">
      <c r="D1671" t="s">
        <v>3745</v>
      </c>
      <c r="E1671" s="511">
        <f>calcReg1Seg1Comp2Payer1ShareLostR1+calcReg1Seg1Comp2Payer1ShareWonR1</f>
        <v>6.5999999999999748E-5</v>
      </c>
      <c r="F1671" s="511">
        <f>calcReg1Seg1Comp2Payer1ShareLostR1+calcReg1Seg1Comp2Payer1ShareWonR1</f>
        <v>6.5999999999999748E-5</v>
      </c>
      <c r="G1671" s="511">
        <f>calcReg1Seg1Comp2Payer1ShareLostR1+calcReg1Seg1Comp2Payer1ShareWonR1</f>
        <v>6.5999999999999748E-5</v>
      </c>
      <c r="H1671" s="511">
        <f>calcReg1Seg1Comp2Payer1ShareLostR1+calcReg1Seg1Comp2Payer1ShareWonR1</f>
        <v>6.5999999999999748E-5</v>
      </c>
      <c r="I1671" s="511">
        <f>calcReg1Seg1Comp2Payer1ShareLostR1+calcReg1Seg1Comp2Payer1ShareWonR1</f>
        <v>6.5999999999999748E-5</v>
      </c>
    </row>
    <row r="1672" spans="1:10">
      <c r="E1672" s="511"/>
      <c r="F1672" s="511"/>
      <c r="G1672" s="511"/>
      <c r="H1672" s="511"/>
      <c r="I1672" s="511"/>
    </row>
    <row r="1673" spans="1:10" s="4" customFormat="1">
      <c r="D1673" s="4" t="s">
        <v>1534</v>
      </c>
      <c r="E1673" s="569">
        <f>SUM(E1670:E1672)</f>
        <v>3.0732666666666669E-2</v>
      </c>
      <c r="F1673" s="569">
        <f t="shared" ref="F1673:I1673" si="81">SUM(F1670:F1672)</f>
        <v>3.0732666666666669E-2</v>
      </c>
      <c r="G1673" s="569">
        <f t="shared" si="81"/>
        <v>3.0732666666666669E-2</v>
      </c>
      <c r="H1673" s="569">
        <f t="shared" si="81"/>
        <v>3.0732666666666669E-2</v>
      </c>
      <c r="I1673" s="569">
        <f t="shared" si="81"/>
        <v>3.0732666666666669E-2</v>
      </c>
      <c r="J1673" s="4" t="s">
        <v>2114</v>
      </c>
    </row>
    <row r="1674" spans="1:10">
      <c r="E1674" s="511"/>
      <c r="F1674" s="511"/>
      <c r="G1674" s="511"/>
      <c r="H1674" s="511"/>
      <c r="I1674" s="511"/>
    </row>
    <row r="1675" spans="1:10">
      <c r="A1675" s="4" t="s">
        <v>623</v>
      </c>
      <c r="D1675" t="s">
        <v>1486</v>
      </c>
      <c r="E1675" s="511">
        <f>calcReg1Seg1Comp2Payer1TotalShareR1</f>
        <v>3.0732666666666669E-2</v>
      </c>
      <c r="F1675" s="511">
        <f>calcReg1Seg1Comp2Payer1TotalShareR1</f>
        <v>3.0732666666666669E-2</v>
      </c>
      <c r="G1675" s="511">
        <f>calcReg1Seg1Comp2Payer1TotalShareR1</f>
        <v>3.0732666666666669E-2</v>
      </c>
      <c r="H1675" s="511">
        <f>calcReg1Seg1Comp2Payer1TotalShareR1</f>
        <v>3.0732666666666669E-2</v>
      </c>
      <c r="I1675" s="511">
        <f>calcReg1Seg1Comp2Payer1TotalShareR1</f>
        <v>3.0732666666666669E-2</v>
      </c>
    </row>
    <row r="1676" spans="1:10">
      <c r="D1676" t="s">
        <v>3745</v>
      </c>
      <c r="E1676" s="511">
        <f>calcReg1Seg1Comp2Payer1ShareLostR2+calcReg1Seg1Comp2Payer1ShareWonR2</f>
        <v>0</v>
      </c>
      <c r="F1676" s="511">
        <f>calcReg1Seg1Comp2Payer1ShareLostR2+calcReg1Seg1Comp2Payer1ShareWonR2</f>
        <v>0</v>
      </c>
      <c r="G1676" s="511">
        <f>calcReg1Seg1Comp2Payer1ShareLostR2+calcReg1Seg1Comp2Payer1ShareWonR2</f>
        <v>0</v>
      </c>
      <c r="H1676" s="511">
        <f>calcReg1Seg1Comp2Payer1ShareLostR2+calcReg1Seg1Comp2Payer1ShareWonR2</f>
        <v>0</v>
      </c>
      <c r="I1676" s="511">
        <f>calcReg1Seg1Comp2Payer1ShareLostR2+calcReg1Seg1Comp2Payer1ShareWonR2</f>
        <v>0</v>
      </c>
    </row>
    <row r="1677" spans="1:10">
      <c r="E1677" s="511"/>
      <c r="F1677" s="511"/>
      <c r="G1677" s="511"/>
      <c r="H1677" s="511"/>
      <c r="I1677" s="511"/>
    </row>
    <row r="1678" spans="1:10" s="4" customFormat="1">
      <c r="D1678" s="4" t="s">
        <v>1534</v>
      </c>
      <c r="E1678" s="569">
        <f>SUM(E1675:E1677)</f>
        <v>3.0732666666666669E-2</v>
      </c>
      <c r="F1678" s="569">
        <f t="shared" ref="F1678:I1678" si="82">SUM(F1675:F1677)</f>
        <v>3.0732666666666669E-2</v>
      </c>
      <c r="G1678" s="569">
        <f t="shared" si="82"/>
        <v>3.0732666666666669E-2</v>
      </c>
      <c r="H1678" s="569">
        <f t="shared" si="82"/>
        <v>3.0732666666666669E-2</v>
      </c>
      <c r="I1678" s="569">
        <f t="shared" si="82"/>
        <v>3.0732666666666669E-2</v>
      </c>
      <c r="J1678" s="4" t="s">
        <v>2115</v>
      </c>
    </row>
    <row r="1679" spans="1:10">
      <c r="E1679" s="511"/>
      <c r="F1679" s="511"/>
      <c r="G1679" s="511"/>
      <c r="H1679" s="511"/>
      <c r="I1679" s="511"/>
    </row>
    <row r="1680" spans="1:10">
      <c r="A1680" s="4" t="s">
        <v>622</v>
      </c>
      <c r="B1680" t="str">
        <f>nmPayer2</f>
        <v>WesterAid</v>
      </c>
      <c r="D1680" t="s">
        <v>1486</v>
      </c>
      <c r="E1680" s="511">
        <f>obalReg1Seg1Comp2Payer2Share</f>
        <v>0.02</v>
      </c>
      <c r="F1680" s="511">
        <f>obalReg1Seg1Comp2Payer2Share</f>
        <v>0.02</v>
      </c>
      <c r="G1680" s="511">
        <f>obalReg1Seg1Comp2Payer2Share</f>
        <v>0.02</v>
      </c>
      <c r="H1680" s="511">
        <f>obalReg1Seg1Comp2Payer2Share</f>
        <v>0.02</v>
      </c>
      <c r="I1680" s="511">
        <f>obalReg1Seg1Comp2Payer2Share</f>
        <v>0.02</v>
      </c>
    </row>
    <row r="1681" spans="1:10">
      <c r="D1681" t="s">
        <v>3745</v>
      </c>
      <c r="E1681" s="511">
        <f>calcReg1Seg1Comp2Payer2ShareLostR1+calcReg1Seg1Comp2Payer2ShareWonR1</f>
        <v>0</v>
      </c>
      <c r="F1681" s="511">
        <f>calcReg1Seg1Comp2Payer2ShareLostR1+calcReg1Seg1Comp2Payer2ShareWonR1</f>
        <v>0</v>
      </c>
      <c r="G1681" s="511">
        <f>calcReg1Seg1Comp2Payer2ShareLostR1+calcReg1Seg1Comp2Payer2ShareWonR1</f>
        <v>0</v>
      </c>
      <c r="H1681" s="511">
        <f>calcReg1Seg1Comp2Payer2ShareLostR1+calcReg1Seg1Comp2Payer2ShareWonR1</f>
        <v>0</v>
      </c>
      <c r="I1681" s="511">
        <f>calcReg1Seg1Comp2Payer2ShareLostR1+calcReg1Seg1Comp2Payer2ShareWonR1</f>
        <v>0</v>
      </c>
    </row>
    <row r="1682" spans="1:10">
      <c r="E1682" s="511"/>
      <c r="F1682" s="511"/>
      <c r="G1682" s="511"/>
      <c r="H1682" s="511"/>
      <c r="I1682" s="511"/>
    </row>
    <row r="1683" spans="1:10" s="4" customFormat="1">
      <c r="D1683" s="4" t="s">
        <v>1534</v>
      </c>
      <c r="E1683" s="569">
        <f>SUM(E1680:E1682)</f>
        <v>0.02</v>
      </c>
      <c r="F1683" s="569">
        <f t="shared" ref="F1683:I1683" si="83">SUM(F1680:F1682)</f>
        <v>0.02</v>
      </c>
      <c r="G1683" s="569">
        <f t="shared" si="83"/>
        <v>0.02</v>
      </c>
      <c r="H1683" s="569">
        <f t="shared" si="83"/>
        <v>0.02</v>
      </c>
      <c r="I1683" s="569">
        <f t="shared" si="83"/>
        <v>0.02</v>
      </c>
      <c r="J1683" s="4" t="s">
        <v>2116</v>
      </c>
    </row>
    <row r="1684" spans="1:10">
      <c r="E1684" s="511"/>
      <c r="F1684" s="511"/>
      <c r="G1684" s="511"/>
      <c r="H1684" s="511"/>
      <c r="I1684" s="511"/>
    </row>
    <row r="1685" spans="1:10">
      <c r="A1685" s="4" t="s">
        <v>623</v>
      </c>
      <c r="D1685" t="s">
        <v>1486</v>
      </c>
      <c r="E1685" s="511">
        <f>calcReg1Seg1Comp2Payer2TotalShareR1</f>
        <v>0.02</v>
      </c>
      <c r="F1685" s="511">
        <f>calcReg1Seg1Comp2Payer2TotalShareR1</f>
        <v>0.02</v>
      </c>
      <c r="G1685" s="511">
        <f>calcReg1Seg1Comp2Payer2TotalShareR1</f>
        <v>0.02</v>
      </c>
      <c r="H1685" s="511">
        <f>calcReg1Seg1Comp2Payer2TotalShareR1</f>
        <v>0.02</v>
      </c>
      <c r="I1685" s="511">
        <f>calcReg1Seg1Comp2Payer2TotalShareR1</f>
        <v>0.02</v>
      </c>
    </row>
    <row r="1686" spans="1:10">
      <c r="D1686" t="s">
        <v>3745</v>
      </c>
      <c r="E1686" s="511">
        <f>calcReg1Seg1Comp2Payer2ShareLostR2+calcReg1Seg1Comp2Payer2ShareWonR2</f>
        <v>0</v>
      </c>
      <c r="F1686" s="511">
        <f>calcReg1Seg1Comp2Payer2ShareLostR2+calcReg1Seg1Comp2Payer2ShareWonR2</f>
        <v>0</v>
      </c>
      <c r="G1686" s="511">
        <f>calcReg1Seg1Comp2Payer2ShareLostR2+calcReg1Seg1Comp2Payer2ShareWonR2</f>
        <v>0</v>
      </c>
      <c r="H1686" s="511">
        <f>calcReg1Seg1Comp2Payer2ShareLostR2+calcReg1Seg1Comp2Payer2ShareWonR2</f>
        <v>0</v>
      </c>
      <c r="I1686" s="511">
        <f>calcReg1Seg1Comp2Payer2ShareLostR2+calcReg1Seg1Comp2Payer2ShareWonR2</f>
        <v>0</v>
      </c>
    </row>
    <row r="1687" spans="1:10">
      <c r="E1687" s="511"/>
      <c r="F1687" s="511"/>
      <c r="G1687" s="511"/>
      <c r="H1687" s="511"/>
      <c r="I1687" s="511"/>
    </row>
    <row r="1688" spans="1:10" s="4" customFormat="1">
      <c r="D1688" s="4" t="s">
        <v>1534</v>
      </c>
      <c r="E1688" s="569">
        <f>SUM(E1685:E1687)</f>
        <v>0.02</v>
      </c>
      <c r="F1688" s="569">
        <f t="shared" ref="F1688:I1688" si="84">SUM(F1685:F1687)</f>
        <v>0.02</v>
      </c>
      <c r="G1688" s="569">
        <f t="shared" si="84"/>
        <v>0.02</v>
      </c>
      <c r="H1688" s="569">
        <f t="shared" si="84"/>
        <v>0.02</v>
      </c>
      <c r="I1688" s="569">
        <f t="shared" si="84"/>
        <v>0.02</v>
      </c>
      <c r="J1688" s="4" t="s">
        <v>2117</v>
      </c>
    </row>
    <row r="1689" spans="1:10">
      <c r="E1689" s="511"/>
      <c r="F1689" s="511"/>
      <c r="G1689" s="511"/>
      <c r="H1689" s="511"/>
      <c r="I1689" s="511"/>
    </row>
    <row r="1690" spans="1:10">
      <c r="A1690" s="4" t="s">
        <v>622</v>
      </c>
      <c r="B1690" t="str">
        <f>nmPayer3</f>
        <v>Dragon Health</v>
      </c>
      <c r="D1690" t="s">
        <v>1486</v>
      </c>
      <c r="E1690" s="511">
        <f>obalReg1Seg1Comp2Payer3Share</f>
        <v>2.1904761904761906E-2</v>
      </c>
      <c r="F1690" s="511">
        <f>obalReg1Seg1Comp2Payer3Share</f>
        <v>2.1904761904761906E-2</v>
      </c>
      <c r="G1690" s="511">
        <f>obalReg1Seg1Comp2Payer3Share</f>
        <v>2.1904761904761906E-2</v>
      </c>
      <c r="H1690" s="511">
        <f>obalReg1Seg1Comp2Payer3Share</f>
        <v>2.1904761904761906E-2</v>
      </c>
      <c r="I1690" s="511">
        <f>obalReg1Seg1Comp2Payer3Share</f>
        <v>2.1904761904761906E-2</v>
      </c>
    </row>
    <row r="1691" spans="1:10">
      <c r="D1691" t="s">
        <v>3745</v>
      </c>
      <c r="E1691" s="511">
        <f>calcReg1Seg1Comp2Payer3ShareLostR1+calcReg1Seg1Comp2Payer3ShareWonR1</f>
        <v>5.3999999999999192E-5</v>
      </c>
      <c r="F1691" s="511">
        <f>calcReg1Seg1Comp2Payer3ShareLostR1+calcReg1Seg1Comp2Payer3ShareWonR1</f>
        <v>5.3999999999999192E-5</v>
      </c>
      <c r="G1691" s="511">
        <f>calcReg1Seg1Comp2Payer3ShareLostR1+calcReg1Seg1Comp2Payer3ShareWonR1</f>
        <v>5.3999999999999192E-5</v>
      </c>
      <c r="H1691" s="511">
        <f>calcReg1Seg1Comp2Payer3ShareLostR1+calcReg1Seg1Comp2Payer3ShareWonR1</f>
        <v>5.3999999999999192E-5</v>
      </c>
      <c r="I1691" s="511">
        <f>calcReg1Seg1Comp2Payer3ShareLostR1+calcReg1Seg1Comp2Payer3ShareWonR1</f>
        <v>5.3999999999999192E-5</v>
      </c>
    </row>
    <row r="1692" spans="1:10">
      <c r="E1692" s="511"/>
      <c r="F1692" s="511"/>
      <c r="G1692" s="511"/>
      <c r="H1692" s="511"/>
      <c r="I1692" s="511"/>
    </row>
    <row r="1693" spans="1:10" s="4" customFormat="1">
      <c r="D1693" s="4" t="s">
        <v>1534</v>
      </c>
      <c r="E1693" s="569">
        <f>SUM(E1690:E1692)</f>
        <v>2.1958761904761905E-2</v>
      </c>
      <c r="F1693" s="569">
        <f t="shared" ref="F1693:I1693" si="85">SUM(F1690:F1692)</f>
        <v>2.1958761904761905E-2</v>
      </c>
      <c r="G1693" s="569">
        <f t="shared" si="85"/>
        <v>2.1958761904761905E-2</v>
      </c>
      <c r="H1693" s="569">
        <f t="shared" si="85"/>
        <v>2.1958761904761905E-2</v>
      </c>
      <c r="I1693" s="569">
        <f t="shared" si="85"/>
        <v>2.1958761904761905E-2</v>
      </c>
      <c r="J1693" s="4" t="s">
        <v>2118</v>
      </c>
    </row>
    <row r="1694" spans="1:10">
      <c r="E1694" s="511"/>
      <c r="F1694" s="511"/>
      <c r="G1694" s="511"/>
      <c r="H1694" s="511"/>
      <c r="I1694" s="511"/>
    </row>
    <row r="1695" spans="1:10">
      <c r="A1695" s="4" t="s">
        <v>623</v>
      </c>
      <c r="D1695" t="s">
        <v>1486</v>
      </c>
      <c r="E1695" s="511">
        <f>calcReg1Seg1Comp2Payer3TotalShareR1</f>
        <v>2.1958761904761905E-2</v>
      </c>
      <c r="F1695" s="511">
        <f>calcReg1Seg1Comp2Payer3TotalShareR1</f>
        <v>2.1958761904761905E-2</v>
      </c>
      <c r="G1695" s="511">
        <f>calcReg1Seg1Comp2Payer3TotalShareR1</f>
        <v>2.1958761904761905E-2</v>
      </c>
      <c r="H1695" s="511">
        <f>calcReg1Seg1Comp2Payer3TotalShareR1</f>
        <v>2.1958761904761905E-2</v>
      </c>
      <c r="I1695" s="511">
        <f>calcReg1Seg1Comp2Payer3TotalShareR1</f>
        <v>2.1958761904761905E-2</v>
      </c>
    </row>
    <row r="1696" spans="1:10">
      <c r="D1696" t="s">
        <v>3745</v>
      </c>
      <c r="E1696" s="511">
        <f>calcReg1Seg1Comp2Payer3ShareLostR2+calcReg1Seg1Comp2Payer3ShareWonR2</f>
        <v>0</v>
      </c>
      <c r="F1696" s="511">
        <f>calcReg1Seg1Comp2Payer3ShareLostR2+calcReg1Seg1Comp2Payer3ShareWonR2</f>
        <v>0</v>
      </c>
      <c r="G1696" s="511">
        <f>calcReg1Seg1Comp2Payer3ShareLostR2+calcReg1Seg1Comp2Payer3ShareWonR2</f>
        <v>0</v>
      </c>
      <c r="H1696" s="511">
        <f>calcReg1Seg1Comp2Payer3ShareLostR2+calcReg1Seg1Comp2Payer3ShareWonR2</f>
        <v>0</v>
      </c>
      <c r="I1696" s="511">
        <f>calcReg1Seg1Comp2Payer3ShareLostR2+calcReg1Seg1Comp2Payer3ShareWonR2</f>
        <v>0</v>
      </c>
    </row>
    <row r="1697" spans="1:10">
      <c r="E1697" s="511"/>
      <c r="F1697" s="511"/>
      <c r="G1697" s="511"/>
      <c r="H1697" s="511"/>
      <c r="I1697" s="511"/>
    </row>
    <row r="1698" spans="1:10" s="4" customFormat="1">
      <c r="D1698" s="4" t="s">
        <v>1534</v>
      </c>
      <c r="E1698" s="569">
        <f>SUM(E1695:E1697)</f>
        <v>2.1958761904761905E-2</v>
      </c>
      <c r="F1698" s="569">
        <f t="shared" ref="F1698:I1698" si="86">SUM(F1695:F1697)</f>
        <v>2.1958761904761905E-2</v>
      </c>
      <c r="G1698" s="569">
        <f t="shared" si="86"/>
        <v>2.1958761904761905E-2</v>
      </c>
      <c r="H1698" s="569">
        <f t="shared" si="86"/>
        <v>2.1958761904761905E-2</v>
      </c>
      <c r="I1698" s="569">
        <f t="shared" si="86"/>
        <v>2.1958761904761905E-2</v>
      </c>
      <c r="J1698" s="4" t="s">
        <v>2119</v>
      </c>
    </row>
    <row r="1699" spans="1:10">
      <c r="E1699" s="511"/>
      <c r="F1699" s="511"/>
      <c r="G1699" s="511"/>
      <c r="H1699" s="511"/>
      <c r="I1699" s="511"/>
    </row>
    <row r="1700" spans="1:10">
      <c r="A1700" s="4" t="str">
        <f>nmReg1Seg2</f>
        <v>Winterfell</v>
      </c>
      <c r="E1700" s="511"/>
      <c r="F1700" s="511"/>
      <c r="G1700" s="511"/>
      <c r="H1700" s="511"/>
      <c r="I1700" s="511"/>
    </row>
    <row r="1701" spans="1:10">
      <c r="A1701" s="4" t="s">
        <v>622</v>
      </c>
      <c r="B1701" t="str">
        <f>nmPayer1</f>
        <v>Blue Sword/Blue Shield</v>
      </c>
      <c r="D1701" t="s">
        <v>1486</v>
      </c>
      <c r="E1701" s="511">
        <f>obalReg1Seg2Comp2Payer1Share</f>
        <v>2.3E-2</v>
      </c>
      <c r="F1701" s="511">
        <f>obalReg1Seg2Comp2Payer1Share</f>
        <v>2.3E-2</v>
      </c>
      <c r="G1701" s="511">
        <f>obalReg1Seg2Comp2Payer1Share</f>
        <v>2.3E-2</v>
      </c>
      <c r="H1701" s="511">
        <f>obalReg1Seg2Comp2Payer1Share</f>
        <v>2.3E-2</v>
      </c>
      <c r="I1701" s="511">
        <f>obalReg1Seg2Comp2Payer1Share</f>
        <v>2.3E-2</v>
      </c>
    </row>
    <row r="1702" spans="1:10">
      <c r="D1702" t="s">
        <v>3745</v>
      </c>
      <c r="E1702" s="511">
        <f>calcReg1Seg2Comp2Payer1ShareLostR1+calcReg1Seg2Comp2Payer1ShareWonR1</f>
        <v>1.7599999999999978E-4</v>
      </c>
      <c r="F1702" s="511">
        <f>calcReg1Seg2Comp2Payer1ShareLostR1+calcReg1Seg2Comp2Payer1ShareWonR1</f>
        <v>1.7599999999999978E-4</v>
      </c>
      <c r="G1702" s="511">
        <f>calcReg1Seg2Comp2Payer1ShareLostR1+calcReg1Seg2Comp2Payer1ShareWonR1</f>
        <v>1.7599999999999978E-4</v>
      </c>
      <c r="H1702" s="511">
        <f>calcReg1Seg2Comp2Payer1ShareLostR1+calcReg1Seg2Comp2Payer1ShareWonR1</f>
        <v>1.7599999999999978E-4</v>
      </c>
      <c r="I1702" s="511">
        <f>calcReg1Seg2Comp2Payer1ShareLostR1+calcReg1Seg2Comp2Payer1ShareWonR1</f>
        <v>1.7599999999999978E-4</v>
      </c>
    </row>
    <row r="1703" spans="1:10">
      <c r="E1703" s="511"/>
      <c r="F1703" s="511"/>
      <c r="G1703" s="511"/>
      <c r="H1703" s="511"/>
      <c r="I1703" s="511"/>
    </row>
    <row r="1704" spans="1:10" s="4" customFormat="1">
      <c r="D1704" s="4" t="s">
        <v>1534</v>
      </c>
      <c r="E1704" s="569">
        <f>SUM(E1701:E1703)</f>
        <v>2.3175999999999999E-2</v>
      </c>
      <c r="F1704" s="569">
        <f t="shared" ref="F1704:I1704" si="87">SUM(F1701:F1703)</f>
        <v>2.3175999999999999E-2</v>
      </c>
      <c r="G1704" s="569">
        <f t="shared" si="87"/>
        <v>2.3175999999999999E-2</v>
      </c>
      <c r="H1704" s="569">
        <f t="shared" si="87"/>
        <v>2.3175999999999999E-2</v>
      </c>
      <c r="I1704" s="569">
        <f t="shared" si="87"/>
        <v>2.3175999999999999E-2</v>
      </c>
      <c r="J1704" s="4" t="s">
        <v>2120</v>
      </c>
    </row>
    <row r="1705" spans="1:10">
      <c r="E1705" s="511"/>
      <c r="F1705" s="511"/>
      <c r="G1705" s="511"/>
      <c r="H1705" s="511"/>
      <c r="I1705" s="511"/>
    </row>
    <row r="1706" spans="1:10">
      <c r="A1706" s="4" t="s">
        <v>623</v>
      </c>
      <c r="D1706" t="s">
        <v>1486</v>
      </c>
      <c r="E1706" s="511">
        <f>calcReg1Seg2Comp2Payer1TotalShareR1</f>
        <v>2.3175999999999999E-2</v>
      </c>
      <c r="F1706" s="511">
        <f>calcReg1Seg2Comp2Payer1TotalShareR1</f>
        <v>2.3175999999999999E-2</v>
      </c>
      <c r="G1706" s="511">
        <f>calcReg1Seg2Comp2Payer1TotalShareR1</f>
        <v>2.3175999999999999E-2</v>
      </c>
      <c r="H1706" s="511">
        <f>calcReg1Seg2Comp2Payer1TotalShareR1</f>
        <v>2.3175999999999999E-2</v>
      </c>
      <c r="I1706" s="511">
        <f>calcReg1Seg2Comp2Payer1TotalShareR1</f>
        <v>2.3175999999999999E-2</v>
      </c>
    </row>
    <row r="1707" spans="1:10">
      <c r="D1707" t="s">
        <v>3745</v>
      </c>
      <c r="E1707" s="511">
        <f>calcReg1Seg2Comp2Payer1ShareLostR2+calcReg1Seg2Comp2Payer1ShareWonR2</f>
        <v>0</v>
      </c>
      <c r="F1707" s="511">
        <f>calcReg1Seg2Comp2Payer1ShareLostR2+calcReg1Seg2Comp2Payer1ShareWonR2</f>
        <v>0</v>
      </c>
      <c r="G1707" s="511">
        <f>calcReg1Seg2Comp2Payer1ShareLostR2+calcReg1Seg2Comp2Payer1ShareWonR2</f>
        <v>0</v>
      </c>
      <c r="H1707" s="511">
        <f>calcReg1Seg2Comp2Payer1ShareLostR2+calcReg1Seg2Comp2Payer1ShareWonR2</f>
        <v>0</v>
      </c>
      <c r="I1707" s="511">
        <f>calcReg1Seg2Comp2Payer1ShareLostR2+calcReg1Seg2Comp2Payer1ShareWonR2</f>
        <v>0</v>
      </c>
    </row>
    <row r="1708" spans="1:10">
      <c r="E1708" s="511"/>
      <c r="F1708" s="511"/>
      <c r="G1708" s="511"/>
      <c r="H1708" s="511"/>
      <c r="I1708" s="511"/>
    </row>
    <row r="1709" spans="1:10" s="4" customFormat="1">
      <c r="D1709" s="4" t="s">
        <v>1534</v>
      </c>
      <c r="E1709" s="569">
        <f>SUM(E1706:E1708)</f>
        <v>2.3175999999999999E-2</v>
      </c>
      <c r="F1709" s="569">
        <f t="shared" ref="F1709:I1709" si="88">SUM(F1706:F1708)</f>
        <v>2.3175999999999999E-2</v>
      </c>
      <c r="G1709" s="569">
        <f t="shared" si="88"/>
        <v>2.3175999999999999E-2</v>
      </c>
      <c r="H1709" s="569">
        <f t="shared" si="88"/>
        <v>2.3175999999999999E-2</v>
      </c>
      <c r="I1709" s="569">
        <f t="shared" si="88"/>
        <v>2.3175999999999999E-2</v>
      </c>
      <c r="J1709" s="4" t="s">
        <v>2121</v>
      </c>
    </row>
    <row r="1710" spans="1:10">
      <c r="E1710" s="511"/>
      <c r="F1710" s="511"/>
      <c r="G1710" s="511"/>
      <c r="H1710" s="511"/>
      <c r="I1710" s="511"/>
    </row>
    <row r="1711" spans="1:10">
      <c r="A1711" s="4" t="s">
        <v>622</v>
      </c>
      <c r="B1711" t="str">
        <f>nmPayer2</f>
        <v>WesterAid</v>
      </c>
      <c r="D1711" t="s">
        <v>1486</v>
      </c>
      <c r="E1711" s="511">
        <f>obalReg1Seg2Comp2Payer2Share</f>
        <v>3.2857142857142856E-2</v>
      </c>
      <c r="F1711" s="511">
        <f>obalReg1Seg2Comp2Payer2Share</f>
        <v>3.2857142857142856E-2</v>
      </c>
      <c r="G1711" s="511">
        <f>obalReg1Seg2Comp2Payer2Share</f>
        <v>3.2857142857142856E-2</v>
      </c>
      <c r="H1711" s="511">
        <f>obalReg1Seg2Comp2Payer2Share</f>
        <v>3.2857142857142856E-2</v>
      </c>
      <c r="I1711" s="511">
        <f>obalReg1Seg2Comp2Payer2Share</f>
        <v>3.2857142857142856E-2</v>
      </c>
    </row>
    <row r="1712" spans="1:10">
      <c r="D1712" t="s">
        <v>3745</v>
      </c>
      <c r="E1712" s="511">
        <f>calcReg1Seg2Comp2Payer2ShareLostR1+calcReg1Seg2Comp2Payer2ShareWonR1</f>
        <v>0</v>
      </c>
      <c r="F1712" s="511">
        <f>calcReg1Seg2Comp2Payer2ShareLostR1+calcReg1Seg2Comp2Payer2ShareWonR1</f>
        <v>0</v>
      </c>
      <c r="G1712" s="511">
        <f>calcReg1Seg2Comp2Payer2ShareLostR1+calcReg1Seg2Comp2Payer2ShareWonR1</f>
        <v>0</v>
      </c>
      <c r="H1712" s="511">
        <f>calcReg1Seg2Comp2Payer2ShareLostR1+calcReg1Seg2Comp2Payer2ShareWonR1</f>
        <v>0</v>
      </c>
      <c r="I1712" s="511">
        <f>calcReg1Seg2Comp2Payer2ShareLostR1+calcReg1Seg2Comp2Payer2ShareWonR1</f>
        <v>0</v>
      </c>
    </row>
    <row r="1713" spans="1:10">
      <c r="E1713" s="511"/>
      <c r="F1713" s="511"/>
      <c r="G1713" s="511"/>
      <c r="H1713" s="511"/>
      <c r="I1713" s="511"/>
    </row>
    <row r="1714" spans="1:10" s="4" customFormat="1">
      <c r="D1714" s="4" t="s">
        <v>1534</v>
      </c>
      <c r="E1714" s="569">
        <f>SUM(E1711:E1713)</f>
        <v>3.2857142857142856E-2</v>
      </c>
      <c r="F1714" s="569">
        <f t="shared" ref="F1714:I1714" si="89">SUM(F1711:F1713)</f>
        <v>3.2857142857142856E-2</v>
      </c>
      <c r="G1714" s="569">
        <f t="shared" si="89"/>
        <v>3.2857142857142856E-2</v>
      </c>
      <c r="H1714" s="569">
        <f t="shared" si="89"/>
        <v>3.2857142857142856E-2</v>
      </c>
      <c r="I1714" s="569">
        <f t="shared" si="89"/>
        <v>3.2857142857142856E-2</v>
      </c>
      <c r="J1714" s="4" t="s">
        <v>2122</v>
      </c>
    </row>
    <row r="1715" spans="1:10">
      <c r="E1715" s="511"/>
      <c r="F1715" s="511"/>
      <c r="G1715" s="511"/>
      <c r="H1715" s="511"/>
      <c r="I1715" s="511"/>
    </row>
    <row r="1716" spans="1:10">
      <c r="A1716" s="4" t="s">
        <v>623</v>
      </c>
      <c r="D1716" t="s">
        <v>1486</v>
      </c>
      <c r="E1716" s="511">
        <f>calcReg1Seg2Comp2Payer2TotalShareR1</f>
        <v>3.2857142857142856E-2</v>
      </c>
      <c r="F1716" s="511">
        <f>calcReg1Seg2Comp2Payer2TotalShareR1</f>
        <v>3.2857142857142856E-2</v>
      </c>
      <c r="G1716" s="511">
        <f>calcReg1Seg2Comp2Payer2TotalShareR1</f>
        <v>3.2857142857142856E-2</v>
      </c>
      <c r="H1716" s="511">
        <f>calcReg1Seg2Comp2Payer2TotalShareR1</f>
        <v>3.2857142857142856E-2</v>
      </c>
      <c r="I1716" s="511">
        <f>calcReg1Seg2Comp2Payer2TotalShareR1</f>
        <v>3.2857142857142856E-2</v>
      </c>
    </row>
    <row r="1717" spans="1:10">
      <c r="D1717" t="s">
        <v>3745</v>
      </c>
      <c r="E1717" s="511">
        <f>calcReg1Seg2Comp2Payer2ShareLostR2+calcReg1Seg2Comp2Payer2ShareWonR2</f>
        <v>0</v>
      </c>
      <c r="F1717" s="511">
        <f>calcReg1Seg2Comp2Payer2ShareLostR2+calcReg1Seg2Comp2Payer2ShareWonR2</f>
        <v>0</v>
      </c>
      <c r="G1717" s="511">
        <f>calcReg1Seg2Comp2Payer2ShareLostR2+calcReg1Seg2Comp2Payer2ShareWonR2</f>
        <v>0</v>
      </c>
      <c r="H1717" s="511">
        <f>calcReg1Seg2Comp2Payer2ShareLostR2+calcReg1Seg2Comp2Payer2ShareWonR2</f>
        <v>0</v>
      </c>
      <c r="I1717" s="511">
        <f>calcReg1Seg2Comp2Payer2ShareLostR2+calcReg1Seg2Comp2Payer2ShareWonR2</f>
        <v>0</v>
      </c>
    </row>
    <row r="1718" spans="1:10">
      <c r="E1718" s="511"/>
      <c r="F1718" s="511"/>
      <c r="G1718" s="511"/>
      <c r="H1718" s="511"/>
      <c r="I1718" s="511"/>
    </row>
    <row r="1719" spans="1:10" s="4" customFormat="1">
      <c r="D1719" s="4" t="s">
        <v>1534</v>
      </c>
      <c r="E1719" s="569">
        <f>SUM(E1716:E1718)</f>
        <v>3.2857142857142856E-2</v>
      </c>
      <c r="F1719" s="569">
        <f t="shared" ref="F1719:I1719" si="90">SUM(F1716:F1718)</f>
        <v>3.2857142857142856E-2</v>
      </c>
      <c r="G1719" s="569">
        <f t="shared" si="90"/>
        <v>3.2857142857142856E-2</v>
      </c>
      <c r="H1719" s="569">
        <f t="shared" si="90"/>
        <v>3.2857142857142856E-2</v>
      </c>
      <c r="I1719" s="569">
        <f t="shared" si="90"/>
        <v>3.2857142857142856E-2</v>
      </c>
      <c r="J1719" s="4" t="s">
        <v>2123</v>
      </c>
    </row>
    <row r="1720" spans="1:10">
      <c r="E1720" s="511"/>
      <c r="F1720" s="511"/>
      <c r="G1720" s="511"/>
      <c r="H1720" s="511"/>
      <c r="I1720" s="511"/>
    </row>
    <row r="1721" spans="1:10">
      <c r="A1721" s="4" t="s">
        <v>622</v>
      </c>
      <c r="B1721" t="str">
        <f>nmPayer3</f>
        <v>Dragon Health</v>
      </c>
      <c r="D1721" t="s">
        <v>1486</v>
      </c>
      <c r="E1721" s="511">
        <f>obalReg1Seg2Comp2Payer3Share</f>
        <v>1.7692307692307691E-2</v>
      </c>
      <c r="F1721" s="511">
        <f>obalReg1Seg2Comp2Payer3Share</f>
        <v>1.7692307692307691E-2</v>
      </c>
      <c r="G1721" s="511">
        <f>obalReg1Seg2Comp2Payer3Share</f>
        <v>1.7692307692307691E-2</v>
      </c>
      <c r="H1721" s="511">
        <f>obalReg1Seg2Comp2Payer3Share</f>
        <v>1.7692307692307691E-2</v>
      </c>
      <c r="I1721" s="511">
        <f>obalReg1Seg2Comp2Payer3Share</f>
        <v>1.7692307692307691E-2</v>
      </c>
    </row>
    <row r="1722" spans="1:10">
      <c r="D1722" t="s">
        <v>3745</v>
      </c>
      <c r="E1722" s="511">
        <f>calcReg1Seg2Comp2Payer3ShareLostR1+calcReg1Seg2Comp2Payer3ShareWonR1</f>
        <v>1.0799999999999977E-4</v>
      </c>
      <c r="F1722" s="511">
        <f>calcReg1Seg2Comp2Payer3ShareLostR1+calcReg1Seg2Comp2Payer3ShareWonR1</f>
        <v>1.0799999999999977E-4</v>
      </c>
      <c r="G1722" s="511">
        <f>calcReg1Seg2Comp2Payer3ShareLostR1+calcReg1Seg2Comp2Payer3ShareWonR1</f>
        <v>1.0799999999999977E-4</v>
      </c>
      <c r="H1722" s="511">
        <f>calcReg1Seg2Comp2Payer3ShareLostR1+calcReg1Seg2Comp2Payer3ShareWonR1</f>
        <v>1.0799999999999977E-4</v>
      </c>
      <c r="I1722" s="511">
        <f>calcReg1Seg2Comp2Payer3ShareLostR1+calcReg1Seg2Comp2Payer3ShareWonR1</f>
        <v>1.0799999999999977E-4</v>
      </c>
    </row>
    <row r="1723" spans="1:10">
      <c r="E1723" s="511"/>
      <c r="F1723" s="511"/>
      <c r="G1723" s="511"/>
      <c r="H1723" s="511"/>
      <c r="I1723" s="511"/>
    </row>
    <row r="1724" spans="1:10" s="4" customFormat="1">
      <c r="D1724" s="4" t="s">
        <v>1534</v>
      </c>
      <c r="E1724" s="569">
        <f>SUM(E1721:E1723)</f>
        <v>1.7800307692307692E-2</v>
      </c>
      <c r="F1724" s="569">
        <f t="shared" ref="F1724:I1724" si="91">SUM(F1721:F1723)</f>
        <v>1.7800307692307692E-2</v>
      </c>
      <c r="G1724" s="569">
        <f t="shared" si="91"/>
        <v>1.7800307692307692E-2</v>
      </c>
      <c r="H1724" s="569">
        <f t="shared" si="91"/>
        <v>1.7800307692307692E-2</v>
      </c>
      <c r="I1724" s="569">
        <f t="shared" si="91"/>
        <v>1.7800307692307692E-2</v>
      </c>
      <c r="J1724" s="4" t="s">
        <v>2124</v>
      </c>
    </row>
    <row r="1725" spans="1:10">
      <c r="E1725" s="511"/>
      <c r="F1725" s="511"/>
      <c r="G1725" s="511"/>
      <c r="H1725" s="511"/>
      <c r="I1725" s="511"/>
    </row>
    <row r="1726" spans="1:10">
      <c r="A1726" s="4" t="s">
        <v>623</v>
      </c>
      <c r="D1726" t="s">
        <v>1486</v>
      </c>
      <c r="E1726" s="511">
        <f>calcReg1Seg2Comp2Payer3TotalShareR1</f>
        <v>1.7800307692307692E-2</v>
      </c>
      <c r="F1726" s="511">
        <f>calcReg1Seg2Comp2Payer3TotalShareR1</f>
        <v>1.7800307692307692E-2</v>
      </c>
      <c r="G1726" s="511">
        <f>calcReg1Seg2Comp2Payer3TotalShareR1</f>
        <v>1.7800307692307692E-2</v>
      </c>
      <c r="H1726" s="511">
        <f>calcReg1Seg2Comp2Payer3TotalShareR1</f>
        <v>1.7800307692307692E-2</v>
      </c>
      <c r="I1726" s="511">
        <f>calcReg1Seg2Comp2Payer3TotalShareR1</f>
        <v>1.7800307692307692E-2</v>
      </c>
    </row>
    <row r="1727" spans="1:10">
      <c r="D1727" t="s">
        <v>3745</v>
      </c>
      <c r="E1727" s="511">
        <f>calcReg1Seg2Comp2Payer3ShareLostR2+calcReg1Seg2Comp2Payer3ShareWonR2</f>
        <v>0</v>
      </c>
      <c r="F1727" s="511">
        <f>calcReg1Seg2Comp2Payer3ShareLostR2+calcReg1Seg2Comp2Payer3ShareWonR2</f>
        <v>0</v>
      </c>
      <c r="G1727" s="511">
        <f>calcReg1Seg2Comp2Payer3ShareLostR2+calcReg1Seg2Comp2Payer3ShareWonR2</f>
        <v>0</v>
      </c>
      <c r="H1727" s="511">
        <f>calcReg1Seg2Comp2Payer3ShareLostR2+calcReg1Seg2Comp2Payer3ShareWonR2</f>
        <v>0</v>
      </c>
      <c r="I1727" s="511">
        <f>calcReg1Seg2Comp2Payer3ShareLostR2+calcReg1Seg2Comp2Payer3ShareWonR2</f>
        <v>0</v>
      </c>
    </row>
    <row r="1728" spans="1:10">
      <c r="E1728" s="511"/>
      <c r="F1728" s="511"/>
      <c r="G1728" s="511"/>
      <c r="H1728" s="511"/>
      <c r="I1728" s="511"/>
    </row>
    <row r="1729" spans="1:10" s="4" customFormat="1">
      <c r="D1729" s="4" t="s">
        <v>1534</v>
      </c>
      <c r="E1729" s="569">
        <f>SUM(E1726:E1728)</f>
        <v>1.7800307692307692E-2</v>
      </c>
      <c r="F1729" s="569">
        <f t="shared" ref="F1729:I1729" si="92">SUM(F1726:F1728)</f>
        <v>1.7800307692307692E-2</v>
      </c>
      <c r="G1729" s="569">
        <f t="shared" si="92"/>
        <v>1.7800307692307692E-2</v>
      </c>
      <c r="H1729" s="569">
        <f t="shared" si="92"/>
        <v>1.7800307692307692E-2</v>
      </c>
      <c r="I1729" s="569">
        <f t="shared" si="92"/>
        <v>1.7800307692307692E-2</v>
      </c>
      <c r="J1729" s="4" t="s">
        <v>2125</v>
      </c>
    </row>
    <row r="1730" spans="1:10">
      <c r="A1730" s="4" t="str">
        <f>nmReg1Seg3</f>
        <v>Harrenhal</v>
      </c>
      <c r="E1730" s="511"/>
      <c r="F1730" s="511"/>
      <c r="G1730" s="511"/>
      <c r="H1730" s="511"/>
      <c r="I1730" s="511"/>
    </row>
    <row r="1731" spans="1:10">
      <c r="A1731" s="4" t="s">
        <v>622</v>
      </c>
      <c r="B1731" t="str">
        <f>nmPayer1</f>
        <v>Blue Sword/Blue Shield</v>
      </c>
      <c r="D1731" t="s">
        <v>1486</v>
      </c>
      <c r="E1731" s="511">
        <f>obalReg1Seg3Comp2Payer1Share</f>
        <v>4.8421052631578948E-2</v>
      </c>
      <c r="F1731" s="511">
        <f>obalReg1Seg3Comp2Payer1Share</f>
        <v>4.8421052631578948E-2</v>
      </c>
      <c r="G1731" s="511">
        <f>obalReg1Seg3Comp2Payer1Share</f>
        <v>4.8421052631578948E-2</v>
      </c>
      <c r="H1731" s="511">
        <f>obalReg1Seg3Comp2Payer1Share</f>
        <v>4.8421052631578948E-2</v>
      </c>
      <c r="I1731" s="511">
        <f>obalReg1Seg3Comp2Payer1Share</f>
        <v>4.8421052631578948E-2</v>
      </c>
    </row>
    <row r="1732" spans="1:10">
      <c r="D1732" t="s">
        <v>3745</v>
      </c>
      <c r="E1732" s="511">
        <f>calcReg1Seg3Comp2Payer1ShareLostR1+calcReg1Seg3Comp2Payer1ShareWonR1</f>
        <v>4.400000000000029E-5</v>
      </c>
      <c r="F1732" s="511">
        <f>calcReg1Seg3Comp2Payer1ShareLostR1+calcReg1Seg3Comp2Payer1ShareWonR1</f>
        <v>4.400000000000029E-5</v>
      </c>
      <c r="G1732" s="511">
        <f>calcReg1Seg3Comp2Payer1ShareLostR1+calcReg1Seg3Comp2Payer1ShareWonR1</f>
        <v>4.400000000000029E-5</v>
      </c>
      <c r="H1732" s="511">
        <f>calcReg1Seg3Comp2Payer1ShareLostR1+calcReg1Seg3Comp2Payer1ShareWonR1</f>
        <v>4.400000000000029E-5</v>
      </c>
      <c r="I1732" s="511">
        <f>calcReg1Seg3Comp2Payer1ShareLostR1+calcReg1Seg3Comp2Payer1ShareWonR1</f>
        <v>4.400000000000029E-5</v>
      </c>
    </row>
    <row r="1733" spans="1:10">
      <c r="E1733" s="511"/>
      <c r="F1733" s="511"/>
      <c r="G1733" s="511"/>
      <c r="H1733" s="511"/>
      <c r="I1733" s="511"/>
    </row>
    <row r="1734" spans="1:10" s="4" customFormat="1">
      <c r="D1734" s="4" t="s">
        <v>1534</v>
      </c>
      <c r="E1734" s="569">
        <f>SUM(E1731:E1733)</f>
        <v>4.846505263157895E-2</v>
      </c>
      <c r="F1734" s="569">
        <f t="shared" ref="F1734:I1734" si="93">SUM(F1731:F1733)</f>
        <v>4.846505263157895E-2</v>
      </c>
      <c r="G1734" s="569">
        <f t="shared" si="93"/>
        <v>4.846505263157895E-2</v>
      </c>
      <c r="H1734" s="569">
        <f t="shared" si="93"/>
        <v>4.846505263157895E-2</v>
      </c>
      <c r="I1734" s="569">
        <f t="shared" si="93"/>
        <v>4.846505263157895E-2</v>
      </c>
      <c r="J1734" s="4" t="s">
        <v>2126</v>
      </c>
    </row>
    <row r="1735" spans="1:10">
      <c r="E1735" s="511"/>
      <c r="F1735" s="511"/>
      <c r="G1735" s="511"/>
      <c r="H1735" s="511"/>
      <c r="I1735" s="511"/>
    </row>
    <row r="1736" spans="1:10">
      <c r="A1736" s="4" t="s">
        <v>623</v>
      </c>
      <c r="D1736" t="s">
        <v>1486</v>
      </c>
      <c r="E1736" s="511">
        <f>calcReg1Seg3Comp2Payer1TotalShareR1</f>
        <v>4.846505263157895E-2</v>
      </c>
      <c r="F1736" s="511">
        <f>calcReg1Seg3Comp2Payer1TotalShareR1</f>
        <v>4.846505263157895E-2</v>
      </c>
      <c r="G1736" s="511">
        <f>calcReg1Seg3Comp2Payer1TotalShareR1</f>
        <v>4.846505263157895E-2</v>
      </c>
      <c r="H1736" s="511">
        <f>calcReg1Seg3Comp2Payer1TotalShareR1</f>
        <v>4.846505263157895E-2</v>
      </c>
      <c r="I1736" s="511">
        <f>calcReg1Seg3Comp2Payer1TotalShareR1</f>
        <v>4.846505263157895E-2</v>
      </c>
    </row>
    <row r="1737" spans="1:10">
      <c r="D1737" t="s">
        <v>3745</v>
      </c>
      <c r="E1737" s="511">
        <f>calcReg1Seg3Comp2Payer1ShareLostR2+calcReg1Seg3Comp2Payer1ShareWonR2</f>
        <v>0</v>
      </c>
      <c r="F1737" s="511">
        <f>calcReg1Seg3Comp2Payer1ShareLostR2+calcReg1Seg3Comp2Payer1ShareWonR2</f>
        <v>0</v>
      </c>
      <c r="G1737" s="511">
        <f>calcReg1Seg3Comp2Payer1ShareLostR2+calcReg1Seg3Comp2Payer1ShareWonR2</f>
        <v>0</v>
      </c>
      <c r="H1737" s="511">
        <f>calcReg1Seg3Comp2Payer1ShareLostR2+calcReg1Seg3Comp2Payer1ShareWonR2</f>
        <v>0</v>
      </c>
      <c r="I1737" s="511">
        <f>calcReg1Seg3Comp2Payer1ShareLostR2+calcReg1Seg3Comp2Payer1ShareWonR2</f>
        <v>0</v>
      </c>
    </row>
    <row r="1738" spans="1:10">
      <c r="E1738" s="511"/>
      <c r="F1738" s="511"/>
      <c r="G1738" s="511"/>
      <c r="H1738" s="511"/>
      <c r="I1738" s="511"/>
    </row>
    <row r="1739" spans="1:10" s="4" customFormat="1">
      <c r="D1739" s="4" t="s">
        <v>1534</v>
      </c>
      <c r="E1739" s="569">
        <f>SUM(E1736:E1738)</f>
        <v>4.846505263157895E-2</v>
      </c>
      <c r="F1739" s="569">
        <f t="shared" ref="F1739:I1739" si="94">SUM(F1736:F1738)</f>
        <v>4.846505263157895E-2</v>
      </c>
      <c r="G1739" s="569">
        <f t="shared" si="94"/>
        <v>4.846505263157895E-2</v>
      </c>
      <c r="H1739" s="569">
        <f t="shared" si="94"/>
        <v>4.846505263157895E-2</v>
      </c>
      <c r="I1739" s="569">
        <f t="shared" si="94"/>
        <v>4.846505263157895E-2</v>
      </c>
      <c r="J1739" s="4" t="s">
        <v>2127</v>
      </c>
    </row>
    <row r="1740" spans="1:10">
      <c r="E1740" s="511"/>
      <c r="F1740" s="511"/>
      <c r="G1740" s="511"/>
      <c r="H1740" s="511"/>
      <c r="I1740" s="511"/>
    </row>
    <row r="1741" spans="1:10">
      <c r="A1741" s="4" t="s">
        <v>622</v>
      </c>
      <c r="B1741" t="str">
        <f>nmPayer2</f>
        <v>WesterAid</v>
      </c>
      <c r="D1741" t="s">
        <v>1486</v>
      </c>
      <c r="E1741" s="511">
        <f>obalReg1Seg3Comp2Payer2Share</f>
        <v>1.4374999999999999E-2</v>
      </c>
      <c r="F1741" s="511">
        <f>obalReg1Seg3Comp2Payer2Share</f>
        <v>1.4374999999999999E-2</v>
      </c>
      <c r="G1741" s="511">
        <f>obalReg1Seg3Comp2Payer2Share</f>
        <v>1.4374999999999999E-2</v>
      </c>
      <c r="H1741" s="511">
        <f>obalReg1Seg3Comp2Payer2Share</f>
        <v>1.4374999999999999E-2</v>
      </c>
      <c r="I1741" s="511">
        <f>obalReg1Seg3Comp2Payer2Share</f>
        <v>1.4374999999999999E-2</v>
      </c>
    </row>
    <row r="1742" spans="1:10">
      <c r="D1742" t="s">
        <v>3745</v>
      </c>
      <c r="E1742" s="511">
        <f>calcReg1Seg3Comp2Payer2ShareLostR1+calcReg1Seg3Comp2Payer2ShareWonR1</f>
        <v>0</v>
      </c>
      <c r="F1742" s="511">
        <f>calcReg1Seg3Comp2Payer2ShareLostR1+calcReg1Seg3Comp2Payer2ShareWonR1</f>
        <v>0</v>
      </c>
      <c r="G1742" s="511">
        <f>calcReg1Seg3Comp2Payer2ShareLostR1+calcReg1Seg3Comp2Payer2ShareWonR1</f>
        <v>0</v>
      </c>
      <c r="H1742" s="511">
        <f>calcReg1Seg3Comp2Payer2ShareLostR1+calcReg1Seg3Comp2Payer2ShareWonR1</f>
        <v>0</v>
      </c>
      <c r="I1742" s="511">
        <f>calcReg1Seg3Comp2Payer2ShareLostR1+calcReg1Seg3Comp2Payer2ShareWonR1</f>
        <v>0</v>
      </c>
    </row>
    <row r="1743" spans="1:10">
      <c r="E1743" s="511"/>
      <c r="F1743" s="511"/>
      <c r="G1743" s="511"/>
      <c r="H1743" s="511"/>
      <c r="I1743" s="511"/>
    </row>
    <row r="1744" spans="1:10" s="4" customFormat="1">
      <c r="D1744" s="4" t="s">
        <v>1534</v>
      </c>
      <c r="E1744" s="569">
        <f>SUM(E1741:E1743)</f>
        <v>1.4374999999999999E-2</v>
      </c>
      <c r="F1744" s="569">
        <f t="shared" ref="F1744:I1744" si="95">SUM(F1741:F1743)</f>
        <v>1.4374999999999999E-2</v>
      </c>
      <c r="G1744" s="569">
        <f t="shared" si="95"/>
        <v>1.4374999999999999E-2</v>
      </c>
      <c r="H1744" s="569">
        <f t="shared" si="95"/>
        <v>1.4374999999999999E-2</v>
      </c>
      <c r="I1744" s="569">
        <f t="shared" si="95"/>
        <v>1.4374999999999999E-2</v>
      </c>
      <c r="J1744" s="4" t="s">
        <v>2128</v>
      </c>
    </row>
    <row r="1745" spans="1:10">
      <c r="E1745" s="511"/>
      <c r="F1745" s="511"/>
      <c r="G1745" s="511"/>
      <c r="H1745" s="511"/>
      <c r="I1745" s="511"/>
    </row>
    <row r="1746" spans="1:10">
      <c r="A1746" s="4" t="s">
        <v>623</v>
      </c>
      <c r="D1746" t="s">
        <v>1486</v>
      </c>
      <c r="E1746" s="511">
        <f>calcReg1Seg3Comp2Payer2TotalShareR1</f>
        <v>1.4374999999999999E-2</v>
      </c>
      <c r="F1746" s="511">
        <f>calcReg1Seg3Comp2Payer2TotalShareR1</f>
        <v>1.4374999999999999E-2</v>
      </c>
      <c r="G1746" s="511">
        <f>calcReg1Seg3Comp2Payer2TotalShareR1</f>
        <v>1.4374999999999999E-2</v>
      </c>
      <c r="H1746" s="511">
        <f>calcReg1Seg3Comp2Payer2TotalShareR1</f>
        <v>1.4374999999999999E-2</v>
      </c>
      <c r="I1746" s="511">
        <f>calcReg1Seg3Comp2Payer2TotalShareR1</f>
        <v>1.4374999999999999E-2</v>
      </c>
    </row>
    <row r="1747" spans="1:10">
      <c r="D1747" t="s">
        <v>3745</v>
      </c>
      <c r="E1747" s="511">
        <f>calcReg1Seg3Comp2Payer2ShareLostR2+calcReg1Seg3Comp2Payer2ShareWonR2</f>
        <v>0</v>
      </c>
      <c r="F1747" s="511">
        <f>calcReg1Seg3Comp2Payer2ShareLostR2+calcReg1Seg3Comp2Payer2ShareWonR2</f>
        <v>0</v>
      </c>
      <c r="G1747" s="511">
        <f>calcReg1Seg3Comp2Payer2ShareLostR2+calcReg1Seg3Comp2Payer2ShareWonR2</f>
        <v>0</v>
      </c>
      <c r="H1747" s="511">
        <f>calcReg1Seg3Comp2Payer2ShareLostR2+calcReg1Seg3Comp2Payer2ShareWonR2</f>
        <v>0</v>
      </c>
      <c r="I1747" s="511">
        <f>calcReg1Seg3Comp2Payer2ShareLostR2+calcReg1Seg3Comp2Payer2ShareWonR2</f>
        <v>0</v>
      </c>
    </row>
    <row r="1748" spans="1:10">
      <c r="E1748" s="511"/>
      <c r="F1748" s="511"/>
      <c r="G1748" s="511"/>
      <c r="H1748" s="511"/>
      <c r="I1748" s="511"/>
    </row>
    <row r="1749" spans="1:10" s="4" customFormat="1">
      <c r="D1749" s="4" t="s">
        <v>1534</v>
      </c>
      <c r="E1749" s="569">
        <f>SUM(E1746:E1748)</f>
        <v>1.4374999999999999E-2</v>
      </c>
      <c r="F1749" s="569">
        <f t="shared" ref="F1749:I1749" si="96">SUM(F1746:F1748)</f>
        <v>1.4374999999999999E-2</v>
      </c>
      <c r="G1749" s="569">
        <f t="shared" si="96"/>
        <v>1.4374999999999999E-2</v>
      </c>
      <c r="H1749" s="569">
        <f t="shared" si="96"/>
        <v>1.4374999999999999E-2</v>
      </c>
      <c r="I1749" s="569">
        <f t="shared" si="96"/>
        <v>1.4374999999999999E-2</v>
      </c>
      <c r="J1749" s="4" t="s">
        <v>2129</v>
      </c>
    </row>
    <row r="1750" spans="1:10">
      <c r="E1750" s="511"/>
      <c r="F1750" s="511"/>
      <c r="G1750" s="511"/>
      <c r="H1750" s="511"/>
      <c r="I1750" s="511"/>
    </row>
    <row r="1751" spans="1:10">
      <c r="A1751" s="4" t="s">
        <v>622</v>
      </c>
      <c r="B1751" t="str">
        <f>nmPayer3</f>
        <v>Dragon Health</v>
      </c>
      <c r="D1751" t="s">
        <v>1486</v>
      </c>
      <c r="E1751" s="511">
        <f>obalReg1Seg3Comp2Payer3Share</f>
        <v>2.5555555555555557E-2</v>
      </c>
      <c r="F1751" s="511">
        <f>obalReg1Seg3Comp2Payer3Share</f>
        <v>2.5555555555555557E-2</v>
      </c>
      <c r="G1751" s="511">
        <f>obalReg1Seg3Comp2Payer3Share</f>
        <v>2.5555555555555557E-2</v>
      </c>
      <c r="H1751" s="511">
        <f>obalReg1Seg3Comp2Payer3Share</f>
        <v>2.5555555555555557E-2</v>
      </c>
      <c r="I1751" s="511">
        <f>obalReg1Seg3Comp2Payer3Share</f>
        <v>2.5555555555555557E-2</v>
      </c>
    </row>
    <row r="1752" spans="1:10">
      <c r="D1752" t="s">
        <v>3745</v>
      </c>
      <c r="E1752" s="511">
        <f>calcReg1Seg3Comp2Payer3ShareLostR1+calcReg1Seg3Comp2Payer3ShareWonR1</f>
        <v>3.599999999999992E-5</v>
      </c>
      <c r="F1752" s="511">
        <f>calcReg1Seg3Comp2Payer3ShareLostR1+calcReg1Seg3Comp2Payer3ShareWonR1</f>
        <v>3.599999999999992E-5</v>
      </c>
      <c r="G1752" s="511">
        <f>calcReg1Seg3Comp2Payer3ShareLostR1+calcReg1Seg3Comp2Payer3ShareWonR1</f>
        <v>3.599999999999992E-5</v>
      </c>
      <c r="H1752" s="511">
        <f>calcReg1Seg3Comp2Payer3ShareLostR1+calcReg1Seg3Comp2Payer3ShareWonR1</f>
        <v>3.599999999999992E-5</v>
      </c>
      <c r="I1752" s="511">
        <f>calcReg1Seg3Comp2Payer3ShareLostR1+calcReg1Seg3Comp2Payer3ShareWonR1</f>
        <v>3.599999999999992E-5</v>
      </c>
    </row>
    <row r="1753" spans="1:10">
      <c r="E1753" s="511"/>
      <c r="F1753" s="511"/>
      <c r="G1753" s="511"/>
      <c r="H1753" s="511"/>
      <c r="I1753" s="511"/>
    </row>
    <row r="1754" spans="1:10" s="4" customFormat="1">
      <c r="D1754" s="4" t="s">
        <v>1534</v>
      </c>
      <c r="E1754" s="569">
        <f>SUM(E1751:E1753)</f>
        <v>2.5591555555555558E-2</v>
      </c>
      <c r="F1754" s="569">
        <f t="shared" ref="F1754:I1754" si="97">SUM(F1751:F1753)</f>
        <v>2.5591555555555558E-2</v>
      </c>
      <c r="G1754" s="569">
        <f t="shared" si="97"/>
        <v>2.5591555555555558E-2</v>
      </c>
      <c r="H1754" s="569">
        <f t="shared" si="97"/>
        <v>2.5591555555555558E-2</v>
      </c>
      <c r="I1754" s="569">
        <f t="shared" si="97"/>
        <v>2.5591555555555558E-2</v>
      </c>
      <c r="J1754" s="4" t="s">
        <v>2130</v>
      </c>
    </row>
    <row r="1755" spans="1:10">
      <c r="E1755" s="511"/>
      <c r="F1755" s="511"/>
      <c r="G1755" s="511"/>
      <c r="H1755" s="511"/>
      <c r="I1755" s="511"/>
    </row>
    <row r="1756" spans="1:10">
      <c r="A1756" s="4" t="s">
        <v>623</v>
      </c>
      <c r="D1756" t="s">
        <v>1486</v>
      </c>
      <c r="E1756" s="511">
        <f>calcReg1Seg3Comp2Payer3TotalShareR1</f>
        <v>2.5591555555555558E-2</v>
      </c>
      <c r="F1756" s="511">
        <f>calcReg1Seg3Comp2Payer3TotalShareR1</f>
        <v>2.5591555555555558E-2</v>
      </c>
      <c r="G1756" s="511">
        <f>calcReg1Seg3Comp2Payer3TotalShareR1</f>
        <v>2.5591555555555558E-2</v>
      </c>
      <c r="H1756" s="511">
        <f>calcReg1Seg3Comp2Payer3TotalShareR1</f>
        <v>2.5591555555555558E-2</v>
      </c>
      <c r="I1756" s="511">
        <f>calcReg1Seg3Comp2Payer3TotalShareR1</f>
        <v>2.5591555555555558E-2</v>
      </c>
    </row>
    <row r="1757" spans="1:10">
      <c r="D1757" t="s">
        <v>3745</v>
      </c>
      <c r="E1757" s="511">
        <f>calcReg1Seg3Comp2Payer3ShareLostR2+calcReg1Seg3Comp2Payer3ShareWonR2</f>
        <v>0</v>
      </c>
      <c r="F1757" s="511">
        <f>calcReg1Seg3Comp2Payer3ShareLostR2+calcReg1Seg3Comp2Payer3ShareWonR2</f>
        <v>0</v>
      </c>
      <c r="G1757" s="511">
        <f>calcReg1Seg3Comp2Payer3ShareLostR2+calcReg1Seg3Comp2Payer3ShareWonR2</f>
        <v>0</v>
      </c>
      <c r="H1757" s="511">
        <f>calcReg1Seg3Comp2Payer3ShareLostR2+calcReg1Seg3Comp2Payer3ShareWonR2</f>
        <v>0</v>
      </c>
      <c r="I1757" s="511">
        <f>calcReg1Seg3Comp2Payer3ShareLostR2+calcReg1Seg3Comp2Payer3ShareWonR2</f>
        <v>0</v>
      </c>
    </row>
    <row r="1758" spans="1:10">
      <c r="E1758" s="511"/>
      <c r="F1758" s="511"/>
      <c r="G1758" s="511"/>
      <c r="H1758" s="511"/>
      <c r="I1758" s="511"/>
    </row>
    <row r="1759" spans="1:10" s="4" customFormat="1">
      <c r="D1759" s="4" t="s">
        <v>1534</v>
      </c>
      <c r="E1759" s="569">
        <f>SUM(E1756:E1758)</f>
        <v>2.5591555555555558E-2</v>
      </c>
      <c r="F1759" s="569">
        <f t="shared" ref="F1759:I1759" si="98">SUM(F1756:F1758)</f>
        <v>2.5591555555555558E-2</v>
      </c>
      <c r="G1759" s="569">
        <f t="shared" si="98"/>
        <v>2.5591555555555558E-2</v>
      </c>
      <c r="H1759" s="569">
        <f t="shared" si="98"/>
        <v>2.5591555555555558E-2</v>
      </c>
      <c r="I1759" s="569">
        <f t="shared" si="98"/>
        <v>2.5591555555555558E-2</v>
      </c>
      <c r="J1759" s="4" t="s">
        <v>2131</v>
      </c>
    </row>
    <row r="1761" spans="1:10">
      <c r="A1761" t="s">
        <v>622</v>
      </c>
      <c r="B1761" s="4" t="str">
        <f>nmReg1Seg1</f>
        <v>Riverrun</v>
      </c>
    </row>
    <row r="1762" spans="1:10">
      <c r="B1762" s="4"/>
      <c r="C1762" t="str">
        <f>nmPayer1</f>
        <v>Blue Sword/Blue Shield</v>
      </c>
      <c r="E1762">
        <f>(calcReg1Seg1Comp2Payer1TotalShareR1*calcReg1Seg1Payer1TotalVolumeR1)</f>
        <v>1461.1242162439999</v>
      </c>
      <c r="F1762">
        <f>(calcReg1Seg1Comp2Payer1TotalShareR1*calcReg1Seg1Payer1TotalVolumeR1)</f>
        <v>1461.1242162439999</v>
      </c>
      <c r="G1762">
        <f>(calcReg1Seg1Comp2Payer1TotalShareR1*calcReg1Seg1Payer1TotalVolumeR1)</f>
        <v>1461.1242162439999</v>
      </c>
      <c r="H1762">
        <f>(calcReg1Seg1Comp2Payer1TotalShareR1*calcReg1Seg1Payer1TotalVolumeR1)</f>
        <v>1461.1242162439999</v>
      </c>
      <c r="I1762">
        <f>(calcReg1Seg1Comp2Payer1TotalShareR1*calcReg1Seg1Payer1TotalVolumeR1)</f>
        <v>1461.1242162439999</v>
      </c>
      <c r="J1762" t="s">
        <v>2162</v>
      </c>
    </row>
    <row r="1763" spans="1:10">
      <c r="B1763" s="4"/>
      <c r="C1763" t="str">
        <f>nmPayer2</f>
        <v>WesterAid</v>
      </c>
      <c r="E1763">
        <f>(calcReg1Seg1Comp2Payer2TotalShareR1*calcReg1Seg1Payer2TotalVolumeR1)</f>
        <v>715.04507199999989</v>
      </c>
      <c r="F1763">
        <f>(calcReg1Seg1Comp2Payer2TotalShareR1*calcReg1Seg1Payer2TotalVolumeR1)</f>
        <v>715.04507199999989</v>
      </c>
      <c r="G1763">
        <f>(calcReg1Seg1Comp2Payer2TotalShareR1*calcReg1Seg1Payer2TotalVolumeR1)</f>
        <v>715.04507199999989</v>
      </c>
      <c r="H1763">
        <f>(calcReg1Seg1Comp2Payer2TotalShareR1*calcReg1Seg1Payer2TotalVolumeR1)</f>
        <v>715.04507199999989</v>
      </c>
      <c r="I1763">
        <f>(calcReg1Seg1Comp2Payer2TotalShareR1*calcReg1Seg1Payer2TotalVolumeR1)</f>
        <v>715.04507199999989</v>
      </c>
      <c r="J1763" t="s">
        <v>2163</v>
      </c>
    </row>
    <row r="1764" spans="1:10">
      <c r="B1764" s="4"/>
      <c r="C1764" t="str">
        <f>nmPayer3</f>
        <v>Dragon Health</v>
      </c>
      <c r="E1764">
        <f>(calcReg1Seg1Comp2Payer3TotalShareR1*calcReg1Seg1Payer3TotalVolumeR1)</f>
        <v>727.61190247679986</v>
      </c>
      <c r="F1764">
        <f>(calcReg1Seg1Comp2Payer3TotalShareR1*calcReg1Seg1Payer3TotalVolumeR1)</f>
        <v>727.61190247679986</v>
      </c>
      <c r="G1764">
        <f>(calcReg1Seg1Comp2Payer3TotalShareR1*calcReg1Seg1Payer3TotalVolumeR1)</f>
        <v>727.61190247679986</v>
      </c>
      <c r="H1764">
        <f>(calcReg1Seg1Comp2Payer3TotalShareR1*calcReg1Seg1Payer3TotalVolumeR1)</f>
        <v>727.61190247679986</v>
      </c>
      <c r="I1764">
        <f>(calcReg1Seg1Comp2Payer3TotalShareR1*calcReg1Seg1Payer3TotalVolumeR1)</f>
        <v>727.61190247679986</v>
      </c>
      <c r="J1764" t="s">
        <v>2164</v>
      </c>
    </row>
    <row r="1765" spans="1:10" s="4" customFormat="1">
      <c r="C1765" s="4" t="s">
        <v>1860</v>
      </c>
      <c r="E1765" s="457">
        <f>calcReg1Seg1Comp2Payer1TotalCustR1+calcReg1Seg1Comp2Payer2TotalCustR1+calcReg1Seg1Comp2Payer3TotalCustR1</f>
        <v>2903.7811907207997</v>
      </c>
      <c r="F1765" s="457">
        <f>calcReg1Seg1Comp2Payer1TotalCustR1+calcReg1Seg1Comp2Payer2TotalCustR1+calcReg1Seg1Comp2Payer3TotalCustR1</f>
        <v>2903.7811907207997</v>
      </c>
      <c r="G1765" s="457">
        <f>calcReg1Seg1Comp2Payer1TotalCustR1+calcReg1Seg1Comp2Payer2TotalCustR1+calcReg1Seg1Comp2Payer3TotalCustR1</f>
        <v>2903.7811907207997</v>
      </c>
      <c r="H1765" s="457">
        <f>calcReg1Seg1Comp2Payer1TotalCustR1+calcReg1Seg1Comp2Payer2TotalCustR1+calcReg1Seg1Comp2Payer3TotalCustR1</f>
        <v>2903.7811907207997</v>
      </c>
      <c r="I1765" s="457">
        <f>calcReg1Seg1Comp2Payer1TotalCustR1+calcReg1Seg1Comp2Payer2TotalCustR1+calcReg1Seg1Comp2Payer3TotalCustR1</f>
        <v>2903.7811907207997</v>
      </c>
      <c r="J1765" s="4" t="s">
        <v>2165</v>
      </c>
    </row>
    <row r="1766" spans="1:10">
      <c r="B1766" s="4"/>
      <c r="E1766" s="511">
        <f>calcReg1Seg1Comp2TotalCustR1/calcReg1Seg1TotalVolumeR1</f>
        <v>2.4940003098228414E-2</v>
      </c>
      <c r="F1766" s="511">
        <f>calcReg1Seg1Comp2TotalCustR1/calcReg1Seg1TotalVolumeR1</f>
        <v>2.4940003098228414E-2</v>
      </c>
      <c r="G1766" s="511">
        <f>calcReg1Seg1Comp2TotalCustR1/calcReg1Seg1TotalVolumeR1</f>
        <v>2.4940003098228414E-2</v>
      </c>
      <c r="H1766" s="511">
        <f>calcReg1Seg1Comp2TotalCustR1/calcReg1Seg1TotalVolumeR1</f>
        <v>2.4940003098228414E-2</v>
      </c>
      <c r="I1766" s="511">
        <f>calcReg1Seg1Comp2TotalCustR1/calcReg1Seg1TotalVolumeR1</f>
        <v>2.4940003098228414E-2</v>
      </c>
      <c r="J1766" t="s">
        <v>2166</v>
      </c>
    </row>
    <row r="1767" spans="1:10">
      <c r="A1767" s="510" t="s">
        <v>623</v>
      </c>
      <c r="B1767" s="4"/>
      <c r="C1767" t="str">
        <f>nmPayer1</f>
        <v>Blue Sword/Blue Shield</v>
      </c>
      <c r="E1767">
        <f>(calcReg1Seg1Comp2Payer1TotalShareR2*calcReg1Seg1Payer1TotalVolumeR2)</f>
        <v>1663.6782767432801</v>
      </c>
      <c r="F1767">
        <f>(calcReg1Seg1Comp2Payer1TotalShareR2*calcReg1Seg1Payer1TotalVolumeR2)</f>
        <v>1663.6782767432801</v>
      </c>
      <c r="G1767">
        <f>(calcReg1Seg1Comp2Payer1TotalShareR2*calcReg1Seg1Payer1TotalVolumeR2)</f>
        <v>1663.6782767432801</v>
      </c>
      <c r="H1767">
        <f>(calcReg1Seg1Comp2Payer1TotalShareR2*calcReg1Seg1Payer1TotalVolumeR2)</f>
        <v>1663.6782767432801</v>
      </c>
      <c r="I1767">
        <f>(calcReg1Seg1Comp2Payer1TotalShareR2*calcReg1Seg1Payer1TotalVolumeR2)</f>
        <v>1663.6782767432801</v>
      </c>
      <c r="J1767" t="s">
        <v>2167</v>
      </c>
    </row>
    <row r="1768" spans="1:10">
      <c r="B1768" s="4"/>
      <c r="C1768" t="str">
        <f>nmPayer2</f>
        <v>WesterAid</v>
      </c>
      <c r="E1768">
        <f>(calcReg1Seg1Comp2Payer2TotalShareR2*calcReg1Seg1Payer2TotalVolumeR2)</f>
        <v>809.45242616000007</v>
      </c>
      <c r="F1768">
        <f>(calcReg1Seg1Comp2Payer2TotalShareR2*calcReg1Seg1Payer2TotalVolumeR2)</f>
        <v>809.45242616000007</v>
      </c>
      <c r="G1768">
        <f>(calcReg1Seg1Comp2Payer2TotalShareR2*calcReg1Seg1Payer2TotalVolumeR2)</f>
        <v>809.45242616000007</v>
      </c>
      <c r="H1768">
        <f>(calcReg1Seg1Comp2Payer2TotalShareR2*calcReg1Seg1Payer2TotalVolumeR2)</f>
        <v>809.45242616000007</v>
      </c>
      <c r="I1768">
        <f>(calcReg1Seg1Comp2Payer2TotalShareR2*calcReg1Seg1Payer2TotalVolumeR2)</f>
        <v>809.45242616000007</v>
      </c>
      <c r="J1768" t="s">
        <v>2168</v>
      </c>
    </row>
    <row r="1769" spans="1:10">
      <c r="B1769" s="4"/>
      <c r="C1769" t="str">
        <f>nmPayer3</f>
        <v>Dragon Health</v>
      </c>
      <c r="E1769">
        <f>(calcReg1Seg1Comp2Payer3TotalShareR2*calcReg1Seg1Payer3TotalVolumeR2)</f>
        <v>827.40471062386405</v>
      </c>
      <c r="F1769">
        <f>(calcReg1Seg1Comp2Payer3TotalShareR2*calcReg1Seg1Payer3TotalVolumeR2)</f>
        <v>827.40471062386405</v>
      </c>
      <c r="G1769">
        <f>(calcReg1Seg1Comp2Payer3TotalShareR2*calcReg1Seg1Payer3TotalVolumeR2)</f>
        <v>827.40471062386405</v>
      </c>
      <c r="H1769">
        <f>(calcReg1Seg1Comp2Payer3TotalShareR2*calcReg1Seg1Payer3TotalVolumeR2)</f>
        <v>827.40471062386405</v>
      </c>
      <c r="I1769">
        <f>(calcReg1Seg1Comp2Payer3TotalShareR2*calcReg1Seg1Payer3TotalVolumeR2)</f>
        <v>827.40471062386405</v>
      </c>
      <c r="J1769" t="s">
        <v>2169</v>
      </c>
    </row>
    <row r="1770" spans="1:10" s="4" customFormat="1">
      <c r="C1770" s="4" t="s">
        <v>1860</v>
      </c>
      <c r="E1770" s="457">
        <f>calcReg1Seg1Comp2Payer1TotalCustR2+calcReg1Seg1Comp2Payer2TotalCustR2+calcReg1Seg1Comp2Payer3TotalCustR2</f>
        <v>3300.5354135271441</v>
      </c>
      <c r="F1770" s="457">
        <f>calcReg1Seg1Comp2Payer1TotalCustR2+calcReg1Seg1Comp2Payer2TotalCustR2+calcReg1Seg1Comp2Payer3TotalCustR2</f>
        <v>3300.5354135271441</v>
      </c>
      <c r="G1770" s="457">
        <f>calcReg1Seg1Comp2Payer1TotalCustR2+calcReg1Seg1Comp2Payer2TotalCustR2+calcReg1Seg1Comp2Payer3TotalCustR2</f>
        <v>3300.5354135271441</v>
      </c>
      <c r="H1770" s="457">
        <f>calcReg1Seg1Comp2Payer1TotalCustR2+calcReg1Seg1Comp2Payer2TotalCustR2+calcReg1Seg1Comp2Payer3TotalCustR2</f>
        <v>3300.5354135271441</v>
      </c>
      <c r="I1770" s="457">
        <f>calcReg1Seg1Comp2Payer1TotalCustR2+calcReg1Seg1Comp2Payer2TotalCustR2+calcReg1Seg1Comp2Payer3TotalCustR2</f>
        <v>3300.5354135271441</v>
      </c>
      <c r="J1770" s="4" t="s">
        <v>2170</v>
      </c>
    </row>
    <row r="1771" spans="1:10">
      <c r="B1771" s="4"/>
      <c r="E1771" s="511">
        <f>calcReg1Seg1Comp2TotalCustR2/calcReg1Seg1TotalVolumeR2</f>
        <v>2.4949916940628401E-2</v>
      </c>
      <c r="F1771" s="511">
        <f>calcReg1Seg1Comp2TotalCustR2/calcReg1Seg1TotalVolumeR2</f>
        <v>2.4949916940628401E-2</v>
      </c>
      <c r="G1771" s="511">
        <f>calcReg1Seg1Comp2TotalCustR2/calcReg1Seg1TotalVolumeR2</f>
        <v>2.4949916940628401E-2</v>
      </c>
      <c r="H1771" s="511">
        <f>calcReg1Seg1Comp2TotalCustR2/calcReg1Seg1TotalVolumeR2</f>
        <v>2.4949916940628401E-2</v>
      </c>
      <c r="I1771" s="511">
        <f>calcReg1Seg1Comp2TotalCustR2/calcReg1Seg1TotalVolumeR2</f>
        <v>2.4949916940628401E-2</v>
      </c>
      <c r="J1771" t="s">
        <v>2171</v>
      </c>
    </row>
    <row r="1772" spans="1:10">
      <c r="A1772" t="s">
        <v>622</v>
      </c>
      <c r="B1772" s="4" t="str">
        <f>nmReg1Seg2</f>
        <v>Winterfell</v>
      </c>
    </row>
    <row r="1773" spans="1:10">
      <c r="B1773" s="4"/>
      <c r="C1773" t="str">
        <f>nmPayer1</f>
        <v>Blue Sword/Blue Shield</v>
      </c>
      <c r="E1773">
        <f>(calcReg1Seg2Comp2Payer1TotalShareR1*calcReg1Seg2Payer1TotalVolumeR1)</f>
        <v>1161.690000848</v>
      </c>
      <c r="F1773">
        <f>(calcReg1Seg2Comp2Payer1TotalShareR1*calcReg1Seg2Payer1TotalVolumeR1)</f>
        <v>1161.690000848</v>
      </c>
      <c r="G1773">
        <f>(calcReg1Seg2Comp2Payer1TotalShareR1*calcReg1Seg2Payer1TotalVolumeR1)</f>
        <v>1161.690000848</v>
      </c>
      <c r="H1773">
        <f>(calcReg1Seg2Comp2Payer1TotalShareR1*calcReg1Seg2Payer1TotalVolumeR1)</f>
        <v>1161.690000848</v>
      </c>
      <c r="I1773">
        <f>(calcReg1Seg2Comp2Payer1TotalShareR1*calcReg1Seg2Payer1TotalVolumeR1)</f>
        <v>1161.690000848</v>
      </c>
      <c r="J1773" t="s">
        <v>2172</v>
      </c>
    </row>
    <row r="1774" spans="1:10">
      <c r="B1774" s="4"/>
      <c r="C1774" t="str">
        <f>nmPayer2</f>
        <v>WesterAid</v>
      </c>
      <c r="E1774">
        <f>(calcReg1Seg2Comp2Payer2TotalShareR1*calcReg1Seg2Payer2TotalVolumeR1)</f>
        <v>572.43332814285714</v>
      </c>
      <c r="F1774">
        <f>(calcReg1Seg2Comp2Payer2TotalShareR1*calcReg1Seg2Payer2TotalVolumeR1)</f>
        <v>572.43332814285714</v>
      </c>
      <c r="G1774">
        <f>(calcReg1Seg2Comp2Payer2TotalShareR1*calcReg1Seg2Payer2TotalVolumeR1)</f>
        <v>572.43332814285714</v>
      </c>
      <c r="H1774">
        <f>(calcReg1Seg2Comp2Payer2TotalShareR1*calcReg1Seg2Payer2TotalVolumeR1)</f>
        <v>572.43332814285714</v>
      </c>
      <c r="I1774">
        <f>(calcReg1Seg2Comp2Payer2TotalShareR1*calcReg1Seg2Payer2TotalVolumeR1)</f>
        <v>572.43332814285714</v>
      </c>
      <c r="J1774" t="s">
        <v>2173</v>
      </c>
    </row>
    <row r="1775" spans="1:10">
      <c r="B1775" s="4"/>
      <c r="C1775" t="str">
        <f>nmPayer3</f>
        <v>Dragon Health</v>
      </c>
      <c r="E1775">
        <f>(calcReg1Seg2Comp2Payer3TotalShareR1*calcReg1Seg2Payer3TotalVolumeR1)</f>
        <v>625.46760507910767</v>
      </c>
      <c r="F1775">
        <f>(calcReg1Seg2Comp2Payer3TotalShareR1*calcReg1Seg2Payer3TotalVolumeR1)</f>
        <v>625.46760507910767</v>
      </c>
      <c r="G1775">
        <f>(calcReg1Seg2Comp2Payer3TotalShareR1*calcReg1Seg2Payer3TotalVolumeR1)</f>
        <v>625.46760507910767</v>
      </c>
      <c r="H1775">
        <f>(calcReg1Seg2Comp2Payer3TotalShareR1*calcReg1Seg2Payer3TotalVolumeR1)</f>
        <v>625.46760507910767</v>
      </c>
      <c r="I1775">
        <f>(calcReg1Seg2Comp2Payer3TotalShareR1*calcReg1Seg2Payer3TotalVolumeR1)</f>
        <v>625.46760507910767</v>
      </c>
      <c r="J1775" t="s">
        <v>2174</v>
      </c>
    </row>
    <row r="1776" spans="1:10" s="4" customFormat="1">
      <c r="C1776" s="4" t="s">
        <v>1860</v>
      </c>
      <c r="E1776" s="457">
        <f>calcReg1Seg2Comp2Payer1TotalCustR1+calcReg1Seg2Comp2Payer2TotalCustR1+calcReg1Seg2Comp2Payer3TotalCustR1</f>
        <v>2359.5909340699645</v>
      </c>
      <c r="F1776" s="457">
        <f>calcReg1Seg2Comp2Payer1TotalCustR1+calcReg1Seg2Comp2Payer2TotalCustR1+calcReg1Seg2Comp2Payer3TotalCustR1</f>
        <v>2359.5909340699645</v>
      </c>
      <c r="G1776" s="457">
        <f>calcReg1Seg2Comp2Payer1TotalCustR1+calcReg1Seg2Comp2Payer2TotalCustR1+calcReg1Seg2Comp2Payer3TotalCustR1</f>
        <v>2359.5909340699645</v>
      </c>
      <c r="H1776" s="457">
        <f>calcReg1Seg2Comp2Payer1TotalCustR1+calcReg1Seg2Comp2Payer2TotalCustR1+calcReg1Seg2Comp2Payer3TotalCustR1</f>
        <v>2359.5909340699645</v>
      </c>
      <c r="I1776" s="457">
        <f>calcReg1Seg2Comp2Payer1TotalCustR1+calcReg1Seg2Comp2Payer2TotalCustR1+calcReg1Seg2Comp2Payer3TotalCustR1</f>
        <v>2359.5909340699645</v>
      </c>
      <c r="J1776" s="4" t="s">
        <v>2175</v>
      </c>
    </row>
    <row r="1777" spans="1:10">
      <c r="B1777" s="4"/>
      <c r="E1777" s="511">
        <f>calcReg1Seg2Comp2TotalCustR1/calcReg1Seg2TotalVolumeR1</f>
        <v>2.2979013816618162E-2</v>
      </c>
      <c r="F1777" s="511">
        <f>calcReg1Seg2Comp2TotalCustR1/calcReg1Seg2TotalVolumeR1</f>
        <v>2.2979013816618162E-2</v>
      </c>
      <c r="G1777" s="511">
        <f>calcReg1Seg2Comp2TotalCustR1/calcReg1Seg2TotalVolumeR1</f>
        <v>2.2979013816618162E-2</v>
      </c>
      <c r="H1777" s="511">
        <f>calcReg1Seg2Comp2TotalCustR1/calcReg1Seg2TotalVolumeR1</f>
        <v>2.2979013816618162E-2</v>
      </c>
      <c r="I1777" s="511">
        <f>calcReg1Seg2Comp2TotalCustR1/calcReg1Seg2TotalVolumeR1</f>
        <v>2.2979013816618162E-2</v>
      </c>
      <c r="J1777" t="s">
        <v>2176</v>
      </c>
    </row>
    <row r="1778" spans="1:10">
      <c r="A1778" s="510" t="s">
        <v>623</v>
      </c>
      <c r="B1778" s="4"/>
      <c r="C1778" t="str">
        <f>nmPayer1</f>
        <v>Blue Sword/Blue Shield</v>
      </c>
      <c r="E1778">
        <f>(calcReg1Seg2Comp2Payer1TotalShareR2*calcReg1Seg2Payer1TotalVolumeR2)</f>
        <v>1312.7097009582401</v>
      </c>
      <c r="F1778">
        <f>(calcReg1Seg2Comp2Payer1TotalShareR2*calcReg1Seg2Payer1TotalVolumeR2)</f>
        <v>1312.7097009582401</v>
      </c>
      <c r="G1778">
        <f>(calcReg1Seg2Comp2Payer1TotalShareR2*calcReg1Seg2Payer1TotalVolumeR2)</f>
        <v>1312.7097009582401</v>
      </c>
      <c r="H1778">
        <f>(calcReg1Seg2Comp2Payer1TotalShareR2*calcReg1Seg2Payer1TotalVolumeR2)</f>
        <v>1312.7097009582401</v>
      </c>
      <c r="I1778">
        <f>(calcReg1Seg2Comp2Payer1TotalShareR2*calcReg1Seg2Payer1TotalVolumeR2)</f>
        <v>1312.7097009582401</v>
      </c>
      <c r="J1778" t="s">
        <v>2177</v>
      </c>
    </row>
    <row r="1779" spans="1:10">
      <c r="B1779" s="4"/>
      <c r="C1779" t="str">
        <f>nmPayer2</f>
        <v>WesterAid</v>
      </c>
      <c r="E1779">
        <f>(calcReg1Seg2Comp2Payer2TotalShareR2*calcReg1Seg2Payer2TotalVolumeR2)</f>
        <v>646.84966080142863</v>
      </c>
      <c r="F1779">
        <f>(calcReg1Seg2Comp2Payer2TotalShareR2*calcReg1Seg2Payer2TotalVolumeR2)</f>
        <v>646.84966080142863</v>
      </c>
      <c r="G1779">
        <f>(calcReg1Seg2Comp2Payer2TotalShareR2*calcReg1Seg2Payer2TotalVolumeR2)</f>
        <v>646.84966080142863</v>
      </c>
      <c r="H1779">
        <f>(calcReg1Seg2Comp2Payer2TotalShareR2*calcReg1Seg2Payer2TotalVolumeR2)</f>
        <v>646.84966080142863</v>
      </c>
      <c r="I1779">
        <f>(calcReg1Seg2Comp2Payer2TotalShareR2*calcReg1Seg2Payer2TotalVolumeR2)</f>
        <v>646.84966080142863</v>
      </c>
      <c r="J1779" t="s">
        <v>2178</v>
      </c>
    </row>
    <row r="1780" spans="1:10">
      <c r="B1780" s="4"/>
      <c r="C1780" t="str">
        <f>nmPayer3</f>
        <v>Dragon Health</v>
      </c>
      <c r="E1780">
        <f>(calcReg1Seg2Comp2Payer3TotalShareR2*calcReg1Seg2Payer3TotalVolumeR2)</f>
        <v>706.77839373939173</v>
      </c>
      <c r="F1780">
        <f>(calcReg1Seg2Comp2Payer3TotalShareR2*calcReg1Seg2Payer3TotalVolumeR2)</f>
        <v>706.77839373939173</v>
      </c>
      <c r="G1780">
        <f>(calcReg1Seg2Comp2Payer3TotalShareR2*calcReg1Seg2Payer3TotalVolumeR2)</f>
        <v>706.77839373939173</v>
      </c>
      <c r="H1780">
        <f>(calcReg1Seg2Comp2Payer3TotalShareR2*calcReg1Seg2Payer3TotalVolumeR2)</f>
        <v>706.77839373939173</v>
      </c>
      <c r="I1780">
        <f>(calcReg1Seg2Comp2Payer3TotalShareR2*calcReg1Seg2Payer3TotalVolumeR2)</f>
        <v>706.77839373939173</v>
      </c>
      <c r="J1780" t="s">
        <v>2179</v>
      </c>
    </row>
    <row r="1781" spans="1:10" s="4" customFormat="1">
      <c r="C1781" s="4" t="s">
        <v>1860</v>
      </c>
      <c r="E1781" s="457">
        <f>calcReg1Seg2Comp2Payer1TotalCustR2+calcReg1Seg2Comp2Payer2TotalCustR2+calcReg1Seg2Comp2Payer3TotalCustR2</f>
        <v>2666.3377554990602</v>
      </c>
      <c r="F1781" s="457">
        <f>calcReg1Seg2Comp2Payer1TotalCustR2+calcReg1Seg2Comp2Payer2TotalCustR2+calcReg1Seg2Comp2Payer3TotalCustR2</f>
        <v>2666.3377554990602</v>
      </c>
      <c r="G1781" s="457">
        <f>calcReg1Seg2Comp2Payer1TotalCustR2+calcReg1Seg2Comp2Payer2TotalCustR2+calcReg1Seg2Comp2Payer3TotalCustR2</f>
        <v>2666.3377554990602</v>
      </c>
      <c r="H1781" s="457">
        <f>calcReg1Seg2Comp2Payer1TotalCustR2+calcReg1Seg2Comp2Payer2TotalCustR2+calcReg1Seg2Comp2Payer3TotalCustR2</f>
        <v>2666.3377554990602</v>
      </c>
      <c r="I1781" s="457">
        <f>calcReg1Seg2Comp2Payer1TotalCustR2+calcReg1Seg2Comp2Payer2TotalCustR2+calcReg1Seg2Comp2Payer3TotalCustR2</f>
        <v>2666.3377554990602</v>
      </c>
      <c r="J1781" s="4" t="s">
        <v>2180</v>
      </c>
    </row>
    <row r="1782" spans="1:10">
      <c r="B1782" s="4"/>
      <c r="E1782" s="511">
        <f>calcReg1Seg2Comp2TotalCustR2/calcReg1Seg2TotalVolumeR2</f>
        <v>2.2979013816618162E-2</v>
      </c>
      <c r="F1782" s="511">
        <f>calcReg1Seg2Comp2TotalCustR2/calcReg1Seg2TotalVolumeR2</f>
        <v>2.2979013816618162E-2</v>
      </c>
      <c r="G1782" s="511">
        <f>calcReg1Seg2Comp2TotalCustR2/calcReg1Seg2TotalVolumeR2</f>
        <v>2.2979013816618162E-2</v>
      </c>
      <c r="H1782" s="511">
        <f>calcReg1Seg2Comp2TotalCustR2/calcReg1Seg2TotalVolumeR2</f>
        <v>2.2979013816618162E-2</v>
      </c>
      <c r="I1782" s="511">
        <f>calcReg1Seg2Comp2TotalCustR2/calcReg1Seg2TotalVolumeR2</f>
        <v>2.2979013816618162E-2</v>
      </c>
      <c r="J1782" t="s">
        <v>2181</v>
      </c>
    </row>
    <row r="1783" spans="1:10">
      <c r="A1783" t="s">
        <v>622</v>
      </c>
      <c r="B1783" s="4" t="str">
        <f>nmReg1Seg3</f>
        <v>Harrenhal</v>
      </c>
    </row>
    <row r="1784" spans="1:10">
      <c r="B1784" s="4"/>
      <c r="C1784" t="str">
        <f>nmPayer1</f>
        <v>Blue Sword/Blue Shield</v>
      </c>
      <c r="E1784">
        <f>(calcReg1Seg3Comp2Payer1TotalShareR1*calcReg1Seg3Payer1TotalVolumeR1)</f>
        <v>1909.019269769095</v>
      </c>
      <c r="F1784">
        <f>(calcReg1Seg3Comp2Payer1TotalShareR1*calcReg1Seg3Payer1TotalVolumeR1)</f>
        <v>1909.019269769095</v>
      </c>
      <c r="G1784">
        <f>(calcReg1Seg3Comp2Payer1TotalShareR1*calcReg1Seg3Payer1TotalVolumeR1)</f>
        <v>1909.019269769095</v>
      </c>
      <c r="H1784">
        <f>(calcReg1Seg3Comp2Payer1TotalShareR1*calcReg1Seg3Payer1TotalVolumeR1)</f>
        <v>1909.019269769095</v>
      </c>
      <c r="I1784">
        <f>(calcReg1Seg3Comp2Payer1TotalShareR1*calcReg1Seg3Payer1TotalVolumeR1)</f>
        <v>1909.019269769095</v>
      </c>
      <c r="J1784" t="s">
        <v>2182</v>
      </c>
    </row>
    <row r="1785" spans="1:10">
      <c r="B1785" s="4"/>
      <c r="C1785" t="str">
        <f>nmPayer2</f>
        <v>WesterAid</v>
      </c>
      <c r="E1785">
        <f>(calcReg1Seg3Comp2Payer2TotalShareR1*calcReg1Seg3Payer2TotalVolumeR1)</f>
        <v>922.97910949999994</v>
      </c>
      <c r="F1785">
        <f>(calcReg1Seg3Comp2Payer2TotalShareR1*calcReg1Seg3Payer2TotalVolumeR1)</f>
        <v>922.97910949999994</v>
      </c>
      <c r="G1785">
        <f>(calcReg1Seg3Comp2Payer2TotalShareR1*calcReg1Seg3Payer2TotalVolumeR1)</f>
        <v>922.97910949999994</v>
      </c>
      <c r="H1785">
        <f>(calcReg1Seg3Comp2Payer2TotalShareR1*calcReg1Seg3Payer2TotalVolumeR1)</f>
        <v>922.97910949999994</v>
      </c>
      <c r="I1785">
        <f>(calcReg1Seg3Comp2Payer2TotalShareR1*calcReg1Seg3Payer2TotalVolumeR1)</f>
        <v>922.97910949999994</v>
      </c>
      <c r="J1785" t="s">
        <v>2183</v>
      </c>
    </row>
    <row r="1786" spans="1:10">
      <c r="B1786" s="4"/>
      <c r="C1786" t="str">
        <f>nmPayer3</f>
        <v>Dragon Health</v>
      </c>
      <c r="E1786">
        <f>(calcReg1Seg3Comp2Payer3TotalShareR1*calcReg1Seg3Payer3TotalVolumeR1)</f>
        <v>926.90233183893349</v>
      </c>
      <c r="F1786">
        <f>(calcReg1Seg3Comp2Payer3TotalShareR1*calcReg1Seg3Payer3TotalVolumeR1)</f>
        <v>926.90233183893349</v>
      </c>
      <c r="G1786">
        <f>(calcReg1Seg3Comp2Payer3TotalShareR1*calcReg1Seg3Payer3TotalVolumeR1)</f>
        <v>926.90233183893349</v>
      </c>
      <c r="H1786">
        <f>(calcReg1Seg3Comp2Payer3TotalShareR1*calcReg1Seg3Payer3TotalVolumeR1)</f>
        <v>926.90233183893349</v>
      </c>
      <c r="I1786">
        <f>(calcReg1Seg3Comp2Payer3TotalShareR1*calcReg1Seg3Payer3TotalVolumeR1)</f>
        <v>926.90233183893349</v>
      </c>
      <c r="J1786" t="s">
        <v>2184</v>
      </c>
    </row>
    <row r="1787" spans="1:10" s="4" customFormat="1">
      <c r="C1787" s="4" t="s">
        <v>1860</v>
      </c>
      <c r="E1787" s="457">
        <f>calcReg1Seg3Comp2Payer1TotalCustR1+calcReg1Seg3Comp2Payer2TotalCustR1+calcReg1Seg3Comp2Payer3TotalCustR1</f>
        <v>3758.9007111080286</v>
      </c>
      <c r="F1787" s="457">
        <f>calcReg1Seg3Comp2Payer1TotalCustR1+calcReg1Seg3Comp2Payer2TotalCustR1+calcReg1Seg3Comp2Payer3TotalCustR1</f>
        <v>3758.9007111080286</v>
      </c>
      <c r="G1787" s="457">
        <f>calcReg1Seg3Comp2Payer1TotalCustR1+calcReg1Seg3Comp2Payer2TotalCustR1+calcReg1Seg3Comp2Payer3TotalCustR1</f>
        <v>3758.9007111080286</v>
      </c>
      <c r="H1787" s="457">
        <f>calcReg1Seg3Comp2Payer1TotalCustR1+calcReg1Seg3Comp2Payer2TotalCustR1+calcReg1Seg3Comp2Payer3TotalCustR1</f>
        <v>3758.9007111080286</v>
      </c>
      <c r="I1787" s="457">
        <f>calcReg1Seg3Comp2Payer1TotalCustR1+calcReg1Seg3Comp2Payer2TotalCustR1+calcReg1Seg3Comp2Payer3TotalCustR1</f>
        <v>3758.9007111080286</v>
      </c>
      <c r="J1787" s="4" t="s">
        <v>2185</v>
      </c>
    </row>
    <row r="1788" spans="1:10">
      <c r="B1788" s="4"/>
      <c r="E1788" s="511">
        <f>calcReg1Seg3Comp2TotalCustR1/calcReg1Seg3TotalVolumeR1</f>
        <v>2.6884640870216206E-2</v>
      </c>
      <c r="F1788" s="511">
        <f>calcReg1Seg3Comp2TotalCustR1/calcReg1Seg3TotalVolumeR1</f>
        <v>2.6884640870216206E-2</v>
      </c>
      <c r="G1788" s="511">
        <f>calcReg1Seg3Comp2TotalCustR1/calcReg1Seg3TotalVolumeR1</f>
        <v>2.6884640870216206E-2</v>
      </c>
      <c r="H1788" s="511">
        <f>calcReg1Seg3Comp2TotalCustR1/calcReg1Seg3TotalVolumeR1</f>
        <v>2.6884640870216206E-2</v>
      </c>
      <c r="I1788" s="511">
        <f>calcReg1Seg3Comp2TotalCustR1/calcReg1Seg3TotalVolumeR1</f>
        <v>2.6884640870216206E-2</v>
      </c>
      <c r="J1788" t="s">
        <v>2186</v>
      </c>
    </row>
    <row r="1789" spans="1:10">
      <c r="A1789" s="510" t="s">
        <v>623</v>
      </c>
      <c r="B1789" s="4"/>
      <c r="C1789" t="str">
        <f>nmPayer1</f>
        <v>Blue Sword/Blue Shield</v>
      </c>
      <c r="E1789">
        <f>(calcReg1Seg3Comp2Payer1TotalShareR2*calcReg1Seg3Payer1TotalVolumeR2)</f>
        <v>2157.1917748390774</v>
      </c>
      <c r="F1789">
        <f>(calcReg1Seg3Comp2Payer1TotalShareR2*calcReg1Seg3Payer1TotalVolumeR2)</f>
        <v>2157.1917748390774</v>
      </c>
      <c r="G1789">
        <f>(calcReg1Seg3Comp2Payer1TotalShareR2*calcReg1Seg3Payer1TotalVolumeR2)</f>
        <v>2157.1917748390774</v>
      </c>
      <c r="H1789">
        <f>(calcReg1Seg3Comp2Payer1TotalShareR2*calcReg1Seg3Payer1TotalVolumeR2)</f>
        <v>2157.1917748390774</v>
      </c>
      <c r="I1789">
        <f>(calcReg1Seg3Comp2Payer1TotalShareR2*calcReg1Seg3Payer1TotalVolumeR2)</f>
        <v>2157.1917748390774</v>
      </c>
      <c r="J1789" t="s">
        <v>2187</v>
      </c>
    </row>
    <row r="1790" spans="1:10">
      <c r="B1790" s="4"/>
      <c r="C1790" t="str">
        <f>nmPayer2</f>
        <v>WesterAid</v>
      </c>
      <c r="E1790">
        <f>(calcReg1Seg3Comp2Payer2TotalShareR2*calcReg1Seg3Payer2TotalVolumeR2)</f>
        <v>1042.9663937350001</v>
      </c>
      <c r="F1790">
        <f>(calcReg1Seg3Comp2Payer2TotalShareR2*calcReg1Seg3Payer2TotalVolumeR2)</f>
        <v>1042.9663937350001</v>
      </c>
      <c r="G1790">
        <f>(calcReg1Seg3Comp2Payer2TotalShareR2*calcReg1Seg3Payer2TotalVolumeR2)</f>
        <v>1042.9663937350001</v>
      </c>
      <c r="H1790">
        <f>(calcReg1Seg3Comp2Payer2TotalShareR2*calcReg1Seg3Payer2TotalVolumeR2)</f>
        <v>1042.9663937350001</v>
      </c>
      <c r="I1790">
        <f>(calcReg1Seg3Comp2Payer2TotalShareR2*calcReg1Seg3Payer2TotalVolumeR2)</f>
        <v>1042.9663937350001</v>
      </c>
      <c r="J1790" t="s">
        <v>2188</v>
      </c>
    </row>
    <row r="1791" spans="1:10">
      <c r="B1791" s="4"/>
      <c r="C1791" t="str">
        <f>nmPayer3</f>
        <v>Dragon Health</v>
      </c>
      <c r="E1791">
        <f>(calcReg1Seg3Comp2Payer3TotalShareR2*calcReg1Seg3Payer3TotalVolumeR2)</f>
        <v>1047.3996349779948</v>
      </c>
      <c r="F1791">
        <f>(calcReg1Seg3Comp2Payer3TotalShareR2*calcReg1Seg3Payer3TotalVolumeR2)</f>
        <v>1047.3996349779948</v>
      </c>
      <c r="G1791">
        <f>(calcReg1Seg3Comp2Payer3TotalShareR2*calcReg1Seg3Payer3TotalVolumeR2)</f>
        <v>1047.3996349779948</v>
      </c>
      <c r="H1791">
        <f>(calcReg1Seg3Comp2Payer3TotalShareR2*calcReg1Seg3Payer3TotalVolumeR2)</f>
        <v>1047.3996349779948</v>
      </c>
      <c r="I1791">
        <f>(calcReg1Seg3Comp2Payer3TotalShareR2*calcReg1Seg3Payer3TotalVolumeR2)</f>
        <v>1047.3996349779948</v>
      </c>
      <c r="J1791" t="s">
        <v>2189</v>
      </c>
    </row>
    <row r="1792" spans="1:10" s="4" customFormat="1">
      <c r="C1792" s="4" t="s">
        <v>1860</v>
      </c>
      <c r="E1792" s="457">
        <f>calcReg1Seg3Comp2Payer1TotalCustR2+calcReg1Seg3Comp2Payer2TotalCustR2+calcReg1Seg3Comp2Payer3TotalCustR2</f>
        <v>4247.5578035520721</v>
      </c>
      <c r="F1792" s="457">
        <f>calcReg1Seg3Comp2Payer1TotalCustR2+calcReg1Seg3Comp2Payer2TotalCustR2+calcReg1Seg3Comp2Payer3TotalCustR2</f>
        <v>4247.5578035520721</v>
      </c>
      <c r="G1792" s="457">
        <f>calcReg1Seg3Comp2Payer1TotalCustR2+calcReg1Seg3Comp2Payer2TotalCustR2+calcReg1Seg3Comp2Payer3TotalCustR2</f>
        <v>4247.5578035520721</v>
      </c>
      <c r="H1792" s="457">
        <f>calcReg1Seg3Comp2Payer1TotalCustR2+calcReg1Seg3Comp2Payer2TotalCustR2+calcReg1Seg3Comp2Payer3TotalCustR2</f>
        <v>4247.5578035520721</v>
      </c>
      <c r="I1792" s="457">
        <f>calcReg1Seg3Comp2Payer1TotalCustR2+calcReg1Seg3Comp2Payer2TotalCustR2+calcReg1Seg3Comp2Payer3TotalCustR2</f>
        <v>4247.5578035520721</v>
      </c>
      <c r="J1792" s="4" t="s">
        <v>2190</v>
      </c>
    </row>
    <row r="1793" spans="1:12">
      <c r="B1793" s="4"/>
      <c r="E1793" s="511">
        <f>calcReg1Seg3Comp2TotalCustR2/calcReg1Seg3TotalVolumeR2</f>
        <v>2.6884640870216202E-2</v>
      </c>
      <c r="F1793" s="511">
        <f>calcReg1Seg3Comp2TotalCustR2/calcReg1Seg3TotalVolumeR2</f>
        <v>2.6884640870216202E-2</v>
      </c>
      <c r="G1793" s="511">
        <f>calcReg1Seg3Comp2TotalCustR2/calcReg1Seg3TotalVolumeR2</f>
        <v>2.6884640870216202E-2</v>
      </c>
      <c r="H1793" s="511">
        <f>calcReg1Seg3Comp2TotalCustR2/calcReg1Seg3TotalVolumeR2</f>
        <v>2.6884640870216202E-2</v>
      </c>
      <c r="I1793" s="511">
        <f>calcReg1Seg3Comp2TotalCustR2/calcReg1Seg3TotalVolumeR2</f>
        <v>2.6884640870216202E-2</v>
      </c>
      <c r="J1793" t="s">
        <v>2191</v>
      </c>
    </row>
    <row r="1795" spans="1:12">
      <c r="A1795" t="s">
        <v>2192</v>
      </c>
      <c r="B1795" s="4"/>
      <c r="E1795" s="511"/>
      <c r="F1795" s="511"/>
      <c r="G1795" s="511"/>
      <c r="H1795" s="511"/>
      <c r="I1795" s="511"/>
    </row>
    <row r="1796" spans="1:12">
      <c r="A1796" s="4" t="s">
        <v>622</v>
      </c>
      <c r="B1796" s="4"/>
      <c r="C1796" t="str">
        <f>nmPayer1</f>
        <v>Blue Sword/Blue Shield</v>
      </c>
      <c r="E1796" s="511">
        <f>(calcReg1Seg1Comp2Payer1TotalCustR1+calcReg1Seg2Comp2Payer1TotalCustR1+calcReg1Seg3Comp2Payer1TotalCustR1)/calcReg1Payer1TotalVolumeR1</f>
        <v>3.3065238189139354E-2</v>
      </c>
      <c r="F1796" s="511">
        <f>(calcReg1Seg1Comp2Payer1TotalCustR1+calcReg1Seg2Comp2Payer1TotalCustR1+calcReg1Seg3Comp2Payer1TotalCustR1)/calcReg1Payer1TotalVolumeR1</f>
        <v>3.3065238189139354E-2</v>
      </c>
      <c r="G1796" s="511">
        <f>(calcReg1Seg1Comp2Payer1TotalCustR1+calcReg1Seg2Comp2Payer1TotalCustR1+calcReg1Seg3Comp2Payer1TotalCustR1)/calcReg1Payer1TotalVolumeR1</f>
        <v>3.3065238189139354E-2</v>
      </c>
      <c r="H1796" s="511">
        <f>(calcReg1Seg1Comp2Payer1TotalCustR1+calcReg1Seg2Comp2Payer1TotalCustR1+calcReg1Seg3Comp2Payer1TotalCustR1)/calcReg1Payer1TotalVolumeR1</f>
        <v>3.3065238189139354E-2</v>
      </c>
      <c r="I1796" s="511">
        <f>(calcReg1Seg1Comp2Payer1TotalCustR1+calcReg1Seg2Comp2Payer1TotalCustR1+calcReg1Seg3Comp2Payer1TotalCustR1)/calcReg1Payer1TotalVolumeR1</f>
        <v>3.3065238189139354E-2</v>
      </c>
      <c r="J1796" t="s">
        <v>2199</v>
      </c>
    </row>
    <row r="1797" spans="1:12">
      <c r="B1797" s="4"/>
      <c r="C1797" t="str">
        <f>nmPayer2</f>
        <v>WesterAid</v>
      </c>
      <c r="E1797" s="511">
        <f>(calcReg1Seg1Comp2Payer2TotalCustR1+calcReg1Seg2Comp2Payer2TotalCustR1+calcReg1Seg3Comp2Payer2TotalCustR1)/calcReg1Payer2TotalVolumeR1</f>
        <v>1.8831415268128544E-2</v>
      </c>
      <c r="F1797" s="511">
        <f>(calcReg1Seg1Comp2Payer2TotalCustR1+calcReg1Seg2Comp2Payer2TotalCustR1+calcReg1Seg3Comp2Payer2TotalCustR1)/calcReg1Payer2TotalVolumeR1</f>
        <v>1.8831415268128544E-2</v>
      </c>
      <c r="G1797" s="511">
        <f>(calcReg1Seg1Comp2Payer2TotalCustR1+calcReg1Seg2Comp2Payer2TotalCustR1+calcReg1Seg3Comp2Payer2TotalCustR1)/calcReg1Payer2TotalVolumeR1</f>
        <v>1.8831415268128544E-2</v>
      </c>
      <c r="H1797" s="511">
        <f>(calcReg1Seg1Comp2Payer2TotalCustR1+calcReg1Seg2Comp2Payer2TotalCustR1+calcReg1Seg3Comp2Payer2TotalCustR1)/calcReg1Payer2TotalVolumeR1</f>
        <v>1.8831415268128544E-2</v>
      </c>
      <c r="I1797" s="511">
        <f>(calcReg1Seg1Comp2Payer2TotalCustR1+calcReg1Seg2Comp2Payer2TotalCustR1+calcReg1Seg3Comp2Payer2TotalCustR1)/calcReg1Payer2TotalVolumeR1</f>
        <v>1.8831415268128544E-2</v>
      </c>
      <c r="J1797" t="s">
        <v>2200</v>
      </c>
    </row>
    <row r="1798" spans="1:12">
      <c r="B1798" s="4"/>
      <c r="C1798" t="str">
        <f>nmPayer3</f>
        <v>Dragon Health</v>
      </c>
      <c r="E1798" s="511">
        <f>(calcReg1Seg1Comp2Payer3TotalCustR1+calcReg1Seg2Comp2Payer3TotalCustR1+calcReg1Seg3Comp2Payer3TotalCustR1)/calcReg1Payer3TotalVolumeR1</f>
        <v>2.1819580107133262E-2</v>
      </c>
      <c r="F1798" s="511">
        <f>(calcReg1Seg1Comp2Payer3TotalCustR1+calcReg1Seg2Comp2Payer3TotalCustR1+calcReg1Seg3Comp2Payer3TotalCustR1)/calcReg1Payer3TotalVolumeR1</f>
        <v>2.1819580107133262E-2</v>
      </c>
      <c r="G1798" s="511">
        <f>(calcReg1Seg1Comp2Payer3TotalCustR1+calcReg1Seg2Comp2Payer3TotalCustR1+calcReg1Seg3Comp2Payer3TotalCustR1)/calcReg1Payer3TotalVolumeR1</f>
        <v>2.1819580107133262E-2</v>
      </c>
      <c r="H1798" s="511">
        <f>(calcReg1Seg1Comp2Payer3TotalCustR1+calcReg1Seg2Comp2Payer3TotalCustR1+calcReg1Seg3Comp2Payer3TotalCustR1)/calcReg1Payer3TotalVolumeR1</f>
        <v>2.1819580107133262E-2</v>
      </c>
      <c r="I1798" s="511">
        <f>(calcReg1Seg1Comp2Payer3TotalCustR1+calcReg1Seg2Comp2Payer3TotalCustR1+calcReg1Seg3Comp2Payer3TotalCustR1)/calcReg1Payer3TotalVolumeR1</f>
        <v>2.1819580107133262E-2</v>
      </c>
      <c r="J1798" t="s">
        <v>2201</v>
      </c>
    </row>
    <row r="1799" spans="1:12">
      <c r="B1799" s="4"/>
      <c r="E1799" s="511"/>
      <c r="F1799" s="511"/>
      <c r="G1799" s="511"/>
      <c r="H1799" s="511"/>
      <c r="I1799" s="511"/>
    </row>
    <row r="1800" spans="1:12">
      <c r="A1800" s="4" t="s">
        <v>623</v>
      </c>
      <c r="B1800" s="4"/>
      <c r="C1800" t="str">
        <f>nmPayer1</f>
        <v>Blue Sword/Blue Shield</v>
      </c>
      <c r="E1800" s="511">
        <f>(calcReg1Seg1Comp2Payer1TotalCustR2+calcReg1Seg2Comp2Payer1TotalCustR2+calcReg1Seg3Comp2Payer1TotalCustR2)/calcReg1Payer1TotalVolumeR2</f>
        <v>3.3059075811614325E-2</v>
      </c>
      <c r="F1800" s="511">
        <f>(calcReg1Seg1Comp2Payer1TotalCustR2+calcReg1Seg2Comp2Payer1TotalCustR2+calcReg1Seg3Comp2Payer1TotalCustR2)/calcReg1Payer1TotalVolumeR2</f>
        <v>3.3059075811614325E-2</v>
      </c>
      <c r="G1800" s="511">
        <f>(calcReg1Seg1Comp2Payer1TotalCustR2+calcReg1Seg2Comp2Payer1TotalCustR2+calcReg1Seg3Comp2Payer1TotalCustR2)/calcReg1Payer1TotalVolumeR2</f>
        <v>3.3059075811614325E-2</v>
      </c>
      <c r="H1800" s="511">
        <f>(calcReg1Seg1Comp2Payer1TotalCustR2+calcReg1Seg2Comp2Payer1TotalCustR2+calcReg1Seg3Comp2Payer1TotalCustR2)/calcReg1Payer1TotalVolumeR2</f>
        <v>3.3059075811614325E-2</v>
      </c>
      <c r="I1800" s="511">
        <f>(calcReg1Seg1Comp2Payer1TotalCustR2+calcReg1Seg2Comp2Payer1TotalCustR2+calcReg1Seg3Comp2Payer1TotalCustR2)/calcReg1Payer1TotalVolumeR2</f>
        <v>3.3059075811614325E-2</v>
      </c>
      <c r="J1800" t="s">
        <v>2202</v>
      </c>
    </row>
    <row r="1801" spans="1:12">
      <c r="B1801" s="4"/>
      <c r="C1801" t="str">
        <f>nmPayer2</f>
        <v>WesterAid</v>
      </c>
      <c r="E1801" s="511">
        <f>(calcReg1Seg1Comp2Payer2TotalCustR2+calcReg1Seg2Comp2Payer2TotalCustR2+calcReg1Seg3Comp2Payer2TotalCustR2)/calcReg1Payer2TotalVolumeR2</f>
        <v>1.8832054311717472E-2</v>
      </c>
      <c r="F1801" s="511">
        <f>(calcReg1Seg1Comp2Payer2TotalCustR2+calcReg1Seg2Comp2Payer2TotalCustR2+calcReg1Seg3Comp2Payer2TotalCustR2)/calcReg1Payer2TotalVolumeR2</f>
        <v>1.8832054311717472E-2</v>
      </c>
      <c r="G1801" s="511">
        <f>(calcReg1Seg1Comp2Payer2TotalCustR2+calcReg1Seg2Comp2Payer2TotalCustR2+calcReg1Seg3Comp2Payer2TotalCustR2)/calcReg1Payer2TotalVolumeR2</f>
        <v>1.8832054311717472E-2</v>
      </c>
      <c r="H1801" s="511">
        <f>(calcReg1Seg1Comp2Payer2TotalCustR2+calcReg1Seg2Comp2Payer2TotalCustR2+calcReg1Seg3Comp2Payer2TotalCustR2)/calcReg1Payer2TotalVolumeR2</f>
        <v>1.8832054311717472E-2</v>
      </c>
      <c r="I1801" s="511">
        <f>(calcReg1Seg1Comp2Payer2TotalCustR2+calcReg1Seg2Comp2Payer2TotalCustR2+calcReg1Seg3Comp2Payer2TotalCustR2)/calcReg1Payer2TotalVolumeR2</f>
        <v>1.8832054311717472E-2</v>
      </c>
      <c r="J1801" t="s">
        <v>2203</v>
      </c>
    </row>
    <row r="1802" spans="1:12">
      <c r="B1802" s="4"/>
      <c r="C1802" t="str">
        <f>nmPayer3</f>
        <v>Dragon Health</v>
      </c>
      <c r="E1802" s="511">
        <f>(calcReg1Seg1Comp2Payer3TotalCustR2+calcReg1Seg2Comp2Payer3TotalCustR2+calcReg1Seg3Comp2Payer3TotalCustR2)/calcReg1Payer3TotalVolumeR2</f>
        <v>2.1819858857903711E-2</v>
      </c>
      <c r="F1802" s="511">
        <f>(calcReg1Seg1Comp2Payer3TotalCustR2+calcReg1Seg2Comp2Payer3TotalCustR2+calcReg1Seg3Comp2Payer3TotalCustR2)/calcReg1Payer3TotalVolumeR2</f>
        <v>2.1819858857903711E-2</v>
      </c>
      <c r="G1802" s="511">
        <f>(calcReg1Seg1Comp2Payer3TotalCustR2+calcReg1Seg2Comp2Payer3TotalCustR2+calcReg1Seg3Comp2Payer3TotalCustR2)/calcReg1Payer3TotalVolumeR2</f>
        <v>2.1819858857903711E-2</v>
      </c>
      <c r="H1802" s="511">
        <f>(calcReg1Seg1Comp2Payer3TotalCustR2+calcReg1Seg2Comp2Payer3TotalCustR2+calcReg1Seg3Comp2Payer3TotalCustR2)/calcReg1Payer3TotalVolumeR2</f>
        <v>2.1819858857903711E-2</v>
      </c>
      <c r="I1802" s="511">
        <f>(calcReg1Seg1Comp2Payer3TotalCustR2+calcReg1Seg2Comp2Payer3TotalCustR2+calcReg1Seg3Comp2Payer3TotalCustR2)/calcReg1Payer3TotalVolumeR2</f>
        <v>2.1819858857903711E-2</v>
      </c>
      <c r="J1802" t="s">
        <v>2204</v>
      </c>
    </row>
    <row r="1803" spans="1:12">
      <c r="B1803" s="4"/>
      <c r="E1803" s="511"/>
      <c r="F1803" s="511"/>
      <c r="G1803" s="511"/>
      <c r="H1803" s="511"/>
      <c r="I1803" s="511"/>
    </row>
    <row r="1805" spans="1:12">
      <c r="A1805" s="4" t="s">
        <v>592</v>
      </c>
    </row>
    <row r="1806" spans="1:12">
      <c r="A1806" s="4" t="str">
        <f>nmProd1</f>
        <v>Riverrun</v>
      </c>
      <c r="C1806" t="s">
        <v>1486</v>
      </c>
      <c r="E1806">
        <f>obalESATProd1</f>
        <v>60</v>
      </c>
      <c r="F1806">
        <f>obalESATProd1</f>
        <v>60</v>
      </c>
      <c r="G1806">
        <f>obalESATProd1</f>
        <v>60</v>
      </c>
      <c r="H1806">
        <f>obalESATProd1</f>
        <v>60</v>
      </c>
      <c r="I1806">
        <f>obalESATProd1</f>
        <v>60</v>
      </c>
    </row>
    <row r="1807" spans="1:12">
      <c r="A1807" s="4"/>
      <c r="C1807" t="str">
        <f>nmProd1Seg1</f>
        <v>Riverrun Central</v>
      </c>
      <c r="D1807" t="s">
        <v>516</v>
      </c>
      <c r="E1807">
        <f>IF(decInputProd1Seg1SamplesPerc_R1&lt;33%,(33%-decInputProd1Seg1SamplesPerc_R1)*$K1807,IF(decInputProd1Seg1SamplesPerc_R1&gt;40%,(decInputProd1Seg1SamplesPerc_R1-40%)*$L1807,0))</f>
        <v>0</v>
      </c>
      <c r="F1807">
        <f>IF(decInputProd1Seg1SamplesPerc_R1&lt;33%,(33%-decInputProd1Seg1SamplesPerc_R1)*$K1807,IF(decInputProd1Seg1SamplesPerc_R1&gt;40%,(decInputProd1Seg1SamplesPerc_R1-40%)*$L1807,0))</f>
        <v>0</v>
      </c>
      <c r="G1807">
        <f>IF(decInputProd1Seg1SamplesPerc_R1&lt;33%,(33%-decInputProd1Seg1SamplesPerc_R1)*$K1807,IF(decInputProd1Seg1SamplesPerc_R1&gt;40%,(decInputProd1Seg1SamplesPerc_R1-40%)*$L1807,0))</f>
        <v>0</v>
      </c>
      <c r="H1807">
        <f>IF(decInputProd1Seg1SamplesPerc_R1&lt;33%,(33%-decInputProd1Seg1SamplesPerc_R1)*$K1807,IF(decInputProd1Seg1SamplesPerc_R1&gt;40%,(decInputProd1Seg1SamplesPerc_R1-40%)*$L1807,0))</f>
        <v>0</v>
      </c>
      <c r="I1807">
        <f>IF(decInputProd1Seg1SamplesPerc_R1&lt;33%,(33%-decInputProd1Seg1SamplesPerc_R1)*$K1807,IF(decInputProd1Seg1SamplesPerc_R1&gt;40%,(decInputProd1Seg1SamplesPerc_R1-40%)*$L1807,0))</f>
        <v>0</v>
      </c>
      <c r="K1807" s="377">
        <v>-10</v>
      </c>
      <c r="L1807" s="377">
        <v>4</v>
      </c>
    </row>
    <row r="1808" spans="1:12">
      <c r="A1808" s="4"/>
      <c r="C1808" t="str">
        <f>nmProd1Seg2</f>
        <v>Tullyville</v>
      </c>
      <c r="D1808" t="s">
        <v>516</v>
      </c>
      <c r="E1808">
        <f>IF(decInputProd1Seg2SamplesPerc_R1&lt;33%,(33%-decInputProd1Seg2SamplesPerc_R1)*$K1808,IF(decInputProd1Seg2SamplesPerc_R1&gt;40%,(decInputProd1Seg2SamplesPerc_R1-40%)*$L1808,0))</f>
        <v>0</v>
      </c>
      <c r="F1808">
        <f>IF(decInputProd1Seg2SamplesPerc_R1&lt;33%,(33%-decInputProd1Seg2SamplesPerc_R1)*$K1808,IF(decInputProd1Seg2SamplesPerc_R1&gt;40%,(decInputProd1Seg2SamplesPerc_R1-40%)*$L1808,0))</f>
        <v>0</v>
      </c>
      <c r="G1808">
        <f>IF(decInputProd1Seg2SamplesPerc_R1&lt;33%,(33%-decInputProd1Seg2SamplesPerc_R1)*$K1808,IF(decInputProd1Seg2SamplesPerc_R1&gt;40%,(decInputProd1Seg2SamplesPerc_R1-40%)*$L1808,0))</f>
        <v>0</v>
      </c>
      <c r="H1808">
        <f>IF(decInputProd1Seg2SamplesPerc_R1&lt;33%,(33%-decInputProd1Seg2SamplesPerc_R1)*$K1808,IF(decInputProd1Seg2SamplesPerc_R1&gt;40%,(decInputProd1Seg2SamplesPerc_R1-40%)*$L1808,0))</f>
        <v>0</v>
      </c>
      <c r="I1808">
        <f>IF(decInputProd1Seg2SamplesPerc_R1&lt;33%,(33%-decInputProd1Seg2SamplesPerc_R1)*$K1808,IF(decInputProd1Seg2SamplesPerc_R1&gt;40%,(decInputProd1Seg2SamplesPerc_R1-40%)*$L1808,0))</f>
        <v>0</v>
      </c>
      <c r="K1808" s="377">
        <v>-10</v>
      </c>
      <c r="L1808" s="377">
        <v>4</v>
      </c>
    </row>
    <row r="1809" spans="1:12">
      <c r="A1809" s="4"/>
      <c r="C1809" t="str">
        <f>nmProd1Seg3</f>
        <v>Lordfrey City</v>
      </c>
      <c r="D1809" t="s">
        <v>516</v>
      </c>
      <c r="E1809">
        <f>IF(decInputProd1Seg3SamplesPerc_R1&lt;33%,(33%-decInputProd1Seg3SamplesPerc_R1)*$K1809,IF(decInputProd1Seg3SamplesPerc_R1&gt;40%,(decInputProd1Seg3SamplesPerc_R1-40%)*$L1809,0))</f>
        <v>0</v>
      </c>
      <c r="F1809">
        <f>IF(decInputProd1Seg3SamplesPerc_R1&lt;33%,(33%-decInputProd1Seg3SamplesPerc_R1)*$K1809,IF(decInputProd1Seg3SamplesPerc_R1&gt;40%,(decInputProd1Seg3SamplesPerc_R1-40%)*$L1809,0))</f>
        <v>0</v>
      </c>
      <c r="G1809">
        <f>IF(decInputProd1Seg3SamplesPerc_R1&lt;33%,(33%-decInputProd1Seg3SamplesPerc_R1)*$K1809,IF(decInputProd1Seg3SamplesPerc_R1&gt;40%,(decInputProd1Seg3SamplesPerc_R1-40%)*$L1809,0))</f>
        <v>0</v>
      </c>
      <c r="H1809">
        <f>IF(decInputProd1Seg3SamplesPerc_R1&lt;33%,(33%-decInputProd1Seg3SamplesPerc_R1)*$K1809,IF(decInputProd1Seg3SamplesPerc_R1&gt;40%,(decInputProd1Seg3SamplesPerc_R1-40%)*$L1809,0))</f>
        <v>0</v>
      </c>
      <c r="I1809">
        <f>IF(decInputProd1Seg3SamplesPerc_R1&lt;33%,(33%-decInputProd1Seg3SamplesPerc_R1)*$K1809,IF(decInputProd1Seg3SamplesPerc_R1&gt;40%,(decInputProd1Seg3SamplesPerc_R1-40%)*$L1809,0))</f>
        <v>0</v>
      </c>
      <c r="K1809" s="377">
        <v>-10</v>
      </c>
      <c r="L1809" s="377">
        <v>4</v>
      </c>
    </row>
    <row r="1810" spans="1:12">
      <c r="A1810" s="4"/>
      <c r="C1810" t="str">
        <f>nmProd1Seg1</f>
        <v>Riverrun Central</v>
      </c>
      <c r="D1810" t="s">
        <v>2333</v>
      </c>
      <c r="E1810">
        <f>IF(decInputProd1Seg1PromotionAllocation_R1&lt;33%,(33%-decInputProd1Seg1PromotionAllocation_R1)*$K1810,IF(decInputProd1Seg1PromotionAllocation_R1&gt;40%,(decInputProd1Seg1PromotionAllocation_R1-40%)*$L1810,0))</f>
        <v>0</v>
      </c>
      <c r="F1810">
        <f>IF(decInputProd1Seg1PromotionAllocation_R1&lt;33%,(33%-decInputProd1Seg1PromotionAllocation_R1)*$K1810,IF(decInputProd1Seg1PromotionAllocation_R1&gt;40%,(decInputProd1Seg1PromotionAllocation_R1-40%)*$L1810,0))</f>
        <v>0</v>
      </c>
      <c r="G1810">
        <f>IF(decInputProd1Seg1PromotionAllocation_R1&lt;33%,(33%-decInputProd1Seg1PromotionAllocation_R1)*$K1810,IF(decInputProd1Seg1PromotionAllocation_R1&gt;40%,(decInputProd1Seg1PromotionAllocation_R1-40%)*$L1810,0))</f>
        <v>0</v>
      </c>
      <c r="H1810">
        <f>IF(decInputProd1Seg1PromotionAllocation_R1&lt;33%,(33%-decInputProd1Seg1PromotionAllocation_R1)*$K1810,IF(decInputProd1Seg1PromotionAllocation_R1&gt;40%,(decInputProd1Seg1PromotionAllocation_R1-40%)*$L1810,0))</f>
        <v>0</v>
      </c>
      <c r="I1810">
        <f>IF(decInputProd1Seg1PromotionAllocation_R1&lt;33%,(33%-decInputProd1Seg1PromotionAllocation_R1)*$K1810,IF(decInputProd1Seg1PromotionAllocation_R1&gt;40%,(decInputProd1Seg1PromotionAllocation_R1-40%)*$L1810,0))</f>
        <v>0</v>
      </c>
      <c r="K1810" s="377">
        <v>-10</v>
      </c>
      <c r="L1810" s="377">
        <v>4</v>
      </c>
    </row>
    <row r="1811" spans="1:12">
      <c r="A1811" s="4"/>
      <c r="C1811" t="str">
        <f>nmProd1Seg2</f>
        <v>Tullyville</v>
      </c>
      <c r="D1811" t="s">
        <v>2333</v>
      </c>
      <c r="E1811">
        <f>IF(decInputProd1Seg2PromotionAllocation_R1&lt;33%,(33%-decInputProd1Seg2PromotionAllocation_R1)*$K1811,IF(decInputProd1Seg2PromotionAllocation_R1&gt;40%,(decInputProd1Seg2PromotionAllocation_R1-40%)*$L1811,0))</f>
        <v>0</v>
      </c>
      <c r="F1811">
        <f>IF(decInputProd1Seg2PromotionAllocation_R1&lt;33%,(33%-decInputProd1Seg2PromotionAllocation_R1)*$K1811,IF(decInputProd1Seg2PromotionAllocation_R1&gt;40%,(decInputProd1Seg2PromotionAllocation_R1-40%)*$L1811,0))</f>
        <v>0</v>
      </c>
      <c r="G1811">
        <f>IF(decInputProd1Seg2PromotionAllocation_R1&lt;33%,(33%-decInputProd1Seg2PromotionAllocation_R1)*$K1811,IF(decInputProd1Seg2PromotionAllocation_R1&gt;40%,(decInputProd1Seg2PromotionAllocation_R1-40%)*$L1811,0))</f>
        <v>0</v>
      </c>
      <c r="H1811">
        <f>IF(decInputProd1Seg2PromotionAllocation_R1&lt;33%,(33%-decInputProd1Seg2PromotionAllocation_R1)*$K1811,IF(decInputProd1Seg2PromotionAllocation_R1&gt;40%,(decInputProd1Seg2PromotionAllocation_R1-40%)*$L1811,0))</f>
        <v>0</v>
      </c>
      <c r="I1811">
        <f>IF(decInputProd1Seg2PromotionAllocation_R1&lt;33%,(33%-decInputProd1Seg2PromotionAllocation_R1)*$K1811,IF(decInputProd1Seg2PromotionAllocation_R1&gt;40%,(decInputProd1Seg2PromotionAllocation_R1-40%)*$L1811,0))</f>
        <v>0</v>
      </c>
      <c r="K1811" s="377">
        <v>-10</v>
      </c>
      <c r="L1811" s="377">
        <v>4</v>
      </c>
    </row>
    <row r="1812" spans="1:12">
      <c r="A1812" s="4"/>
      <c r="C1812" t="str">
        <f>nmProd1Seg3</f>
        <v>Lordfrey City</v>
      </c>
      <c r="D1812" t="s">
        <v>2333</v>
      </c>
      <c r="E1812">
        <f>IF(decInputProd1Seg3PromotionAllocation_R1&lt;33%,(33%-decInputProd1Seg3PromotionAllocation_R1)*$K1812,IF(decInputProd1Seg3PromotionAllocation_R1&gt;40%,(decInputProd1Seg3PromotionAllocation_R1-40%)*$L1812,0))</f>
        <v>0</v>
      </c>
      <c r="F1812">
        <f>IF(decInputProd1Seg3PromotionAllocation_R1&lt;33%,(33%-decInputProd1Seg3PromotionAllocation_R1)*$K1812,IF(decInputProd1Seg3PromotionAllocation_R1&gt;40%,(decInputProd1Seg3PromotionAllocation_R1-40%)*$L1812,0))</f>
        <v>0</v>
      </c>
      <c r="G1812">
        <f>IF(decInputProd1Seg3PromotionAllocation_R1&lt;33%,(33%-decInputProd1Seg3PromotionAllocation_R1)*$K1812,IF(decInputProd1Seg3PromotionAllocation_R1&gt;40%,(decInputProd1Seg3PromotionAllocation_R1-40%)*$L1812,0))</f>
        <v>0</v>
      </c>
      <c r="H1812">
        <f>IF(decInputProd1Seg3PromotionAllocation_R1&lt;33%,(33%-decInputProd1Seg3PromotionAllocation_R1)*$K1812,IF(decInputProd1Seg3PromotionAllocation_R1&gt;40%,(decInputProd1Seg3PromotionAllocation_R1-40%)*$L1812,0))</f>
        <v>0</v>
      </c>
      <c r="I1812">
        <f>IF(decInputProd1Seg3PromotionAllocation_R1&lt;33%,(33%-decInputProd1Seg3PromotionAllocation_R1)*$K1812,IF(decInputProd1Seg3PromotionAllocation_R1&gt;40%,(decInputProd1Seg3PromotionAllocation_R1-40%)*$L1812,0))</f>
        <v>0</v>
      </c>
      <c r="K1812" s="377">
        <v>-10</v>
      </c>
      <c r="L1812" s="377">
        <v>4</v>
      </c>
    </row>
    <row r="1813" spans="1:12">
      <c r="B1813" t="str">
        <f>nmProd1Seg1</f>
        <v>Riverrun Central</v>
      </c>
      <c r="C1813" t="s">
        <v>585</v>
      </c>
      <c r="D1813" t="str">
        <f>nmProd1Seg1Rep1</f>
        <v>Rep Allen</v>
      </c>
      <c r="E1813">
        <f>decInputProd1Seg1Rep1Coaching_R1*$K1813</f>
        <v>0</v>
      </c>
      <c r="F1813">
        <f>decInputProd1Seg1Rep1Coaching_R1*$K1813</f>
        <v>0</v>
      </c>
      <c r="G1813">
        <f>decInputProd1Seg1Rep1Coaching_R1*$K1813</f>
        <v>0</v>
      </c>
      <c r="H1813">
        <f>decInputProd1Seg1Rep1Coaching_R1*$K1813</f>
        <v>0</v>
      </c>
      <c r="I1813">
        <f>decInputProd1Seg1Rep1Coaching_R1*$K1813</f>
        <v>0</v>
      </c>
      <c r="K1813">
        <v>0.2</v>
      </c>
    </row>
    <row r="1814" spans="1:12">
      <c r="B1814" t="str">
        <f>nmProd1Seg1</f>
        <v>Riverrun Central</v>
      </c>
      <c r="C1814" t="s">
        <v>585</v>
      </c>
      <c r="D1814" t="str">
        <f>nmProd1Seg1Rep2</f>
        <v>Rep Betty</v>
      </c>
      <c r="E1814">
        <f>decInputProd1Seg1Rep2Coaching_R1*$K1814</f>
        <v>0</v>
      </c>
      <c r="F1814">
        <f>decInputProd1Seg1Rep2Coaching_R1*$K1814</f>
        <v>0</v>
      </c>
      <c r="G1814">
        <f>decInputProd1Seg1Rep2Coaching_R1*$K1814</f>
        <v>0</v>
      </c>
      <c r="H1814">
        <f>decInputProd1Seg1Rep2Coaching_R1*$K1814</f>
        <v>0</v>
      </c>
      <c r="I1814">
        <f>decInputProd1Seg1Rep2Coaching_R1*$K1814</f>
        <v>0</v>
      </c>
      <c r="K1814">
        <v>0.2</v>
      </c>
    </row>
    <row r="1815" spans="1:12">
      <c r="B1815" t="str">
        <f>nmProd1Seg1</f>
        <v>Riverrun Central</v>
      </c>
      <c r="C1815" t="s">
        <v>585</v>
      </c>
      <c r="D1815" t="str">
        <f>nmProd1Seg1Rep3</f>
        <v>Rep Chris</v>
      </c>
      <c r="E1815">
        <f>decInputProd1Seg1Rep3Coaching_R1*$K1815</f>
        <v>0</v>
      </c>
      <c r="F1815">
        <f>decInputProd1Seg1Rep3Coaching_R1*$K1815</f>
        <v>0</v>
      </c>
      <c r="G1815">
        <f>decInputProd1Seg1Rep3Coaching_R1*$K1815</f>
        <v>0</v>
      </c>
      <c r="H1815">
        <f>decInputProd1Seg1Rep3Coaching_R1*$K1815</f>
        <v>0</v>
      </c>
      <c r="I1815">
        <f>decInputProd1Seg1Rep3Coaching_R1*$K1815</f>
        <v>0</v>
      </c>
      <c r="K1815">
        <v>0.1</v>
      </c>
    </row>
    <row r="1816" spans="1:12">
      <c r="B1816" t="str">
        <f>nmProd1Seg2</f>
        <v>Tullyville</v>
      </c>
      <c r="C1816" t="s">
        <v>585</v>
      </c>
      <c r="D1816" t="str">
        <f>nmProd1Seg2Rep1</f>
        <v>Rep Danielle</v>
      </c>
      <c r="E1816">
        <f>decInputProd1Seg2Rep1Coaching_R1*$K1816</f>
        <v>0</v>
      </c>
      <c r="F1816">
        <f>decInputProd1Seg2Rep1Coaching_R1*$K1816</f>
        <v>0</v>
      </c>
      <c r="G1816">
        <f>decInputProd1Seg2Rep1Coaching_R1*$K1816</f>
        <v>0</v>
      </c>
      <c r="H1816">
        <f>decInputProd1Seg2Rep1Coaching_R1*$K1816</f>
        <v>0</v>
      </c>
      <c r="I1816">
        <f>decInputProd1Seg2Rep1Coaching_R1*$K1816</f>
        <v>0</v>
      </c>
      <c r="K1816">
        <v>0.2</v>
      </c>
    </row>
    <row r="1817" spans="1:12">
      <c r="B1817" t="str">
        <f>nmProd1Seg2</f>
        <v>Tullyville</v>
      </c>
      <c r="C1817" t="s">
        <v>585</v>
      </c>
      <c r="D1817" t="str">
        <f>nmProd1Seg2Rep2</f>
        <v>Rep Elliot</v>
      </c>
      <c r="E1817">
        <f>decInputProd1Seg2Rep2Coaching_R1*$K1817</f>
        <v>0</v>
      </c>
      <c r="F1817">
        <f>decInputProd1Seg2Rep2Coaching_R1*$K1817</f>
        <v>0</v>
      </c>
      <c r="G1817">
        <f>decInputProd1Seg2Rep2Coaching_R1*$K1817</f>
        <v>0</v>
      </c>
      <c r="H1817">
        <f>decInputProd1Seg2Rep2Coaching_R1*$K1817</f>
        <v>0</v>
      </c>
      <c r="I1817">
        <f>decInputProd1Seg2Rep2Coaching_R1*$K1817</f>
        <v>0</v>
      </c>
      <c r="K1817">
        <v>0.2</v>
      </c>
    </row>
    <row r="1818" spans="1:12">
      <c r="B1818" t="str">
        <f>nmProd1Seg2</f>
        <v>Tullyville</v>
      </c>
      <c r="C1818" t="s">
        <v>585</v>
      </c>
      <c r="D1818" t="str">
        <f>nmProd1Seg2Rep3</f>
        <v>Rep Fiona</v>
      </c>
      <c r="E1818">
        <f>decInputProd1Seg2Rep3Coaching_R1*$K1818</f>
        <v>0</v>
      </c>
      <c r="F1818">
        <f>decInputProd1Seg2Rep3Coaching_R1*$K1818</f>
        <v>0</v>
      </c>
      <c r="G1818">
        <f>decInputProd1Seg2Rep3Coaching_R1*$K1818</f>
        <v>0</v>
      </c>
      <c r="H1818">
        <f>decInputProd1Seg2Rep3Coaching_R1*$K1818</f>
        <v>0</v>
      </c>
      <c r="I1818">
        <f>decInputProd1Seg2Rep3Coaching_R1*$K1818</f>
        <v>0</v>
      </c>
      <c r="K1818">
        <v>0.3</v>
      </c>
    </row>
    <row r="1819" spans="1:12">
      <c r="B1819" t="str">
        <f>nmProd1Seg3</f>
        <v>Lordfrey City</v>
      </c>
      <c r="C1819" t="s">
        <v>585</v>
      </c>
      <c r="D1819" t="str">
        <f>nmProd1Seg3Rep1</f>
        <v>Rep Gregg</v>
      </c>
      <c r="E1819">
        <f>decInputProd1Seg3Rep1Coaching_R1*$K1819</f>
        <v>0</v>
      </c>
      <c r="F1819">
        <f>decInputProd1Seg3Rep1Coaching_R1*$K1819</f>
        <v>0</v>
      </c>
      <c r="G1819">
        <f>decInputProd1Seg3Rep1Coaching_R1*$K1819</f>
        <v>0</v>
      </c>
      <c r="H1819">
        <f>decInputProd1Seg3Rep1Coaching_R1*$K1819</f>
        <v>0</v>
      </c>
      <c r="I1819">
        <f>decInputProd1Seg3Rep1Coaching_R1*$K1819</f>
        <v>0</v>
      </c>
      <c r="K1819">
        <v>0.2</v>
      </c>
    </row>
    <row r="1820" spans="1:12">
      <c r="B1820" t="str">
        <f>nmProd1Seg3</f>
        <v>Lordfrey City</v>
      </c>
      <c r="C1820" t="s">
        <v>585</v>
      </c>
      <c r="D1820" t="str">
        <f>nmProd1Seg3Rep2</f>
        <v>Rep Howard</v>
      </c>
      <c r="E1820">
        <f>decInputProd1Seg3Rep2Coaching_R1*$K1820</f>
        <v>0</v>
      </c>
      <c r="F1820">
        <f>decInputProd1Seg3Rep2Coaching_R1*$K1820</f>
        <v>0</v>
      </c>
      <c r="G1820">
        <f>decInputProd1Seg3Rep2Coaching_R1*$K1820</f>
        <v>0</v>
      </c>
      <c r="H1820">
        <f>decInputProd1Seg3Rep2Coaching_R1*$K1820</f>
        <v>0</v>
      </c>
      <c r="I1820">
        <f>decInputProd1Seg3Rep2Coaching_R1*$K1820</f>
        <v>0</v>
      </c>
      <c r="K1820">
        <v>0.3</v>
      </c>
    </row>
    <row r="1821" spans="1:12">
      <c r="B1821" t="str">
        <f>nmProd1Seg3</f>
        <v>Lordfrey City</v>
      </c>
      <c r="C1821" t="s">
        <v>585</v>
      </c>
      <c r="D1821" t="str">
        <f>nmProd1Seg3Rep3</f>
        <v>Rep Isabelle</v>
      </c>
      <c r="E1821">
        <f>decInputProd1Seg3Rep3Coaching_R1*$K1821</f>
        <v>0</v>
      </c>
      <c r="F1821">
        <f>decInputProd1Seg3Rep3Coaching_R1*$K1821</f>
        <v>0</v>
      </c>
      <c r="G1821">
        <f>decInputProd1Seg3Rep3Coaching_R1*$K1821</f>
        <v>0</v>
      </c>
      <c r="H1821">
        <f>decInputProd1Seg3Rep3Coaching_R1*$K1821</f>
        <v>0</v>
      </c>
      <c r="I1821">
        <f>decInputProd1Seg3Rep3Coaching_R1*$K1821</f>
        <v>0</v>
      </c>
      <c r="K1821">
        <v>0.4</v>
      </c>
    </row>
    <row r="1822" spans="1:12">
      <c r="B1822" t="str">
        <f>nmProd1Seg1</f>
        <v>Riverrun Central</v>
      </c>
      <c r="C1822" t="s">
        <v>2843</v>
      </c>
      <c r="E1822">
        <f>decInputProd1Seg1RegTrainer_R1*$K1822</f>
        <v>0</v>
      </c>
      <c r="F1822">
        <f>decInputProd1Seg1RegTrainer_R1*$K1822</f>
        <v>0</v>
      </c>
      <c r="G1822">
        <f>decInputProd1Seg1RegTrainer_R1*$K1822</f>
        <v>0</v>
      </c>
      <c r="H1822">
        <f>decInputProd1Seg1RegTrainer_R1*$K1822</f>
        <v>0</v>
      </c>
      <c r="I1822">
        <f>decInputProd1Seg1RegTrainer_R1*$K1822</f>
        <v>0</v>
      </c>
      <c r="K1822">
        <v>0.4</v>
      </c>
    </row>
    <row r="1823" spans="1:12">
      <c r="B1823" t="str">
        <f>nmProd1Seg2</f>
        <v>Tullyville</v>
      </c>
      <c r="C1823" t="s">
        <v>2843</v>
      </c>
      <c r="E1823">
        <f>decInputProd1Seg2RegTrainer_R1*$K1823</f>
        <v>0</v>
      </c>
      <c r="F1823">
        <f>decInputProd1Seg2RegTrainer_R1*$K1823</f>
        <v>0</v>
      </c>
      <c r="G1823">
        <f>decInputProd1Seg2RegTrainer_R1*$K1823</f>
        <v>0</v>
      </c>
      <c r="H1823">
        <f>decInputProd1Seg2RegTrainer_R1*$K1823</f>
        <v>0</v>
      </c>
      <c r="I1823">
        <f>decInputProd1Seg2RegTrainer_R1*$K1823</f>
        <v>0</v>
      </c>
      <c r="K1823">
        <v>0.3</v>
      </c>
    </row>
    <row r="1824" spans="1:12">
      <c r="B1824" t="str">
        <f>nmProd1Seg3</f>
        <v>Lordfrey City</v>
      </c>
      <c r="C1824" t="s">
        <v>2843</v>
      </c>
      <c r="E1824">
        <f>decInputProd1Seg3RegTrainer_R1*$K1824</f>
        <v>0</v>
      </c>
      <c r="F1824">
        <f>decInputProd1Seg3RegTrainer_R1*$K1824</f>
        <v>0</v>
      </c>
      <c r="G1824">
        <f>decInputProd1Seg3RegTrainer_R1*$K1824</f>
        <v>0</v>
      </c>
      <c r="H1824">
        <f>decInputProd1Seg3RegTrainer_R1*$K1824</f>
        <v>0</v>
      </c>
      <c r="I1824">
        <f>decInputProd1Seg3RegTrainer_R1*$K1824</f>
        <v>0</v>
      </c>
      <c r="K1824">
        <v>0.5</v>
      </c>
    </row>
    <row r="1826" spans="1:12" s="4" customFormat="1">
      <c r="C1826" s="4" t="s">
        <v>1534</v>
      </c>
      <c r="E1826" s="4">
        <f>SUM(E1806:E1825)</f>
        <v>60</v>
      </c>
      <c r="F1826" s="4">
        <f t="shared" ref="F1826:I1826" si="99">SUM(F1806:F1825)</f>
        <v>60</v>
      </c>
      <c r="G1826" s="4">
        <f t="shared" si="99"/>
        <v>60</v>
      </c>
      <c r="H1826" s="4">
        <f t="shared" si="99"/>
        <v>60</v>
      </c>
      <c r="I1826" s="4">
        <f t="shared" si="99"/>
        <v>60</v>
      </c>
      <c r="J1826" s="4" t="s">
        <v>3098</v>
      </c>
    </row>
    <row r="1827" spans="1:12">
      <c r="A1827" s="4"/>
      <c r="C1827" t="str">
        <f>nmProd1Seg1</f>
        <v>Riverrun Central</v>
      </c>
      <c r="D1827" t="s">
        <v>516</v>
      </c>
      <c r="E1827">
        <f>IF(decInputProd1Seg1SamplesPerc_R2&lt;decInputProd1Seg1SamplesPerc_R1,(decInputProd1Seg1SamplesPerc_R1-decInputProd1Seg1SamplesPerc_R2)*$K1827,IF(decInputProd1Seg1SamplesPerc_R2&gt;decInputProd1Seg1SamplesPerc_R1,(decInputProd1Seg1SamplesPerc_R2-decInputProd1Seg1SamplesPerc_R1)*$L1827,0))</f>
        <v>0</v>
      </c>
      <c r="F1827">
        <f>IF(decInputProd1Seg1SamplesPerc_R2&lt;decInputProd1Seg1SamplesPerc_R1,(decInputProd1Seg1SamplesPerc_R1-decInputProd1Seg1SamplesPerc_R2)*$K1827,IF(decInputProd1Seg1SamplesPerc_R2&gt;decInputProd1Seg1SamplesPerc_R1,(decInputProd1Seg1SamplesPerc_R2-decInputProd1Seg1SamplesPerc_R1)*$L1827,0))</f>
        <v>0</v>
      </c>
      <c r="G1827">
        <f>IF(decInputProd1Seg1SamplesPerc_R2&lt;decInputProd1Seg1SamplesPerc_R1,(decInputProd1Seg1SamplesPerc_R1-decInputProd1Seg1SamplesPerc_R2)*$K1827,IF(decInputProd1Seg1SamplesPerc_R2&gt;decInputProd1Seg1SamplesPerc_R1,(decInputProd1Seg1SamplesPerc_R2-decInputProd1Seg1SamplesPerc_R1)*$L1827,0))</f>
        <v>0</v>
      </c>
      <c r="H1827">
        <f>IF(decInputProd1Seg1SamplesPerc_R2&lt;decInputProd1Seg1SamplesPerc_R1,(decInputProd1Seg1SamplesPerc_R1-decInputProd1Seg1SamplesPerc_R2)*$K1827,IF(decInputProd1Seg1SamplesPerc_R2&gt;decInputProd1Seg1SamplesPerc_R1,(decInputProd1Seg1SamplesPerc_R2-decInputProd1Seg1SamplesPerc_R1)*$L1827,0))</f>
        <v>0</v>
      </c>
      <c r="I1827">
        <f>IF(decInputProd1Seg1SamplesPerc_R2&lt;decInputProd1Seg1SamplesPerc_R1,(decInputProd1Seg1SamplesPerc_R1-decInputProd1Seg1SamplesPerc_R2)*$K1827,IF(decInputProd1Seg1SamplesPerc_R2&gt;decInputProd1Seg1SamplesPerc_R1,(decInputProd1Seg1SamplesPerc_R2-decInputProd1Seg1SamplesPerc_R1)*$L1827,0))</f>
        <v>0</v>
      </c>
      <c r="K1827" s="377">
        <v>-10</v>
      </c>
      <c r="L1827" s="377">
        <v>4</v>
      </c>
    </row>
    <row r="1828" spans="1:12">
      <c r="A1828" s="4"/>
      <c r="C1828" t="str">
        <f>nmProd1Seg2</f>
        <v>Tullyville</v>
      </c>
      <c r="D1828" t="s">
        <v>516</v>
      </c>
      <c r="E1828">
        <f>IF(decInputProd1Seg2SamplesPerc_R2&lt;decInputProd1Seg2SamplesPerc_R1,(decInputProd1Seg2SamplesPerc_R1-decInputProd1Seg2SamplesPerc_R2)*$K1828,IF(decInputProd1Seg2SamplesPerc_R2&gt;decInputProd1Seg2SamplesPerc_R1,(decInputProd1Seg2SamplesPerc_R2-decInputProd1Seg2SamplesPerc_R1)*$L1828,0))</f>
        <v>0</v>
      </c>
      <c r="F1828">
        <f>IF(decInputProd1Seg2SamplesPerc_R2&lt;decInputProd1Seg2SamplesPerc_R1,(decInputProd1Seg2SamplesPerc_R1-decInputProd1Seg2SamplesPerc_R2)*$K1828,IF(decInputProd1Seg2SamplesPerc_R2&gt;decInputProd1Seg2SamplesPerc_R1,(decInputProd1Seg2SamplesPerc_R2-decInputProd1Seg2SamplesPerc_R1)*$L1828,0))</f>
        <v>0</v>
      </c>
      <c r="G1828">
        <f>IF(decInputProd1Seg2SamplesPerc_R2&lt;decInputProd1Seg2SamplesPerc_R1,(decInputProd1Seg2SamplesPerc_R1-decInputProd1Seg2SamplesPerc_R2)*$K1828,IF(decInputProd1Seg2SamplesPerc_R2&gt;decInputProd1Seg2SamplesPerc_R1,(decInputProd1Seg2SamplesPerc_R2-decInputProd1Seg2SamplesPerc_R1)*$L1828,0))</f>
        <v>0</v>
      </c>
      <c r="H1828">
        <f>IF(decInputProd1Seg2SamplesPerc_R2&lt;decInputProd1Seg2SamplesPerc_R1,(decInputProd1Seg2SamplesPerc_R1-decInputProd1Seg2SamplesPerc_R2)*$K1828,IF(decInputProd1Seg2SamplesPerc_R2&gt;decInputProd1Seg2SamplesPerc_R1,(decInputProd1Seg2SamplesPerc_R2-decInputProd1Seg2SamplesPerc_R1)*$L1828,0))</f>
        <v>0</v>
      </c>
      <c r="I1828">
        <f>IF(decInputProd1Seg2SamplesPerc_R2&lt;decInputProd1Seg2SamplesPerc_R1,(decInputProd1Seg2SamplesPerc_R1-decInputProd1Seg2SamplesPerc_R2)*$K1828,IF(decInputProd1Seg2SamplesPerc_R2&gt;decInputProd1Seg2SamplesPerc_R1,(decInputProd1Seg2SamplesPerc_R2-decInputProd1Seg2SamplesPerc_R1)*$L1828,0))</f>
        <v>0</v>
      </c>
      <c r="K1828" s="377">
        <v>-10</v>
      </c>
      <c r="L1828" s="377">
        <v>4</v>
      </c>
    </row>
    <row r="1829" spans="1:12">
      <c r="A1829" s="4"/>
      <c r="C1829" t="str">
        <f>nmProd1Seg3</f>
        <v>Lordfrey City</v>
      </c>
      <c r="D1829" t="s">
        <v>516</v>
      </c>
      <c r="E1829">
        <f>IF(decInputProd1Seg3SamplesPerc_R2&lt;decInputProd1Seg3SamplesPerc_R1,(decInputProd1Seg3SamplesPerc_R1-decInputProd1Seg3SamplesPerc_R2)*$K1829,IF(decInputProd1Seg3SamplesPerc_R2&gt;decInputProd1Seg3SamplesPerc_R1,(decInputProd1Seg3SamplesPerc_R2-decInputProd1Seg3SamplesPerc_R1)*$L1829,0))</f>
        <v>0</v>
      </c>
      <c r="F1829">
        <f>IF(decInputProd1Seg3SamplesPerc_R2&lt;decInputProd1Seg3SamplesPerc_R1,(decInputProd1Seg3SamplesPerc_R1-decInputProd1Seg3SamplesPerc_R2)*$K1829,IF(decInputProd1Seg3SamplesPerc_R2&gt;decInputProd1Seg3SamplesPerc_R1,(decInputProd1Seg3SamplesPerc_R2-decInputProd1Seg3SamplesPerc_R1)*$L1829,0))</f>
        <v>0</v>
      </c>
      <c r="G1829">
        <f>IF(decInputProd1Seg3SamplesPerc_R2&lt;decInputProd1Seg3SamplesPerc_R1,(decInputProd1Seg3SamplesPerc_R1-decInputProd1Seg3SamplesPerc_R2)*$K1829,IF(decInputProd1Seg3SamplesPerc_R2&gt;decInputProd1Seg3SamplesPerc_R1,(decInputProd1Seg3SamplesPerc_R2-decInputProd1Seg3SamplesPerc_R1)*$L1829,0))</f>
        <v>0</v>
      </c>
      <c r="H1829">
        <f>IF(decInputProd1Seg3SamplesPerc_R2&lt;decInputProd1Seg3SamplesPerc_R1,(decInputProd1Seg3SamplesPerc_R1-decInputProd1Seg3SamplesPerc_R2)*$K1829,IF(decInputProd1Seg3SamplesPerc_R2&gt;decInputProd1Seg3SamplesPerc_R1,(decInputProd1Seg3SamplesPerc_R2-decInputProd1Seg3SamplesPerc_R1)*$L1829,0))</f>
        <v>0</v>
      </c>
      <c r="I1829">
        <f>IF(decInputProd1Seg3SamplesPerc_R2&lt;decInputProd1Seg3SamplesPerc_R1,(decInputProd1Seg3SamplesPerc_R1-decInputProd1Seg3SamplesPerc_R2)*$K1829,IF(decInputProd1Seg3SamplesPerc_R2&gt;decInputProd1Seg3SamplesPerc_R1,(decInputProd1Seg3SamplesPerc_R2-decInputProd1Seg3SamplesPerc_R1)*$L1829,0))</f>
        <v>0</v>
      </c>
      <c r="K1829" s="377">
        <v>-10</v>
      </c>
      <c r="L1829" s="377">
        <v>4</v>
      </c>
    </row>
    <row r="1830" spans="1:12">
      <c r="A1830" s="4"/>
      <c r="C1830" t="str">
        <f>nmProd1Seg1</f>
        <v>Riverrun Central</v>
      </c>
      <c r="D1830" t="s">
        <v>3856</v>
      </c>
      <c r="E1830">
        <f>IF(decInputProd1Seg1PromotionAllocation_R2&lt;decInputProd1Seg1PromotionAllocation_R1,(decInputProd1Seg1PromotionAllocation_R1-decInputProd1Seg1PromotionAllocation_R2)*$K1830,IF(decInputProd1Seg1PromotionAllocation_R2&gt;decInputProd1Seg1PromotionAllocation_R1,(decInputProd1Seg1PromotionAllocation_R2-40%)*$L1830,0))</f>
        <v>0</v>
      </c>
      <c r="F1830">
        <f>IF(decInputProd1Seg1PromotionAllocation_R2&lt;decInputProd1Seg1PromotionAllocation_R1,(decInputProd1Seg1PromotionAllocation_R1-decInputProd1Seg1PromotionAllocation_R2)*$K1830,IF(decInputProd1Seg1PromotionAllocation_R2&gt;decInputProd1Seg1PromotionAllocation_R1,(decInputProd1Seg1PromotionAllocation_R2-40%)*$L1830,0))</f>
        <v>0</v>
      </c>
      <c r="G1830">
        <f>IF(decInputProd1Seg1PromotionAllocation_R2&lt;decInputProd1Seg1PromotionAllocation_R1,(decInputProd1Seg1PromotionAllocation_R1-decInputProd1Seg1PromotionAllocation_R2)*$K1830,IF(decInputProd1Seg1PromotionAllocation_R2&gt;decInputProd1Seg1PromotionAllocation_R1,(decInputProd1Seg1PromotionAllocation_R2-40%)*$L1830,0))</f>
        <v>0</v>
      </c>
      <c r="H1830">
        <f>IF(decInputProd1Seg1PromotionAllocation_R2&lt;decInputProd1Seg1PromotionAllocation_R1,(decInputProd1Seg1PromotionAllocation_R1-decInputProd1Seg1PromotionAllocation_R2)*$K1830,IF(decInputProd1Seg1PromotionAllocation_R2&gt;decInputProd1Seg1PromotionAllocation_R1,(decInputProd1Seg1PromotionAllocation_R2-40%)*$L1830,0))</f>
        <v>0</v>
      </c>
      <c r="I1830">
        <f>IF(decInputProd1Seg1PromotionAllocation_R2&lt;decInputProd1Seg1PromotionAllocation_R1,(decInputProd1Seg1PromotionAllocation_R1-decInputProd1Seg1PromotionAllocation_R2)*$K1830,IF(decInputProd1Seg1PromotionAllocation_R2&gt;decInputProd1Seg1PromotionAllocation_R1,(decInputProd1Seg1PromotionAllocation_R2-40%)*$L1830,0))</f>
        <v>0</v>
      </c>
      <c r="K1830" s="377">
        <v>-10</v>
      </c>
      <c r="L1830" s="377">
        <v>4</v>
      </c>
    </row>
    <row r="1831" spans="1:12">
      <c r="A1831" s="4"/>
      <c r="C1831" t="str">
        <f>nmProd1Seg2</f>
        <v>Tullyville</v>
      </c>
      <c r="D1831" t="s">
        <v>3856</v>
      </c>
      <c r="E1831">
        <f>IF(decInputProd1Seg2PromotionAllocation_R2&lt;decInputProd1Seg2PromotionAllocation_R1,(decInputProd1Seg2PromotionAllocation_R1-decInputProd1Seg2PromotionAllocation_R2)*$K1831,IF(decInputProd1Seg2PromotionAllocation_R2&gt;decInputProd1Seg2PromotionAllocation_R1,(decInputProd1Seg2PromotionAllocation_R2-40%)*$L1831,0))</f>
        <v>0</v>
      </c>
      <c r="F1831">
        <f>IF(decInputProd1Seg2PromotionAllocation_R2&lt;decInputProd1Seg2PromotionAllocation_R1,(decInputProd1Seg2PromotionAllocation_R1-decInputProd1Seg2PromotionAllocation_R2)*$K1831,IF(decInputProd1Seg2PromotionAllocation_R2&gt;decInputProd1Seg2PromotionAllocation_R1,(decInputProd1Seg2PromotionAllocation_R2-40%)*$L1831,0))</f>
        <v>0</v>
      </c>
      <c r="G1831">
        <f>IF(decInputProd1Seg2PromotionAllocation_R2&lt;decInputProd1Seg2PromotionAllocation_R1,(decInputProd1Seg2PromotionAllocation_R1-decInputProd1Seg2PromotionAllocation_R2)*$K1831,IF(decInputProd1Seg2PromotionAllocation_R2&gt;decInputProd1Seg2PromotionAllocation_R1,(decInputProd1Seg2PromotionAllocation_R2-40%)*$L1831,0))</f>
        <v>0</v>
      </c>
      <c r="H1831">
        <f>IF(decInputProd1Seg2PromotionAllocation_R2&lt;decInputProd1Seg2PromotionAllocation_R1,(decInputProd1Seg2PromotionAllocation_R1-decInputProd1Seg2PromotionAllocation_R2)*$K1831,IF(decInputProd1Seg2PromotionAllocation_R2&gt;decInputProd1Seg2PromotionAllocation_R1,(decInputProd1Seg2PromotionAllocation_R2-40%)*$L1831,0))</f>
        <v>0</v>
      </c>
      <c r="I1831">
        <f>IF(decInputProd1Seg2PromotionAllocation_R2&lt;decInputProd1Seg2PromotionAllocation_R1,(decInputProd1Seg2PromotionAllocation_R1-decInputProd1Seg2PromotionAllocation_R2)*$K1831,IF(decInputProd1Seg2PromotionAllocation_R2&gt;decInputProd1Seg2PromotionAllocation_R1,(decInputProd1Seg2PromotionAllocation_R2-40%)*$L1831,0))</f>
        <v>0</v>
      </c>
      <c r="K1831" s="377">
        <v>-10</v>
      </c>
      <c r="L1831" s="377">
        <v>4</v>
      </c>
    </row>
    <row r="1832" spans="1:12">
      <c r="A1832" s="4"/>
      <c r="C1832" t="str">
        <f>nmProd1Seg3</f>
        <v>Lordfrey City</v>
      </c>
      <c r="D1832" t="s">
        <v>3856</v>
      </c>
      <c r="E1832">
        <f>IF(decInputProd1Seg3PromotionAllocation_R2&lt;decInputProd1Seg3PromotionAllocation_R1,(decInputProd1Seg3PromotionAllocation_R1-decInputProd1Seg3PromotionAllocation_R2)*$K1832,IF(decInputProd1Seg3PromotionAllocation_R2&gt;decInputProd1Seg3PromotionAllocation_R1,(decInputProd1Seg3PromotionAllocation_R2-40%)*$L1832,0))</f>
        <v>0</v>
      </c>
      <c r="F1832">
        <f>IF(decInputProd1Seg3PromotionAllocation_R2&lt;decInputProd1Seg3PromotionAllocation_R1,(decInputProd1Seg3PromotionAllocation_R1-decInputProd1Seg3PromotionAllocation_R2)*$K1832,IF(decInputProd1Seg3PromotionAllocation_R2&gt;decInputProd1Seg3PromotionAllocation_R1,(decInputProd1Seg3PromotionAllocation_R2-40%)*$L1832,0))</f>
        <v>0</v>
      </c>
      <c r="G1832">
        <f>IF(decInputProd1Seg3PromotionAllocation_R2&lt;decInputProd1Seg3PromotionAllocation_R1,(decInputProd1Seg3PromotionAllocation_R1-decInputProd1Seg3PromotionAllocation_R2)*$K1832,IF(decInputProd1Seg3PromotionAllocation_R2&gt;decInputProd1Seg3PromotionAllocation_R1,(decInputProd1Seg3PromotionAllocation_R2-40%)*$L1832,0))</f>
        <v>0</v>
      </c>
      <c r="H1832">
        <f>IF(decInputProd1Seg3PromotionAllocation_R2&lt;decInputProd1Seg3PromotionAllocation_R1,(decInputProd1Seg3PromotionAllocation_R1-decInputProd1Seg3PromotionAllocation_R2)*$K1832,IF(decInputProd1Seg3PromotionAllocation_R2&gt;decInputProd1Seg3PromotionAllocation_R1,(decInputProd1Seg3PromotionAllocation_R2-40%)*$L1832,0))</f>
        <v>0</v>
      </c>
      <c r="I1832">
        <f>IF(decInputProd1Seg3PromotionAllocation_R2&lt;decInputProd1Seg3PromotionAllocation_R1,(decInputProd1Seg3PromotionAllocation_R1-decInputProd1Seg3PromotionAllocation_R2)*$K1832,IF(decInputProd1Seg3PromotionAllocation_R2&gt;decInputProd1Seg3PromotionAllocation_R1,(decInputProd1Seg3PromotionAllocation_R2-40%)*$L1832,0))</f>
        <v>0</v>
      </c>
      <c r="K1832" s="377">
        <v>-10</v>
      </c>
      <c r="L1832" s="377">
        <v>4</v>
      </c>
    </row>
    <row r="1833" spans="1:12" s="179" customFormat="1">
      <c r="B1833" s="179" t="str">
        <f>nmProd1Seg1</f>
        <v>Riverrun Central</v>
      </c>
      <c r="C1833" s="179" t="s">
        <v>585</v>
      </c>
      <c r="D1833" s="179" t="str">
        <f>nmProd1Seg1Rep1</f>
        <v>Rep Allen</v>
      </c>
      <c r="E1833" s="179">
        <f>decInputProd1Seg1Rep1Coaching_R2*$K1833</f>
        <v>0</v>
      </c>
      <c r="F1833" s="179">
        <f>decInputProd1Seg1Rep1Coaching_R2*$K1833</f>
        <v>0</v>
      </c>
      <c r="G1833" s="179">
        <f>decInputProd1Seg1Rep1Coaching_R2*$K1833</f>
        <v>0</v>
      </c>
      <c r="H1833" s="179">
        <f>decInputProd1Seg1Rep1Coaching_R2*$K1833</f>
        <v>0</v>
      </c>
      <c r="I1833" s="179">
        <f>decInputProd1Seg1Rep1Coaching_R2*$K1833</f>
        <v>0</v>
      </c>
      <c r="K1833" s="179">
        <v>0.2</v>
      </c>
    </row>
    <row r="1834" spans="1:12">
      <c r="B1834" t="str">
        <f>nmProd1Seg1</f>
        <v>Riverrun Central</v>
      </c>
      <c r="C1834" t="s">
        <v>585</v>
      </c>
      <c r="D1834" t="str">
        <f>nmProd1Seg1Rep2</f>
        <v>Rep Betty</v>
      </c>
      <c r="E1834">
        <f>decInputProd1Seg1Rep2Coaching_R2*$K1834</f>
        <v>0</v>
      </c>
      <c r="F1834">
        <f>decInputProd1Seg1Rep2Coaching_R2*$K1834</f>
        <v>0</v>
      </c>
      <c r="G1834">
        <f>decInputProd1Seg1Rep2Coaching_R2*$K1834</f>
        <v>0</v>
      </c>
      <c r="H1834">
        <f>decInputProd1Seg1Rep2Coaching_R2*$K1834</f>
        <v>0</v>
      </c>
      <c r="I1834">
        <f>decInputProd1Seg1Rep2Coaching_R2*$K1834</f>
        <v>0</v>
      </c>
      <c r="K1834">
        <v>0.2</v>
      </c>
    </row>
    <row r="1835" spans="1:12">
      <c r="B1835" t="str">
        <f>nmProd1Seg1</f>
        <v>Riverrun Central</v>
      </c>
      <c r="C1835" t="s">
        <v>585</v>
      </c>
      <c r="D1835" t="str">
        <f>nmProd1Seg1Rep3</f>
        <v>Rep Chris</v>
      </c>
      <c r="E1835">
        <f>decInputProd1Seg1Rep3Coaching_R2*$K1835</f>
        <v>0</v>
      </c>
      <c r="F1835">
        <f>decInputProd1Seg1Rep3Coaching_R2*$K1835</f>
        <v>0</v>
      </c>
      <c r="G1835">
        <f>decInputProd1Seg1Rep3Coaching_R2*$K1835</f>
        <v>0</v>
      </c>
      <c r="H1835">
        <f>decInputProd1Seg1Rep3Coaching_R2*$K1835</f>
        <v>0</v>
      </c>
      <c r="I1835">
        <f>decInputProd1Seg1Rep3Coaching_R2*$K1835</f>
        <v>0</v>
      </c>
      <c r="K1835">
        <v>0.1</v>
      </c>
    </row>
    <row r="1836" spans="1:12">
      <c r="B1836" t="str">
        <f>nmProd1Seg2</f>
        <v>Tullyville</v>
      </c>
      <c r="C1836" t="s">
        <v>585</v>
      </c>
      <c r="D1836" t="str">
        <f>nmProd1Seg2Rep1</f>
        <v>Rep Danielle</v>
      </c>
      <c r="E1836">
        <f>decInputProd1Seg2Rep1Coaching_R2*$K1836</f>
        <v>0</v>
      </c>
      <c r="F1836">
        <f>decInputProd1Seg2Rep1Coaching_R2*$K1836</f>
        <v>0</v>
      </c>
      <c r="G1836">
        <f>decInputProd1Seg2Rep1Coaching_R2*$K1836</f>
        <v>0</v>
      </c>
      <c r="H1836">
        <f>decInputProd1Seg2Rep1Coaching_R2*$K1836</f>
        <v>0</v>
      </c>
      <c r="I1836">
        <f>decInputProd1Seg2Rep1Coaching_R2*$K1836</f>
        <v>0</v>
      </c>
      <c r="K1836">
        <v>0.2</v>
      </c>
    </row>
    <row r="1837" spans="1:12">
      <c r="B1837" t="str">
        <f>nmProd1Seg2</f>
        <v>Tullyville</v>
      </c>
      <c r="C1837" t="s">
        <v>585</v>
      </c>
      <c r="D1837" t="str">
        <f>nmProd1Seg2Rep2</f>
        <v>Rep Elliot</v>
      </c>
      <c r="E1837">
        <f>decInputProd1Seg2Rep2Coaching_R2*$K1837</f>
        <v>0</v>
      </c>
      <c r="F1837">
        <f>decInputProd1Seg2Rep2Coaching_R2*$K1837</f>
        <v>0</v>
      </c>
      <c r="G1837">
        <f>decInputProd1Seg2Rep2Coaching_R2*$K1837</f>
        <v>0</v>
      </c>
      <c r="H1837">
        <f>decInputProd1Seg2Rep2Coaching_R2*$K1837</f>
        <v>0</v>
      </c>
      <c r="I1837">
        <f>decInputProd1Seg2Rep2Coaching_R2*$K1837</f>
        <v>0</v>
      </c>
      <c r="K1837">
        <v>0.2</v>
      </c>
    </row>
    <row r="1838" spans="1:12">
      <c r="B1838" t="str">
        <f>nmProd1Seg2</f>
        <v>Tullyville</v>
      </c>
      <c r="C1838" t="s">
        <v>585</v>
      </c>
      <c r="D1838" t="str">
        <f>nmProd1Seg2Rep3</f>
        <v>Rep Fiona</v>
      </c>
      <c r="E1838">
        <f>decInputProd1Seg2Rep3Coaching_R2*$K1838</f>
        <v>0</v>
      </c>
      <c r="F1838">
        <f>decInputProd1Seg2Rep3Coaching_R2*$K1838</f>
        <v>0</v>
      </c>
      <c r="G1838">
        <f>decInputProd1Seg2Rep3Coaching_R2*$K1838</f>
        <v>0</v>
      </c>
      <c r="H1838">
        <f>decInputProd1Seg2Rep3Coaching_R2*$K1838</f>
        <v>0</v>
      </c>
      <c r="I1838">
        <f>decInputProd1Seg2Rep3Coaching_R2*$K1838</f>
        <v>0</v>
      </c>
      <c r="K1838">
        <v>0.3</v>
      </c>
    </row>
    <row r="1839" spans="1:12">
      <c r="B1839" t="str">
        <f>nmProd1Seg3</f>
        <v>Lordfrey City</v>
      </c>
      <c r="C1839" t="s">
        <v>585</v>
      </c>
      <c r="D1839" t="str">
        <f>nmProd1Seg3Rep1</f>
        <v>Rep Gregg</v>
      </c>
      <c r="E1839">
        <f>decInputProd1Seg3Rep1Coaching_R2*$K1839</f>
        <v>0</v>
      </c>
      <c r="F1839">
        <f>decInputProd1Seg3Rep1Coaching_R2*$K1839</f>
        <v>0</v>
      </c>
      <c r="G1839">
        <f>decInputProd1Seg3Rep1Coaching_R2*$K1839</f>
        <v>0</v>
      </c>
      <c r="H1839">
        <f>decInputProd1Seg3Rep1Coaching_R2*$K1839</f>
        <v>0</v>
      </c>
      <c r="I1839">
        <f>decInputProd1Seg3Rep1Coaching_R2*$K1839</f>
        <v>0</v>
      </c>
      <c r="K1839">
        <v>0.2</v>
      </c>
    </row>
    <row r="1840" spans="1:12">
      <c r="B1840" t="str">
        <f>nmProd1Seg3</f>
        <v>Lordfrey City</v>
      </c>
      <c r="C1840" t="s">
        <v>585</v>
      </c>
      <c r="D1840" t="str">
        <f>nmProd1Seg3Rep2</f>
        <v>Rep Howard</v>
      </c>
      <c r="E1840">
        <f>decInputProd1Seg3Rep2Coaching_R2*$K1840</f>
        <v>0</v>
      </c>
      <c r="F1840">
        <f>decInputProd1Seg3Rep2Coaching_R2*$K1840</f>
        <v>0</v>
      </c>
      <c r="G1840">
        <f>decInputProd1Seg3Rep2Coaching_R2*$K1840</f>
        <v>0</v>
      </c>
      <c r="H1840">
        <f>decInputProd1Seg3Rep2Coaching_R2*$K1840</f>
        <v>0</v>
      </c>
      <c r="I1840">
        <f>decInputProd1Seg3Rep2Coaching_R2*$K1840</f>
        <v>0</v>
      </c>
      <c r="K1840">
        <v>0.3</v>
      </c>
    </row>
    <row r="1841" spans="1:12">
      <c r="B1841" t="str">
        <f>nmProd1Seg3</f>
        <v>Lordfrey City</v>
      </c>
      <c r="C1841" t="s">
        <v>585</v>
      </c>
      <c r="D1841" t="str">
        <f>nmProd1Seg3Rep3</f>
        <v>Rep Isabelle</v>
      </c>
      <c r="E1841">
        <f>decInputProd1Seg3Rep3Coaching_R2*$K1841</f>
        <v>0</v>
      </c>
      <c r="F1841">
        <f>decInputProd1Seg3Rep3Coaching_R2*$K1841</f>
        <v>0</v>
      </c>
      <c r="G1841">
        <f>decInputProd1Seg3Rep3Coaching_R2*$K1841</f>
        <v>0</v>
      </c>
      <c r="H1841">
        <f>decInputProd1Seg3Rep3Coaching_R2*$K1841</f>
        <v>0</v>
      </c>
      <c r="I1841">
        <f>decInputProd1Seg3Rep3Coaching_R2*$K1841</f>
        <v>0</v>
      </c>
      <c r="K1841">
        <v>0.4</v>
      </c>
    </row>
    <row r="1842" spans="1:12">
      <c r="B1842" t="str">
        <f>nmProd1Seg1</f>
        <v>Riverrun Central</v>
      </c>
      <c r="C1842" t="s">
        <v>2843</v>
      </c>
      <c r="E1842">
        <f>decInputProd1Seg1RegTrainer_R2*$K1842</f>
        <v>0</v>
      </c>
      <c r="F1842">
        <f>decInputProd1Seg1RegTrainer_R2*$K1842</f>
        <v>0</v>
      </c>
      <c r="G1842">
        <f>decInputProd1Seg1RegTrainer_R2*$K1842</f>
        <v>0</v>
      </c>
      <c r="H1842">
        <f>decInputProd1Seg1RegTrainer_R2*$K1842</f>
        <v>0</v>
      </c>
      <c r="I1842">
        <f>decInputProd1Seg1RegTrainer_R2*$K1842</f>
        <v>0</v>
      </c>
      <c r="K1842">
        <v>0.4</v>
      </c>
    </row>
    <row r="1843" spans="1:12">
      <c r="B1843" t="str">
        <f>nmProd1Seg2</f>
        <v>Tullyville</v>
      </c>
      <c r="C1843" t="s">
        <v>2843</v>
      </c>
      <c r="E1843">
        <f>decInputProd1Seg2RegTrainer_R2*$K1843</f>
        <v>0</v>
      </c>
      <c r="F1843">
        <f>decInputProd1Seg2RegTrainer_R2*$K1843</f>
        <v>0</v>
      </c>
      <c r="G1843">
        <f>decInputProd1Seg2RegTrainer_R2*$K1843</f>
        <v>0</v>
      </c>
      <c r="H1843">
        <f>decInputProd1Seg2RegTrainer_R2*$K1843</f>
        <v>0</v>
      </c>
      <c r="I1843">
        <f>decInputProd1Seg2RegTrainer_R2*$K1843</f>
        <v>0</v>
      </c>
      <c r="K1843">
        <v>0.3</v>
      </c>
    </row>
    <row r="1844" spans="1:12">
      <c r="B1844" t="str">
        <f>nmProd1Seg3</f>
        <v>Lordfrey City</v>
      </c>
      <c r="C1844" t="s">
        <v>2843</v>
      </c>
      <c r="E1844">
        <f>decInputProd1Seg3RegTrainer_R2*$K1844</f>
        <v>0</v>
      </c>
      <c r="F1844">
        <f>decInputProd1Seg3RegTrainer_R2*$K1844</f>
        <v>0</v>
      </c>
      <c r="G1844">
        <f>decInputProd1Seg3RegTrainer_R2*$K1844</f>
        <v>0</v>
      </c>
      <c r="H1844">
        <f>decInputProd1Seg3RegTrainer_R2*$K1844</f>
        <v>0</v>
      </c>
      <c r="I1844">
        <f>decInputProd1Seg3RegTrainer_R2*$K1844</f>
        <v>0</v>
      </c>
      <c r="K1844">
        <v>0.5</v>
      </c>
    </row>
    <row r="1846" spans="1:12">
      <c r="C1846" t="s">
        <v>1534</v>
      </c>
      <c r="E1846">
        <f>SUM(E1826:E1845)</f>
        <v>60</v>
      </c>
      <c r="F1846">
        <f>SUM(F1826:F1845)</f>
        <v>60</v>
      </c>
      <c r="G1846">
        <f>SUM(G1826:G1845)</f>
        <v>60</v>
      </c>
      <c r="H1846">
        <f>SUM(H1826:H1845)</f>
        <v>60</v>
      </c>
      <c r="I1846">
        <f>SUM(I1826:I1845)</f>
        <v>60</v>
      </c>
      <c r="J1846" t="s">
        <v>3099</v>
      </c>
    </row>
    <row r="1848" spans="1:12">
      <c r="A1848" s="4" t="s">
        <v>592</v>
      </c>
    </row>
    <row r="1849" spans="1:12">
      <c r="A1849" s="4" t="str">
        <f>nmReg1</f>
        <v>The Region</v>
      </c>
      <c r="C1849" t="s">
        <v>1486</v>
      </c>
      <c r="E1849">
        <f>obalESATReg1</f>
        <v>60</v>
      </c>
      <c r="F1849">
        <f>obalESATReg1</f>
        <v>60</v>
      </c>
      <c r="G1849">
        <f>obalESATReg1</f>
        <v>60</v>
      </c>
      <c r="H1849">
        <f>obalESATReg1</f>
        <v>60</v>
      </c>
      <c r="I1849">
        <f>obalESATReg1</f>
        <v>60</v>
      </c>
    </row>
    <row r="1850" spans="1:12">
      <c r="A1850" s="4"/>
      <c r="C1850" t="str">
        <f>nmReg1Seg1</f>
        <v>Riverrun</v>
      </c>
      <c r="D1850" t="s">
        <v>516</v>
      </c>
      <c r="E1850">
        <f>IF(decInputReg1Seg1SamplesPerc_R1&lt;33%,(33%-decInputReg1Seg1SamplesPerc_R1)*$K1850,IF(decInputReg1Seg1SamplesPerc_R1&gt;40%,(decInputReg1Seg1SamplesPerc_R1-40%)*$L1850,0))</f>
        <v>0</v>
      </c>
      <c r="F1850">
        <f>IF(decInputReg1Seg1SamplesPerc_R1&lt;33%,(33%-decInputReg1Seg1SamplesPerc_R1)*$K1850,IF(decInputReg1Seg1SamplesPerc_R1&gt;40%,(decInputReg1Seg1SamplesPerc_R1-40%)*$L1850,0))</f>
        <v>0</v>
      </c>
      <c r="G1850">
        <f>IF(decInputReg1Seg1SamplesPerc_R1&lt;33%,(33%-decInputReg1Seg1SamplesPerc_R1)*$K1850,IF(decInputReg1Seg1SamplesPerc_R1&gt;40%,(decInputReg1Seg1SamplesPerc_R1-40%)*$L1850,0))</f>
        <v>0</v>
      </c>
      <c r="H1850">
        <f>IF(decInputReg1Seg1SamplesPerc_R1&lt;33%,(33%-decInputReg1Seg1SamplesPerc_R1)*$K1850,IF(decInputReg1Seg1SamplesPerc_R1&gt;40%,(decInputReg1Seg1SamplesPerc_R1-40%)*$L1850,0))</f>
        <v>0</v>
      </c>
      <c r="I1850">
        <f>IF(decInputReg1Seg1SamplesPerc_R1&lt;33%,(33%-decInputReg1Seg1SamplesPerc_R1)*$K1850,IF(decInputReg1Seg1SamplesPerc_R1&gt;40%,(decInputReg1Seg1SamplesPerc_R1-40%)*$L1850,0))</f>
        <v>0</v>
      </c>
      <c r="K1850" s="377">
        <v>-10</v>
      </c>
      <c r="L1850" s="377">
        <v>4</v>
      </c>
    </row>
    <row r="1851" spans="1:12">
      <c r="A1851" s="4"/>
      <c r="C1851" t="str">
        <f>nmReg1Seg2</f>
        <v>Winterfell</v>
      </c>
      <c r="D1851" t="s">
        <v>516</v>
      </c>
      <c r="E1851">
        <f>IF(decInputReg1Seg2SamplesPerc_R1&lt;33%,(33%-decInputReg1Seg2SamplesPerc_R1)*$K1851,IF(decInputReg1Seg2SamplesPerc_R1&gt;40%,(decInputReg1Seg2SamplesPerc_R1-40%)*$L1851,0))</f>
        <v>0</v>
      </c>
      <c r="F1851">
        <f>IF(decInputReg1Seg2SamplesPerc_R1&lt;33%,(33%-decInputReg1Seg2SamplesPerc_R1)*$K1851,IF(decInputReg1Seg2SamplesPerc_R1&gt;40%,(decInputReg1Seg2SamplesPerc_R1-40%)*$L1851,0))</f>
        <v>0</v>
      </c>
      <c r="G1851">
        <f>IF(decInputReg1Seg2SamplesPerc_R1&lt;33%,(33%-decInputReg1Seg2SamplesPerc_R1)*$K1851,IF(decInputReg1Seg2SamplesPerc_R1&gt;40%,(decInputReg1Seg2SamplesPerc_R1-40%)*$L1851,0))</f>
        <v>0</v>
      </c>
      <c r="H1851">
        <f>IF(decInputReg1Seg2SamplesPerc_R1&lt;33%,(33%-decInputReg1Seg2SamplesPerc_R1)*$K1851,IF(decInputReg1Seg2SamplesPerc_R1&gt;40%,(decInputReg1Seg2SamplesPerc_R1-40%)*$L1851,0))</f>
        <v>0</v>
      </c>
      <c r="I1851">
        <f>IF(decInputReg1Seg2SamplesPerc_R1&lt;33%,(33%-decInputReg1Seg2SamplesPerc_R1)*$K1851,IF(decInputReg1Seg2SamplesPerc_R1&gt;40%,(decInputReg1Seg2SamplesPerc_R1-40%)*$L1851,0))</f>
        <v>0</v>
      </c>
      <c r="K1851" s="377">
        <v>-10</v>
      </c>
      <c r="L1851" s="377">
        <v>4</v>
      </c>
    </row>
    <row r="1852" spans="1:12">
      <c r="A1852" s="4"/>
      <c r="C1852" t="str">
        <f>nmReg1Seg3</f>
        <v>Harrenhal</v>
      </c>
      <c r="D1852" t="s">
        <v>516</v>
      </c>
      <c r="E1852">
        <f>IF(decInputReg1Seg3SamplesPerc_R1&lt;33%,(33%-decInputReg1Seg3SamplesPerc_R1)*$K1852,IF(decInputReg1Seg3SamplesPerc_R1&gt;40%,(decInputReg1Seg3SamplesPerc_R1-40%)*$L1852,0))</f>
        <v>0</v>
      </c>
      <c r="F1852">
        <f>IF(decInputReg1Seg3SamplesPerc_R1&lt;33%,(33%-decInputReg1Seg3SamplesPerc_R1)*$K1852,IF(decInputReg1Seg3SamplesPerc_R1&gt;40%,(decInputReg1Seg3SamplesPerc_R1-40%)*$L1852,0))</f>
        <v>0</v>
      </c>
      <c r="G1852">
        <f>IF(decInputReg1Seg3SamplesPerc_R1&lt;33%,(33%-decInputReg1Seg3SamplesPerc_R1)*$K1852,IF(decInputReg1Seg3SamplesPerc_R1&gt;40%,(decInputReg1Seg3SamplesPerc_R1-40%)*$L1852,0))</f>
        <v>0</v>
      </c>
      <c r="H1852">
        <f>IF(decInputReg1Seg3SamplesPerc_R1&lt;33%,(33%-decInputReg1Seg3SamplesPerc_R1)*$K1852,IF(decInputReg1Seg3SamplesPerc_R1&gt;40%,(decInputReg1Seg3SamplesPerc_R1-40%)*$L1852,0))</f>
        <v>0</v>
      </c>
      <c r="I1852">
        <f>IF(decInputReg1Seg3SamplesPerc_R1&lt;33%,(33%-decInputReg1Seg3SamplesPerc_R1)*$K1852,IF(decInputReg1Seg3SamplesPerc_R1&gt;40%,(decInputReg1Seg3SamplesPerc_R1-40%)*$L1852,0))</f>
        <v>0</v>
      </c>
      <c r="K1852" s="377">
        <v>-10</v>
      </c>
      <c r="L1852" s="377">
        <v>4</v>
      </c>
    </row>
    <row r="1853" spans="1:12">
      <c r="A1853" s="4"/>
      <c r="C1853" t="str">
        <f>nmReg1Seg1</f>
        <v>Riverrun</v>
      </c>
      <c r="D1853" t="s">
        <v>2333</v>
      </c>
      <c r="E1853">
        <f>IF(decInputReg1Seg1PromotionAllocation_R1&lt;33%,(33%-decInputReg1Seg1PromotionAllocation_R1)*$K1853,IF(decInputReg1Seg1PromotionAllocation_R1&gt;40%,(decInputReg1Seg1PromotionAllocation_R1-40%)*$L1853,0))</f>
        <v>0</v>
      </c>
      <c r="F1853">
        <f>IF(decInputReg1Seg1PromotionAllocation_R1&lt;33%,(33%-decInputReg1Seg1PromotionAllocation_R1)*$K1853,IF(decInputReg1Seg1PromotionAllocation_R1&gt;40%,(decInputReg1Seg1PromotionAllocation_R1-40%)*$L1853,0))</f>
        <v>0</v>
      </c>
      <c r="G1853">
        <f>IF(decInputReg1Seg1PromotionAllocation_R1&lt;33%,(33%-decInputReg1Seg1PromotionAllocation_R1)*$K1853,IF(decInputReg1Seg1PromotionAllocation_R1&gt;40%,(decInputReg1Seg1PromotionAllocation_R1-40%)*$L1853,0))</f>
        <v>0</v>
      </c>
      <c r="H1853">
        <f>IF(decInputReg1Seg1PromotionAllocation_R1&lt;33%,(33%-decInputReg1Seg1PromotionAllocation_R1)*$K1853,IF(decInputReg1Seg1PromotionAllocation_R1&gt;40%,(decInputReg1Seg1PromotionAllocation_R1-40%)*$L1853,0))</f>
        <v>0</v>
      </c>
      <c r="I1853">
        <f>IF(decInputReg1Seg1PromotionAllocation_R1&lt;33%,(33%-decInputReg1Seg1PromotionAllocation_R1)*$K1853,IF(decInputReg1Seg1PromotionAllocation_R1&gt;40%,(decInputReg1Seg1PromotionAllocation_R1-40%)*$L1853,0))</f>
        <v>0</v>
      </c>
      <c r="K1853" s="377">
        <v>-10</v>
      </c>
      <c r="L1853" s="377">
        <v>4</v>
      </c>
    </row>
    <row r="1854" spans="1:12">
      <c r="A1854" s="4"/>
      <c r="C1854" t="str">
        <f>nmReg1Seg2</f>
        <v>Winterfell</v>
      </c>
      <c r="D1854" t="s">
        <v>2333</v>
      </c>
      <c r="E1854">
        <f>IF(decInputReg1Seg2PromotionAllocation_R1&lt;33%,(33%-decInputReg1Seg2PromotionAllocation_R1)*$K1854,IF(decInputReg1Seg2PromotionAllocation_R1&gt;40%,(decInputReg1Seg2PromotionAllocation_R1-40%)*$L1854,0))</f>
        <v>0</v>
      </c>
      <c r="F1854">
        <f>IF(decInputReg1Seg2PromotionAllocation_R1&lt;33%,(33%-decInputReg1Seg2PromotionAllocation_R1)*$K1854,IF(decInputReg1Seg2PromotionAllocation_R1&gt;40%,(decInputReg1Seg2PromotionAllocation_R1-40%)*$L1854,0))</f>
        <v>0</v>
      </c>
      <c r="G1854">
        <f>IF(decInputReg1Seg2PromotionAllocation_R1&lt;33%,(33%-decInputReg1Seg2PromotionAllocation_R1)*$K1854,IF(decInputReg1Seg2PromotionAllocation_R1&gt;40%,(decInputReg1Seg2PromotionAllocation_R1-40%)*$L1854,0))</f>
        <v>0</v>
      </c>
      <c r="H1854">
        <f>IF(decInputReg1Seg2PromotionAllocation_R1&lt;33%,(33%-decInputReg1Seg2PromotionAllocation_R1)*$K1854,IF(decInputReg1Seg2PromotionAllocation_R1&gt;40%,(decInputReg1Seg2PromotionAllocation_R1-40%)*$L1854,0))</f>
        <v>0</v>
      </c>
      <c r="I1854">
        <f>IF(decInputReg1Seg2PromotionAllocation_R1&lt;33%,(33%-decInputReg1Seg2PromotionAllocation_R1)*$K1854,IF(decInputReg1Seg2PromotionAllocation_R1&gt;40%,(decInputReg1Seg2PromotionAllocation_R1-40%)*$L1854,0))</f>
        <v>0</v>
      </c>
      <c r="K1854" s="377">
        <v>-10</v>
      </c>
      <c r="L1854" s="377">
        <v>4</v>
      </c>
    </row>
    <row r="1855" spans="1:12">
      <c r="A1855" s="4"/>
      <c r="C1855" t="str">
        <f>nmReg1Seg3</f>
        <v>Harrenhal</v>
      </c>
      <c r="D1855" t="s">
        <v>2333</v>
      </c>
      <c r="E1855">
        <f>IF(decInputReg1Seg3PromotionAllocation_R1&lt;33%,(33%-decInputReg1Seg3PromotionAllocation_R1)*$K1855,IF(decInputReg1Seg3PromotionAllocation_R1&gt;40%,(decInputReg1Seg3PromotionAllocation_R1-40%)*$L1855,0))</f>
        <v>0</v>
      </c>
      <c r="F1855">
        <f>IF(decInputReg1Seg3PromotionAllocation_R1&lt;33%,(33%-decInputReg1Seg3PromotionAllocation_R1)*$K1855,IF(decInputReg1Seg3PromotionAllocation_R1&gt;40%,(decInputReg1Seg3PromotionAllocation_R1-40%)*$L1855,0))</f>
        <v>0</v>
      </c>
      <c r="G1855">
        <f>IF(decInputReg1Seg3PromotionAllocation_R1&lt;33%,(33%-decInputReg1Seg3PromotionAllocation_R1)*$K1855,IF(decInputReg1Seg3PromotionAllocation_R1&gt;40%,(decInputReg1Seg3PromotionAllocation_R1-40%)*$L1855,0))</f>
        <v>0</v>
      </c>
      <c r="H1855">
        <f>IF(decInputReg1Seg3PromotionAllocation_R1&lt;33%,(33%-decInputReg1Seg3PromotionAllocation_R1)*$K1855,IF(decInputReg1Seg3PromotionAllocation_R1&gt;40%,(decInputReg1Seg3PromotionAllocation_R1-40%)*$L1855,0))</f>
        <v>0</v>
      </c>
      <c r="I1855">
        <f>IF(decInputReg1Seg3PromotionAllocation_R1&lt;33%,(33%-decInputReg1Seg3PromotionAllocation_R1)*$K1855,IF(decInputReg1Seg3PromotionAllocation_R1&gt;40%,(decInputReg1Seg3PromotionAllocation_R1-40%)*$L1855,0))</f>
        <v>0</v>
      </c>
      <c r="K1855" s="377">
        <v>-10</v>
      </c>
      <c r="L1855" s="377">
        <v>4</v>
      </c>
    </row>
    <row r="1856" spans="1:12">
      <c r="B1856" t="str">
        <f>nmReg1Seg1</f>
        <v>Riverrun</v>
      </c>
      <c r="C1856" t="s">
        <v>585</v>
      </c>
      <c r="E1856">
        <f>decInputReg1Seg1Rep1Coaching_R1*$K1856</f>
        <v>0</v>
      </c>
      <c r="F1856">
        <f>decInputReg1Seg1Rep1Coaching_R1*$K1856</f>
        <v>0</v>
      </c>
      <c r="G1856">
        <f>decInputReg1Seg1Rep1Coaching_R1*$K1856</f>
        <v>0</v>
      </c>
      <c r="H1856">
        <f>decInputReg1Seg1Rep1Coaching_R1*$K1856</f>
        <v>0</v>
      </c>
      <c r="I1856">
        <f>decInputReg1Seg1Rep1Coaching_R1*$K1856</f>
        <v>0</v>
      </c>
      <c r="K1856">
        <v>0.8</v>
      </c>
    </row>
    <row r="1857" spans="1:12">
      <c r="B1857" t="str">
        <f>nmReg1Seg2</f>
        <v>Winterfell</v>
      </c>
      <c r="C1857" t="s">
        <v>585</v>
      </c>
      <c r="E1857">
        <f>decInputReg1Seg2Rep1Coaching_R1*$K1857</f>
        <v>0</v>
      </c>
      <c r="F1857">
        <f>decInputReg1Seg2Rep1Coaching_R1*$K1857</f>
        <v>0</v>
      </c>
      <c r="G1857">
        <f>decInputReg1Seg2Rep1Coaching_R1*$K1857</f>
        <v>0</v>
      </c>
      <c r="H1857">
        <f>decInputReg1Seg2Rep1Coaching_R1*$K1857</f>
        <v>0</v>
      </c>
      <c r="I1857">
        <f>decInputReg1Seg2Rep1Coaching_R1*$K1857</f>
        <v>0</v>
      </c>
      <c r="K1857">
        <v>0.8</v>
      </c>
    </row>
    <row r="1858" spans="1:12">
      <c r="B1858" t="str">
        <f>nmReg1Seg3</f>
        <v>Harrenhal</v>
      </c>
      <c r="C1858" t="s">
        <v>585</v>
      </c>
      <c r="E1858">
        <f>decInputReg1Seg3Rep1Coaching_R1*$K1858</f>
        <v>0</v>
      </c>
      <c r="F1858">
        <f>decInputReg1Seg3Rep1Coaching_R1*$K1858</f>
        <v>0</v>
      </c>
      <c r="G1858">
        <f>decInputReg1Seg3Rep1Coaching_R1*$K1858</f>
        <v>0</v>
      </c>
      <c r="H1858">
        <f>decInputReg1Seg3Rep1Coaching_R1*$K1858</f>
        <v>0</v>
      </c>
      <c r="I1858">
        <f>decInputReg1Seg3Rep1Coaching_R1*$K1858</f>
        <v>0</v>
      </c>
      <c r="K1858">
        <v>0.9</v>
      </c>
    </row>
    <row r="1859" spans="1:12">
      <c r="B1859" t="str">
        <f>nmReg1Seg1</f>
        <v>Riverrun</v>
      </c>
      <c r="C1859" t="s">
        <v>2843</v>
      </c>
      <c r="E1859">
        <f>decInputReg1Seg1RegTrainer_R1*$K1859</f>
        <v>0</v>
      </c>
      <c r="F1859">
        <f>decInputReg1Seg1RegTrainer_R1*$K1859</f>
        <v>0</v>
      </c>
      <c r="G1859">
        <f>decInputReg1Seg1RegTrainer_R1*$K1859</f>
        <v>0</v>
      </c>
      <c r="H1859">
        <f>decInputReg1Seg1RegTrainer_R1*$K1859</f>
        <v>0</v>
      </c>
      <c r="I1859">
        <f>decInputReg1Seg1RegTrainer_R1*$K1859</f>
        <v>0</v>
      </c>
      <c r="K1859">
        <v>0.4</v>
      </c>
    </row>
    <row r="1860" spans="1:12">
      <c r="B1860" t="str">
        <f>nmReg1Seg2</f>
        <v>Winterfell</v>
      </c>
      <c r="C1860" t="s">
        <v>2843</v>
      </c>
      <c r="E1860">
        <f>decInputReg1Seg2RegTrainer_R1*$K1860</f>
        <v>0</v>
      </c>
      <c r="F1860">
        <f>decInputReg1Seg2RegTrainer_R1*$K1860</f>
        <v>0</v>
      </c>
      <c r="G1860">
        <f>decInputReg1Seg2RegTrainer_R1*$K1860</f>
        <v>0</v>
      </c>
      <c r="H1860">
        <f>decInputReg1Seg2RegTrainer_R1*$K1860</f>
        <v>0</v>
      </c>
      <c r="I1860">
        <f>decInputReg1Seg2RegTrainer_R1*$K1860</f>
        <v>0</v>
      </c>
      <c r="K1860">
        <v>0.3</v>
      </c>
    </row>
    <row r="1861" spans="1:12">
      <c r="B1861" t="str">
        <f>nmReg1Seg3</f>
        <v>Harrenhal</v>
      </c>
      <c r="C1861" t="s">
        <v>2843</v>
      </c>
      <c r="E1861">
        <f>decInputReg1Seg3RegTrainer_R1*$K1861</f>
        <v>0</v>
      </c>
      <c r="F1861">
        <f>decInputReg1Seg3RegTrainer_R1*$K1861</f>
        <v>0</v>
      </c>
      <c r="G1861">
        <f>decInputReg1Seg3RegTrainer_R1*$K1861</f>
        <v>0</v>
      </c>
      <c r="H1861">
        <f>decInputReg1Seg3RegTrainer_R1*$K1861</f>
        <v>0</v>
      </c>
      <c r="I1861">
        <f>decInputReg1Seg3RegTrainer_R1*$K1861</f>
        <v>0</v>
      </c>
      <c r="K1861">
        <v>0.5</v>
      </c>
    </row>
    <row r="1863" spans="1:12">
      <c r="C1863" t="s">
        <v>1534</v>
      </c>
      <c r="D1863" t="s">
        <v>622</v>
      </c>
      <c r="E1863">
        <f>SUM(E1849:E1862)</f>
        <v>60</v>
      </c>
      <c r="F1863">
        <f t="shared" ref="F1863:I1863" si="100">SUM(F1849:F1862)</f>
        <v>60</v>
      </c>
      <c r="G1863">
        <f t="shared" si="100"/>
        <v>60</v>
      </c>
      <c r="H1863">
        <f t="shared" si="100"/>
        <v>60</v>
      </c>
      <c r="I1863">
        <f t="shared" si="100"/>
        <v>60</v>
      </c>
      <c r="J1863" t="s">
        <v>3100</v>
      </c>
    </row>
    <row r="1864" spans="1:12">
      <c r="A1864" s="4"/>
      <c r="C1864" t="str">
        <f>nmReg1Seg1</f>
        <v>Riverrun</v>
      </c>
      <c r="D1864" t="s">
        <v>516</v>
      </c>
      <c r="E1864">
        <f>IF(decInputReg1Seg1SamplesPerc_R2&lt;decInputReg1Seg1SamplesPerc_R1,(decInputReg1Seg1SamplesPerc_R1-decInputReg1Seg1SamplesPerc_R2)*$K1864,IF(decInputReg1Seg1SamplesPerc_R2&gt;decInputReg1Seg1SamplesPerc_R1,(decInputReg1Seg1SamplesPerc_R2-decInputReg1Seg1SamplesPerc_R1)*$L1864,0))</f>
        <v>0</v>
      </c>
      <c r="F1864">
        <f>IF(decInputReg1Seg1SamplesPerc_R2&lt;decInputReg1Seg1SamplesPerc_R1,(decInputReg1Seg1SamplesPerc_R1-decInputReg1Seg1SamplesPerc_R2)*$K1864,IF(decInputReg1Seg1SamplesPerc_R2&gt;decInputReg1Seg1SamplesPerc_R1,(decInputReg1Seg1SamplesPerc_R2-decInputReg1Seg1SamplesPerc_R1)*$L1864,0))</f>
        <v>0</v>
      </c>
      <c r="G1864">
        <f>IF(decInputReg1Seg1SamplesPerc_R2&lt;decInputReg1Seg1SamplesPerc_R1,(decInputReg1Seg1SamplesPerc_R1-decInputReg1Seg1SamplesPerc_R2)*$K1864,IF(decInputReg1Seg1SamplesPerc_R2&gt;decInputReg1Seg1SamplesPerc_R1,(decInputReg1Seg1SamplesPerc_R2-decInputReg1Seg1SamplesPerc_R1)*$L1864,0))</f>
        <v>0</v>
      </c>
      <c r="H1864">
        <f>IF(decInputReg1Seg1SamplesPerc_R2&lt;decInputReg1Seg1SamplesPerc_R1,(decInputReg1Seg1SamplesPerc_R1-decInputReg1Seg1SamplesPerc_R2)*$K1864,IF(decInputReg1Seg1SamplesPerc_R2&gt;decInputReg1Seg1SamplesPerc_R1,(decInputReg1Seg1SamplesPerc_R2-decInputReg1Seg1SamplesPerc_R1)*$L1864,0))</f>
        <v>0</v>
      </c>
      <c r="I1864">
        <f>IF(decInputReg1Seg1SamplesPerc_R2&lt;decInputReg1Seg1SamplesPerc_R1,(decInputReg1Seg1SamplesPerc_R1-decInputReg1Seg1SamplesPerc_R2)*$K1864,IF(decInputReg1Seg1SamplesPerc_R2&gt;decInputReg1Seg1SamplesPerc_R1,(decInputReg1Seg1SamplesPerc_R2-decInputReg1Seg1SamplesPerc_R1)*$L1864,0))</f>
        <v>0</v>
      </c>
      <c r="K1864" s="377">
        <v>-10</v>
      </c>
      <c r="L1864" s="377">
        <v>4</v>
      </c>
    </row>
    <row r="1865" spans="1:12">
      <c r="A1865" s="4"/>
      <c r="C1865" t="str">
        <f>nmReg1Seg2</f>
        <v>Winterfell</v>
      </c>
      <c r="D1865" t="s">
        <v>516</v>
      </c>
      <c r="E1865">
        <f>IF(decInputReg1Seg2SamplesPerc_R2&lt;decInputReg1Seg2SamplesPerc_R1,(decInputReg1Seg2SamplesPerc_R1-decInputReg1Seg2SamplesPerc_R2)*$K1865,IF(decInputReg1Seg2SamplesPerc_R2&gt;decInputReg1Seg2SamplesPerc_R1,(decInputReg1Seg2SamplesPerc_R2-decInputReg1Seg2SamplesPerc_R1)*$L1865,0))</f>
        <v>0</v>
      </c>
      <c r="F1865">
        <f>IF(decInputReg1Seg2SamplesPerc_R2&lt;decInputReg1Seg2SamplesPerc_R1,(decInputReg1Seg2SamplesPerc_R1-decInputReg1Seg2SamplesPerc_R2)*$K1865,IF(decInputReg1Seg2SamplesPerc_R2&gt;decInputReg1Seg2SamplesPerc_R1,(decInputReg1Seg2SamplesPerc_R2-decInputReg1Seg2SamplesPerc_R1)*$L1865,0))</f>
        <v>0</v>
      </c>
      <c r="G1865">
        <f>IF(decInputReg1Seg2SamplesPerc_R2&lt;decInputReg1Seg2SamplesPerc_R1,(decInputReg1Seg2SamplesPerc_R1-decInputReg1Seg2SamplesPerc_R2)*$K1865,IF(decInputReg1Seg2SamplesPerc_R2&gt;decInputReg1Seg2SamplesPerc_R1,(decInputReg1Seg2SamplesPerc_R2-decInputReg1Seg2SamplesPerc_R1)*$L1865,0))</f>
        <v>0</v>
      </c>
      <c r="H1865">
        <f>IF(decInputReg1Seg2SamplesPerc_R2&lt;decInputReg1Seg2SamplesPerc_R1,(decInputReg1Seg2SamplesPerc_R1-decInputReg1Seg2SamplesPerc_R2)*$K1865,IF(decInputReg1Seg2SamplesPerc_R2&gt;decInputReg1Seg2SamplesPerc_R1,(decInputReg1Seg2SamplesPerc_R2-decInputReg1Seg2SamplesPerc_R1)*$L1865,0))</f>
        <v>0</v>
      </c>
      <c r="I1865">
        <f>IF(decInputReg1Seg2SamplesPerc_R2&lt;decInputReg1Seg2SamplesPerc_R1,(decInputReg1Seg2SamplesPerc_R1-decInputReg1Seg2SamplesPerc_R2)*$K1865,IF(decInputReg1Seg2SamplesPerc_R2&gt;decInputReg1Seg2SamplesPerc_R1,(decInputReg1Seg2SamplesPerc_R2-decInputReg1Seg2SamplesPerc_R1)*$L1865,0))</f>
        <v>0</v>
      </c>
      <c r="K1865" s="377">
        <v>-10</v>
      </c>
      <c r="L1865" s="377">
        <v>4</v>
      </c>
    </row>
    <row r="1866" spans="1:12">
      <c r="A1866" s="4"/>
      <c r="C1866" t="str">
        <f>nmReg1Seg3</f>
        <v>Harrenhal</v>
      </c>
      <c r="D1866" t="s">
        <v>516</v>
      </c>
      <c r="E1866">
        <f>IF(decInputReg1Seg3SamplesPerc_R2&lt;decInputReg1Seg3SamplesPerc_R1,(decInputReg1Seg3SamplesPerc_R1-decInputReg1Seg3SamplesPerc_R2)*$K1866,IF(decInputReg1Seg3SamplesPerc_R2&gt;decInputReg1Seg3SamplesPerc_R1,(decInputReg1Seg3SamplesPerc_R2-decInputReg1Seg3SamplesPerc_R1)*$L1866,0))</f>
        <v>0</v>
      </c>
      <c r="F1866">
        <f>IF(decInputReg1Seg3SamplesPerc_R2&lt;decInputReg1Seg3SamplesPerc_R1,(decInputReg1Seg3SamplesPerc_R1-decInputReg1Seg3SamplesPerc_R2)*$K1866,IF(decInputReg1Seg3SamplesPerc_R2&gt;decInputReg1Seg3SamplesPerc_R1,(decInputReg1Seg3SamplesPerc_R2-decInputReg1Seg3SamplesPerc_R1)*$L1866,0))</f>
        <v>0</v>
      </c>
      <c r="G1866">
        <f>IF(decInputReg1Seg3SamplesPerc_R2&lt;decInputReg1Seg3SamplesPerc_R1,(decInputReg1Seg3SamplesPerc_R1-decInputReg1Seg3SamplesPerc_R2)*$K1866,IF(decInputReg1Seg3SamplesPerc_R2&gt;decInputReg1Seg3SamplesPerc_R1,(decInputReg1Seg3SamplesPerc_R2-decInputReg1Seg3SamplesPerc_R1)*$L1866,0))</f>
        <v>0</v>
      </c>
      <c r="H1866">
        <f>IF(decInputReg1Seg3SamplesPerc_R2&lt;decInputReg1Seg3SamplesPerc_R1,(decInputReg1Seg3SamplesPerc_R1-decInputReg1Seg3SamplesPerc_R2)*$K1866,IF(decInputReg1Seg3SamplesPerc_R2&gt;decInputReg1Seg3SamplesPerc_R1,(decInputReg1Seg3SamplesPerc_R2-decInputReg1Seg3SamplesPerc_R1)*$L1866,0))</f>
        <v>0</v>
      </c>
      <c r="I1866">
        <f>IF(decInputReg1Seg3SamplesPerc_R2&lt;decInputReg1Seg3SamplesPerc_R1,(decInputReg1Seg3SamplesPerc_R1-decInputReg1Seg3SamplesPerc_R2)*$K1866,IF(decInputReg1Seg3SamplesPerc_R2&gt;decInputReg1Seg3SamplesPerc_R1,(decInputReg1Seg3SamplesPerc_R2-decInputReg1Seg3SamplesPerc_R1)*$L1866,0))</f>
        <v>0</v>
      </c>
      <c r="K1866" s="377">
        <v>-10</v>
      </c>
      <c r="L1866" s="377">
        <v>4</v>
      </c>
    </row>
    <row r="1867" spans="1:12">
      <c r="A1867" s="4"/>
      <c r="C1867" t="str">
        <f>nmReg1Seg1</f>
        <v>Riverrun</v>
      </c>
      <c r="D1867" t="s">
        <v>3856</v>
      </c>
      <c r="E1867">
        <f>IF(decInputReg1Seg1PromotionAllocation_R2&lt;decInputReg1Seg1PromotionAllocation_R1,(decInputReg1Seg1PromotionAllocation_R1-decInputReg1Seg1PromotionAllocation_R2)*$K1867,IF(decInputReg1Seg1PromotionAllocation_R2&gt;decInputReg1Seg1PromotionAllocation_R1,(decInputReg1Seg1PromotionAllocation_R2-40%)*$L1867,0))</f>
        <v>0</v>
      </c>
      <c r="F1867">
        <f>IF(decInputReg1Seg1PromotionAllocation_R2&lt;decInputReg1Seg1PromotionAllocation_R1,(decInputReg1Seg1PromotionAllocation_R1-decInputReg1Seg1PromotionAllocation_R2)*$K1867,IF(decInputReg1Seg1PromotionAllocation_R2&gt;decInputReg1Seg1PromotionAllocation_R1,(decInputReg1Seg1PromotionAllocation_R2-40%)*$L1867,0))</f>
        <v>0</v>
      </c>
      <c r="G1867">
        <f>IF(decInputReg1Seg1PromotionAllocation_R2&lt;decInputReg1Seg1PromotionAllocation_R1,(decInputReg1Seg1PromotionAllocation_R1-decInputReg1Seg1PromotionAllocation_R2)*$K1867,IF(decInputReg1Seg1PromotionAllocation_R2&gt;decInputReg1Seg1PromotionAllocation_R1,(decInputReg1Seg1PromotionAllocation_R2-40%)*$L1867,0))</f>
        <v>0</v>
      </c>
      <c r="H1867">
        <f>IF(decInputReg1Seg1PromotionAllocation_R2&lt;decInputReg1Seg1PromotionAllocation_R1,(decInputReg1Seg1PromotionAllocation_R1-decInputReg1Seg1PromotionAllocation_R2)*$K1867,IF(decInputReg1Seg1PromotionAllocation_R2&gt;decInputReg1Seg1PromotionAllocation_R1,(decInputReg1Seg1PromotionAllocation_R2-40%)*$L1867,0))</f>
        <v>0</v>
      </c>
      <c r="I1867">
        <f>IF(decInputReg1Seg1PromotionAllocation_R2&lt;decInputReg1Seg1PromotionAllocation_R1,(decInputReg1Seg1PromotionAllocation_R1-decInputReg1Seg1PromotionAllocation_R2)*$K1867,IF(decInputReg1Seg1PromotionAllocation_R2&gt;decInputReg1Seg1PromotionAllocation_R1,(decInputReg1Seg1PromotionAllocation_R2-40%)*$L1867,0))</f>
        <v>0</v>
      </c>
      <c r="K1867" s="377">
        <v>-10</v>
      </c>
      <c r="L1867" s="377">
        <v>4</v>
      </c>
    </row>
    <row r="1868" spans="1:12">
      <c r="A1868" s="4"/>
      <c r="C1868" t="str">
        <f>nmReg1Seg2</f>
        <v>Winterfell</v>
      </c>
      <c r="D1868" t="s">
        <v>3856</v>
      </c>
      <c r="E1868">
        <f>IF(decInputReg1Seg2PromotionAllocation_R2&lt;decInputReg1Seg2PromotionAllocation_R1,(decInputReg1Seg2PromotionAllocation_R1-decInputReg1Seg2PromotionAllocation_R2)*$K1868,IF(decInputReg1Seg2PromotionAllocation_R2&gt;decInputReg1Seg2PromotionAllocation_R1,(decInputReg1Seg2PromotionAllocation_R2-40%)*$L1868,0))</f>
        <v>0</v>
      </c>
      <c r="F1868">
        <f>IF(decInputReg1Seg2PromotionAllocation_R2&lt;decInputReg1Seg2PromotionAllocation_R1,(decInputReg1Seg2PromotionAllocation_R1-decInputReg1Seg2PromotionAllocation_R2)*$K1868,IF(decInputReg1Seg2PromotionAllocation_R2&gt;decInputReg1Seg2PromotionAllocation_R1,(decInputReg1Seg2PromotionAllocation_R2-40%)*$L1868,0))</f>
        <v>0</v>
      </c>
      <c r="G1868">
        <f>IF(decInputReg1Seg2PromotionAllocation_R2&lt;decInputReg1Seg2PromotionAllocation_R1,(decInputReg1Seg2PromotionAllocation_R1-decInputReg1Seg2PromotionAllocation_R2)*$K1868,IF(decInputReg1Seg2PromotionAllocation_R2&gt;decInputReg1Seg2PromotionAllocation_R1,(decInputReg1Seg2PromotionAllocation_R2-40%)*$L1868,0))</f>
        <v>0</v>
      </c>
      <c r="H1868">
        <f>IF(decInputReg1Seg2PromotionAllocation_R2&lt;decInputReg1Seg2PromotionAllocation_R1,(decInputReg1Seg2PromotionAllocation_R1-decInputReg1Seg2PromotionAllocation_R2)*$K1868,IF(decInputReg1Seg2PromotionAllocation_R2&gt;decInputReg1Seg2PromotionAllocation_R1,(decInputReg1Seg2PromotionAllocation_R2-40%)*$L1868,0))</f>
        <v>0</v>
      </c>
      <c r="I1868">
        <f>IF(decInputReg1Seg2PromotionAllocation_R2&lt;decInputReg1Seg2PromotionAllocation_R1,(decInputReg1Seg2PromotionAllocation_R1-decInputReg1Seg2PromotionAllocation_R2)*$K1868,IF(decInputReg1Seg2PromotionAllocation_R2&gt;decInputReg1Seg2PromotionAllocation_R1,(decInputReg1Seg2PromotionAllocation_R2-40%)*$L1868,0))</f>
        <v>0</v>
      </c>
      <c r="K1868" s="377">
        <v>-10</v>
      </c>
      <c r="L1868" s="377">
        <v>4</v>
      </c>
    </row>
    <row r="1869" spans="1:12">
      <c r="A1869" s="4"/>
      <c r="C1869" t="str">
        <f>nmReg1Seg3</f>
        <v>Harrenhal</v>
      </c>
      <c r="D1869" t="s">
        <v>3856</v>
      </c>
      <c r="E1869">
        <f>IF(decInputReg1Seg3PromotionAllocation_R2&lt;decInputReg1Seg3PromotionAllocation_R1,(decInputReg1Seg3PromotionAllocation_R1-decInputReg1Seg3PromotionAllocation_R2)*$K1869,IF(decInputReg1Seg3PromotionAllocation_R2&gt;decInputReg1Seg3PromotionAllocation_R1,(decInputReg1Seg3PromotionAllocation_R2-40%)*$L1869,0))</f>
        <v>0</v>
      </c>
      <c r="F1869">
        <f>IF(decInputReg1Seg3PromotionAllocation_R2&lt;decInputReg1Seg3PromotionAllocation_R1,(decInputReg1Seg3PromotionAllocation_R1-decInputReg1Seg3PromotionAllocation_R2)*$K1869,IF(decInputReg1Seg3PromotionAllocation_R2&gt;decInputReg1Seg3PromotionAllocation_R1,(decInputReg1Seg3PromotionAllocation_R2-40%)*$L1869,0))</f>
        <v>0</v>
      </c>
      <c r="G1869">
        <f>IF(decInputReg1Seg3PromotionAllocation_R2&lt;decInputReg1Seg3PromotionAllocation_R1,(decInputReg1Seg3PromotionAllocation_R1-decInputReg1Seg3PromotionAllocation_R2)*$K1869,IF(decInputReg1Seg3PromotionAllocation_R2&gt;decInputReg1Seg3PromotionAllocation_R1,(decInputReg1Seg3PromotionAllocation_R2-40%)*$L1869,0))</f>
        <v>0</v>
      </c>
      <c r="H1869">
        <f>IF(decInputReg1Seg3PromotionAllocation_R2&lt;decInputReg1Seg3PromotionAllocation_R1,(decInputReg1Seg3PromotionAllocation_R1-decInputReg1Seg3PromotionAllocation_R2)*$K1869,IF(decInputReg1Seg3PromotionAllocation_R2&gt;decInputReg1Seg3PromotionAllocation_R1,(decInputReg1Seg3PromotionAllocation_R2-40%)*$L1869,0))</f>
        <v>0</v>
      </c>
      <c r="I1869">
        <f>IF(decInputReg1Seg3PromotionAllocation_R2&lt;decInputReg1Seg3PromotionAllocation_R1,(decInputReg1Seg3PromotionAllocation_R1-decInputReg1Seg3PromotionAllocation_R2)*$K1869,IF(decInputReg1Seg3PromotionAllocation_R2&gt;decInputReg1Seg3PromotionAllocation_R1,(decInputReg1Seg3PromotionAllocation_R2-40%)*$L1869,0))</f>
        <v>0</v>
      </c>
      <c r="K1869" s="377">
        <v>-10</v>
      </c>
      <c r="L1869" s="377">
        <v>4</v>
      </c>
    </row>
    <row r="1870" spans="1:12">
      <c r="B1870" t="str">
        <f>nmReg1Seg1</f>
        <v>Riverrun</v>
      </c>
      <c r="C1870" t="s">
        <v>585</v>
      </c>
      <c r="E1870">
        <f>decInputReg1Seg1Rep1Coaching_R2*$K1870</f>
        <v>0</v>
      </c>
      <c r="F1870">
        <f>decInputReg1Seg1Rep1Coaching_R2*$K1870</f>
        <v>0</v>
      </c>
      <c r="G1870">
        <f>decInputReg1Seg1Rep1Coaching_R2*$K1870</f>
        <v>0</v>
      </c>
      <c r="H1870">
        <f>decInputReg1Seg1Rep1Coaching_R2*$K1870</f>
        <v>0</v>
      </c>
      <c r="I1870">
        <f>decInputReg1Seg1Rep1Coaching_R2*$K1870</f>
        <v>0</v>
      </c>
      <c r="K1870">
        <v>0.8</v>
      </c>
    </row>
    <row r="1871" spans="1:12">
      <c r="B1871" t="str">
        <f>nmReg1Seg2</f>
        <v>Winterfell</v>
      </c>
      <c r="C1871" t="s">
        <v>585</v>
      </c>
      <c r="E1871">
        <f>decInputReg1Seg2Rep1Coaching_R2*$K1871</f>
        <v>0</v>
      </c>
      <c r="F1871">
        <f>decInputReg1Seg2Rep1Coaching_R2*$K1871</f>
        <v>0</v>
      </c>
      <c r="G1871">
        <f>decInputReg1Seg2Rep1Coaching_R2*$K1871</f>
        <v>0</v>
      </c>
      <c r="H1871">
        <f>decInputReg1Seg2Rep1Coaching_R2*$K1871</f>
        <v>0</v>
      </c>
      <c r="I1871">
        <f>decInputReg1Seg2Rep1Coaching_R2*$K1871</f>
        <v>0</v>
      </c>
      <c r="K1871">
        <v>0.8</v>
      </c>
    </row>
    <row r="1872" spans="1:12">
      <c r="B1872" t="str">
        <f>nmReg1Seg3</f>
        <v>Harrenhal</v>
      </c>
      <c r="C1872" t="s">
        <v>585</v>
      </c>
      <c r="E1872">
        <f>decInputReg1Seg3Rep1Coaching_R2*$K1872</f>
        <v>0</v>
      </c>
      <c r="F1872">
        <f>decInputReg1Seg3Rep1Coaching_R2*$K1872</f>
        <v>0</v>
      </c>
      <c r="G1872">
        <f>decInputReg1Seg3Rep1Coaching_R2*$K1872</f>
        <v>0</v>
      </c>
      <c r="H1872">
        <f>decInputReg1Seg3Rep1Coaching_R2*$K1872</f>
        <v>0</v>
      </c>
      <c r="I1872">
        <f>decInputReg1Seg3Rep1Coaching_R2*$K1872</f>
        <v>0</v>
      </c>
      <c r="K1872">
        <v>0.9</v>
      </c>
    </row>
    <row r="1873" spans="1:12">
      <c r="B1873" t="str">
        <f>nmReg1Seg1</f>
        <v>Riverrun</v>
      </c>
      <c r="C1873" t="s">
        <v>2843</v>
      </c>
      <c r="E1873">
        <f>decInputReg1Seg1RegTrainer_R2*$K1873</f>
        <v>0</v>
      </c>
      <c r="F1873">
        <f>decInputReg1Seg1RegTrainer_R2*$K1873</f>
        <v>0</v>
      </c>
      <c r="G1873">
        <f>decInputReg1Seg1RegTrainer_R2*$K1873</f>
        <v>0</v>
      </c>
      <c r="H1873">
        <f>decInputReg1Seg1RegTrainer_R2*$K1873</f>
        <v>0</v>
      </c>
      <c r="I1873">
        <f>decInputReg1Seg1RegTrainer_R2*$K1873</f>
        <v>0</v>
      </c>
      <c r="K1873">
        <v>0.4</v>
      </c>
    </row>
    <row r="1874" spans="1:12">
      <c r="B1874" t="str">
        <f>nmReg1Seg2</f>
        <v>Winterfell</v>
      </c>
      <c r="C1874" t="s">
        <v>2843</v>
      </c>
      <c r="E1874">
        <f>decInputReg1Seg2RegTrainer_R2*$K1874</f>
        <v>0</v>
      </c>
      <c r="F1874">
        <f>decInputReg1Seg2RegTrainer_R2*$K1874</f>
        <v>0</v>
      </c>
      <c r="G1874">
        <f>decInputReg1Seg2RegTrainer_R2*$K1874</f>
        <v>0</v>
      </c>
      <c r="H1874">
        <f>decInputReg1Seg2RegTrainer_R2*$K1874</f>
        <v>0</v>
      </c>
      <c r="I1874">
        <f>decInputReg1Seg2RegTrainer_R2*$K1874</f>
        <v>0</v>
      </c>
      <c r="K1874">
        <v>0.3</v>
      </c>
    </row>
    <row r="1875" spans="1:12">
      <c r="B1875" t="str">
        <f>nmReg1Seg3</f>
        <v>Harrenhal</v>
      </c>
      <c r="C1875" t="s">
        <v>2843</v>
      </c>
      <c r="E1875">
        <f>decInputReg1Seg3RegTrainer_R2*$K1875</f>
        <v>0</v>
      </c>
      <c r="F1875">
        <f>decInputReg1Seg3RegTrainer_R2*$K1875</f>
        <v>0</v>
      </c>
      <c r="G1875">
        <f>decInputReg1Seg3RegTrainer_R2*$K1875</f>
        <v>0</v>
      </c>
      <c r="H1875">
        <f>decInputReg1Seg3RegTrainer_R2*$K1875</f>
        <v>0</v>
      </c>
      <c r="I1875">
        <f>decInputReg1Seg3RegTrainer_R2*$K1875</f>
        <v>0</v>
      </c>
      <c r="K1875">
        <v>0.5</v>
      </c>
    </row>
    <row r="1878" spans="1:12">
      <c r="C1878" t="s">
        <v>1534</v>
      </c>
      <c r="E1878">
        <f>SUM(E1863:E1877)</f>
        <v>60</v>
      </c>
      <c r="F1878">
        <f t="shared" ref="F1878:I1878" si="101">SUM(F1863:F1877)</f>
        <v>60</v>
      </c>
      <c r="G1878">
        <f t="shared" si="101"/>
        <v>60</v>
      </c>
      <c r="H1878">
        <f t="shared" si="101"/>
        <v>60</v>
      </c>
      <c r="I1878">
        <f t="shared" si="101"/>
        <v>60</v>
      </c>
      <c r="J1878" t="s">
        <v>3101</v>
      </c>
    </row>
    <row r="1880" spans="1:12">
      <c r="C1880" t="s">
        <v>3082</v>
      </c>
      <c r="D1880" t="str">
        <f>nmProd1Seg1</f>
        <v>Riverrun Central</v>
      </c>
      <c r="E1880" s="387">
        <f>(decInputProd1Seg1Therapy1Rep1Weight_R1+decInputProd1Seg1Therapy1Rep2Weight_R1+decInputProd1Seg1Therapy1Rep3Weight_R1)/3</f>
        <v>0.46666666666666662</v>
      </c>
      <c r="F1880" s="387">
        <f>(decInputProd1Seg1Therapy1Rep1Weight_R1+decInputProd1Seg1Therapy1Rep2Weight_R1+decInputProd1Seg1Therapy1Rep3Weight_R1)/3</f>
        <v>0.46666666666666662</v>
      </c>
      <c r="G1880" s="387">
        <f>(decInputProd1Seg1Therapy1Rep1Weight_R1+decInputProd1Seg1Therapy1Rep2Weight_R1+decInputProd1Seg1Therapy1Rep3Weight_R1)/3</f>
        <v>0.46666666666666662</v>
      </c>
      <c r="H1880" s="387">
        <f>(decInputProd1Seg1Therapy1Rep1Weight_R1+decInputProd1Seg1Therapy1Rep2Weight_R1+decInputProd1Seg1Therapy1Rep3Weight_R1)/3</f>
        <v>0.46666666666666662</v>
      </c>
      <c r="I1880" s="387">
        <f>(decInputProd1Seg1Therapy1Rep1Weight_R1+decInputProd1Seg1Therapy1Rep2Weight_R1+decInputProd1Seg1Therapy1Rep3Weight_R1)/3</f>
        <v>0.46666666666666662</v>
      </c>
      <c r="J1880" s="387" t="s">
        <v>3083</v>
      </c>
    </row>
    <row r="1881" spans="1:12">
      <c r="C1881" t="s">
        <v>3082</v>
      </c>
      <c r="D1881" t="str">
        <f>nmProd1Seg1</f>
        <v>Riverrun Central</v>
      </c>
      <c r="E1881" s="387">
        <f>(decInputProd1Seg1Therapy1Rep1Weight_R2+decInputProd1Seg1Therapy1Rep2Weight_R2+decInputProd1Seg1Therapy1Rep3Weight_R2)/3</f>
        <v>0.46666666666666662</v>
      </c>
      <c r="F1881" s="387">
        <f>(decInputProd1Seg1Therapy1Rep1Weight_R2+decInputProd1Seg1Therapy1Rep2Weight_R2+decInputProd1Seg1Therapy1Rep3Weight_R2)/3</f>
        <v>0.46666666666666662</v>
      </c>
      <c r="G1881" s="387">
        <f>(decInputProd1Seg1Therapy1Rep1Weight_R2+decInputProd1Seg1Therapy1Rep2Weight_R2+decInputProd1Seg1Therapy1Rep3Weight_R2)/3</f>
        <v>0.46666666666666662</v>
      </c>
      <c r="H1881" s="387">
        <f>(decInputProd1Seg1Therapy1Rep1Weight_R2+decInputProd1Seg1Therapy1Rep2Weight_R2+decInputProd1Seg1Therapy1Rep3Weight_R2)/3</f>
        <v>0.46666666666666662</v>
      </c>
      <c r="I1881" s="387">
        <f>(decInputProd1Seg1Therapy1Rep1Weight_R2+decInputProd1Seg1Therapy1Rep2Weight_R2+decInputProd1Seg1Therapy1Rep3Weight_R2)/3</f>
        <v>0.46666666666666662</v>
      </c>
      <c r="J1881" s="387" t="s">
        <v>3085</v>
      </c>
    </row>
    <row r="1882" spans="1:12">
      <c r="C1882" t="s">
        <v>3082</v>
      </c>
      <c r="D1882" t="str">
        <f>nmProd1Seg2</f>
        <v>Tullyville</v>
      </c>
      <c r="E1882" s="387">
        <f>(decInputProd1Seg2Therapy1Rep1Weight_R1+decInputProd1Seg2Therapy1Rep2Weight_R1+decInputProd1Seg2Therapy1Rep3Weight_R1)/3</f>
        <v>0.5</v>
      </c>
      <c r="F1882" s="387">
        <f>(decInputProd1Seg2Therapy1Rep1Weight_R1+decInputProd1Seg2Therapy1Rep2Weight_R1+decInputProd1Seg2Therapy1Rep3Weight_R1)/3</f>
        <v>0.5</v>
      </c>
      <c r="G1882" s="387">
        <f>(decInputProd1Seg2Therapy1Rep1Weight_R1+decInputProd1Seg2Therapy1Rep2Weight_R1+decInputProd1Seg2Therapy1Rep3Weight_R1)/3</f>
        <v>0.5</v>
      </c>
      <c r="H1882" s="387">
        <f>(decInputProd1Seg2Therapy1Rep1Weight_R1+decInputProd1Seg2Therapy1Rep2Weight_R1+decInputProd1Seg2Therapy1Rep3Weight_R1)/3</f>
        <v>0.5</v>
      </c>
      <c r="I1882" s="387">
        <f>(decInputProd1Seg2Therapy1Rep1Weight_R1+decInputProd1Seg2Therapy1Rep2Weight_R1+decInputProd1Seg2Therapy1Rep3Weight_R1)/3</f>
        <v>0.5</v>
      </c>
      <c r="J1882" s="387" t="s">
        <v>3084</v>
      </c>
    </row>
    <row r="1883" spans="1:12">
      <c r="C1883" t="s">
        <v>3082</v>
      </c>
      <c r="D1883" t="str">
        <f>nmProd1Seg2</f>
        <v>Tullyville</v>
      </c>
      <c r="E1883" s="387">
        <f>(decInputProd1Seg2Therapy1Rep1Weight_R2+decInputProd1Seg2Therapy1Rep2Weight_R2+decInputProd1Seg2Therapy1Rep3Weight_R2)/3</f>
        <v>0.53333333333333333</v>
      </c>
      <c r="F1883" s="387">
        <f>(decInputProd1Seg2Therapy1Rep1Weight_R2+decInputProd1Seg2Therapy1Rep2Weight_R2+decInputProd1Seg2Therapy1Rep3Weight_R2)/3</f>
        <v>0.53333333333333333</v>
      </c>
      <c r="G1883" s="387">
        <f>(decInputProd1Seg2Therapy1Rep1Weight_R2+decInputProd1Seg2Therapy1Rep2Weight_R2+decInputProd1Seg2Therapy1Rep3Weight_R2)/3</f>
        <v>0.53333333333333333</v>
      </c>
      <c r="H1883" s="387">
        <f>(decInputProd1Seg2Therapy1Rep1Weight_R2+decInputProd1Seg2Therapy1Rep2Weight_R2+decInputProd1Seg2Therapy1Rep3Weight_R2)/3</f>
        <v>0.53333333333333333</v>
      </c>
      <c r="I1883" s="387">
        <f>(decInputProd1Seg2Therapy1Rep1Weight_R2+decInputProd1Seg2Therapy1Rep2Weight_R2+decInputProd1Seg2Therapy1Rep3Weight_R2)/3</f>
        <v>0.53333333333333333</v>
      </c>
      <c r="J1883" s="387" t="s">
        <v>3086</v>
      </c>
    </row>
    <row r="1884" spans="1:12">
      <c r="C1884" t="s">
        <v>3082</v>
      </c>
      <c r="D1884" t="str">
        <f>nmProd1Seg3</f>
        <v>Lordfrey City</v>
      </c>
      <c r="E1884" s="387">
        <f>(decInputProd1Seg3Therapy1Rep1Weight_R1+decInputProd1Seg3Therapy1Rep2Weight_R1+decInputProd1Seg3Therapy1Rep3Weight_R1)/3</f>
        <v>0.5</v>
      </c>
      <c r="F1884" s="387">
        <f>(decInputProd1Seg3Therapy1Rep1Weight_R1+decInputProd1Seg3Therapy1Rep2Weight_R1+decInputProd1Seg3Therapy1Rep3Weight_R1)/3</f>
        <v>0.5</v>
      </c>
      <c r="G1884" s="387">
        <f>(decInputProd1Seg3Therapy1Rep1Weight_R1+decInputProd1Seg3Therapy1Rep2Weight_R1+decInputProd1Seg3Therapy1Rep3Weight_R1)/3</f>
        <v>0.5</v>
      </c>
      <c r="H1884" s="387">
        <f>(decInputProd1Seg3Therapy1Rep1Weight_R1+decInputProd1Seg3Therapy1Rep2Weight_R1+decInputProd1Seg3Therapy1Rep3Weight_R1)/3</f>
        <v>0.5</v>
      </c>
      <c r="I1884" s="387">
        <f>(decInputProd1Seg3Therapy1Rep1Weight_R1+decInputProd1Seg3Therapy1Rep2Weight_R1+decInputProd1Seg3Therapy1Rep3Weight_R1)/3</f>
        <v>0.5</v>
      </c>
      <c r="J1884" s="387" t="s">
        <v>3087</v>
      </c>
    </row>
    <row r="1885" spans="1:12">
      <c r="C1885" t="s">
        <v>3082</v>
      </c>
      <c r="D1885" t="str">
        <f>nmProd1Seg3</f>
        <v>Lordfrey City</v>
      </c>
      <c r="E1885" s="387">
        <f>(decInputProd1Seg3Therapy1Rep1Weight_R2+decInputProd1Seg3Therapy1Rep2Weight_R2+decInputProd1Seg3Therapy1Rep3Weight_R2)/3</f>
        <v>0.5</v>
      </c>
      <c r="F1885" s="387">
        <f>(decInputProd1Seg3Therapy1Rep1Weight_R2+decInputProd1Seg3Therapy1Rep2Weight_R2+decInputProd1Seg3Therapy1Rep3Weight_R2)/3</f>
        <v>0.5</v>
      </c>
      <c r="G1885" s="387">
        <f>(decInputProd1Seg3Therapy1Rep1Weight_R2+decInputProd1Seg3Therapy1Rep2Weight_R2+decInputProd1Seg3Therapy1Rep3Weight_R2)/3</f>
        <v>0.5</v>
      </c>
      <c r="H1885" s="387">
        <f>(decInputProd1Seg3Therapy1Rep1Weight_R2+decInputProd1Seg3Therapy1Rep2Weight_R2+decInputProd1Seg3Therapy1Rep3Weight_R2)/3</f>
        <v>0.5</v>
      </c>
      <c r="I1885" s="387">
        <f>(decInputProd1Seg3Therapy1Rep1Weight_R2+decInputProd1Seg3Therapy1Rep2Weight_R2+decInputProd1Seg3Therapy1Rep3Weight_R2)/3</f>
        <v>0.5</v>
      </c>
      <c r="J1885" s="387" t="s">
        <v>3088</v>
      </c>
    </row>
    <row r="1886" spans="1:12">
      <c r="A1886" s="4" t="s">
        <v>551</v>
      </c>
    </row>
    <row r="1887" spans="1:12">
      <c r="A1887" t="str">
        <f>nmProd1</f>
        <v>Riverrun</v>
      </c>
      <c r="C1887" t="s">
        <v>1486</v>
      </c>
      <c r="E1887">
        <f>obalOpEffProd1</f>
        <v>60</v>
      </c>
      <c r="F1887">
        <f>obalOpEffProd1</f>
        <v>60</v>
      </c>
      <c r="G1887">
        <f>obalOpEffProd1</f>
        <v>60</v>
      </c>
      <c r="H1887">
        <f>obalOpEffProd1</f>
        <v>60</v>
      </c>
      <c r="I1887">
        <f>obalOpEffProd1</f>
        <v>60</v>
      </c>
    </row>
    <row r="1888" spans="1:12">
      <c r="B1888" t="s">
        <v>622</v>
      </c>
      <c r="C1888" t="s">
        <v>2334</v>
      </c>
      <c r="D1888" t="str">
        <f>nmProd1Seg1</f>
        <v>Riverrun Central</v>
      </c>
      <c r="E1888" s="554">
        <f>IF(calcProd1Seg1RepAvgBagWeightR1&gt;$L1888,$L1888-calcProd1Seg1RepAvgBagWeightR1,IF(calcProd1Seg1RepAvgBagWeightR1&lt;$K1888,calcProd1Seg1RepAvgBagWeightR1-$K1888,0))*100</f>
        <v>0</v>
      </c>
      <c r="F1888" s="554">
        <f>IF(calcProd1Seg1RepAvgBagWeightR1&gt;$L1888,$L1888-calcProd1Seg1RepAvgBagWeightR1,IF(calcProd1Seg1RepAvgBagWeightR1&lt;$K1888,calcProd1Seg1RepAvgBagWeightR1-$K1888,0))*100</f>
        <v>0</v>
      </c>
      <c r="G1888" s="554">
        <f>IF(calcProd1Seg1RepAvgBagWeightR1&gt;$L1888,$L1888-calcProd1Seg1RepAvgBagWeightR1,IF(calcProd1Seg1RepAvgBagWeightR1&lt;$K1888,calcProd1Seg1RepAvgBagWeightR1-$K1888,0))*100</f>
        <v>0</v>
      </c>
      <c r="H1888" s="554">
        <f>IF(calcProd1Seg1RepAvgBagWeightR1&gt;$L1888,$L1888-calcProd1Seg1RepAvgBagWeightR1,IF(calcProd1Seg1RepAvgBagWeightR1&lt;$K1888,calcProd1Seg1RepAvgBagWeightR1-$K1888,0))*100</f>
        <v>0</v>
      </c>
      <c r="I1888" s="554">
        <f>IF(calcProd1Seg1RepAvgBagWeightR1&gt;$L1888,$L1888-calcProd1Seg1RepAvgBagWeightR1,IF(calcProd1Seg1RepAvgBagWeightR1&lt;$K1888,calcProd1Seg1RepAvgBagWeightR1-$K1888,0))*100</f>
        <v>0</v>
      </c>
      <c r="J1888" s="387" t="s">
        <v>3089</v>
      </c>
      <c r="K1888" s="381">
        <v>0.4</v>
      </c>
      <c r="L1888" s="381">
        <v>0.55000000000000004</v>
      </c>
    </row>
    <row r="1889" spans="2:16">
      <c r="B1889" t="s">
        <v>622</v>
      </c>
      <c r="C1889" t="s">
        <v>2334</v>
      </c>
      <c r="D1889" t="str">
        <f>nmProd1Seg2</f>
        <v>Tullyville</v>
      </c>
      <c r="E1889" s="554">
        <f>IF(calcProd1Seg2RepAvgBagWeightR1&gt;$L1889,$L1889-calcProd1Seg2RepAvgBagWeightR1,IF(calcProd1Seg2RepAvgBagWeightR1&lt;$K1889,calcProd1Seg2RepAvgBagWeightR1-$K1889,0))*100</f>
        <v>0</v>
      </c>
      <c r="F1889" s="554">
        <f>IF(calcProd1Seg2RepAvgBagWeightR1&gt;$L1889,$L1889-calcProd1Seg2RepAvgBagWeightR1,IF(calcProd1Seg2RepAvgBagWeightR1&lt;$K1889,calcProd1Seg2RepAvgBagWeightR1-$K1889,0))*100</f>
        <v>0</v>
      </c>
      <c r="G1889" s="554">
        <f>IF(calcProd1Seg2RepAvgBagWeightR1&gt;$L1889,$L1889-calcProd1Seg2RepAvgBagWeightR1,IF(calcProd1Seg2RepAvgBagWeightR1&lt;$K1889,calcProd1Seg2RepAvgBagWeightR1-$K1889,0))*100</f>
        <v>0</v>
      </c>
      <c r="H1889" s="554">
        <f>IF(calcProd1Seg2RepAvgBagWeightR1&gt;$L1889,$L1889-calcProd1Seg2RepAvgBagWeightR1,IF(calcProd1Seg2RepAvgBagWeightR1&lt;$K1889,calcProd1Seg2RepAvgBagWeightR1-$K1889,0))*100</f>
        <v>0</v>
      </c>
      <c r="I1889" s="554">
        <f>IF(calcProd1Seg2RepAvgBagWeightR1&gt;$L1889,$L1889-calcProd1Seg2RepAvgBagWeightR1,IF(calcProd1Seg2RepAvgBagWeightR1&lt;$K1889,calcProd1Seg2RepAvgBagWeightR1-$K1889,0))*100</f>
        <v>0</v>
      </c>
      <c r="J1889" s="387" t="s">
        <v>3091</v>
      </c>
      <c r="K1889" s="381">
        <v>0.4</v>
      </c>
      <c r="L1889" s="381">
        <v>0.55000000000000004</v>
      </c>
    </row>
    <row r="1890" spans="2:16">
      <c r="B1890" t="s">
        <v>622</v>
      </c>
      <c r="C1890" t="s">
        <v>2334</v>
      </c>
      <c r="D1890" t="str">
        <f>nmProd1Seg3</f>
        <v>Lordfrey City</v>
      </c>
      <c r="E1890" s="554">
        <f>IF(calcProd1Seg3RepAvgBagWeightR1&gt;$L1890,$L1890-calcProd1Seg3RepAvgBagWeightR1,IF(calcProd1Seg3RepAvgBagWeightR1&lt;$K1890,calcProd1Seg3RepAvgBagWeightR1-$K1890,0))*100</f>
        <v>0</v>
      </c>
      <c r="F1890" s="554">
        <f>IF(calcProd1Seg3RepAvgBagWeightR1&gt;$L1890,$L1890-calcProd1Seg3RepAvgBagWeightR1,IF(calcProd1Seg3RepAvgBagWeightR1&lt;$K1890,calcProd1Seg3RepAvgBagWeightR1-$K1890,0))*100</f>
        <v>0</v>
      </c>
      <c r="G1890" s="554">
        <f>IF(calcProd1Seg3RepAvgBagWeightR1&gt;$L1890,$L1890-calcProd1Seg3RepAvgBagWeightR1,IF(calcProd1Seg3RepAvgBagWeightR1&lt;$K1890,calcProd1Seg3RepAvgBagWeightR1-$K1890,0))*100</f>
        <v>0</v>
      </c>
      <c r="H1890" s="554">
        <f>IF(calcProd1Seg3RepAvgBagWeightR1&gt;$L1890,$L1890-calcProd1Seg3RepAvgBagWeightR1,IF(calcProd1Seg3RepAvgBagWeightR1&lt;$K1890,calcProd1Seg3RepAvgBagWeightR1-$K1890,0))*100</f>
        <v>0</v>
      </c>
      <c r="I1890" s="554">
        <f>IF(calcProd1Seg3RepAvgBagWeightR1&gt;$L1890,$L1890-calcProd1Seg3RepAvgBagWeightR1,IF(calcProd1Seg3RepAvgBagWeightR1&lt;$K1890,calcProd1Seg3RepAvgBagWeightR1-$K1890,0))*100</f>
        <v>0</v>
      </c>
      <c r="J1890" s="387" t="s">
        <v>3093</v>
      </c>
      <c r="K1890" s="381">
        <v>0.4</v>
      </c>
      <c r="L1890" s="381">
        <v>0.55000000000000004</v>
      </c>
    </row>
    <row r="1891" spans="2:16">
      <c r="C1891" t="str">
        <f>nmProd1Seg1Rep1</f>
        <v>Rep Allen</v>
      </c>
      <c r="E1891" s="575">
        <f>IF(decInputProd1Seg1Therapy1Rep1Weight_R1&gt;$K1891,($K1891-decInputProd1Seg1Therapy1Rep1Weight_R1)*$L1891,0)</f>
        <v>0</v>
      </c>
      <c r="F1891" s="575">
        <f>IF(decInputProd1Seg1Therapy1Rep1Weight_R1&gt;$K1891,($K1891-decInputProd1Seg1Therapy1Rep1Weight_R1)*$L1891,0)</f>
        <v>0</v>
      </c>
      <c r="G1891" s="575">
        <f>IF(decInputProd1Seg1Therapy1Rep1Weight_R1&gt;$K1891,($K1891-decInputProd1Seg1Therapy1Rep1Weight_R1)*$L1891,0)</f>
        <v>0</v>
      </c>
      <c r="H1891" s="575">
        <f>IF(decInputProd1Seg1Therapy1Rep1Weight_R1&gt;$K1891,($K1891-decInputProd1Seg1Therapy1Rep1Weight_R1)*$L1891,0)</f>
        <v>0</v>
      </c>
      <c r="I1891" s="575">
        <f>IF(decInputProd1Seg1Therapy1Rep1Weight_R1&gt;$K1891,($K1891-decInputProd1Seg1Therapy1Rep1Weight_R1)*$L1891,0)</f>
        <v>0</v>
      </c>
      <c r="J1891" s="387"/>
      <c r="K1891" s="382">
        <v>0.5</v>
      </c>
      <c r="L1891" s="576">
        <v>10</v>
      </c>
      <c r="N1891" s="382">
        <v>1.6</v>
      </c>
      <c r="O1891" t="s">
        <v>3836</v>
      </c>
      <c r="P1891" s="575" t="s">
        <v>3837</v>
      </c>
    </row>
    <row r="1892" spans="2:16">
      <c r="C1892" t="str">
        <f>nmProd1Seg1Rep2</f>
        <v>Rep Betty</v>
      </c>
      <c r="E1892" s="575">
        <f>IF(decInputProd1Seg1Therapy1Rep2Weight_R1&gt;$K1892,($K1892-decInputProd1Seg1Therapy1Rep2Weight_R1)*$L1892,0)</f>
        <v>0</v>
      </c>
      <c r="F1892" s="575">
        <f>IF(decInputProd1Seg1Therapy1Rep2Weight_R1&gt;$K1892,($K1892-decInputProd1Seg1Therapy1Rep2Weight_R1)*$L1892,0)</f>
        <v>0</v>
      </c>
      <c r="G1892" s="575">
        <f>IF(decInputProd1Seg1Therapy1Rep2Weight_R1&gt;$K1892,($K1892-decInputProd1Seg1Therapy1Rep2Weight_R1)*$L1892,0)</f>
        <v>0</v>
      </c>
      <c r="H1892" s="575">
        <f>IF(decInputProd1Seg1Therapy1Rep2Weight_R1&gt;$K1892,($K1892-decInputProd1Seg1Therapy1Rep2Weight_R1)*$L1892,0)</f>
        <v>0</v>
      </c>
      <c r="I1892" s="575">
        <f>IF(decInputProd1Seg1Therapy1Rep2Weight_R1&gt;$K1892,($K1892-decInputProd1Seg1Therapy1Rep2Weight_R1)*$L1892,0)</f>
        <v>0</v>
      </c>
      <c r="J1892" s="387"/>
      <c r="K1892" s="382">
        <v>0.7</v>
      </c>
      <c r="L1892" s="576">
        <v>10</v>
      </c>
      <c r="N1892" s="382"/>
      <c r="P1892" s="575"/>
    </row>
    <row r="1893" spans="2:16">
      <c r="C1893" t="str">
        <f>nmProd1Seg1Rep3</f>
        <v>Rep Chris</v>
      </c>
      <c r="E1893" s="575">
        <f>IF(decInputProd1Seg1Therapy1Rep3Weight_R1&gt;$K1893,($K1893-decInputProd1Seg1Therapy1Rep3Weight_R1)*$L1893,0)</f>
        <v>0</v>
      </c>
      <c r="F1893" s="575">
        <f>IF(decInputProd1Seg1Therapy1Rep3Weight_R1&gt;$K1893,($K1893-decInputProd1Seg1Therapy1Rep3Weight_R1)*$L1893,0)</f>
        <v>0</v>
      </c>
      <c r="G1893" s="575">
        <f>IF(decInputProd1Seg1Therapy1Rep3Weight_R1&gt;$K1893,($K1893-decInputProd1Seg1Therapy1Rep3Weight_R1)*$L1893,0)</f>
        <v>0</v>
      </c>
      <c r="H1893" s="575">
        <f>IF(decInputProd1Seg1Therapy1Rep3Weight_R1&gt;$K1893,($K1893-decInputProd1Seg1Therapy1Rep3Weight_R1)*$L1893,0)</f>
        <v>0</v>
      </c>
      <c r="I1893" s="575">
        <f>IF(decInputProd1Seg1Therapy1Rep3Weight_R1&gt;$K1893,($K1893-decInputProd1Seg1Therapy1Rep3Weight_R1)*$L1893,0)</f>
        <v>0</v>
      </c>
      <c r="J1893" s="387"/>
      <c r="K1893" s="382">
        <v>0.65</v>
      </c>
      <c r="L1893" s="576">
        <v>10</v>
      </c>
      <c r="N1893" s="382"/>
      <c r="P1893" s="575"/>
    </row>
    <row r="1894" spans="2:16">
      <c r="C1894" t="str">
        <f>nmProd1Seg2Rep1</f>
        <v>Rep Danielle</v>
      </c>
      <c r="E1894" s="575">
        <f>IF(decInputProd1Seg2Therapy1Rep1Weight_R1&gt;$K1894,($K1894-decInputProd1Seg2Therapy1Rep1Weight_R1)*$L1894,0)</f>
        <v>0</v>
      </c>
      <c r="F1894" s="575">
        <f>IF(decInputProd1Seg2Therapy1Rep1Weight_R1&gt;$K1894,($K1894-decInputProd1Seg2Therapy1Rep1Weight_R1)*$L1894,0)</f>
        <v>0</v>
      </c>
      <c r="G1894" s="575">
        <f>IF(decInputProd1Seg2Therapy1Rep1Weight_R1&gt;$K1894,($K1894-decInputProd1Seg2Therapy1Rep1Weight_R1)*$L1894,0)</f>
        <v>0</v>
      </c>
      <c r="H1894" s="575">
        <f>IF(decInputProd1Seg2Therapy1Rep1Weight_R1&gt;$K1894,($K1894-decInputProd1Seg2Therapy1Rep1Weight_R1)*$L1894,0)</f>
        <v>0</v>
      </c>
      <c r="I1894" s="575">
        <f>IF(decInputProd1Seg2Therapy1Rep1Weight_R1&gt;$K1894,($K1894-decInputProd1Seg2Therapy1Rep1Weight_R1)*$L1894,0)</f>
        <v>0</v>
      </c>
      <c r="J1894" s="387"/>
      <c r="K1894" s="382">
        <v>0.65</v>
      </c>
      <c r="L1894" s="576">
        <v>10</v>
      </c>
      <c r="N1894" s="382"/>
      <c r="P1894" s="575"/>
    </row>
    <row r="1895" spans="2:16">
      <c r="C1895" t="str">
        <f>nmProd1Seg2Rep2</f>
        <v>Rep Elliot</v>
      </c>
      <c r="E1895" s="575">
        <f>IF(decInputProd1Seg2Therapy1Rep2Weight_R1&gt;$K1895,($K1895-decInputProd1Seg2Therapy1Rep2Weight_R1)*$L1895,0)</f>
        <v>0</v>
      </c>
      <c r="F1895" s="575">
        <f>IF(decInputProd1Seg2Therapy1Rep2Weight_R1&gt;$K1895,($K1895-decInputProd1Seg2Therapy1Rep2Weight_R1)*$L1895,0)</f>
        <v>0</v>
      </c>
      <c r="G1895" s="575">
        <f>IF(decInputProd1Seg2Therapy1Rep2Weight_R1&gt;$K1895,($K1895-decInputProd1Seg2Therapy1Rep2Weight_R1)*$L1895,0)</f>
        <v>0</v>
      </c>
      <c r="H1895" s="575">
        <f>IF(decInputProd1Seg2Therapy1Rep2Weight_R1&gt;$K1895,($K1895-decInputProd1Seg2Therapy1Rep2Weight_R1)*$L1895,0)</f>
        <v>0</v>
      </c>
      <c r="I1895" s="575">
        <f>IF(decInputProd1Seg2Therapy1Rep2Weight_R1&gt;$K1895,($K1895-decInputProd1Seg2Therapy1Rep2Weight_R1)*$L1895,0)</f>
        <v>0</v>
      </c>
      <c r="J1895" s="387"/>
      <c r="K1895" s="382">
        <v>0.6</v>
      </c>
      <c r="L1895" s="576">
        <v>10</v>
      </c>
      <c r="N1895" s="382"/>
      <c r="P1895" s="575"/>
    </row>
    <row r="1896" spans="2:16">
      <c r="C1896" t="str">
        <f>nmProd1Seg2Rep3</f>
        <v>Rep Fiona</v>
      </c>
      <c r="E1896" s="575">
        <f>IF(decInputProd1Seg2Therapy1Rep3Weight_R1&gt;$K1896,($K1896-decInputProd1Seg2Therapy1Rep3Weight_R1)*$L1896,0)</f>
        <v>0</v>
      </c>
      <c r="F1896" s="575">
        <f>IF(decInputProd1Seg2Therapy1Rep3Weight_R1&gt;$K1896,($K1896-decInputProd1Seg2Therapy1Rep3Weight_R1)*$L1896,0)</f>
        <v>0</v>
      </c>
      <c r="G1896" s="575">
        <f>IF(decInputProd1Seg2Therapy1Rep3Weight_R1&gt;$K1896,($K1896-decInputProd1Seg2Therapy1Rep3Weight_R1)*$L1896,0)</f>
        <v>0</v>
      </c>
      <c r="H1896" s="575">
        <f>IF(decInputProd1Seg2Therapy1Rep3Weight_R1&gt;$K1896,($K1896-decInputProd1Seg2Therapy1Rep3Weight_R1)*$L1896,0)</f>
        <v>0</v>
      </c>
      <c r="I1896" s="575">
        <f>IF(decInputProd1Seg2Therapy1Rep3Weight_R1&gt;$K1896,($K1896-decInputProd1Seg2Therapy1Rep3Weight_R1)*$L1896,0)</f>
        <v>0</v>
      </c>
      <c r="J1896" s="387"/>
      <c r="K1896" s="382">
        <v>0.6</v>
      </c>
      <c r="L1896" s="576">
        <v>10</v>
      </c>
      <c r="N1896" s="382"/>
      <c r="P1896" s="575"/>
    </row>
    <row r="1897" spans="2:16">
      <c r="C1897" t="str">
        <f>nmProd1Seg3Rep1</f>
        <v>Rep Gregg</v>
      </c>
      <c r="E1897" s="575">
        <f>IF(decInputProd1Seg3Therapy1Rep1Weight_R1&gt;$K1897,($K1897-decInputProd1Seg3Therapy1Rep1Weight_R1)*$L1897,0)</f>
        <v>0</v>
      </c>
      <c r="F1897" s="575">
        <f>IF(decInputProd1Seg3Therapy1Rep1Weight_R1&gt;$K1897,($K1897-decInputProd1Seg3Therapy1Rep1Weight_R1)*$L1897,0)</f>
        <v>0</v>
      </c>
      <c r="G1897" s="575">
        <f>IF(decInputProd1Seg3Therapy1Rep1Weight_R1&gt;$K1897,($K1897-decInputProd1Seg3Therapy1Rep1Weight_R1)*$L1897,0)</f>
        <v>0</v>
      </c>
      <c r="H1897" s="575">
        <f>IF(decInputProd1Seg3Therapy1Rep1Weight_R1&gt;$K1897,($K1897-decInputProd1Seg3Therapy1Rep1Weight_R1)*$L1897,0)</f>
        <v>0</v>
      </c>
      <c r="I1897" s="575">
        <f>IF(decInputProd1Seg3Therapy1Rep1Weight_R1&gt;$K1897,($K1897-decInputProd1Seg3Therapy1Rep1Weight_R1)*$L1897,0)</f>
        <v>0</v>
      </c>
      <c r="J1897" s="387"/>
      <c r="K1897" s="382">
        <v>0.5</v>
      </c>
      <c r="L1897" s="576">
        <v>10</v>
      </c>
      <c r="N1897" s="382"/>
      <c r="P1897" s="575"/>
    </row>
    <row r="1898" spans="2:16">
      <c r="C1898" t="str">
        <f>nmProd1Seg3Rep2</f>
        <v>Rep Howard</v>
      </c>
      <c r="E1898" s="575">
        <f>IF(decInputProd1Seg3Therapy1Rep2Weight_R1&gt;$K1898,($K1898-decInputProd1Seg3Therapy1Rep2Weight_R1)*$L1898,0)</f>
        <v>0</v>
      </c>
      <c r="F1898" s="575">
        <f>IF(decInputProd1Seg3Therapy1Rep2Weight_R1&gt;$K1898,($K1898-decInputProd1Seg3Therapy1Rep2Weight_R1)*$L1898,0)</f>
        <v>0</v>
      </c>
      <c r="G1898" s="575">
        <f>IF(decInputProd1Seg3Therapy1Rep2Weight_R1&gt;$K1898,($K1898-decInputProd1Seg3Therapy1Rep2Weight_R1)*$L1898,0)</f>
        <v>0</v>
      </c>
      <c r="H1898" s="575">
        <f>IF(decInputProd1Seg3Therapy1Rep2Weight_R1&gt;$K1898,($K1898-decInputProd1Seg3Therapy1Rep2Weight_R1)*$L1898,0)</f>
        <v>0</v>
      </c>
      <c r="I1898" s="575">
        <f>IF(decInputProd1Seg3Therapy1Rep2Weight_R1&gt;$K1898,($K1898-decInputProd1Seg3Therapy1Rep2Weight_R1)*$L1898,0)</f>
        <v>0</v>
      </c>
      <c r="J1898" s="387"/>
      <c r="K1898" s="382">
        <v>0.6</v>
      </c>
      <c r="L1898" s="576">
        <v>10</v>
      </c>
      <c r="N1898" s="382"/>
      <c r="P1898" s="575"/>
    </row>
    <row r="1899" spans="2:16">
      <c r="C1899" t="str">
        <f>nmProd1Seg3Rep3</f>
        <v>Rep Isabelle</v>
      </c>
      <c r="E1899" s="575">
        <f>IF(decInputProd1Seg3Therapy1Rep3Weight_R1&gt;$K1899,($K1899-decInputProd1Seg3Therapy1Rep3Weight_R1)*$L1899,0)</f>
        <v>0</v>
      </c>
      <c r="F1899" s="575">
        <f>IF(decInputProd1Seg3Therapy1Rep3Weight_R1&gt;$K1899,($K1899-decInputProd1Seg3Therapy1Rep3Weight_R1)*$L1899,0)</f>
        <v>0</v>
      </c>
      <c r="G1899" s="575">
        <f>IF(decInputProd1Seg3Therapy1Rep3Weight_R1&gt;$K1899,($K1899-decInputProd1Seg3Therapy1Rep3Weight_R1)*$L1899,0)</f>
        <v>0</v>
      </c>
      <c r="H1899" s="575">
        <f>IF(decInputProd1Seg3Therapy1Rep3Weight_R1&gt;$K1899,($K1899-decInputProd1Seg3Therapy1Rep3Weight_R1)*$L1899,0)</f>
        <v>0</v>
      </c>
      <c r="I1899" s="575">
        <f>IF(decInputProd1Seg3Therapy1Rep3Weight_R1&gt;$K1899,($K1899-decInputProd1Seg3Therapy1Rep3Weight_R1)*$L1899,0)</f>
        <v>0</v>
      </c>
      <c r="J1899" s="387"/>
      <c r="K1899" s="382">
        <v>0.7</v>
      </c>
      <c r="L1899" s="576">
        <v>10</v>
      </c>
      <c r="N1899" s="382"/>
      <c r="P1899" s="575"/>
    </row>
    <row r="1900" spans="2:16">
      <c r="C1900" t="s">
        <v>3785</v>
      </c>
      <c r="E1900" s="554">
        <f>decInputProd1Seg1RegTrainer_R1*$K1900</f>
        <v>0</v>
      </c>
      <c r="F1900" s="554">
        <f>decInputProd1Seg1RegTrainer_R1*$K1900</f>
        <v>0</v>
      </c>
      <c r="G1900" s="554">
        <f>decInputProd1Seg1RegTrainer_R1*$K1900</f>
        <v>0</v>
      </c>
      <c r="H1900" s="554">
        <f>decInputProd1Seg1RegTrainer_R1*$K1900</f>
        <v>0</v>
      </c>
      <c r="I1900" s="554">
        <f>decInputProd1Seg1RegTrainer_R1*$K1900</f>
        <v>0</v>
      </c>
      <c r="J1900" s="387"/>
      <c r="K1900" s="381">
        <v>0.33</v>
      </c>
      <c r="L1900" s="381"/>
    </row>
    <row r="1901" spans="2:16">
      <c r="C1901" t="s">
        <v>3785</v>
      </c>
      <c r="E1901" s="554">
        <f>decInputProd1Seg2RegTrainer_R1*$K1901</f>
        <v>0</v>
      </c>
      <c r="F1901" s="554">
        <f>decInputProd1Seg2RegTrainer_R1*$K1901</f>
        <v>0</v>
      </c>
      <c r="G1901" s="554">
        <f>decInputProd1Seg2RegTrainer_R1*$K1901</f>
        <v>0</v>
      </c>
      <c r="H1901" s="554">
        <f>decInputProd1Seg2RegTrainer_R1*$K1901</f>
        <v>0</v>
      </c>
      <c r="I1901" s="554">
        <f>decInputProd1Seg2RegTrainer_R1*$K1901</f>
        <v>0</v>
      </c>
      <c r="J1901" s="387"/>
      <c r="K1901" s="381">
        <v>0.33</v>
      </c>
      <c r="L1901" s="381"/>
    </row>
    <row r="1902" spans="2:16">
      <c r="C1902" t="s">
        <v>3785</v>
      </c>
      <c r="E1902" s="554">
        <f>decInputProd1Seg3RegTrainer_R1*$K1902</f>
        <v>0</v>
      </c>
      <c r="F1902" s="554">
        <f>decInputProd1Seg3RegTrainer_R1*$K1902</f>
        <v>0</v>
      </c>
      <c r="G1902" s="554">
        <f>decInputProd1Seg3RegTrainer_R1*$K1902</f>
        <v>0</v>
      </c>
      <c r="H1902" s="554">
        <f>decInputProd1Seg3RegTrainer_R1*$K1902</f>
        <v>0</v>
      </c>
      <c r="I1902" s="554">
        <f>decInputProd1Seg3RegTrainer_R1*$K1902</f>
        <v>0</v>
      </c>
      <c r="J1902" s="387"/>
      <c r="K1902" s="381">
        <v>0.5</v>
      </c>
      <c r="L1902" s="381"/>
    </row>
    <row r="1903" spans="2:16">
      <c r="B1903" t="str">
        <f>nmProd1Seg1</f>
        <v>Riverrun Central</v>
      </c>
      <c r="C1903" t="s">
        <v>2645</v>
      </c>
      <c r="D1903" t="s">
        <v>622</v>
      </c>
      <c r="E1903" s="554">
        <f>decInputProd1Seg1CfCollab_R1*$K1903</f>
        <v>0</v>
      </c>
      <c r="F1903" s="554">
        <f>decInputProd1Seg1CfCollab_R1*$K1903</f>
        <v>0</v>
      </c>
      <c r="G1903" s="554">
        <f>decInputProd1Seg1CfCollab_R1*$K1903</f>
        <v>0</v>
      </c>
      <c r="H1903" s="554">
        <f>decInputProd1Seg1CfCollab_R1*$K1903</f>
        <v>0</v>
      </c>
      <c r="I1903" s="554">
        <f>decInputProd1Seg1CfCollab_R1*$K1903</f>
        <v>0</v>
      </c>
      <c r="K1903">
        <v>1</v>
      </c>
    </row>
    <row r="1904" spans="2:16">
      <c r="B1904" t="s">
        <v>3515</v>
      </c>
      <c r="E1904" s="554">
        <f>IF(calcProd1SpeakerProportionR1&lt;$K1904,(calcProd1SpeakerProportionR1-$K1904)*$L1904,0)</f>
        <v>0</v>
      </c>
      <c r="F1904" s="554">
        <f>IF(calcProd1SpeakerProportionR1&lt;$K1904,(calcProd1SpeakerProportionR1-$K1904)*$L1904,0)</f>
        <v>0</v>
      </c>
      <c r="G1904" s="554">
        <f>IF(calcProd1SpeakerProportionR1&lt;$K1904,(calcProd1SpeakerProportionR1-$K1904)*$L1904,0)</f>
        <v>0</v>
      </c>
      <c r="H1904" s="554">
        <f>IF(calcProd1SpeakerProportionR1&lt;$K1904,(calcProd1SpeakerProportionR1-$K1904)*$L1904,0)</f>
        <v>0</v>
      </c>
      <c r="I1904" s="554">
        <f>IF(calcProd1SpeakerProportionR1&lt;$K1904,(calcProd1SpeakerProportionR1-$K1904)*$L1904,0)</f>
        <v>0</v>
      </c>
      <c r="K1904" s="381">
        <v>0.33</v>
      </c>
      <c r="L1904" s="567">
        <v>40</v>
      </c>
    </row>
    <row r="1905" spans="2:16">
      <c r="E1905" s="554"/>
      <c r="F1905" s="554"/>
      <c r="G1905" s="554"/>
      <c r="H1905" s="554"/>
      <c r="I1905" s="554"/>
    </row>
    <row r="1906" spans="2:16">
      <c r="E1906" s="554"/>
      <c r="F1906" s="554"/>
      <c r="G1906" s="554"/>
      <c r="H1906" s="554"/>
      <c r="I1906" s="554"/>
    </row>
    <row r="1907" spans="2:16" s="4" customFormat="1">
      <c r="C1907" s="4" t="s">
        <v>1534</v>
      </c>
      <c r="E1907" s="568">
        <f>SUM(E1887:E1904)</f>
        <v>60</v>
      </c>
      <c r="F1907" s="568">
        <f t="shared" ref="F1907:I1907" si="102">SUM(F1887:F1904)</f>
        <v>60</v>
      </c>
      <c r="G1907" s="568">
        <f t="shared" si="102"/>
        <v>60</v>
      </c>
      <c r="H1907" s="568">
        <f t="shared" si="102"/>
        <v>60</v>
      </c>
      <c r="I1907" s="568">
        <f t="shared" si="102"/>
        <v>60</v>
      </c>
      <c r="J1907" s="458" t="s">
        <v>3096</v>
      </c>
    </row>
    <row r="1908" spans="2:16">
      <c r="B1908" t="s">
        <v>623</v>
      </c>
      <c r="C1908" t="s">
        <v>2334</v>
      </c>
      <c r="D1908" t="str">
        <f>nmProd1Seg1</f>
        <v>Riverrun Central</v>
      </c>
      <c r="E1908" s="577">
        <f>IF(xxRound&lt;2,0,IF(calcProd1Seg1RepAvgBagWeightR2&gt;$L1908,$L1908-calcProd1Seg1RepAvgBagWeightR2,IF(calcProd1Seg1RepAvgBagWeightR2&lt;$K1908,calcProd1Seg1RepAvgBagWeightR2-$K1908,0)))*100</f>
        <v>0</v>
      </c>
      <c r="F1908" s="577">
        <f>IF(xxRound&lt;2,0,IF(calcProd1Seg1RepAvgBagWeightR2&gt;$L1908,$L1908-calcProd1Seg1RepAvgBagWeightR2,IF(calcProd1Seg1RepAvgBagWeightR2&lt;$K1908,calcProd1Seg1RepAvgBagWeightR2-$K1908,0)))*100</f>
        <v>0</v>
      </c>
      <c r="G1908" s="577">
        <f>IF(xxRound&lt;2,0,IF(calcProd1Seg1RepAvgBagWeightR2&gt;$L1908,$L1908-calcProd1Seg1RepAvgBagWeightR2,IF(calcProd1Seg1RepAvgBagWeightR2&lt;$K1908,calcProd1Seg1RepAvgBagWeightR2-$K1908,0)))*100</f>
        <v>0</v>
      </c>
      <c r="H1908" s="577">
        <f>IF(xxRound&lt;2,0,IF(calcProd1Seg1RepAvgBagWeightR2&gt;$L1908,$L1908-calcProd1Seg1RepAvgBagWeightR2,IF(calcProd1Seg1RepAvgBagWeightR2&lt;$K1908,calcProd1Seg1RepAvgBagWeightR2-$K1908,0)))*100</f>
        <v>0</v>
      </c>
      <c r="I1908" s="577">
        <f>IF(xxRound&lt;2,0,IF(calcProd1Seg1RepAvgBagWeightR2&gt;$L1908,$L1908-calcProd1Seg1RepAvgBagWeightR2,IF(calcProd1Seg1RepAvgBagWeightR2&lt;$K1908,calcProd1Seg1RepAvgBagWeightR2-$K1908,0)))*100</f>
        <v>0</v>
      </c>
      <c r="J1908" s="387" t="s">
        <v>3090</v>
      </c>
      <c r="K1908" s="381">
        <v>0.4</v>
      </c>
      <c r="L1908" s="381">
        <v>0.55000000000000004</v>
      </c>
    </row>
    <row r="1909" spans="2:16">
      <c r="B1909" t="s">
        <v>623</v>
      </c>
      <c r="C1909" t="s">
        <v>2334</v>
      </c>
      <c r="D1909" t="str">
        <f>nmProd1Seg2</f>
        <v>Tullyville</v>
      </c>
      <c r="E1909" s="577">
        <f>IF(xxRound&lt;2,0,IF(calcProd1Seg2RepAvgBagWeightR2&gt;$L1909,$L1909-calcProd1Seg2RepAvgBagWeightR2,IF(calcProd1Seg2RepAvgBagWeightR2&lt;$K1909,calcProd1Seg2RepAvgBagWeightR2-$K1909,0)))*100</f>
        <v>0</v>
      </c>
      <c r="F1909" s="577">
        <f>IF(xxRound&lt;2,0,IF(calcProd1Seg2RepAvgBagWeightR2&gt;$L1909,$L1909-calcProd1Seg2RepAvgBagWeightR2,IF(calcProd1Seg2RepAvgBagWeightR2&lt;$K1909,calcProd1Seg2RepAvgBagWeightR2-$K1909,0)))*100</f>
        <v>0</v>
      </c>
      <c r="G1909" s="577">
        <f>IF(xxRound&lt;2,0,IF(calcProd1Seg2RepAvgBagWeightR2&gt;$L1909,$L1909-calcProd1Seg2RepAvgBagWeightR2,IF(calcProd1Seg2RepAvgBagWeightR2&lt;$K1909,calcProd1Seg2RepAvgBagWeightR2-$K1909,0)))*100</f>
        <v>0</v>
      </c>
      <c r="H1909" s="577">
        <f>IF(xxRound&lt;2,0,IF(calcProd1Seg2RepAvgBagWeightR2&gt;$L1909,$L1909-calcProd1Seg2RepAvgBagWeightR2,IF(calcProd1Seg2RepAvgBagWeightR2&lt;$K1909,calcProd1Seg2RepAvgBagWeightR2-$K1909,0)))*100</f>
        <v>0</v>
      </c>
      <c r="I1909" s="577">
        <f>IF(xxRound&lt;2,0,IF(calcProd1Seg2RepAvgBagWeightR2&gt;$L1909,$L1909-calcProd1Seg2RepAvgBagWeightR2,IF(calcProd1Seg2RepAvgBagWeightR2&lt;$K1909,calcProd1Seg2RepAvgBagWeightR2-$K1909,0)))*100</f>
        <v>0</v>
      </c>
      <c r="J1909" s="387" t="s">
        <v>3092</v>
      </c>
      <c r="K1909" s="381">
        <v>0.4</v>
      </c>
      <c r="L1909" s="381">
        <v>0.55000000000000004</v>
      </c>
    </row>
    <row r="1910" spans="2:16">
      <c r="B1910" t="s">
        <v>623</v>
      </c>
      <c r="C1910" t="s">
        <v>2334</v>
      </c>
      <c r="D1910" t="str">
        <f>nmProd1Seg3</f>
        <v>Lordfrey City</v>
      </c>
      <c r="E1910" s="577">
        <f>IF(xxRound&lt;2,0,IF(calcProd1Seg3RepAvgBagWeightR2&gt;$L1910,$L1910-calcProd1Seg3RepAvgBagWeightR2,IF(calcProd1Seg3RepAvgBagWeightR2&lt;$K1910,calcProd1Seg3RepAvgBagWeightR2-$K1910,0)))*100</f>
        <v>0</v>
      </c>
      <c r="F1910" s="577">
        <f>IF(xxRound&lt;2,0,IF(calcProd1Seg3RepAvgBagWeightR2&gt;$L1910,$L1910-calcProd1Seg3RepAvgBagWeightR2,IF(calcProd1Seg3RepAvgBagWeightR2&lt;$K1910,calcProd1Seg3RepAvgBagWeightR2-$K1910,0)))*100</f>
        <v>0</v>
      </c>
      <c r="G1910" s="577">
        <f>IF(xxRound&lt;2,0,IF(calcProd1Seg3RepAvgBagWeightR2&gt;$L1910,$L1910-calcProd1Seg3RepAvgBagWeightR2,IF(calcProd1Seg3RepAvgBagWeightR2&lt;$K1910,calcProd1Seg3RepAvgBagWeightR2-$K1910,0)))*100</f>
        <v>0</v>
      </c>
      <c r="H1910" s="577">
        <f>IF(xxRound&lt;2,0,IF(calcProd1Seg3RepAvgBagWeightR2&gt;$L1910,$L1910-calcProd1Seg3RepAvgBagWeightR2,IF(calcProd1Seg3RepAvgBagWeightR2&lt;$K1910,calcProd1Seg3RepAvgBagWeightR2-$K1910,0)))*100</f>
        <v>0</v>
      </c>
      <c r="I1910" s="577">
        <f>IF(xxRound&lt;2,0,IF(calcProd1Seg3RepAvgBagWeightR2&gt;$L1910,$L1910-calcProd1Seg3RepAvgBagWeightR2,IF(calcProd1Seg3RepAvgBagWeightR2&lt;$K1910,calcProd1Seg3RepAvgBagWeightR2-$K1910,0)))*100</f>
        <v>0</v>
      </c>
      <c r="J1910" s="387" t="s">
        <v>3094</v>
      </c>
      <c r="K1910" s="381">
        <v>0.4</v>
      </c>
      <c r="L1910" s="381">
        <v>0.55000000000000004</v>
      </c>
    </row>
    <row r="1911" spans="2:16">
      <c r="C1911" t="str">
        <f>nmProd1Seg1Rep1</f>
        <v>Rep Allen</v>
      </c>
      <c r="E1911" s="578">
        <f>IF(decInputProd1Seg1Therapy1Rep1Weight_R2&gt;$K1911,($K1911-decInputProd1Seg1Therapy1Rep1Weight_R2)*$L1911,0)</f>
        <v>0</v>
      </c>
      <c r="F1911" s="578">
        <f>IF(decInputProd1Seg1Therapy1Rep1Weight_R2&gt;$K1911,($K1911-decInputProd1Seg1Therapy1Rep1Weight_R2)*$L1911,0)</f>
        <v>0</v>
      </c>
      <c r="G1911" s="578">
        <f>IF(decInputProd1Seg1Therapy1Rep1Weight_R2&gt;$K1911,($K1911-decInputProd1Seg1Therapy1Rep1Weight_R2)*$L1911,0)</f>
        <v>0</v>
      </c>
      <c r="H1911" s="578">
        <f>IF(decInputProd1Seg1Therapy1Rep1Weight_R2&gt;$K1911,($K1911-decInputProd1Seg1Therapy1Rep1Weight_R2)*$L1911,0)</f>
        <v>0</v>
      </c>
      <c r="I1911" s="578">
        <f>IF(decInputProd1Seg1Therapy1Rep1Weight_R2&gt;$K1911,($K1911-decInputProd1Seg1Therapy1Rep1Weight_R2)*$L1911,0)</f>
        <v>0</v>
      </c>
      <c r="J1911" s="387"/>
      <c r="K1911" s="382">
        <v>0.5</v>
      </c>
      <c r="L1911" s="576">
        <v>10</v>
      </c>
      <c r="N1911" s="382">
        <v>1.6</v>
      </c>
      <c r="O1911" t="s">
        <v>3836</v>
      </c>
      <c r="P1911" s="575" t="s">
        <v>3855</v>
      </c>
    </row>
    <row r="1912" spans="2:16">
      <c r="C1912" t="str">
        <f>nmProd1Seg1Rep2</f>
        <v>Rep Betty</v>
      </c>
      <c r="E1912" s="578">
        <f>IF(decInputProd1Seg1Therapy1Rep2Weight_R2&gt;$K1912,($K1912-decInputProd1Seg1Therapy1Rep2Weight_R2)*$L1912,0)</f>
        <v>0</v>
      </c>
      <c r="F1912" s="578">
        <f>IF(decInputProd1Seg1Therapy1Rep2Weight_R2&gt;$K1912,($K1912-decInputProd1Seg1Therapy1Rep2Weight_R2)*$L1912,0)</f>
        <v>0</v>
      </c>
      <c r="G1912" s="578">
        <f>IF(decInputProd1Seg1Therapy1Rep2Weight_R2&gt;$K1912,($K1912-decInputProd1Seg1Therapy1Rep2Weight_R2)*$L1912,0)</f>
        <v>0</v>
      </c>
      <c r="H1912" s="578">
        <f>IF(decInputProd1Seg1Therapy1Rep2Weight_R2&gt;$K1912,($K1912-decInputProd1Seg1Therapy1Rep2Weight_R2)*$L1912,0)</f>
        <v>0</v>
      </c>
      <c r="I1912" s="578">
        <f>IF(decInputProd1Seg1Therapy1Rep2Weight_R2&gt;$K1912,($K1912-decInputProd1Seg1Therapy1Rep2Weight_R2)*$L1912,0)</f>
        <v>0</v>
      </c>
      <c r="J1912" s="387"/>
      <c r="K1912" s="382">
        <v>0.7</v>
      </c>
      <c r="L1912" s="576">
        <v>10</v>
      </c>
      <c r="N1912" s="382"/>
      <c r="P1912" s="575"/>
    </row>
    <row r="1913" spans="2:16">
      <c r="C1913" t="str">
        <f>nmProd1Seg1Rep3</f>
        <v>Rep Chris</v>
      </c>
      <c r="E1913" s="578">
        <f>IF(decInputProd1Seg1Therapy1Rep3Weight_R2&gt;$K1913,($K1913-decInputProd1Seg1Therapy1Rep3Weight_R2)*$L1913,0)</f>
        <v>0</v>
      </c>
      <c r="F1913" s="578">
        <f>IF(decInputProd1Seg1Therapy1Rep3Weight_R2&gt;$K1913,($K1913-decInputProd1Seg1Therapy1Rep3Weight_R2)*$L1913,0)</f>
        <v>0</v>
      </c>
      <c r="G1913" s="578">
        <f>IF(decInputProd1Seg1Therapy1Rep3Weight_R2&gt;$K1913,($K1913-decInputProd1Seg1Therapy1Rep3Weight_R2)*$L1913,0)</f>
        <v>0</v>
      </c>
      <c r="H1913" s="578">
        <f>IF(decInputProd1Seg1Therapy1Rep3Weight_R2&gt;$K1913,($K1913-decInputProd1Seg1Therapy1Rep3Weight_R2)*$L1913,0)</f>
        <v>0</v>
      </c>
      <c r="I1913" s="578">
        <f>IF(decInputProd1Seg1Therapy1Rep3Weight_R2&gt;$K1913,($K1913-decInputProd1Seg1Therapy1Rep3Weight_R2)*$L1913,0)</f>
        <v>0</v>
      </c>
      <c r="J1913" s="387"/>
      <c r="K1913" s="382">
        <v>0.65</v>
      </c>
      <c r="L1913" s="576">
        <v>10</v>
      </c>
      <c r="N1913" s="382"/>
      <c r="P1913" s="575"/>
    </row>
    <row r="1914" spans="2:16">
      <c r="C1914" t="str">
        <f>nmProd1Seg2Rep1</f>
        <v>Rep Danielle</v>
      </c>
      <c r="E1914" s="578">
        <f>IF(decInputProd1Seg2Therapy1Rep1Weight_R2&gt;$K1914,($K1914-decInputProd1Seg2Therapy1Rep1Weight_R2)*$L1914,0)</f>
        <v>0</v>
      </c>
      <c r="F1914" s="578">
        <f>IF(decInputProd1Seg2Therapy1Rep1Weight_R2&gt;$K1914,($K1914-decInputProd1Seg2Therapy1Rep1Weight_R2)*$L1914,0)</f>
        <v>0</v>
      </c>
      <c r="G1914" s="578">
        <f>IF(decInputProd1Seg2Therapy1Rep1Weight_R2&gt;$K1914,($K1914-decInputProd1Seg2Therapy1Rep1Weight_R2)*$L1914,0)</f>
        <v>0</v>
      </c>
      <c r="H1914" s="578">
        <f>IF(decInputProd1Seg2Therapy1Rep1Weight_R2&gt;$K1914,($K1914-decInputProd1Seg2Therapy1Rep1Weight_R2)*$L1914,0)</f>
        <v>0</v>
      </c>
      <c r="I1914" s="578">
        <f>IF(decInputProd1Seg2Therapy1Rep1Weight_R2&gt;$K1914,($K1914-decInputProd1Seg2Therapy1Rep1Weight_R2)*$L1914,0)</f>
        <v>0</v>
      </c>
      <c r="J1914" s="387"/>
      <c r="K1914" s="382">
        <v>0.65</v>
      </c>
      <c r="L1914" s="576">
        <v>10</v>
      </c>
      <c r="N1914" s="382"/>
      <c r="P1914" s="575"/>
    </row>
    <row r="1915" spans="2:16">
      <c r="C1915" t="str">
        <f>nmProd1Seg2Rep2</f>
        <v>Rep Elliot</v>
      </c>
      <c r="E1915" s="578">
        <f>IF(decInputProd1Seg2Therapy1Rep2Weight_R2&gt;$K1915,($K1915-decInputProd1Seg2Therapy1Rep2Weight_R2)*$L1915,0)</f>
        <v>0</v>
      </c>
      <c r="F1915" s="578">
        <f>IF(decInputProd1Seg2Therapy1Rep2Weight_R2&gt;$K1915,($K1915-decInputProd1Seg2Therapy1Rep2Weight_R2)*$L1915,0)</f>
        <v>0</v>
      </c>
      <c r="G1915" s="578">
        <f>IF(decInputProd1Seg2Therapy1Rep2Weight_R2&gt;$K1915,($K1915-decInputProd1Seg2Therapy1Rep2Weight_R2)*$L1915,0)</f>
        <v>0</v>
      </c>
      <c r="H1915" s="578">
        <f>IF(decInputProd1Seg2Therapy1Rep2Weight_R2&gt;$K1915,($K1915-decInputProd1Seg2Therapy1Rep2Weight_R2)*$L1915,0)</f>
        <v>0</v>
      </c>
      <c r="I1915" s="578">
        <f>IF(decInputProd1Seg2Therapy1Rep2Weight_R2&gt;$K1915,($K1915-decInputProd1Seg2Therapy1Rep2Weight_R2)*$L1915,0)</f>
        <v>0</v>
      </c>
      <c r="J1915" s="387"/>
      <c r="K1915" s="382">
        <v>0.6</v>
      </c>
      <c r="L1915" s="576">
        <v>10</v>
      </c>
      <c r="N1915" s="382"/>
      <c r="P1915" s="575"/>
    </row>
    <row r="1916" spans="2:16">
      <c r="C1916" t="str">
        <f>nmProd1Seg2Rep3</f>
        <v>Rep Fiona</v>
      </c>
      <c r="E1916" s="578">
        <f>IF(decInputProd1Seg2Therapy1Rep3Weight_R2&gt;$K1916,($K1916-decInputProd1Seg2Therapy1Rep3Weight_R2)*$L1916,0)</f>
        <v>0</v>
      </c>
      <c r="F1916" s="578">
        <f>IF(decInputProd1Seg2Therapy1Rep3Weight_R2&gt;$K1916,($K1916-decInputProd1Seg2Therapy1Rep3Weight_R2)*$L1916,0)</f>
        <v>0</v>
      </c>
      <c r="G1916" s="578">
        <f>IF(decInputProd1Seg2Therapy1Rep3Weight_R2&gt;$K1916,($K1916-decInputProd1Seg2Therapy1Rep3Weight_R2)*$L1916,0)</f>
        <v>0</v>
      </c>
      <c r="H1916" s="578">
        <f>IF(decInputProd1Seg2Therapy1Rep3Weight_R2&gt;$K1916,($K1916-decInputProd1Seg2Therapy1Rep3Weight_R2)*$L1916,0)</f>
        <v>0</v>
      </c>
      <c r="I1916" s="578">
        <f>IF(decInputProd1Seg2Therapy1Rep3Weight_R2&gt;$K1916,($K1916-decInputProd1Seg2Therapy1Rep3Weight_R2)*$L1916,0)</f>
        <v>0</v>
      </c>
      <c r="J1916" s="387"/>
      <c r="K1916" s="382">
        <v>0.6</v>
      </c>
      <c r="L1916" s="576">
        <v>10</v>
      </c>
      <c r="N1916" s="382"/>
      <c r="P1916" s="575"/>
    </row>
    <row r="1917" spans="2:16">
      <c r="C1917" t="str">
        <f>nmProd1Seg3Rep1</f>
        <v>Rep Gregg</v>
      </c>
      <c r="E1917" s="578">
        <f>IF(decInputProd1Seg3Therapy1Rep1Weight_R2&gt;$K1917,($K1917-decInputProd1Seg3Therapy1Rep1Weight_R2)*$L1917,0)</f>
        <v>0</v>
      </c>
      <c r="F1917" s="578">
        <f>IF(decInputProd1Seg3Therapy1Rep1Weight_R2&gt;$K1917,($K1917-decInputProd1Seg3Therapy1Rep1Weight_R2)*$L1917,0)</f>
        <v>0</v>
      </c>
      <c r="G1917" s="578">
        <f>IF(decInputProd1Seg3Therapy1Rep1Weight_R2&gt;$K1917,($K1917-decInputProd1Seg3Therapy1Rep1Weight_R2)*$L1917,0)</f>
        <v>0</v>
      </c>
      <c r="H1917" s="578">
        <f>IF(decInputProd1Seg3Therapy1Rep1Weight_R2&gt;$K1917,($K1917-decInputProd1Seg3Therapy1Rep1Weight_R2)*$L1917,0)</f>
        <v>0</v>
      </c>
      <c r="I1917" s="578">
        <f>IF(decInputProd1Seg3Therapy1Rep1Weight_R2&gt;$K1917,($K1917-decInputProd1Seg3Therapy1Rep1Weight_R2)*$L1917,0)</f>
        <v>0</v>
      </c>
      <c r="J1917" s="387"/>
      <c r="K1917" s="382">
        <v>0.5</v>
      </c>
      <c r="L1917" s="576">
        <v>10</v>
      </c>
      <c r="N1917" s="382"/>
      <c r="P1917" s="575"/>
    </row>
    <row r="1918" spans="2:16">
      <c r="C1918" t="str">
        <f>nmProd1Seg3Rep2</f>
        <v>Rep Howard</v>
      </c>
      <c r="E1918" s="578">
        <f>IF(decInputProd1Seg3Therapy1Rep2Weight_R2&gt;$K1918,($K1918-decInputProd1Seg3Therapy1Rep2Weight_R2)*$L1918,0)</f>
        <v>0</v>
      </c>
      <c r="F1918" s="578">
        <f>IF(decInputProd1Seg3Therapy1Rep2Weight_R2&gt;$K1918,($K1918-decInputProd1Seg3Therapy1Rep2Weight_R2)*$L1918,0)</f>
        <v>0</v>
      </c>
      <c r="G1918" s="578">
        <f>IF(decInputProd1Seg3Therapy1Rep2Weight_R2&gt;$K1918,($K1918-decInputProd1Seg3Therapy1Rep2Weight_R2)*$L1918,0)</f>
        <v>0</v>
      </c>
      <c r="H1918" s="578">
        <f>IF(decInputProd1Seg3Therapy1Rep2Weight_R2&gt;$K1918,($K1918-decInputProd1Seg3Therapy1Rep2Weight_R2)*$L1918,0)</f>
        <v>0</v>
      </c>
      <c r="I1918" s="578">
        <f>IF(decInputProd1Seg3Therapy1Rep2Weight_R2&gt;$K1918,($K1918-decInputProd1Seg3Therapy1Rep2Weight_R2)*$L1918,0)</f>
        <v>0</v>
      </c>
      <c r="J1918" s="387"/>
      <c r="K1918" s="382">
        <v>0.6</v>
      </c>
      <c r="L1918" s="576">
        <v>10</v>
      </c>
      <c r="N1918" s="382"/>
      <c r="P1918" s="575"/>
    </row>
    <row r="1919" spans="2:16">
      <c r="C1919" t="str">
        <f>nmProd1Seg3Rep3</f>
        <v>Rep Isabelle</v>
      </c>
      <c r="E1919" s="578">
        <f>IF(decInputProd1Seg3Therapy1Rep3Weight_R2&gt;$K1919,($K1919-decInputProd1Seg3Therapy1Rep3Weight_R2)*$L1919,0)</f>
        <v>0</v>
      </c>
      <c r="F1919" s="578">
        <f>IF(decInputProd1Seg3Therapy1Rep3Weight_R2&gt;$K1919,($K1919-decInputProd1Seg3Therapy1Rep3Weight_R2)*$L1919,0)</f>
        <v>0</v>
      </c>
      <c r="G1919" s="578">
        <f>IF(decInputProd1Seg3Therapy1Rep3Weight_R2&gt;$K1919,($K1919-decInputProd1Seg3Therapy1Rep3Weight_R2)*$L1919,0)</f>
        <v>0</v>
      </c>
      <c r="H1919" s="578">
        <f>IF(decInputProd1Seg3Therapy1Rep3Weight_R2&gt;$K1919,($K1919-decInputProd1Seg3Therapy1Rep3Weight_R2)*$L1919,0)</f>
        <v>0</v>
      </c>
      <c r="I1919" s="578">
        <f>IF(decInputProd1Seg3Therapy1Rep3Weight_R2&gt;$K1919,($K1919-decInputProd1Seg3Therapy1Rep3Weight_R2)*$L1919,0)</f>
        <v>0</v>
      </c>
      <c r="J1919" s="387"/>
      <c r="K1919" s="382">
        <v>0.7</v>
      </c>
      <c r="L1919" s="576">
        <v>10</v>
      </c>
      <c r="N1919" s="382"/>
      <c r="P1919" s="575"/>
    </row>
    <row r="1920" spans="2:16">
      <c r="C1920" t="s">
        <v>3785</v>
      </c>
      <c r="E1920" s="577">
        <f>decInputProd1Seg1RegTrainer_R2*$K1920</f>
        <v>0</v>
      </c>
      <c r="F1920" s="577">
        <f>decInputProd1Seg1RegTrainer_R2*$K1920</f>
        <v>0</v>
      </c>
      <c r="G1920" s="577">
        <f>decInputProd1Seg1RegTrainer_R2*$K1920</f>
        <v>0</v>
      </c>
      <c r="H1920" s="577">
        <f>decInputProd1Seg1RegTrainer_R2*$K1920</f>
        <v>0</v>
      </c>
      <c r="I1920" s="577">
        <f>decInputProd1Seg1RegTrainer_R2*$K1920</f>
        <v>0</v>
      </c>
      <c r="J1920" s="387"/>
      <c r="K1920" s="381">
        <v>3.0000000000000001E-3</v>
      </c>
      <c r="L1920" s="381"/>
    </row>
    <row r="1921" spans="1:12">
      <c r="C1921" t="s">
        <v>3785</v>
      </c>
      <c r="E1921" s="577">
        <f>decInputProd1Seg2RegTrainer_R2*$K1921</f>
        <v>0</v>
      </c>
      <c r="F1921" s="577">
        <f>decInputProd1Seg2RegTrainer_R2*$K1921</f>
        <v>0</v>
      </c>
      <c r="G1921" s="577">
        <f>decInputProd1Seg2RegTrainer_R2*$K1921</f>
        <v>0</v>
      </c>
      <c r="H1921" s="577">
        <f>decInputProd1Seg2RegTrainer_R2*$K1921</f>
        <v>0</v>
      </c>
      <c r="I1921" s="577">
        <f>decInputProd1Seg2RegTrainer_R2*$K1921</f>
        <v>0</v>
      </c>
      <c r="J1921" s="387"/>
      <c r="K1921" s="381">
        <v>3.0000000000000001E-3</v>
      </c>
      <c r="L1921" s="381"/>
    </row>
    <row r="1922" spans="1:12">
      <c r="C1922" t="s">
        <v>3785</v>
      </c>
      <c r="E1922" s="577">
        <f>decInputProd1Seg3RegTrainer_R2*$K1922</f>
        <v>0</v>
      </c>
      <c r="F1922" s="577">
        <f>decInputProd1Seg3RegTrainer_R2*$K1922</f>
        <v>0</v>
      </c>
      <c r="G1922" s="577">
        <f>decInputProd1Seg3RegTrainer_R2*$K1922</f>
        <v>0</v>
      </c>
      <c r="H1922" s="577">
        <f>decInputProd1Seg3RegTrainer_R2*$K1922</f>
        <v>0</v>
      </c>
      <c r="I1922" s="577">
        <f>decInputProd1Seg3RegTrainer_R2*$K1922</f>
        <v>0</v>
      </c>
      <c r="J1922" s="387"/>
      <c r="K1922" s="381">
        <v>3.0000000000000001E-3</v>
      </c>
      <c r="L1922" s="381"/>
    </row>
    <row r="1923" spans="1:12">
      <c r="B1923" t="str">
        <f>nmProd1Seg1</f>
        <v>Riverrun Central</v>
      </c>
      <c r="C1923" t="s">
        <v>2645</v>
      </c>
      <c r="D1923" t="s">
        <v>623</v>
      </c>
      <c r="E1923" s="577">
        <f>decInputProd1Seg1CfCollab_R2*$K1923</f>
        <v>0</v>
      </c>
      <c r="F1923" s="577">
        <f>decInputProd1Seg1CfCollab_R2*$K1923</f>
        <v>0</v>
      </c>
      <c r="G1923" s="577">
        <f>decInputProd1Seg1CfCollab_R2*$K1923</f>
        <v>0</v>
      </c>
      <c r="H1923" s="577">
        <f>decInputProd1Seg1CfCollab_R2*$K1923</f>
        <v>0</v>
      </c>
      <c r="I1923" s="577">
        <f>decInputProd1Seg1CfCollab_R2*$K1923</f>
        <v>0</v>
      </c>
      <c r="K1923">
        <v>0.5</v>
      </c>
    </row>
    <row r="1924" spans="1:12">
      <c r="B1924" t="s">
        <v>3515</v>
      </c>
      <c r="E1924" s="577">
        <f>IF(calcProd1SpeakerProportionR2&lt;$K1924,(calcProd1SpeakerProportionR2-$K1924)*$L1924,0)</f>
        <v>0</v>
      </c>
      <c r="F1924" s="577">
        <f>IF(calcProd1SpeakerProportionR2&lt;$K1924,(calcProd1SpeakerProportionR2-$K1924)*$L1924,0)</f>
        <v>0</v>
      </c>
      <c r="G1924" s="577">
        <f>IF(calcProd1SpeakerProportionR2&lt;$K1924,(calcProd1SpeakerProportionR2-$K1924)*$L1924,0)</f>
        <v>0</v>
      </c>
      <c r="H1924" s="577">
        <f>IF(calcProd1SpeakerProportionR2&lt;$K1924,(calcProd1SpeakerProportionR2-$K1924)*$L1924,0)</f>
        <v>0</v>
      </c>
      <c r="I1924" s="577">
        <f>IF(calcProd1SpeakerProportionR2&lt;$K1924,(calcProd1SpeakerProportionR2-$K1924)*$L1924,0)</f>
        <v>0</v>
      </c>
      <c r="K1924" s="381">
        <v>0.33</v>
      </c>
      <c r="L1924" s="567">
        <v>40</v>
      </c>
    </row>
    <row r="1926" spans="1:12" s="4" customFormat="1">
      <c r="C1926" s="4" t="s">
        <v>1534</v>
      </c>
      <c r="E1926" s="568">
        <f>SUM(E1907:E1925)</f>
        <v>60</v>
      </c>
      <c r="F1926" s="568">
        <f t="shared" ref="F1926:I1926" si="103">SUM(F1907:F1925)</f>
        <v>60</v>
      </c>
      <c r="G1926" s="568">
        <f t="shared" si="103"/>
        <v>60</v>
      </c>
      <c r="H1926" s="568">
        <f t="shared" si="103"/>
        <v>60</v>
      </c>
      <c r="I1926" s="568">
        <f t="shared" si="103"/>
        <v>60</v>
      </c>
      <c r="J1926" s="4" t="s">
        <v>3097</v>
      </c>
    </row>
    <row r="1929" spans="1:12" s="4" customFormat="1">
      <c r="A1929" s="4" t="str">
        <f>nmReg1</f>
        <v>The Region</v>
      </c>
      <c r="C1929" s="4" t="s">
        <v>1486</v>
      </c>
      <c r="E1929" s="4">
        <f>obalOpEffReg1</f>
        <v>60</v>
      </c>
      <c r="F1929" s="4">
        <f>obalOpEffReg1</f>
        <v>60</v>
      </c>
      <c r="G1929" s="4">
        <f>obalOpEffReg1</f>
        <v>60</v>
      </c>
      <c r="H1929" s="4">
        <f>obalOpEffReg1</f>
        <v>60</v>
      </c>
      <c r="I1929" s="4">
        <f>obalOpEffReg1</f>
        <v>60</v>
      </c>
    </row>
    <row r="1930" spans="1:12">
      <c r="B1930" t="str">
        <f>nmReg1Seg1</f>
        <v>Riverrun</v>
      </c>
      <c r="C1930" t="s">
        <v>2645</v>
      </c>
      <c r="D1930" t="s">
        <v>622</v>
      </c>
      <c r="E1930">
        <f>decInputReg1Seg1CfCollab_R1*$K1930</f>
        <v>0</v>
      </c>
      <c r="F1930">
        <f>decInputReg1Seg1CfCollab_R1*$K1930</f>
        <v>0</v>
      </c>
      <c r="G1930">
        <f>decInputReg1Seg1CfCollab_R1*$K1930</f>
        <v>0</v>
      </c>
      <c r="H1930">
        <f>decInputReg1Seg1CfCollab_R1*$K1930</f>
        <v>0</v>
      </c>
      <c r="I1930">
        <f>decInputReg1Seg1CfCollab_R1*$K1930</f>
        <v>0</v>
      </c>
      <c r="K1930">
        <v>0.5</v>
      </c>
    </row>
    <row r="1931" spans="1:12">
      <c r="B1931" t="str">
        <f>nmReg1Seg1</f>
        <v>Riverrun</v>
      </c>
      <c r="C1931" t="s">
        <v>2843</v>
      </c>
      <c r="D1931" t="s">
        <v>622</v>
      </c>
      <c r="E1931">
        <f>decInputReg1Seg1RegTrainer_R1*$K1931</f>
        <v>0</v>
      </c>
      <c r="F1931">
        <f>decInputReg1Seg1RegTrainer_R1*$K1931</f>
        <v>0</v>
      </c>
      <c r="G1931">
        <f>decInputReg1Seg1RegTrainer_R1*$K1931</f>
        <v>0</v>
      </c>
      <c r="H1931">
        <f>decInputReg1Seg1RegTrainer_R1*$K1931</f>
        <v>0</v>
      </c>
      <c r="I1931">
        <f>decInputReg1Seg1RegTrainer_R1*$K1931</f>
        <v>0</v>
      </c>
      <c r="K1931">
        <v>0.3</v>
      </c>
    </row>
    <row r="1932" spans="1:12">
      <c r="B1932" t="str">
        <f>nmReg1Seg2</f>
        <v>Winterfell</v>
      </c>
      <c r="C1932" t="s">
        <v>2843</v>
      </c>
      <c r="D1932" t="s">
        <v>622</v>
      </c>
      <c r="E1932">
        <f>decInputReg1Seg2RegTrainer_R1*$K1932</f>
        <v>0</v>
      </c>
      <c r="F1932">
        <f>decInputReg1Seg2RegTrainer_R1*$K1932</f>
        <v>0</v>
      </c>
      <c r="G1932">
        <f>decInputReg1Seg2RegTrainer_R1*$K1932</f>
        <v>0</v>
      </c>
      <c r="H1932">
        <f>decInputReg1Seg2RegTrainer_R1*$K1932</f>
        <v>0</v>
      </c>
      <c r="I1932">
        <f>decInputReg1Seg2RegTrainer_R1*$K1932</f>
        <v>0</v>
      </c>
      <c r="K1932">
        <v>0.3</v>
      </c>
    </row>
    <row r="1933" spans="1:12">
      <c r="B1933" t="str">
        <f>nmReg1Seg3</f>
        <v>Harrenhal</v>
      </c>
      <c r="C1933" t="s">
        <v>2843</v>
      </c>
      <c r="D1933" t="s">
        <v>622</v>
      </c>
      <c r="E1933">
        <f>decInputReg1Seg3RegTrainer_R1*$K1933</f>
        <v>0</v>
      </c>
      <c r="F1933">
        <f>decInputReg1Seg3RegTrainer_R1*$K1933</f>
        <v>0</v>
      </c>
      <c r="G1933">
        <f>decInputReg1Seg3RegTrainer_R1*$K1933</f>
        <v>0</v>
      </c>
      <c r="H1933">
        <f>decInputReg1Seg3RegTrainer_R1*$K1933</f>
        <v>0</v>
      </c>
      <c r="I1933">
        <f>decInputReg1Seg3RegTrainer_R1*$K1933</f>
        <v>0</v>
      </c>
      <c r="K1933">
        <v>0.3</v>
      </c>
    </row>
    <row r="1934" spans="1:12">
      <c r="B1934" t="s">
        <v>3515</v>
      </c>
      <c r="E1934" s="554">
        <f>IF(calcReg1SpeakerProportionR1&lt;$K1934,(calcReg1SpeakerProportionR1-$K1934)*$L1934,0)</f>
        <v>0</v>
      </c>
      <c r="F1934" s="554">
        <f>IF(calcReg1SpeakerProportionR1&lt;$K1934,(calcReg1SpeakerProportionR1-$K1934)*$L1934,0)</f>
        <v>0</v>
      </c>
      <c r="G1934" s="554">
        <f>IF(calcReg1SpeakerProportionR1&lt;$K1934,(calcReg1SpeakerProportionR1-$K1934)*$L1934,0)</f>
        <v>0</v>
      </c>
      <c r="H1934" s="554">
        <f>IF(calcReg1SpeakerProportionR1&lt;$K1934,(calcReg1SpeakerProportionR1-$K1934)*$L1934,0)</f>
        <v>0</v>
      </c>
      <c r="I1934" s="554">
        <f>IF(calcReg1SpeakerProportionR1&lt;$K1934,(calcReg1SpeakerProportionR1-$K1934)*$L1934,0)</f>
        <v>0</v>
      </c>
      <c r="K1934" s="381">
        <v>0.33</v>
      </c>
      <c r="L1934" s="567">
        <v>40</v>
      </c>
    </row>
    <row r="1936" spans="1:12" s="4" customFormat="1">
      <c r="C1936" s="4" t="s">
        <v>1534</v>
      </c>
      <c r="E1936" s="4">
        <f>SUM(E1929:E1935)</f>
        <v>60</v>
      </c>
      <c r="F1936" s="4">
        <f>SUM(F1929:F1935)</f>
        <v>60</v>
      </c>
      <c r="G1936" s="4">
        <f>SUM(G1929:G1935)</f>
        <v>60</v>
      </c>
      <c r="H1936" s="4">
        <f>SUM(H1929:H1935)</f>
        <v>60</v>
      </c>
      <c r="I1936" s="4">
        <f>SUM(I1929:I1935)</f>
        <v>60</v>
      </c>
      <c r="J1936" s="4" t="s">
        <v>3095</v>
      </c>
    </row>
    <row r="1938" spans="2:12">
      <c r="B1938" t="str">
        <f>nmReg1Seg1</f>
        <v>Riverrun</v>
      </c>
      <c r="C1938" t="s">
        <v>2645</v>
      </c>
      <c r="D1938" t="s">
        <v>623</v>
      </c>
      <c r="E1938">
        <f>decInputReg1Seg1CfCollab_R2*$K1938</f>
        <v>0</v>
      </c>
      <c r="F1938">
        <f>decInputReg1Seg1CfCollab_R2*$K1938</f>
        <v>0</v>
      </c>
      <c r="G1938">
        <f>decInputReg1Seg1CfCollab_R2*$K1938</f>
        <v>0</v>
      </c>
      <c r="H1938">
        <f>decInputReg1Seg1CfCollab_R2*$K1938</f>
        <v>0</v>
      </c>
      <c r="I1938">
        <f>decInputReg1Seg1CfCollab_R2*$K1938</f>
        <v>0</v>
      </c>
      <c r="K1938">
        <v>0.5</v>
      </c>
    </row>
    <row r="1939" spans="2:12">
      <c r="B1939" t="str">
        <f>nmReg1Seg1</f>
        <v>Riverrun</v>
      </c>
      <c r="C1939" t="s">
        <v>2843</v>
      </c>
      <c r="D1939" t="s">
        <v>623</v>
      </c>
      <c r="E1939">
        <f>decInputReg1Seg1RegTrainer_R2*$K1939</f>
        <v>0</v>
      </c>
      <c r="F1939">
        <f>decInputReg1Seg1RegTrainer_R2*$K1939</f>
        <v>0</v>
      </c>
      <c r="G1939">
        <f>decInputReg1Seg1RegTrainer_R2*$K1939</f>
        <v>0</v>
      </c>
      <c r="H1939">
        <f>decInputReg1Seg1RegTrainer_R2*$K1939</f>
        <v>0</v>
      </c>
      <c r="I1939">
        <f>decInputReg1Seg1RegTrainer_R2*$K1939</f>
        <v>0</v>
      </c>
      <c r="K1939">
        <v>0.3</v>
      </c>
    </row>
    <row r="1940" spans="2:12">
      <c r="B1940" t="str">
        <f>nmReg1Seg2</f>
        <v>Winterfell</v>
      </c>
      <c r="C1940" t="s">
        <v>2843</v>
      </c>
      <c r="D1940" t="s">
        <v>623</v>
      </c>
      <c r="E1940">
        <f>decInputReg1Seg2RegTrainer_R2*$K1940</f>
        <v>0</v>
      </c>
      <c r="F1940">
        <f>decInputReg1Seg2RegTrainer_R2*$K1940</f>
        <v>0</v>
      </c>
      <c r="G1940">
        <f>decInputReg1Seg2RegTrainer_R2*$K1940</f>
        <v>0</v>
      </c>
      <c r="H1940">
        <f>decInputReg1Seg2RegTrainer_R2*$K1940</f>
        <v>0</v>
      </c>
      <c r="I1940">
        <f>decInputReg1Seg2RegTrainer_R2*$K1940</f>
        <v>0</v>
      </c>
      <c r="K1940">
        <v>0.3</v>
      </c>
    </row>
    <row r="1941" spans="2:12">
      <c r="B1941" t="str">
        <f>nmReg1Seg3</f>
        <v>Harrenhal</v>
      </c>
      <c r="C1941" t="s">
        <v>2843</v>
      </c>
      <c r="D1941" t="s">
        <v>623</v>
      </c>
      <c r="E1941">
        <f>decInputReg1Seg3RegTrainer_R2*$K1941</f>
        <v>0</v>
      </c>
      <c r="F1941">
        <f>decInputReg1Seg3RegTrainer_R2*$K1941</f>
        <v>0</v>
      </c>
      <c r="G1941">
        <f>decInputReg1Seg3RegTrainer_R2*$K1941</f>
        <v>0</v>
      </c>
      <c r="H1941">
        <f>decInputReg1Seg3RegTrainer_R2*$K1941</f>
        <v>0</v>
      </c>
      <c r="I1941">
        <f>decInputReg1Seg3RegTrainer_R2*$K1941</f>
        <v>0</v>
      </c>
      <c r="K1941">
        <v>0.3</v>
      </c>
    </row>
    <row r="1942" spans="2:12">
      <c r="B1942" t="s">
        <v>3515</v>
      </c>
      <c r="E1942" s="554">
        <f>IF(calcReg1SpeakerProportionR2&lt;$K1942,(calcReg1SpeakerProportionR2-$K1942)*$L1942,0)</f>
        <v>0</v>
      </c>
      <c r="F1942" s="554">
        <f>IF(calcReg1SpeakerProportionR2&lt;$K1942,(calcReg1SpeakerProportionR2-$K1942)*$L1942,0)</f>
        <v>0</v>
      </c>
      <c r="G1942" s="554">
        <f>IF(calcReg1SpeakerProportionR2&lt;$K1942,(calcReg1SpeakerProportionR2-$K1942)*$L1942,0)</f>
        <v>0</v>
      </c>
      <c r="H1942" s="554">
        <f>IF(calcReg1SpeakerProportionR2&lt;$K1942,(calcReg1SpeakerProportionR2-$K1942)*$L1942,0)</f>
        <v>0</v>
      </c>
      <c r="I1942" s="554">
        <f>IF(calcReg1SpeakerProportionR2&lt;$K1942,(calcReg1SpeakerProportionR2-$K1942)*$L1942,0)</f>
        <v>0</v>
      </c>
      <c r="K1942" s="381">
        <v>0.33</v>
      </c>
      <c r="L1942" s="567">
        <v>40</v>
      </c>
    </row>
    <row r="1945" spans="2:12" s="4" customFormat="1">
      <c r="C1945" s="4" t="s">
        <v>1534</v>
      </c>
      <c r="E1945" s="4">
        <f>SUM(E1936:E1944)</f>
        <v>60</v>
      </c>
      <c r="F1945" s="4">
        <f>SUM(F1936:F1944)</f>
        <v>60</v>
      </c>
      <c r="G1945" s="4">
        <f>SUM(G1936:G1944)</f>
        <v>60</v>
      </c>
      <c r="H1945" s="4">
        <f>SUM(H1936:H1944)</f>
        <v>60</v>
      </c>
      <c r="I1945" s="4">
        <f>SUM(I1936:I1944)</f>
        <v>60</v>
      </c>
      <c r="J1945" s="4" t="s">
        <v>3102</v>
      </c>
    </row>
    <row r="1947" spans="2:12">
      <c r="B1947" t="s">
        <v>3516</v>
      </c>
      <c r="C1947" t="str">
        <f>nmProd1</f>
        <v>Riverrun</v>
      </c>
      <c r="D1947" t="s">
        <v>622</v>
      </c>
      <c r="E1947">
        <f>(calcProd1Seg1SpeakerAllocR1+calcProd1Seg2SpeakerAllocR1+calcProd1Seg3SpeakerAllocR1)/(calcProd1Seg1PromotionAllocationR1+calcProd1Seg2PromotionAllocationR1+calcProd1Seg3PromotionAllocationR1)</f>
        <v>0.5</v>
      </c>
      <c r="F1947">
        <f>(calcProd1Seg1SpeakerAllocR1+calcProd1Seg2SpeakerAllocR1+calcProd1Seg3SpeakerAllocR1)/(calcProd1Seg1PromotionAllocationR1+calcProd1Seg2PromotionAllocationR1+calcProd1Seg3PromotionAllocationR1)</f>
        <v>0.5</v>
      </c>
      <c r="G1947">
        <f>(calcProd1Seg1SpeakerAllocR1+calcProd1Seg2SpeakerAllocR1+calcProd1Seg3SpeakerAllocR1)/(calcProd1Seg1PromotionAllocationR1+calcProd1Seg2PromotionAllocationR1+calcProd1Seg3PromotionAllocationR1)</f>
        <v>0.5</v>
      </c>
      <c r="H1947">
        <f>(calcProd1Seg1SpeakerAllocR1+calcProd1Seg2SpeakerAllocR1+calcProd1Seg3SpeakerAllocR1)/(calcProd1Seg1PromotionAllocationR1+calcProd1Seg2PromotionAllocationR1+calcProd1Seg3PromotionAllocationR1)</f>
        <v>0.5</v>
      </c>
      <c r="I1947">
        <f>(calcProd1Seg1SpeakerAllocR1+calcProd1Seg2SpeakerAllocR1+calcProd1Seg3SpeakerAllocR1)/(calcProd1Seg1PromotionAllocationR1+calcProd1Seg2PromotionAllocationR1+calcProd1Seg3PromotionAllocationR1)</f>
        <v>0.5</v>
      </c>
      <c r="J1947" t="s">
        <v>3517</v>
      </c>
    </row>
    <row r="1948" spans="2:12">
      <c r="B1948" t="s">
        <v>3516</v>
      </c>
      <c r="C1948" t="str">
        <f>nmProd1</f>
        <v>Riverrun</v>
      </c>
      <c r="D1948" t="s">
        <v>623</v>
      </c>
      <c r="E1948">
        <f>(calcProd1Seg1SpeakerAllocR2+calcProd1Seg2SpeakerAllocR2+calcProd1Seg3SpeakerAllocR2)/(calcProd1Seg1PromotionAllocationR2+calcProd1Seg2PromotionAllocationR2+calcProd1Seg3PromotionAllocationR2)</f>
        <v>0.5</v>
      </c>
      <c r="F1948">
        <f>(calcProd1Seg1SpeakerAllocR2+calcProd1Seg2SpeakerAllocR2+calcProd1Seg3SpeakerAllocR2)/(calcProd1Seg1PromotionAllocationR2+calcProd1Seg2PromotionAllocationR2+calcProd1Seg3PromotionAllocationR2)</f>
        <v>0.5</v>
      </c>
      <c r="G1948">
        <f>(calcProd1Seg1SpeakerAllocR2+calcProd1Seg2SpeakerAllocR2+calcProd1Seg3SpeakerAllocR2)/(calcProd1Seg1PromotionAllocationR2+calcProd1Seg2PromotionAllocationR2+calcProd1Seg3PromotionAllocationR2)</f>
        <v>0.5</v>
      </c>
      <c r="H1948">
        <f>(calcProd1Seg1SpeakerAllocR2+calcProd1Seg2SpeakerAllocR2+calcProd1Seg3SpeakerAllocR2)/(calcProd1Seg1PromotionAllocationR2+calcProd1Seg2PromotionAllocationR2+calcProd1Seg3PromotionAllocationR2)</f>
        <v>0.5</v>
      </c>
      <c r="I1948">
        <f>(calcProd1Seg1SpeakerAllocR2+calcProd1Seg2SpeakerAllocR2+calcProd1Seg3SpeakerAllocR2)/(calcProd1Seg1PromotionAllocationR2+calcProd1Seg2PromotionAllocationR2+calcProd1Seg3PromotionAllocationR2)</f>
        <v>0.5</v>
      </c>
      <c r="J1948" t="s">
        <v>3518</v>
      </c>
    </row>
    <row r="1949" spans="2:12">
      <c r="B1949" t="s">
        <v>3516</v>
      </c>
      <c r="C1949" t="str">
        <f>nmReg1</f>
        <v>The Region</v>
      </c>
      <c r="D1949" t="s">
        <v>622</v>
      </c>
      <c r="E1949">
        <f>(calcReg1Seg1SpeakerAllocR1+calcReg1Seg2SpeakerAllocR1+calcReg1Seg3SpeakerAllocR1)/(calcReg1Seg1PromotionAllocationR1+calcReg1Seg2PromotionAllocationR1+calcReg1Seg3PromotionAllocationR1)</f>
        <v>0.5</v>
      </c>
      <c r="F1949">
        <f>(calcReg1Seg1SpeakerAllocR1+calcReg1Seg2SpeakerAllocR1+calcReg1Seg3SpeakerAllocR1)/(calcReg1Seg1PromotionAllocationR1+calcReg1Seg2PromotionAllocationR1+calcReg1Seg3PromotionAllocationR1)</f>
        <v>0.5</v>
      </c>
      <c r="G1949">
        <f>(calcReg1Seg1SpeakerAllocR1+calcReg1Seg2SpeakerAllocR1+calcReg1Seg3SpeakerAllocR1)/(calcReg1Seg1PromotionAllocationR1+calcReg1Seg2PromotionAllocationR1+calcReg1Seg3PromotionAllocationR1)</f>
        <v>0.5</v>
      </c>
      <c r="H1949">
        <f>(calcReg1Seg1SpeakerAllocR1+calcReg1Seg2SpeakerAllocR1+calcReg1Seg3SpeakerAllocR1)/(calcReg1Seg1PromotionAllocationR1+calcReg1Seg2PromotionAllocationR1+calcReg1Seg3PromotionAllocationR1)</f>
        <v>0.5</v>
      </c>
      <c r="I1949">
        <f>(calcReg1Seg1SpeakerAllocR1+calcReg1Seg2SpeakerAllocR1+calcReg1Seg3SpeakerAllocR1)/(calcReg1Seg1PromotionAllocationR1+calcReg1Seg2PromotionAllocationR1+calcReg1Seg3PromotionAllocationR1)</f>
        <v>0.5</v>
      </c>
      <c r="J1949" t="s">
        <v>3519</v>
      </c>
    </row>
    <row r="1950" spans="2:12">
      <c r="B1950" t="s">
        <v>3516</v>
      </c>
      <c r="C1950" t="str">
        <f>nmReg1</f>
        <v>The Region</v>
      </c>
      <c r="D1950" t="s">
        <v>623</v>
      </c>
      <c r="E1950">
        <f>(calcReg1Seg1SpeakerAllocR2+calcReg1Seg2SpeakerAllocR2+calcReg1Seg3SpeakerAllocR2)/(calcReg1Seg1PromotionAllocationR2+calcReg1Seg2PromotionAllocationR2+calcReg1Seg3PromotionAllocationR2)</f>
        <v>0.5</v>
      </c>
      <c r="F1950">
        <f>(calcReg1Seg1SpeakerAllocR2+calcReg1Seg2SpeakerAllocR2+calcReg1Seg3SpeakerAllocR2)/(calcReg1Seg1PromotionAllocationR2+calcReg1Seg2PromotionAllocationR2+calcReg1Seg3PromotionAllocationR2)</f>
        <v>0.5</v>
      </c>
      <c r="G1950">
        <f>(calcReg1Seg1SpeakerAllocR2+calcReg1Seg2SpeakerAllocR2+calcReg1Seg3SpeakerAllocR2)/(calcReg1Seg1PromotionAllocationR2+calcReg1Seg2PromotionAllocationR2+calcReg1Seg3PromotionAllocationR2)</f>
        <v>0.5</v>
      </c>
      <c r="H1950">
        <f>(calcReg1Seg1SpeakerAllocR2+calcReg1Seg2SpeakerAllocR2+calcReg1Seg3SpeakerAllocR2)/(calcReg1Seg1PromotionAllocationR2+calcReg1Seg2PromotionAllocationR2+calcReg1Seg3PromotionAllocationR2)</f>
        <v>0.5</v>
      </c>
      <c r="I1950">
        <f>(calcReg1Seg1SpeakerAllocR2+calcReg1Seg2SpeakerAllocR2+calcReg1Seg3SpeakerAllocR2)/(calcReg1Seg1PromotionAllocationR2+calcReg1Seg2PromotionAllocationR2+calcReg1Seg3PromotionAllocationR2)</f>
        <v>0.5</v>
      </c>
      <c r="J1950" t="s">
        <v>3520</v>
      </c>
    </row>
    <row r="1953" spans="1:10">
      <c r="A1953" t="s">
        <v>2400</v>
      </c>
    </row>
    <row r="1954" spans="1:10" s="4" customFormat="1">
      <c r="A1954" s="4" t="str">
        <f>nmProd1</f>
        <v>Riverrun</v>
      </c>
      <c r="B1954" s="4" t="s">
        <v>622</v>
      </c>
      <c r="C1954" s="4" t="s">
        <v>1486</v>
      </c>
      <c r="E1954" s="4">
        <f>obalProd1BudgetLeft</f>
        <v>200000</v>
      </c>
      <c r="F1954" s="4">
        <f>obalProd1BudgetLeft</f>
        <v>200000</v>
      </c>
      <c r="G1954" s="4">
        <f>obalProd1BudgetLeft</f>
        <v>200000</v>
      </c>
      <c r="H1954" s="4">
        <f>obalProd1BudgetLeft</f>
        <v>200000</v>
      </c>
      <c r="I1954" s="4">
        <f>obalProd1BudgetLeft</f>
        <v>200000</v>
      </c>
    </row>
    <row r="1955" spans="1:10">
      <c r="A1955" s="4"/>
      <c r="C1955" t="str">
        <f>nmProd1Seg1</f>
        <v>Riverrun Central</v>
      </c>
      <c r="E1955">
        <f>decInputProd1Seg1PromotionAllocation_R1*obalProd1BudgetLeft</f>
        <v>66000</v>
      </c>
      <c r="F1955">
        <f>decInputProd1Seg1PromotionAllocation_R1*obalProd1BudgetLeft</f>
        <v>66000</v>
      </c>
      <c r="G1955">
        <f>decInputProd1Seg1PromotionAllocation_R1*obalProd1BudgetLeft</f>
        <v>66000</v>
      </c>
      <c r="H1955">
        <f>decInputProd1Seg1PromotionAllocation_R1*obalProd1BudgetLeft</f>
        <v>66000</v>
      </c>
      <c r="I1955">
        <f>decInputProd1Seg1PromotionAllocation_R1*obalProd1BudgetLeft</f>
        <v>66000</v>
      </c>
      <c r="J1955" t="s">
        <v>2443</v>
      </c>
    </row>
    <row r="1956" spans="1:10">
      <c r="A1956" s="4"/>
      <c r="C1956" t="str">
        <f>nmProd1Seg2</f>
        <v>Tullyville</v>
      </c>
      <c r="E1956">
        <f>decInputProd1Seg2PromotionAllocation_R1*obalProd1BudgetLeft</f>
        <v>66000</v>
      </c>
      <c r="F1956">
        <f>decInputProd1Seg2PromotionAllocation_R1*obalProd1BudgetLeft</f>
        <v>66000</v>
      </c>
      <c r="G1956">
        <f>decInputProd1Seg2PromotionAllocation_R1*obalProd1BudgetLeft</f>
        <v>66000</v>
      </c>
      <c r="H1956">
        <f>decInputProd1Seg2PromotionAllocation_R1*obalProd1BudgetLeft</f>
        <v>66000</v>
      </c>
      <c r="I1956">
        <f>decInputProd1Seg2PromotionAllocation_R1*obalProd1BudgetLeft</f>
        <v>66000</v>
      </c>
      <c r="J1956" t="s">
        <v>2444</v>
      </c>
    </row>
    <row r="1957" spans="1:10">
      <c r="A1957" s="4"/>
      <c r="C1957" t="str">
        <f>nmProd1Seg3</f>
        <v>Lordfrey City</v>
      </c>
      <c r="E1957">
        <f>decInputProd1Seg3PromotionAllocation_R1*obalProd1BudgetLeft</f>
        <v>66000</v>
      </c>
      <c r="F1957">
        <f>decInputProd1Seg3PromotionAllocation_R1*obalProd1BudgetLeft</f>
        <v>66000</v>
      </c>
      <c r="G1957">
        <f>decInputProd1Seg3PromotionAllocation_R1*obalProd1BudgetLeft</f>
        <v>66000</v>
      </c>
      <c r="H1957">
        <f>decInputProd1Seg3PromotionAllocation_R1*obalProd1BudgetLeft</f>
        <v>66000</v>
      </c>
      <c r="I1957">
        <f>decInputProd1Seg3PromotionAllocation_R1*obalProd1BudgetLeft</f>
        <v>66000</v>
      </c>
      <c r="J1957" t="s">
        <v>2445</v>
      </c>
    </row>
    <row r="1958" spans="1:10">
      <c r="A1958" s="4"/>
    </row>
    <row r="1959" spans="1:10" s="4" customFormat="1">
      <c r="C1959" s="4" t="s">
        <v>1534</v>
      </c>
      <c r="E1959" s="4">
        <f>E1954-SUM(E1955:E1958)</f>
        <v>2000</v>
      </c>
      <c r="F1959" s="4">
        <f t="shared" ref="F1959:I1959" si="104">F1954-SUM(F1955:F1958)</f>
        <v>2000</v>
      </c>
      <c r="G1959" s="4">
        <f t="shared" si="104"/>
        <v>2000</v>
      </c>
      <c r="H1959" s="4">
        <f t="shared" si="104"/>
        <v>2000</v>
      </c>
      <c r="I1959" s="4">
        <f t="shared" si="104"/>
        <v>2000</v>
      </c>
      <c r="J1959" s="4" t="s">
        <v>2401</v>
      </c>
    </row>
    <row r="1962" spans="1:10">
      <c r="B1962" t="s">
        <v>623</v>
      </c>
      <c r="C1962" s="4" t="s">
        <v>2413</v>
      </c>
      <c r="E1962" s="4">
        <f>obalProd1BudgetLeftR2</f>
        <v>190000</v>
      </c>
      <c r="F1962" s="4">
        <f>obalProd1BudgetLeftR2</f>
        <v>190000</v>
      </c>
      <c r="G1962" s="4">
        <f>obalProd1BudgetLeftR2</f>
        <v>190000</v>
      </c>
      <c r="H1962" s="4">
        <f>obalProd1BudgetLeftR2</f>
        <v>190000</v>
      </c>
      <c r="I1962" s="4">
        <f>obalProd1BudgetLeftR2</f>
        <v>190000</v>
      </c>
    </row>
    <row r="1963" spans="1:10">
      <c r="C1963" s="4"/>
      <c r="E1963" s="4"/>
      <c r="F1963" s="4"/>
      <c r="G1963" s="4"/>
      <c r="H1963" s="4"/>
      <c r="I1963" s="4"/>
    </row>
    <row r="1964" spans="1:10">
      <c r="A1964" s="4"/>
      <c r="C1964" t="str">
        <f>nmProd1Seg1</f>
        <v>Riverrun Central</v>
      </c>
      <c r="E1964">
        <f>decInputProd1Seg1PromotionAllocation_R2*E1962</f>
        <v>62700</v>
      </c>
      <c r="F1964">
        <f>decInputProd1Seg1PromotionAllocation_R2*F1962</f>
        <v>62700</v>
      </c>
      <c r="G1964">
        <f>decInputProd1Seg1PromotionAllocation_R2*G1962</f>
        <v>62700</v>
      </c>
      <c r="H1964">
        <f>decInputProd1Seg1PromotionAllocation_R2*H1962</f>
        <v>62700</v>
      </c>
      <c r="I1964">
        <f>decInputProd1Seg1PromotionAllocation_R2*I1962</f>
        <v>62700</v>
      </c>
      <c r="J1964" t="s">
        <v>2490</v>
      </c>
    </row>
    <row r="1965" spans="1:10">
      <c r="A1965" s="4"/>
      <c r="C1965" t="str">
        <f>nmProd1Seg2</f>
        <v>Tullyville</v>
      </c>
      <c r="E1965">
        <f>decInputProd1Seg2PromotionAllocation_R2*E1962</f>
        <v>62700</v>
      </c>
      <c r="F1965">
        <f>decInputProd1Seg2PromotionAllocation_R2*F1962</f>
        <v>62700</v>
      </c>
      <c r="G1965">
        <f>decInputProd1Seg2PromotionAllocation_R2*G1962</f>
        <v>62700</v>
      </c>
      <c r="H1965">
        <f>decInputProd1Seg2PromotionAllocation_R2*H1962</f>
        <v>62700</v>
      </c>
      <c r="I1965">
        <f>decInputProd1Seg2PromotionAllocation_R2*I1962</f>
        <v>62700</v>
      </c>
      <c r="J1965" t="s">
        <v>2491</v>
      </c>
    </row>
    <row r="1966" spans="1:10">
      <c r="A1966" s="4"/>
      <c r="C1966" t="str">
        <f>nmProd1Seg3</f>
        <v>Lordfrey City</v>
      </c>
      <c r="E1966">
        <f>decInputProd1Seg3PromotionAllocation_R2*E1962</f>
        <v>62700</v>
      </c>
      <c r="F1966">
        <f>decInputProd1Seg3PromotionAllocation_R2*F1962</f>
        <v>62700</v>
      </c>
      <c r="G1966">
        <f>decInputProd1Seg3PromotionAllocation_R2*G1962</f>
        <v>62700</v>
      </c>
      <c r="H1966">
        <f>decInputProd1Seg3PromotionAllocation_R2*H1962</f>
        <v>62700</v>
      </c>
      <c r="I1966">
        <f>decInputProd1Seg3PromotionAllocation_R2*I1962</f>
        <v>62700</v>
      </c>
      <c r="J1966" t="s">
        <v>2492</v>
      </c>
    </row>
    <row r="1968" spans="1:10">
      <c r="C1968" t="s">
        <v>1534</v>
      </c>
      <c r="E1968">
        <f>E1962-SUM(E1964:E1967)</f>
        <v>1900</v>
      </c>
      <c r="F1968">
        <f t="shared" ref="F1968:I1968" si="105">F1962-SUM(F1964:F1967)</f>
        <v>1900</v>
      </c>
      <c r="G1968">
        <f t="shared" si="105"/>
        <v>1900</v>
      </c>
      <c r="H1968">
        <f t="shared" si="105"/>
        <v>1900</v>
      </c>
      <c r="I1968">
        <f t="shared" si="105"/>
        <v>1900</v>
      </c>
      <c r="J1968" t="s">
        <v>2414</v>
      </c>
    </row>
    <row r="1971" spans="1:10" s="4" customFormat="1">
      <c r="A1971" s="4" t="str">
        <f>nmReg1</f>
        <v>The Region</v>
      </c>
      <c r="B1971" s="4" t="s">
        <v>622</v>
      </c>
      <c r="C1971" s="4" t="s">
        <v>1486</v>
      </c>
      <c r="E1971" s="4">
        <f>obalReg1BudgetLeft</f>
        <v>600000</v>
      </c>
      <c r="F1971" s="4">
        <f>obalReg1BudgetLeft</f>
        <v>600000</v>
      </c>
      <c r="G1971" s="4">
        <f>obalReg1BudgetLeft</f>
        <v>600000</v>
      </c>
      <c r="H1971" s="4">
        <f>obalReg1BudgetLeft</f>
        <v>600000</v>
      </c>
      <c r="I1971" s="4">
        <f>obalReg1BudgetLeft</f>
        <v>600000</v>
      </c>
    </row>
    <row r="1972" spans="1:10">
      <c r="A1972" s="4" t="str">
        <f>nmReg1</f>
        <v>The Region</v>
      </c>
      <c r="C1972" t="str">
        <f>nmReg1Seg1</f>
        <v>Riverrun</v>
      </c>
      <c r="E1972">
        <f>decInputReg1Seg1PromotionAllocation_R1*obalReg1BudgetLeft</f>
        <v>198000</v>
      </c>
      <c r="F1972">
        <f>decInputReg1Seg1PromotionAllocation_R1*obalReg1BudgetLeft</f>
        <v>198000</v>
      </c>
      <c r="G1972">
        <f>decInputReg1Seg1PromotionAllocation_R1*obalReg1BudgetLeft</f>
        <v>198000</v>
      </c>
      <c r="H1972">
        <f>decInputReg1Seg1PromotionAllocation_R1*obalReg1BudgetLeft</f>
        <v>198000</v>
      </c>
      <c r="I1972">
        <f>decInputReg1Seg1PromotionAllocation_R1*obalReg1BudgetLeft</f>
        <v>198000</v>
      </c>
      <c r="J1972" t="s">
        <v>2468</v>
      </c>
    </row>
    <row r="1973" spans="1:10">
      <c r="A1973" s="4"/>
      <c r="C1973" t="str">
        <f>nmReg1Seg2</f>
        <v>Winterfell</v>
      </c>
      <c r="E1973">
        <f>decInputReg1Seg2PromotionAllocation_R1*obalReg1BudgetLeft</f>
        <v>198000</v>
      </c>
      <c r="F1973">
        <f>decInputReg1Seg2PromotionAllocation_R1*obalReg1BudgetLeft</f>
        <v>198000</v>
      </c>
      <c r="G1973">
        <f>decInputReg1Seg2PromotionAllocation_R1*obalReg1BudgetLeft</f>
        <v>198000</v>
      </c>
      <c r="H1973">
        <f>decInputReg1Seg2PromotionAllocation_R1*obalReg1BudgetLeft</f>
        <v>198000</v>
      </c>
      <c r="I1973">
        <f>decInputReg1Seg2PromotionAllocation_R1*obalReg1BudgetLeft</f>
        <v>198000</v>
      </c>
      <c r="J1973" t="s">
        <v>2469</v>
      </c>
    </row>
    <row r="1974" spans="1:10">
      <c r="A1974" s="4"/>
      <c r="C1974" t="str">
        <f>nmReg1Seg3</f>
        <v>Harrenhal</v>
      </c>
      <c r="E1974">
        <f>decInputReg1Seg3PromotionAllocation_R1*obalReg1BudgetLeft</f>
        <v>198000</v>
      </c>
      <c r="F1974">
        <f>decInputReg1Seg3PromotionAllocation_R1*obalReg1BudgetLeft</f>
        <v>198000</v>
      </c>
      <c r="G1974">
        <f>decInputReg1Seg3PromotionAllocation_R1*obalReg1BudgetLeft</f>
        <v>198000</v>
      </c>
      <c r="H1974">
        <f>decInputReg1Seg3PromotionAllocation_R1*obalReg1BudgetLeft</f>
        <v>198000</v>
      </c>
      <c r="I1974">
        <f>decInputReg1Seg3PromotionAllocation_R1*obalReg1BudgetLeft</f>
        <v>198000</v>
      </c>
      <c r="J1974" t="s">
        <v>2470</v>
      </c>
    </row>
    <row r="1975" spans="1:10">
      <c r="A1975" s="4"/>
    </row>
    <row r="1976" spans="1:10">
      <c r="C1976" t="s">
        <v>1534</v>
      </c>
      <c r="E1976">
        <f>E1971-SUM(E1972:E1975)</f>
        <v>6000</v>
      </c>
      <c r="F1976">
        <f t="shared" ref="F1976:I1976" si="106">F1971-SUM(F1972:F1975)</f>
        <v>6000</v>
      </c>
      <c r="G1976">
        <f t="shared" si="106"/>
        <v>6000</v>
      </c>
      <c r="H1976">
        <f t="shared" si="106"/>
        <v>6000</v>
      </c>
      <c r="I1976">
        <f t="shared" si="106"/>
        <v>6000</v>
      </c>
      <c r="J1976" t="s">
        <v>2402</v>
      </c>
    </row>
    <row r="1978" spans="1:10">
      <c r="A1978" t="str">
        <f>nmReg1</f>
        <v>The Region</v>
      </c>
      <c r="B1978" t="s">
        <v>623</v>
      </c>
      <c r="C1978" t="s">
        <v>2413</v>
      </c>
      <c r="E1978">
        <f>obalReg1BudgetLeftR2</f>
        <v>570000</v>
      </c>
      <c r="F1978">
        <f>obalReg1BudgetLeftR2</f>
        <v>570000</v>
      </c>
      <c r="G1978">
        <f>obalReg1BudgetLeftR2</f>
        <v>570000</v>
      </c>
      <c r="H1978">
        <f>obalReg1BudgetLeftR2</f>
        <v>570000</v>
      </c>
      <c r="I1978">
        <f>obalReg1BudgetLeftR2</f>
        <v>570000</v>
      </c>
    </row>
    <row r="1979" spans="1:10">
      <c r="A1979" s="4" t="str">
        <f>nmReg1</f>
        <v>The Region</v>
      </c>
      <c r="C1979" t="str">
        <f>nmReg1Seg1</f>
        <v>Riverrun</v>
      </c>
      <c r="E1979">
        <f>decInputReg1Seg1PromotionAllocation_R2*obalReg1BudgetLeftR2</f>
        <v>188100</v>
      </c>
      <c r="F1979">
        <f>decInputReg1Seg1PromotionAllocation_R2*obalReg1BudgetLeftR2</f>
        <v>188100</v>
      </c>
      <c r="G1979">
        <f>decInputReg1Seg1PromotionAllocation_R2*obalReg1BudgetLeftR2</f>
        <v>188100</v>
      </c>
      <c r="H1979">
        <f>decInputReg1Seg1PromotionAllocation_R2*obalReg1BudgetLeftR2</f>
        <v>188100</v>
      </c>
      <c r="I1979">
        <f>decInputReg1Seg1PromotionAllocation_R2*obalReg1BudgetLeftR2</f>
        <v>188100</v>
      </c>
      <c r="J1979" t="s">
        <v>2493</v>
      </c>
    </row>
    <row r="1980" spans="1:10">
      <c r="A1980" s="4"/>
      <c r="C1980" t="str">
        <f>nmReg1Seg2</f>
        <v>Winterfell</v>
      </c>
      <c r="E1980">
        <f>decInputReg1Seg2PromotionAllocation_R2*obalReg1BudgetLeftR2</f>
        <v>188100</v>
      </c>
      <c r="F1980">
        <f>decInputReg1Seg2PromotionAllocation_R2*obalReg1BudgetLeftR2</f>
        <v>188100</v>
      </c>
      <c r="G1980">
        <f>decInputReg1Seg2PromotionAllocation_R2*obalReg1BudgetLeftR2</f>
        <v>188100</v>
      </c>
      <c r="H1980">
        <f>decInputReg1Seg2PromotionAllocation_R2*obalReg1BudgetLeftR2</f>
        <v>188100</v>
      </c>
      <c r="I1980">
        <f>decInputReg1Seg2PromotionAllocation_R2*obalReg1BudgetLeftR2</f>
        <v>188100</v>
      </c>
      <c r="J1980" t="s">
        <v>2494</v>
      </c>
    </row>
    <row r="1981" spans="1:10">
      <c r="A1981" s="4"/>
      <c r="C1981" t="str">
        <f>nmReg1Seg3</f>
        <v>Harrenhal</v>
      </c>
      <c r="E1981">
        <f>decInputReg1Seg3PromotionAllocation_R2*obalReg1BudgetLeftR2</f>
        <v>188100</v>
      </c>
      <c r="F1981">
        <f>decInputReg1Seg3PromotionAllocation_R2*obalReg1BudgetLeftR2</f>
        <v>188100</v>
      </c>
      <c r="G1981">
        <f>decInputReg1Seg3PromotionAllocation_R2*obalReg1BudgetLeftR2</f>
        <v>188100</v>
      </c>
      <c r="H1981">
        <f>decInputReg1Seg3PromotionAllocation_R2*obalReg1BudgetLeftR2</f>
        <v>188100</v>
      </c>
      <c r="I1981">
        <f>decInputReg1Seg3PromotionAllocation_R2*obalReg1BudgetLeftR2</f>
        <v>188100</v>
      </c>
      <c r="J1981" t="s">
        <v>2495</v>
      </c>
    </row>
    <row r="1983" spans="1:10">
      <c r="C1983" t="s">
        <v>1534</v>
      </c>
      <c r="E1983">
        <f>E1978-SUM(E1979:E1981)</f>
        <v>5700</v>
      </c>
      <c r="F1983">
        <f t="shared" ref="F1983:I1983" si="107">F1978-SUM(F1979:F1981)</f>
        <v>5700</v>
      </c>
      <c r="G1983">
        <f t="shared" si="107"/>
        <v>5700</v>
      </c>
      <c r="H1983">
        <f t="shared" si="107"/>
        <v>5700</v>
      </c>
      <c r="I1983">
        <f t="shared" si="107"/>
        <v>5700</v>
      </c>
      <c r="J1983" t="s">
        <v>2415</v>
      </c>
    </row>
    <row r="1984" spans="1:10">
      <c r="A1984" s="4" t="s">
        <v>2421</v>
      </c>
    </row>
    <row r="1985" spans="1:10">
      <c r="A1985" t="str">
        <f>nmProd1</f>
        <v>Riverrun</v>
      </c>
      <c r="B1985" t="s">
        <v>622</v>
      </c>
      <c r="C1985" t="s">
        <v>1486</v>
      </c>
      <c r="E1985">
        <f>obalProd1FTEsLeft</f>
        <v>150</v>
      </c>
      <c r="F1985">
        <f>obalProd1FTEsLeft</f>
        <v>150</v>
      </c>
      <c r="G1985">
        <f>obalProd1FTEsLeft</f>
        <v>150</v>
      </c>
      <c r="H1985">
        <f>obalProd1FTEsLeft</f>
        <v>150</v>
      </c>
      <c r="I1985">
        <f>obalProd1FTEsLeft</f>
        <v>150</v>
      </c>
    </row>
    <row r="1986" spans="1:10">
      <c r="B1986" t="str">
        <f>nmProd1Seg1</f>
        <v>Riverrun Central</v>
      </c>
      <c r="C1986" t="s">
        <v>2667</v>
      </c>
      <c r="E1986">
        <f>INDEX(dataCFFTEs,decInputProd1Seg1CfCollab_R1+1,)</f>
        <v>0</v>
      </c>
      <c r="F1986">
        <f>INDEX(dataCFFTEs,decInputProd1Seg1CfCollab_R1+1,)</f>
        <v>0</v>
      </c>
      <c r="G1986">
        <f>INDEX(dataCFFTEs,decInputProd1Seg1CfCollab_R1+1,)</f>
        <v>0</v>
      </c>
      <c r="H1986">
        <f>INDEX(dataCFFTEs,decInputProd1Seg1CfCollab_R1+1,)</f>
        <v>0</v>
      </c>
      <c r="I1986">
        <f>INDEX(dataCFFTEs,decInputProd1Seg1CfCollab_R1+1,)</f>
        <v>0</v>
      </c>
      <c r="J1986" t="s">
        <v>2679</v>
      </c>
    </row>
    <row r="1987" spans="1:10">
      <c r="C1987" t="s">
        <v>2668</v>
      </c>
      <c r="E1987">
        <f>INDEX(dataRegTrainFTEs,decInputProd1Seg1RegTrainer_R1+1,)</f>
        <v>0</v>
      </c>
      <c r="F1987">
        <f>INDEX(dataRegTrainFTEs,decInputProd1Seg1RegTrainer_R1+1,)</f>
        <v>0</v>
      </c>
      <c r="G1987">
        <f>INDEX(dataRegTrainFTEs,decInputProd1Seg1RegTrainer_R1+1,)</f>
        <v>0</v>
      </c>
      <c r="H1987">
        <f>INDEX(dataRegTrainFTEs,decInputProd1Seg1RegTrainer_R1+1,)</f>
        <v>0</v>
      </c>
      <c r="I1987">
        <f>INDEX(dataRegTrainFTEs,decInputProd1Seg1RegTrainer_R1+1,)</f>
        <v>0</v>
      </c>
      <c r="J1987" t="s">
        <v>2680</v>
      </c>
    </row>
    <row r="1988" spans="1:10">
      <c r="C1988" t="str">
        <f>nmProd1Seg1Rep1</f>
        <v>Rep Allen</v>
      </c>
      <c r="E1988">
        <f>INDEX(dataCoachingFTEs,decInputProd1Seg1Rep1Coaching_R1+1,)</f>
        <v>0</v>
      </c>
      <c r="F1988">
        <f>INDEX(dataCoachingFTEs,decInputProd1Seg1Rep1Coaching_R1+1,)</f>
        <v>0</v>
      </c>
      <c r="G1988">
        <f>INDEX(dataCoachingFTEs,decInputProd1Seg1Rep1Coaching_R1+1,)</f>
        <v>0</v>
      </c>
      <c r="H1988">
        <f>INDEX(dataCoachingFTEs,decInputProd1Seg1Rep1Coaching_R1+1,)</f>
        <v>0</v>
      </c>
      <c r="I1988">
        <f>INDEX(dataCoachingFTEs,decInputProd1Seg1Rep1Coaching_R1+1,)</f>
        <v>0</v>
      </c>
      <c r="J1988" t="s">
        <v>2681</v>
      </c>
    </row>
    <row r="1989" spans="1:10">
      <c r="C1989" t="str">
        <f>nmProd1Seg1Rep2</f>
        <v>Rep Betty</v>
      </c>
      <c r="E1989">
        <f>INDEX(dataCoachingFTEs,decInputProd1Seg1Rep2Coaching_R1+1,)</f>
        <v>0</v>
      </c>
      <c r="F1989">
        <f>INDEX(dataCoachingFTEs,decInputProd1Seg1Rep2Coaching_R1+1,)</f>
        <v>0</v>
      </c>
      <c r="G1989">
        <f>INDEX(dataCoachingFTEs,decInputProd1Seg1Rep2Coaching_R1+1,)</f>
        <v>0</v>
      </c>
      <c r="H1989">
        <f>INDEX(dataCoachingFTEs,decInputProd1Seg1Rep2Coaching_R1+1,)</f>
        <v>0</v>
      </c>
      <c r="I1989">
        <f>INDEX(dataCoachingFTEs,decInputProd1Seg1Rep2Coaching_R1+1,)</f>
        <v>0</v>
      </c>
      <c r="J1989" t="s">
        <v>2682</v>
      </c>
    </row>
    <row r="1990" spans="1:10">
      <c r="C1990" t="str">
        <f>nmProd1Seg1Rep3</f>
        <v>Rep Chris</v>
      </c>
      <c r="E1990">
        <f>INDEX(dataCoachingFTEs,decInputProd1Seg1Rep3Coaching_R1+1,)</f>
        <v>0</v>
      </c>
      <c r="F1990">
        <f>INDEX(dataCoachingFTEs,decInputProd1Seg1Rep3Coaching_R1+1,)</f>
        <v>0</v>
      </c>
      <c r="G1990">
        <f>INDEX(dataCoachingFTEs,decInputProd1Seg1Rep3Coaching_R1+1,)</f>
        <v>0</v>
      </c>
      <c r="H1990">
        <f>INDEX(dataCoachingFTEs,decInputProd1Seg1Rep3Coaching_R1+1,)</f>
        <v>0</v>
      </c>
      <c r="I1990">
        <f>INDEX(dataCoachingFTEs,decInputProd1Seg1Rep3Coaching_R1+1,)</f>
        <v>0</v>
      </c>
      <c r="J1990" t="s">
        <v>2683</v>
      </c>
    </row>
    <row r="1991" spans="1:10">
      <c r="B1991" t="str">
        <f>nmProd1Seg2</f>
        <v>Tullyville</v>
      </c>
      <c r="C1991" t="s">
        <v>2667</v>
      </c>
      <c r="E1991">
        <f>INDEX(dataCFFTEs,decInputProd1Seg2CfCollab_R1+1,)</f>
        <v>0</v>
      </c>
      <c r="F1991">
        <f>INDEX(dataCFFTEs,decInputProd1Seg2CfCollab_R1+1,)</f>
        <v>0</v>
      </c>
      <c r="G1991">
        <f>INDEX(dataCFFTEs,decInputProd1Seg2CfCollab_R1+1,)</f>
        <v>0</v>
      </c>
      <c r="H1991">
        <f>INDEX(dataCFFTEs,decInputProd1Seg2CfCollab_R1+1,)</f>
        <v>0</v>
      </c>
      <c r="I1991">
        <f>INDEX(dataCFFTEs,decInputProd1Seg2CfCollab_R1+1,)</f>
        <v>0</v>
      </c>
      <c r="J1991" t="s">
        <v>2674</v>
      </c>
    </row>
    <row r="1992" spans="1:10">
      <c r="C1992" t="s">
        <v>2668</v>
      </c>
      <c r="E1992">
        <f>INDEX(dataRegTrainFTEs,decInputProd1Seg2RegTrainer_R1+1,)</f>
        <v>0</v>
      </c>
      <c r="F1992">
        <f>INDEX(dataRegTrainFTEs,decInputProd1Seg2RegTrainer_R1+1,)</f>
        <v>0</v>
      </c>
      <c r="G1992">
        <f>INDEX(dataRegTrainFTEs,decInputProd1Seg2RegTrainer_R1+1,)</f>
        <v>0</v>
      </c>
      <c r="H1992">
        <f>INDEX(dataRegTrainFTEs,decInputProd1Seg2RegTrainer_R1+1,)</f>
        <v>0</v>
      </c>
      <c r="I1992">
        <f>INDEX(dataRegTrainFTEs,decInputProd1Seg2RegTrainer_R1+1,)</f>
        <v>0</v>
      </c>
      <c r="J1992" t="s">
        <v>2675</v>
      </c>
    </row>
    <row r="1993" spans="1:10">
      <c r="C1993" t="str">
        <f>nmProd1Seg2Rep1</f>
        <v>Rep Danielle</v>
      </c>
      <c r="E1993">
        <f>INDEX(dataCoachingFTEs,decInputProd1Seg2Rep1Coaching_R1+1,)</f>
        <v>0</v>
      </c>
      <c r="F1993">
        <f>INDEX(dataCoachingFTEs,decInputProd1Seg2Rep1Coaching_R1+1,)</f>
        <v>0</v>
      </c>
      <c r="G1993">
        <f>INDEX(dataCoachingFTEs,decInputProd1Seg2Rep1Coaching_R1+1,)</f>
        <v>0</v>
      </c>
      <c r="H1993">
        <f>INDEX(dataCoachingFTEs,decInputProd1Seg2Rep1Coaching_R1+1,)</f>
        <v>0</v>
      </c>
      <c r="I1993">
        <f>INDEX(dataCoachingFTEs,decInputProd1Seg2Rep1Coaching_R1+1,)</f>
        <v>0</v>
      </c>
      <c r="J1993" t="s">
        <v>2676</v>
      </c>
    </row>
    <row r="1994" spans="1:10">
      <c r="C1994" t="str">
        <f>nmProd1Seg2Rep2</f>
        <v>Rep Elliot</v>
      </c>
      <c r="E1994">
        <f>INDEX(dataCoachingFTEs,decInputProd1Seg2Rep2Coaching_R1+1,)</f>
        <v>0</v>
      </c>
      <c r="F1994">
        <f>INDEX(dataCoachingFTEs,decInputProd1Seg2Rep2Coaching_R1+1,)</f>
        <v>0</v>
      </c>
      <c r="G1994">
        <f>INDEX(dataCoachingFTEs,decInputProd1Seg2Rep2Coaching_R1+1,)</f>
        <v>0</v>
      </c>
      <c r="H1994">
        <f>INDEX(dataCoachingFTEs,decInputProd1Seg2Rep2Coaching_R1+1,)</f>
        <v>0</v>
      </c>
      <c r="I1994">
        <f>INDEX(dataCoachingFTEs,decInputProd1Seg2Rep2Coaching_R1+1,)</f>
        <v>0</v>
      </c>
      <c r="J1994" t="s">
        <v>2677</v>
      </c>
    </row>
    <row r="1995" spans="1:10">
      <c r="C1995" t="str">
        <f>nmProd1Seg2Rep3</f>
        <v>Rep Fiona</v>
      </c>
      <c r="E1995">
        <f>INDEX(dataCoachingFTEs,decInputProd1Seg2Rep3Coaching_R1+1,)</f>
        <v>0</v>
      </c>
      <c r="F1995">
        <f>INDEX(dataCoachingFTEs,decInputProd1Seg2Rep3Coaching_R1+1,)</f>
        <v>0</v>
      </c>
      <c r="G1995">
        <f>INDEX(dataCoachingFTEs,decInputProd1Seg2Rep3Coaching_R1+1,)</f>
        <v>0</v>
      </c>
      <c r="H1995">
        <f>INDEX(dataCoachingFTEs,decInputProd1Seg2Rep3Coaching_R1+1,)</f>
        <v>0</v>
      </c>
      <c r="I1995">
        <f>INDEX(dataCoachingFTEs,decInputProd1Seg2Rep3Coaching_R1+1,)</f>
        <v>0</v>
      </c>
      <c r="J1995" t="s">
        <v>2678</v>
      </c>
    </row>
    <row r="1996" spans="1:10">
      <c r="B1996" t="str">
        <f>nmProd1Seg3</f>
        <v>Lordfrey City</v>
      </c>
      <c r="C1996" t="s">
        <v>2667</v>
      </c>
      <c r="E1996">
        <f>INDEX(dataCFFTEs,decInputProd1Seg3CfCollab_R1+1,)</f>
        <v>0</v>
      </c>
      <c r="F1996">
        <f>INDEX(dataCFFTEs,decInputProd1Seg3CfCollab_R1+1,)</f>
        <v>0</v>
      </c>
      <c r="G1996">
        <f>INDEX(dataCFFTEs,decInputProd1Seg3CfCollab_R1+1,)</f>
        <v>0</v>
      </c>
      <c r="H1996">
        <f>INDEX(dataCFFTEs,decInputProd1Seg3CfCollab_R1+1,)</f>
        <v>0</v>
      </c>
      <c r="I1996">
        <f>INDEX(dataCFFTEs,decInputProd1Seg3CfCollab_R1+1,)</f>
        <v>0</v>
      </c>
      <c r="J1996" t="s">
        <v>2673</v>
      </c>
    </row>
    <row r="1997" spans="1:10">
      <c r="C1997" t="s">
        <v>2668</v>
      </c>
      <c r="E1997">
        <f>INDEX(dataRegTrainFTEs,decInputProd1Seg3RegTrainer_R1+1,)</f>
        <v>0</v>
      </c>
      <c r="F1997">
        <f>INDEX(dataRegTrainFTEs,decInputProd1Seg3RegTrainer_R1+1,)</f>
        <v>0</v>
      </c>
      <c r="G1997">
        <f>INDEX(dataRegTrainFTEs,decInputProd1Seg3RegTrainer_R1+1,)</f>
        <v>0</v>
      </c>
      <c r="H1997">
        <f>INDEX(dataRegTrainFTEs,decInputProd1Seg3RegTrainer_R1+1,)</f>
        <v>0</v>
      </c>
      <c r="I1997">
        <f>INDEX(dataRegTrainFTEs,decInputProd1Seg3RegTrainer_R1+1,)</f>
        <v>0</v>
      </c>
      <c r="J1997" t="s">
        <v>2672</v>
      </c>
    </row>
    <row r="1998" spans="1:10">
      <c r="C1998" t="str">
        <f>nmProd1Seg3Rep1</f>
        <v>Rep Gregg</v>
      </c>
      <c r="E1998">
        <f>INDEX(dataCoachingFTEs,decInputProd1Seg3Rep1Coaching_R1+1,)</f>
        <v>0</v>
      </c>
      <c r="F1998">
        <f>INDEX(dataCoachingFTEs,decInputProd1Seg3Rep1Coaching_R1+1,)</f>
        <v>0</v>
      </c>
      <c r="G1998">
        <f>INDEX(dataCoachingFTEs,decInputProd1Seg3Rep1Coaching_R1+1,)</f>
        <v>0</v>
      </c>
      <c r="H1998">
        <f>INDEX(dataCoachingFTEs,decInputProd1Seg3Rep1Coaching_R1+1,)</f>
        <v>0</v>
      </c>
      <c r="I1998">
        <f>INDEX(dataCoachingFTEs,decInputProd1Seg3Rep1Coaching_R1+1,)</f>
        <v>0</v>
      </c>
      <c r="J1998" t="s">
        <v>2671</v>
      </c>
    </row>
    <row r="1999" spans="1:10">
      <c r="C1999" t="str">
        <f>nmProd1Seg3Rep2</f>
        <v>Rep Howard</v>
      </c>
      <c r="E1999">
        <f>INDEX(dataCoachingFTEs,decInputProd1Seg3Rep2Coaching_R1+1,)</f>
        <v>0</v>
      </c>
      <c r="F1999">
        <f>INDEX(dataCoachingFTEs,decInputProd1Seg3Rep2Coaching_R1+1,)</f>
        <v>0</v>
      </c>
      <c r="G1999">
        <f>INDEX(dataCoachingFTEs,decInputProd1Seg3Rep2Coaching_R1+1,)</f>
        <v>0</v>
      </c>
      <c r="H1999">
        <f>INDEX(dataCoachingFTEs,decInputProd1Seg3Rep2Coaching_R1+1,)</f>
        <v>0</v>
      </c>
      <c r="I1999">
        <f>INDEX(dataCoachingFTEs,decInputProd1Seg3Rep2Coaching_R1+1,)</f>
        <v>0</v>
      </c>
      <c r="J1999" t="s">
        <v>2670</v>
      </c>
    </row>
    <row r="2000" spans="1:10">
      <c r="C2000" t="str">
        <f>nmProd1Seg3Rep3</f>
        <v>Rep Isabelle</v>
      </c>
      <c r="E2000">
        <f>INDEX(dataCoachingFTEs,decInputProd1Seg3Rep3Coaching_R1+1,)</f>
        <v>0</v>
      </c>
      <c r="F2000">
        <f>INDEX(dataCoachingFTEs,decInputProd1Seg3Rep3Coaching_R1+1,)</f>
        <v>0</v>
      </c>
      <c r="G2000">
        <f>INDEX(dataCoachingFTEs,decInputProd1Seg3Rep3Coaching_R1+1,)</f>
        <v>0</v>
      </c>
      <c r="H2000">
        <f>INDEX(dataCoachingFTEs,decInputProd1Seg3Rep3Coaching_R1+1,)</f>
        <v>0</v>
      </c>
      <c r="I2000">
        <f>INDEX(dataCoachingFTEs,decInputProd1Seg3Rep3Coaching_R1+1,)</f>
        <v>0</v>
      </c>
      <c r="J2000" t="s">
        <v>2669</v>
      </c>
    </row>
    <row r="2003" spans="2:10" s="4" customFormat="1">
      <c r="C2003" s="4" t="s">
        <v>2423</v>
      </c>
      <c r="E2003" s="4">
        <f>E1985-SUM(E1986:E2002)</f>
        <v>150</v>
      </c>
      <c r="F2003" s="4">
        <f t="shared" ref="F2003" si="108">F1985-SUM(F1986:F2002)</f>
        <v>150</v>
      </c>
      <c r="G2003" s="4">
        <f t="shared" ref="G2003" si="109">G1985-SUM(G1986:G2002)</f>
        <v>150</v>
      </c>
      <c r="H2003" s="4">
        <f t="shared" ref="H2003" si="110">H1985-SUM(H1986:H2002)</f>
        <v>150</v>
      </c>
      <c r="I2003" s="4">
        <f t="shared" ref="I2003" si="111">I1985-SUM(I1986:I2002)</f>
        <v>150</v>
      </c>
      <c r="J2003" s="4" t="s">
        <v>2425</v>
      </c>
    </row>
    <row r="2005" spans="2:10">
      <c r="B2005" t="s">
        <v>623</v>
      </c>
      <c r="C2005" t="s">
        <v>1486</v>
      </c>
      <c r="E2005">
        <f>obalProd1FTEsLeft</f>
        <v>150</v>
      </c>
      <c r="F2005">
        <f>obalProd1FTEsLeft</f>
        <v>150</v>
      </c>
      <c r="G2005">
        <f>obalProd1FTEsLeft</f>
        <v>150</v>
      </c>
      <c r="H2005">
        <f>obalProd1FTEsLeft</f>
        <v>150</v>
      </c>
      <c r="I2005">
        <f>obalProd1FTEsLeft</f>
        <v>150</v>
      </c>
    </row>
    <row r="2006" spans="2:10">
      <c r="B2006" t="str">
        <f>nmProd1Seg1</f>
        <v>Riverrun Central</v>
      </c>
      <c r="C2006" t="s">
        <v>2667</v>
      </c>
      <c r="E2006">
        <f>INDEX(dataCFFTEs,decInputProd1Seg1CfCollab_R2+1,)</f>
        <v>0</v>
      </c>
      <c r="F2006">
        <f>INDEX(dataCFFTEs,decInputProd1Seg1CfCollab_R2+1,)</f>
        <v>0</v>
      </c>
      <c r="G2006">
        <f>INDEX(dataCFFTEs,decInputProd1Seg1CfCollab_R2+1,)</f>
        <v>0</v>
      </c>
      <c r="H2006">
        <f>INDEX(dataCFFTEs,decInputProd1Seg1CfCollab_R2+1,)</f>
        <v>0</v>
      </c>
      <c r="I2006">
        <f>INDEX(dataCFFTEs,decInputProd1Seg1CfCollab_R2+1,)</f>
        <v>0</v>
      </c>
      <c r="J2006" t="s">
        <v>2684</v>
      </c>
    </row>
    <row r="2007" spans="2:10">
      <c r="C2007" t="s">
        <v>2668</v>
      </c>
      <c r="E2007">
        <f>INDEX(dataRegTrainFTEs,decInputProd1Seg1RegTrainer_R2+1,)</f>
        <v>0</v>
      </c>
      <c r="F2007">
        <f>INDEX(dataRegTrainFTEs,decInputProd1Seg1RegTrainer_R2+1,)</f>
        <v>0</v>
      </c>
      <c r="G2007">
        <f>INDEX(dataRegTrainFTEs,decInputProd1Seg1RegTrainer_R2+1,)</f>
        <v>0</v>
      </c>
      <c r="H2007">
        <f>INDEX(dataRegTrainFTEs,decInputProd1Seg1RegTrainer_R2+1,)</f>
        <v>0</v>
      </c>
      <c r="I2007">
        <f>INDEX(dataRegTrainFTEs,decInputProd1Seg1RegTrainer_R2+1,)</f>
        <v>0</v>
      </c>
      <c r="J2007" t="s">
        <v>2685</v>
      </c>
    </row>
    <row r="2008" spans="2:10">
      <c r="C2008" t="str">
        <f>nmProd1Seg1Rep1</f>
        <v>Rep Allen</v>
      </c>
      <c r="E2008">
        <f>INDEX(dataCoachingFTEs,decInputProd1Seg1Rep1Coaching_R2+1,)</f>
        <v>0</v>
      </c>
      <c r="F2008">
        <f>INDEX(dataCoachingFTEs,decInputProd1Seg1Rep1Coaching_R2+1,)</f>
        <v>0</v>
      </c>
      <c r="G2008">
        <f>INDEX(dataCoachingFTEs,decInputProd1Seg1Rep1Coaching_R2+1,)</f>
        <v>0</v>
      </c>
      <c r="H2008">
        <f>INDEX(dataCoachingFTEs,decInputProd1Seg1Rep1Coaching_R2+1,)</f>
        <v>0</v>
      </c>
      <c r="I2008">
        <f>INDEX(dataCoachingFTEs,decInputProd1Seg1Rep1Coaching_R2+1,)</f>
        <v>0</v>
      </c>
      <c r="J2008" t="s">
        <v>2686</v>
      </c>
    </row>
    <row r="2009" spans="2:10">
      <c r="C2009" t="str">
        <f>nmProd1Seg1Rep2</f>
        <v>Rep Betty</v>
      </c>
      <c r="E2009">
        <f>INDEX(dataCoachingFTEs,decInputProd1Seg1Rep2Coaching_R2+1,)</f>
        <v>0</v>
      </c>
      <c r="F2009">
        <f>INDEX(dataCoachingFTEs,decInputProd1Seg1Rep2Coaching_R2+1,)</f>
        <v>0</v>
      </c>
      <c r="G2009">
        <f>INDEX(dataCoachingFTEs,decInputProd1Seg1Rep2Coaching_R2+1,)</f>
        <v>0</v>
      </c>
      <c r="H2009">
        <f>INDEX(dataCoachingFTEs,decInputProd1Seg1Rep2Coaching_R2+1,)</f>
        <v>0</v>
      </c>
      <c r="I2009">
        <f>INDEX(dataCoachingFTEs,decInputProd1Seg1Rep2Coaching_R2+1,)</f>
        <v>0</v>
      </c>
      <c r="J2009" t="s">
        <v>2687</v>
      </c>
    </row>
    <row r="2010" spans="2:10">
      <c r="C2010" t="str">
        <f>nmProd1Seg1Rep3</f>
        <v>Rep Chris</v>
      </c>
      <c r="E2010">
        <f>INDEX(dataCoachingFTEs,decInputProd1Seg1Rep3Coaching_R2+1,)</f>
        <v>0</v>
      </c>
      <c r="F2010">
        <f>INDEX(dataCoachingFTEs,decInputProd1Seg1Rep3Coaching_R2+1,)</f>
        <v>0</v>
      </c>
      <c r="G2010">
        <f>INDEX(dataCoachingFTEs,decInputProd1Seg1Rep3Coaching_R2+1,)</f>
        <v>0</v>
      </c>
      <c r="H2010">
        <f>INDEX(dataCoachingFTEs,decInputProd1Seg1Rep3Coaching_R2+1,)</f>
        <v>0</v>
      </c>
      <c r="I2010">
        <f>INDEX(dataCoachingFTEs,decInputProd1Seg1Rep3Coaching_R2+1,)</f>
        <v>0</v>
      </c>
      <c r="J2010" t="s">
        <v>2688</v>
      </c>
    </row>
    <row r="2011" spans="2:10">
      <c r="B2011" t="str">
        <f>nmProd1Seg2</f>
        <v>Tullyville</v>
      </c>
      <c r="C2011" t="s">
        <v>2667</v>
      </c>
      <c r="E2011">
        <f>INDEX(dataCFFTEs,decInputProd1Seg2CfCollab_R2+1,)</f>
        <v>0</v>
      </c>
      <c r="F2011">
        <f>INDEX(dataCFFTEs,decInputProd1Seg2CfCollab_R2+1,)</f>
        <v>0</v>
      </c>
      <c r="G2011">
        <f>INDEX(dataCFFTEs,decInputProd1Seg2CfCollab_R2+1,)</f>
        <v>0</v>
      </c>
      <c r="H2011">
        <f>INDEX(dataCFFTEs,decInputProd1Seg2CfCollab_R2+1,)</f>
        <v>0</v>
      </c>
      <c r="I2011">
        <f>INDEX(dataCFFTEs,decInputProd1Seg2CfCollab_R2+1,)</f>
        <v>0</v>
      </c>
      <c r="J2011" t="s">
        <v>2689</v>
      </c>
    </row>
    <row r="2012" spans="2:10">
      <c r="C2012" t="s">
        <v>2668</v>
      </c>
      <c r="E2012">
        <f>INDEX(dataRegTrainFTEs,decInputProd1Seg2RegTrainer_R2+1,)</f>
        <v>0</v>
      </c>
      <c r="F2012">
        <f>INDEX(dataRegTrainFTEs,decInputProd1Seg2RegTrainer_R2+1,)</f>
        <v>0</v>
      </c>
      <c r="G2012">
        <f>INDEX(dataRegTrainFTEs,decInputProd1Seg2RegTrainer_R2+1,)</f>
        <v>0</v>
      </c>
      <c r="H2012">
        <f>INDEX(dataRegTrainFTEs,decInputProd1Seg2RegTrainer_R2+1,)</f>
        <v>0</v>
      </c>
      <c r="I2012">
        <f>INDEX(dataRegTrainFTEs,decInputProd1Seg2RegTrainer_R2+1,)</f>
        <v>0</v>
      </c>
      <c r="J2012" t="s">
        <v>2690</v>
      </c>
    </row>
    <row r="2013" spans="2:10">
      <c r="C2013" t="str">
        <f>nmProd1Seg2Rep1</f>
        <v>Rep Danielle</v>
      </c>
      <c r="E2013">
        <f>INDEX(dataCoachingFTEs,decInputProd1Seg2Rep1Coaching_R2+1,)</f>
        <v>0</v>
      </c>
      <c r="F2013">
        <f>INDEX(dataCoachingFTEs,decInputProd1Seg2Rep1Coaching_R2+1,)</f>
        <v>0</v>
      </c>
      <c r="G2013">
        <f>INDEX(dataCoachingFTEs,decInputProd1Seg2Rep1Coaching_R2+1,)</f>
        <v>0</v>
      </c>
      <c r="H2013">
        <f>INDEX(dataCoachingFTEs,decInputProd1Seg2Rep1Coaching_R2+1,)</f>
        <v>0</v>
      </c>
      <c r="I2013">
        <f>INDEX(dataCoachingFTEs,decInputProd1Seg2Rep1Coaching_R2+1,)</f>
        <v>0</v>
      </c>
      <c r="J2013" t="s">
        <v>2691</v>
      </c>
    </row>
    <row r="2014" spans="2:10">
      <c r="C2014" t="str">
        <f>nmProd1Seg2Rep2</f>
        <v>Rep Elliot</v>
      </c>
      <c r="E2014">
        <f>INDEX(dataCoachingFTEs,decInputProd1Seg2Rep2Coaching_R2+1,)</f>
        <v>0</v>
      </c>
      <c r="F2014">
        <f>INDEX(dataCoachingFTEs,decInputProd1Seg2Rep2Coaching_R2+1,)</f>
        <v>0</v>
      </c>
      <c r="G2014">
        <f>INDEX(dataCoachingFTEs,decInputProd1Seg2Rep2Coaching_R2+1,)</f>
        <v>0</v>
      </c>
      <c r="H2014">
        <f>INDEX(dataCoachingFTEs,decInputProd1Seg2Rep2Coaching_R2+1,)</f>
        <v>0</v>
      </c>
      <c r="I2014">
        <f>INDEX(dataCoachingFTEs,decInputProd1Seg2Rep2Coaching_R2+1,)</f>
        <v>0</v>
      </c>
      <c r="J2014" t="s">
        <v>2692</v>
      </c>
    </row>
    <row r="2015" spans="2:10">
      <c r="C2015" t="str">
        <f>nmProd1Seg2Rep3</f>
        <v>Rep Fiona</v>
      </c>
      <c r="E2015">
        <f>INDEX(dataCoachingFTEs,decInputProd1Seg2Rep3Coaching_R2+1,)</f>
        <v>0</v>
      </c>
      <c r="F2015">
        <f>INDEX(dataCoachingFTEs,decInputProd1Seg2Rep3Coaching_R2+1,)</f>
        <v>0</v>
      </c>
      <c r="G2015">
        <f>INDEX(dataCoachingFTEs,decInputProd1Seg2Rep3Coaching_R2+1,)</f>
        <v>0</v>
      </c>
      <c r="H2015">
        <f>INDEX(dataCoachingFTEs,decInputProd1Seg2Rep3Coaching_R2+1,)</f>
        <v>0</v>
      </c>
      <c r="I2015">
        <f>INDEX(dataCoachingFTEs,decInputProd1Seg2Rep3Coaching_R2+1,)</f>
        <v>0</v>
      </c>
      <c r="J2015" t="s">
        <v>2693</v>
      </c>
    </row>
    <row r="2016" spans="2:10">
      <c r="B2016" t="str">
        <f>nmProd1Seg3</f>
        <v>Lordfrey City</v>
      </c>
      <c r="C2016" t="s">
        <v>2667</v>
      </c>
      <c r="E2016">
        <f>INDEX(dataCFFTEs,decInputProd1Seg3CfCollab_R2+1,)</f>
        <v>0</v>
      </c>
      <c r="F2016">
        <f>INDEX(dataCFFTEs,decInputProd1Seg3CfCollab_R2+1,)</f>
        <v>0</v>
      </c>
      <c r="G2016">
        <f>INDEX(dataCFFTEs,decInputProd1Seg3CfCollab_R2+1,)</f>
        <v>0</v>
      </c>
      <c r="H2016">
        <f>INDEX(dataCFFTEs,decInputProd1Seg3CfCollab_R2+1,)</f>
        <v>0</v>
      </c>
      <c r="I2016">
        <f>INDEX(dataCFFTEs,decInputProd1Seg3CfCollab_R2+1,)</f>
        <v>0</v>
      </c>
      <c r="J2016" t="s">
        <v>2694</v>
      </c>
    </row>
    <row r="2017" spans="1:10">
      <c r="C2017" t="s">
        <v>2668</v>
      </c>
      <c r="E2017">
        <f>INDEX(dataRegTrainFTEs,decInputProd1Seg3RegTrainer_R2+1,)</f>
        <v>0</v>
      </c>
      <c r="F2017">
        <f>INDEX(dataRegTrainFTEs,decInputProd1Seg3RegTrainer_R2+1,)</f>
        <v>0</v>
      </c>
      <c r="G2017">
        <f>INDEX(dataRegTrainFTEs,decInputProd1Seg3RegTrainer_R2+1,)</f>
        <v>0</v>
      </c>
      <c r="H2017">
        <f>INDEX(dataRegTrainFTEs,decInputProd1Seg3RegTrainer_R2+1,)</f>
        <v>0</v>
      </c>
      <c r="I2017">
        <f>INDEX(dataRegTrainFTEs,decInputProd1Seg3RegTrainer_R2+1,)</f>
        <v>0</v>
      </c>
      <c r="J2017" t="s">
        <v>2695</v>
      </c>
    </row>
    <row r="2018" spans="1:10">
      <c r="C2018" t="str">
        <f>nmProd1Seg3Rep1</f>
        <v>Rep Gregg</v>
      </c>
      <c r="E2018">
        <f>INDEX(dataCoachingFTEs,decInputProd1Seg3Rep1Coaching_R2+1,)</f>
        <v>0</v>
      </c>
      <c r="F2018">
        <f>INDEX(dataCoachingFTEs,decInputProd1Seg3Rep1Coaching_R2+1,)</f>
        <v>0</v>
      </c>
      <c r="G2018">
        <f>INDEX(dataCoachingFTEs,decInputProd1Seg3Rep1Coaching_R2+1,)</f>
        <v>0</v>
      </c>
      <c r="H2018">
        <f>INDEX(dataCoachingFTEs,decInputProd1Seg3Rep1Coaching_R2+1,)</f>
        <v>0</v>
      </c>
      <c r="I2018">
        <f>INDEX(dataCoachingFTEs,decInputProd1Seg3Rep1Coaching_R2+1,)</f>
        <v>0</v>
      </c>
      <c r="J2018" t="s">
        <v>2696</v>
      </c>
    </row>
    <row r="2019" spans="1:10">
      <c r="C2019" t="str">
        <f>nmProd1Seg3Rep2</f>
        <v>Rep Howard</v>
      </c>
      <c r="E2019">
        <f>INDEX(dataCoachingFTEs,decInputProd1Seg3Rep2Coaching_R2+1,)</f>
        <v>0</v>
      </c>
      <c r="F2019">
        <f>INDEX(dataCoachingFTEs,decInputProd1Seg3Rep2Coaching_R2+1,)</f>
        <v>0</v>
      </c>
      <c r="G2019">
        <f>INDEX(dataCoachingFTEs,decInputProd1Seg3Rep2Coaching_R2+1,)</f>
        <v>0</v>
      </c>
      <c r="H2019">
        <f>INDEX(dataCoachingFTEs,decInputProd1Seg3Rep2Coaching_R2+1,)</f>
        <v>0</v>
      </c>
      <c r="I2019">
        <f>INDEX(dataCoachingFTEs,decInputProd1Seg3Rep2Coaching_R2+1,)</f>
        <v>0</v>
      </c>
      <c r="J2019" t="s">
        <v>2697</v>
      </c>
    </row>
    <row r="2020" spans="1:10">
      <c r="C2020" t="str">
        <f>nmProd1Seg3Rep3</f>
        <v>Rep Isabelle</v>
      </c>
      <c r="E2020">
        <f>INDEX(dataCoachingFTEs,decInputProd1Seg3Rep3Coaching_R2+1,)</f>
        <v>0</v>
      </c>
      <c r="F2020">
        <f>INDEX(dataCoachingFTEs,decInputProd1Seg3Rep3Coaching_R2+1,)</f>
        <v>0</v>
      </c>
      <c r="G2020">
        <f>INDEX(dataCoachingFTEs,decInputProd1Seg3Rep3Coaching_R2+1,)</f>
        <v>0</v>
      </c>
      <c r="H2020">
        <f>INDEX(dataCoachingFTEs,decInputProd1Seg3Rep3Coaching_R2+1,)</f>
        <v>0</v>
      </c>
      <c r="I2020">
        <f>INDEX(dataCoachingFTEs,decInputProd1Seg3Rep3Coaching_R2+1,)</f>
        <v>0</v>
      </c>
      <c r="J2020" t="s">
        <v>2698</v>
      </c>
    </row>
    <row r="2023" spans="1:10" s="4" customFormat="1">
      <c r="C2023" s="4" t="s">
        <v>2423</v>
      </c>
      <c r="E2023" s="4">
        <f>E2005-SUM(E2006:E2022)</f>
        <v>150</v>
      </c>
      <c r="F2023" s="4">
        <f t="shared" ref="F2023:I2023" si="112">F2005-SUM(F2006:F2022)</f>
        <v>150</v>
      </c>
      <c r="G2023" s="4">
        <f t="shared" si="112"/>
        <v>150</v>
      </c>
      <c r="H2023" s="4">
        <f t="shared" si="112"/>
        <v>150</v>
      </c>
      <c r="I2023" s="4">
        <f t="shared" si="112"/>
        <v>150</v>
      </c>
      <c r="J2023" s="4" t="s">
        <v>2424</v>
      </c>
    </row>
    <row r="2024" spans="1:10" s="4" customFormat="1"/>
    <row r="2025" spans="1:10" s="4" customFormat="1"/>
    <row r="2026" spans="1:10">
      <c r="A2026" t="s">
        <v>2421</v>
      </c>
      <c r="B2026" t="s">
        <v>622</v>
      </c>
      <c r="C2026" t="s">
        <v>1486</v>
      </c>
      <c r="E2026">
        <f>obalReg1FTEsLeft</f>
        <v>150</v>
      </c>
      <c r="F2026">
        <f>obalReg1FTEsLeft</f>
        <v>150</v>
      </c>
      <c r="G2026">
        <f>obalReg1FTEsLeft</f>
        <v>150</v>
      </c>
      <c r="H2026">
        <f>obalReg1FTEsLeft</f>
        <v>150</v>
      </c>
      <c r="I2026">
        <f>obalReg1FTEsLeft</f>
        <v>150</v>
      </c>
    </row>
    <row r="2027" spans="1:10">
      <c r="B2027" t="str">
        <f>nmReg1Seg1</f>
        <v>Riverrun</v>
      </c>
      <c r="C2027" t="s">
        <v>2667</v>
      </c>
      <c r="E2027">
        <f>INDEX(dataCFFTEs,decInputReg1Seg1CfCollab_R1+1,)</f>
        <v>0</v>
      </c>
      <c r="F2027">
        <f>INDEX(dataCFFTEs,decInputReg1Seg1CfCollab_R1+1,)</f>
        <v>0</v>
      </c>
      <c r="G2027">
        <f>INDEX(dataCFFTEs,decInputReg1Seg1CfCollab_R1+1,)</f>
        <v>0</v>
      </c>
      <c r="H2027">
        <f>INDEX(dataCFFTEs,decInputReg1Seg1CfCollab_R1+1,)</f>
        <v>0</v>
      </c>
      <c r="I2027">
        <f>INDEX(dataCFFTEs,decInputReg1Seg1CfCollab_R1+1,)</f>
        <v>0</v>
      </c>
      <c r="J2027" t="s">
        <v>2699</v>
      </c>
    </row>
    <row r="2028" spans="1:10">
      <c r="C2028" t="s">
        <v>2668</v>
      </c>
      <c r="E2028">
        <f>INDEX(dataRegTrainFTEs,decInputReg1Seg1RegTrainer_R1+1,)</f>
        <v>0</v>
      </c>
      <c r="F2028">
        <f>INDEX(dataRegTrainFTEs,decInputReg1Seg1RegTrainer_R1+1,)</f>
        <v>0</v>
      </c>
      <c r="G2028">
        <f>INDEX(dataRegTrainFTEs,decInputReg1Seg1RegTrainer_R1+1,)</f>
        <v>0</v>
      </c>
      <c r="H2028">
        <f>INDEX(dataRegTrainFTEs,decInputReg1Seg1RegTrainer_R1+1,)</f>
        <v>0</v>
      </c>
      <c r="I2028">
        <f>INDEX(dataRegTrainFTEs,decInputReg1Seg1RegTrainer_R1+1,)</f>
        <v>0</v>
      </c>
      <c r="J2028" t="s">
        <v>2700</v>
      </c>
    </row>
    <row r="2029" spans="1:10">
      <c r="C2029" t="s">
        <v>585</v>
      </c>
      <c r="E2029">
        <f>INDEX(dataCoachingFTEsReg1,decInputReg1Seg1Rep1Coaching_R1+1,)</f>
        <v>0</v>
      </c>
      <c r="F2029">
        <f>INDEX(dataCoachingFTEsReg1,decInputReg1Seg1Rep1Coaching_R1+1,)</f>
        <v>0</v>
      </c>
      <c r="G2029">
        <f>INDEX(dataCoachingFTEsReg1,decInputReg1Seg1Rep1Coaching_R1+1,)</f>
        <v>0</v>
      </c>
      <c r="H2029">
        <f>INDEX(dataCoachingFTEsReg1,decInputReg1Seg1Rep1Coaching_R1+1,)</f>
        <v>0</v>
      </c>
      <c r="I2029">
        <f>INDEX(dataCoachingFTEsReg1,decInputReg1Seg1Rep1Coaching_R1+1,)</f>
        <v>0</v>
      </c>
      <c r="J2029" t="s">
        <v>2701</v>
      </c>
    </row>
    <row r="2030" spans="1:10">
      <c r="B2030" t="str">
        <f>nmReg1Seg2</f>
        <v>Winterfell</v>
      </c>
      <c r="C2030" t="s">
        <v>2667</v>
      </c>
      <c r="E2030">
        <f>INDEX(dataCFFTEs,decInputReg1Seg2CfCollab_R1+1,)</f>
        <v>0</v>
      </c>
      <c r="F2030">
        <f>INDEX(dataCFFTEs,decInputReg1Seg2CfCollab_R1+1,)</f>
        <v>0</v>
      </c>
      <c r="G2030">
        <f>INDEX(dataCFFTEs,decInputReg1Seg2CfCollab_R1+1,)</f>
        <v>0</v>
      </c>
      <c r="H2030">
        <f>INDEX(dataCFFTEs,decInputReg1Seg2CfCollab_R1+1,)</f>
        <v>0</v>
      </c>
      <c r="I2030">
        <f>INDEX(dataCFFTEs,decInputReg1Seg2CfCollab_R1+1,)</f>
        <v>0</v>
      </c>
      <c r="J2030" t="s">
        <v>2702</v>
      </c>
    </row>
    <row r="2031" spans="1:10">
      <c r="C2031" t="s">
        <v>2668</v>
      </c>
      <c r="E2031">
        <f>INDEX(dataRegTrainFTEs,decInputReg1Seg2RegTrainer_R1+1,)</f>
        <v>0</v>
      </c>
      <c r="F2031">
        <f>INDEX(dataRegTrainFTEs,decInputReg1Seg2RegTrainer_R1+1,)</f>
        <v>0</v>
      </c>
      <c r="G2031">
        <f>INDEX(dataRegTrainFTEs,decInputReg1Seg2RegTrainer_R1+1,)</f>
        <v>0</v>
      </c>
      <c r="H2031">
        <f>INDEX(dataRegTrainFTEs,decInputReg1Seg2RegTrainer_R1+1,)</f>
        <v>0</v>
      </c>
      <c r="I2031">
        <f>INDEX(dataRegTrainFTEs,decInputReg1Seg2RegTrainer_R1+1,)</f>
        <v>0</v>
      </c>
      <c r="J2031" t="s">
        <v>2703</v>
      </c>
    </row>
    <row r="2032" spans="1:10">
      <c r="C2032" t="s">
        <v>585</v>
      </c>
      <c r="E2032">
        <f>INDEX(dataCoachingFTEsReg1,decInputReg1Seg2Rep1Coaching_R1+1,)</f>
        <v>0</v>
      </c>
      <c r="F2032">
        <f>INDEX(dataCoachingFTEsReg1,decInputReg1Seg2Rep1Coaching_R1+1,)</f>
        <v>0</v>
      </c>
      <c r="G2032">
        <f>INDEX(dataCoachingFTEsReg1,decInputReg1Seg2Rep1Coaching_R1+1,)</f>
        <v>0</v>
      </c>
      <c r="H2032">
        <f>INDEX(dataCoachingFTEsReg1,decInputReg1Seg2Rep1Coaching_R1+1,)</f>
        <v>0</v>
      </c>
      <c r="I2032">
        <f>INDEX(dataCoachingFTEsReg1,decInputReg1Seg2Rep1Coaching_R1+1,)</f>
        <v>0</v>
      </c>
      <c r="J2032" t="s">
        <v>2704</v>
      </c>
    </row>
    <row r="2033" spans="2:10">
      <c r="B2033" t="str">
        <f>nmReg1Seg3</f>
        <v>Harrenhal</v>
      </c>
      <c r="C2033" t="s">
        <v>2667</v>
      </c>
      <c r="E2033">
        <f>INDEX(dataCFFTEs,decInputReg1Seg3CfCollab_R1+1,)</f>
        <v>0</v>
      </c>
      <c r="F2033">
        <f>INDEX(dataCFFTEs,decInputReg1Seg3CfCollab_R1+1,)</f>
        <v>0</v>
      </c>
      <c r="G2033">
        <f>INDEX(dataCFFTEs,decInputReg1Seg3CfCollab_R1+1,)</f>
        <v>0</v>
      </c>
      <c r="H2033">
        <f>INDEX(dataCFFTEs,decInputReg1Seg3CfCollab_R1+1,)</f>
        <v>0</v>
      </c>
      <c r="I2033">
        <f>INDEX(dataCFFTEs,decInputReg1Seg3CfCollab_R1+1,)</f>
        <v>0</v>
      </c>
      <c r="J2033" t="s">
        <v>2705</v>
      </c>
    </row>
    <row r="2034" spans="2:10">
      <c r="C2034" t="s">
        <v>2668</v>
      </c>
      <c r="E2034">
        <f>INDEX(dataRegTrainFTEs,decInputReg1Seg3RegTrainer_R1+1,)</f>
        <v>0</v>
      </c>
      <c r="F2034">
        <f>INDEX(dataRegTrainFTEs,decInputReg1Seg3RegTrainer_R1+1,)</f>
        <v>0</v>
      </c>
      <c r="G2034">
        <f>INDEX(dataRegTrainFTEs,decInputReg1Seg3RegTrainer_R1+1,)</f>
        <v>0</v>
      </c>
      <c r="H2034">
        <f>INDEX(dataRegTrainFTEs,decInputReg1Seg3RegTrainer_R1+1,)</f>
        <v>0</v>
      </c>
      <c r="I2034">
        <f>INDEX(dataRegTrainFTEs,decInputReg1Seg3RegTrainer_R1+1,)</f>
        <v>0</v>
      </c>
      <c r="J2034" t="s">
        <v>2706</v>
      </c>
    </row>
    <row r="2035" spans="2:10">
      <c r="C2035" t="s">
        <v>585</v>
      </c>
      <c r="E2035">
        <f>INDEX(dataCoachingFTEsReg1,decInputReg1Seg3Rep1Coaching_R1+1,)</f>
        <v>0</v>
      </c>
      <c r="F2035">
        <f>INDEX(dataCoachingFTEsReg1,decInputReg1Seg3Rep1Coaching_R1+1,)</f>
        <v>0</v>
      </c>
      <c r="G2035">
        <f>INDEX(dataCoachingFTEsReg1,decInputReg1Seg3Rep1Coaching_R1+1,)</f>
        <v>0</v>
      </c>
      <c r="H2035">
        <f>INDEX(dataCoachingFTEsReg1,decInputReg1Seg3Rep1Coaching_R1+1,)</f>
        <v>0</v>
      </c>
      <c r="I2035">
        <f>INDEX(dataCoachingFTEsReg1,decInputReg1Seg3Rep1Coaching_R1+1,)</f>
        <v>0</v>
      </c>
      <c r="J2035" t="s">
        <v>2707</v>
      </c>
    </row>
    <row r="2038" spans="2:10" s="4" customFormat="1">
      <c r="C2038" s="4" t="s">
        <v>2423</v>
      </c>
      <c r="E2038" s="4">
        <f>E2026-SUM(E2027:E2037)</f>
        <v>150</v>
      </c>
      <c r="F2038" s="4">
        <f t="shared" ref="F2038" si="113">F2026-SUM(F2027:F2037)</f>
        <v>150</v>
      </c>
      <c r="G2038" s="4">
        <f t="shared" ref="G2038" si="114">G2026-SUM(G2027:G2037)</f>
        <v>150</v>
      </c>
      <c r="H2038" s="4">
        <f t="shared" ref="H2038" si="115">H2026-SUM(H2027:H2037)</f>
        <v>150</v>
      </c>
      <c r="I2038" s="4">
        <f t="shared" ref="I2038" si="116">I2026-SUM(I2027:I2037)</f>
        <v>150</v>
      </c>
      <c r="J2038" s="4" t="s">
        <v>2426</v>
      </c>
    </row>
    <row r="2040" spans="2:10">
      <c r="B2040" t="s">
        <v>623</v>
      </c>
      <c r="C2040" t="s">
        <v>1486</v>
      </c>
      <c r="E2040">
        <f>obalReg1FTEsLeft</f>
        <v>150</v>
      </c>
      <c r="F2040">
        <f>obalReg1FTEsLeft</f>
        <v>150</v>
      </c>
      <c r="G2040">
        <f>obalReg1FTEsLeft</f>
        <v>150</v>
      </c>
      <c r="H2040">
        <f>obalReg1FTEsLeft</f>
        <v>150</v>
      </c>
      <c r="I2040">
        <f>obalReg1FTEsLeft</f>
        <v>150</v>
      </c>
    </row>
    <row r="2041" spans="2:10">
      <c r="B2041" t="str">
        <f>nmReg1Seg1</f>
        <v>Riverrun</v>
      </c>
      <c r="C2041" t="s">
        <v>2667</v>
      </c>
      <c r="E2041">
        <f>INDEX(dataCFFTEs,decInputReg1Seg1CfCollab_R2+1,)</f>
        <v>0</v>
      </c>
      <c r="F2041">
        <f>INDEX(dataCFFTEs,decInputReg1Seg1CfCollab_R2+1,)</f>
        <v>0</v>
      </c>
      <c r="G2041">
        <f>INDEX(dataCFFTEs,decInputReg1Seg1CfCollab_R2+1,)</f>
        <v>0</v>
      </c>
      <c r="H2041">
        <f>INDEX(dataCFFTEs,decInputReg1Seg1CfCollab_R2+1,)</f>
        <v>0</v>
      </c>
      <c r="I2041">
        <f>INDEX(dataCFFTEs,decInputReg1Seg1CfCollab_R2+1,)</f>
        <v>0</v>
      </c>
      <c r="J2041" t="s">
        <v>2708</v>
      </c>
    </row>
    <row r="2042" spans="2:10">
      <c r="C2042" t="s">
        <v>2668</v>
      </c>
      <c r="E2042">
        <f>INDEX(dataRegTrainFTEs,decInputReg1Seg1RegTrainer_R2+1,)</f>
        <v>0</v>
      </c>
      <c r="F2042">
        <f>INDEX(dataRegTrainFTEs,decInputReg1Seg1RegTrainer_R2+1,)</f>
        <v>0</v>
      </c>
      <c r="G2042">
        <f>INDEX(dataRegTrainFTEs,decInputReg1Seg1RegTrainer_R2+1,)</f>
        <v>0</v>
      </c>
      <c r="H2042">
        <f>INDEX(dataRegTrainFTEs,decInputReg1Seg1RegTrainer_R2+1,)</f>
        <v>0</v>
      </c>
      <c r="I2042">
        <f>INDEX(dataRegTrainFTEs,decInputReg1Seg1RegTrainer_R2+1,)</f>
        <v>0</v>
      </c>
      <c r="J2042" t="s">
        <v>2709</v>
      </c>
    </row>
    <row r="2043" spans="2:10">
      <c r="C2043" t="s">
        <v>585</v>
      </c>
      <c r="E2043">
        <f>INDEX(dataCoachingFTEsReg1,decInputReg1Seg1Rep1Coaching_R2+1,)</f>
        <v>0</v>
      </c>
      <c r="F2043">
        <f>INDEX(dataCoachingFTEsReg1,decInputReg1Seg1Rep1Coaching_R2+1,)</f>
        <v>0</v>
      </c>
      <c r="G2043">
        <f>INDEX(dataCoachingFTEsReg1,decInputReg1Seg1Rep1Coaching_R2+1,)</f>
        <v>0</v>
      </c>
      <c r="H2043">
        <f>INDEX(dataCoachingFTEsReg1,decInputReg1Seg1Rep1Coaching_R2+1,)</f>
        <v>0</v>
      </c>
      <c r="I2043">
        <f>INDEX(dataCoachingFTEsReg1,decInputReg1Seg1Rep1Coaching_R2+1,)</f>
        <v>0</v>
      </c>
      <c r="J2043" t="s">
        <v>2710</v>
      </c>
    </row>
    <row r="2044" spans="2:10">
      <c r="B2044" t="str">
        <f>nmReg1Seg2</f>
        <v>Winterfell</v>
      </c>
      <c r="C2044" t="s">
        <v>2667</v>
      </c>
      <c r="E2044">
        <f>INDEX(dataCFFTEs,decInputReg1Seg2CfCollab_R2+1,)</f>
        <v>0</v>
      </c>
      <c r="F2044">
        <f>INDEX(dataCFFTEs,decInputReg1Seg2CfCollab_R2+1,)</f>
        <v>0</v>
      </c>
      <c r="G2044">
        <f>INDEX(dataCFFTEs,decInputReg1Seg2CfCollab_R2+1,)</f>
        <v>0</v>
      </c>
      <c r="H2044">
        <f>INDEX(dataCFFTEs,decInputReg1Seg2CfCollab_R2+1,)</f>
        <v>0</v>
      </c>
      <c r="I2044">
        <f>INDEX(dataCFFTEs,decInputReg1Seg2CfCollab_R2+1,)</f>
        <v>0</v>
      </c>
      <c r="J2044" t="s">
        <v>2711</v>
      </c>
    </row>
    <row r="2045" spans="2:10">
      <c r="C2045" t="s">
        <v>2668</v>
      </c>
      <c r="E2045">
        <f>INDEX(dataRegTrainFTEs,decInputReg1Seg2RegTrainer_R2+1,)</f>
        <v>0</v>
      </c>
      <c r="F2045">
        <f>INDEX(dataRegTrainFTEs,decInputReg1Seg2RegTrainer_R2+1,)</f>
        <v>0</v>
      </c>
      <c r="G2045">
        <f>INDEX(dataRegTrainFTEs,decInputReg1Seg2RegTrainer_R2+1,)</f>
        <v>0</v>
      </c>
      <c r="H2045">
        <f>INDEX(dataRegTrainFTEs,decInputReg1Seg2RegTrainer_R2+1,)</f>
        <v>0</v>
      </c>
      <c r="I2045">
        <f>INDEX(dataRegTrainFTEs,decInputReg1Seg2RegTrainer_R2+1,)</f>
        <v>0</v>
      </c>
      <c r="J2045" t="s">
        <v>2712</v>
      </c>
    </row>
    <row r="2046" spans="2:10">
      <c r="C2046" t="s">
        <v>585</v>
      </c>
      <c r="E2046">
        <f>INDEX(dataCoachingFTEsReg1,decInputReg1Seg2Rep1Coaching_R2+1,)</f>
        <v>0</v>
      </c>
      <c r="F2046">
        <f>INDEX(dataCoachingFTEsReg1,decInputReg1Seg2Rep1Coaching_R2+1,)</f>
        <v>0</v>
      </c>
      <c r="G2046">
        <f>INDEX(dataCoachingFTEsReg1,decInputReg1Seg2Rep1Coaching_R2+1,)</f>
        <v>0</v>
      </c>
      <c r="H2046">
        <f>INDEX(dataCoachingFTEsReg1,decInputReg1Seg2Rep1Coaching_R2+1,)</f>
        <v>0</v>
      </c>
      <c r="I2046">
        <f>INDEX(dataCoachingFTEsReg1,decInputReg1Seg2Rep1Coaching_R2+1,)</f>
        <v>0</v>
      </c>
      <c r="J2046" t="s">
        <v>2713</v>
      </c>
    </row>
    <row r="2047" spans="2:10">
      <c r="B2047" t="str">
        <f>nmReg1Seg3</f>
        <v>Harrenhal</v>
      </c>
      <c r="C2047" t="s">
        <v>2667</v>
      </c>
      <c r="E2047">
        <f>INDEX(dataCFFTEs,decInputReg1Seg3CfCollab_R2+1,)</f>
        <v>0</v>
      </c>
      <c r="F2047">
        <f>INDEX(dataCFFTEs,decInputReg1Seg3CfCollab_R2+1,)</f>
        <v>0</v>
      </c>
      <c r="G2047">
        <f>INDEX(dataCFFTEs,decInputReg1Seg3CfCollab_R2+1,)</f>
        <v>0</v>
      </c>
      <c r="H2047">
        <f>INDEX(dataCFFTEs,decInputReg1Seg3CfCollab_R2+1,)</f>
        <v>0</v>
      </c>
      <c r="I2047">
        <f>INDEX(dataCFFTEs,decInputReg1Seg3CfCollab_R2+1,)</f>
        <v>0</v>
      </c>
      <c r="J2047" t="s">
        <v>2714</v>
      </c>
    </row>
    <row r="2048" spans="2:10">
      <c r="C2048" t="s">
        <v>2668</v>
      </c>
      <c r="E2048">
        <f>INDEX(dataRegTrainFTEs,decInputReg1Seg3RegTrainer_R2+1,)</f>
        <v>0</v>
      </c>
      <c r="F2048">
        <f>INDEX(dataRegTrainFTEs,decInputReg1Seg3RegTrainer_R2+1,)</f>
        <v>0</v>
      </c>
      <c r="G2048">
        <f>INDEX(dataRegTrainFTEs,decInputReg1Seg3RegTrainer_R2+1,)</f>
        <v>0</v>
      </c>
      <c r="H2048">
        <f>INDEX(dataRegTrainFTEs,decInputReg1Seg3RegTrainer_R2+1,)</f>
        <v>0</v>
      </c>
      <c r="I2048">
        <f>INDEX(dataRegTrainFTEs,decInputReg1Seg3RegTrainer_R2+1,)</f>
        <v>0</v>
      </c>
      <c r="J2048" t="s">
        <v>2715</v>
      </c>
    </row>
    <row r="2049" spans="1:10">
      <c r="C2049" t="s">
        <v>585</v>
      </c>
      <c r="E2049">
        <f>INDEX(dataCoachingFTEsReg1,decInputReg1Seg3Rep1Coaching_R2+1,)</f>
        <v>0</v>
      </c>
      <c r="F2049">
        <f>INDEX(dataCoachingFTEsReg1,decInputReg1Seg3Rep1Coaching_R2+1,)</f>
        <v>0</v>
      </c>
      <c r="G2049">
        <f>INDEX(dataCoachingFTEsReg1,decInputReg1Seg3Rep1Coaching_R2+1,)</f>
        <v>0</v>
      </c>
      <c r="H2049">
        <f>INDEX(dataCoachingFTEsReg1,decInputReg1Seg3Rep1Coaching_R2+1,)</f>
        <v>0</v>
      </c>
      <c r="I2049">
        <f>INDEX(dataCoachingFTEsReg1,decInputReg1Seg3Rep1Coaching_R2+1,)</f>
        <v>0</v>
      </c>
      <c r="J2049" t="s">
        <v>2716</v>
      </c>
    </row>
    <row r="2052" spans="1:10" s="4" customFormat="1">
      <c r="C2052" s="4" t="s">
        <v>2423</v>
      </c>
      <c r="E2052" s="4">
        <f>E2040-SUM(E2041:E2051)</f>
        <v>150</v>
      </c>
      <c r="F2052" s="4">
        <f t="shared" ref="F2052:I2052" si="117">F2040-SUM(F2041:F2051)</f>
        <v>150</v>
      </c>
      <c r="G2052" s="4">
        <f t="shared" si="117"/>
        <v>150</v>
      </c>
      <c r="H2052" s="4">
        <f t="shared" si="117"/>
        <v>150</v>
      </c>
      <c r="I2052" s="4">
        <f t="shared" si="117"/>
        <v>150</v>
      </c>
      <c r="J2052" s="4" t="s">
        <v>2427</v>
      </c>
    </row>
    <row r="2053" spans="1:10" s="4" customFormat="1"/>
    <row r="2054" spans="1:10">
      <c r="A2054" s="4" t="s">
        <v>2441</v>
      </c>
    </row>
    <row r="2055" spans="1:10">
      <c r="A2055" t="s">
        <v>2442</v>
      </c>
    </row>
    <row r="2056" spans="1:10">
      <c r="A2056" s="4" t="str">
        <f>nmProd1Seg1</f>
        <v>Riverrun Central</v>
      </c>
      <c r="C2056" t="s">
        <v>516</v>
      </c>
      <c r="E2056">
        <f>decInputProd1Seg1SamplesPerc_R1*obalProd1SampleBudgetLeft</f>
        <v>16500</v>
      </c>
      <c r="F2056">
        <f>decInputProd1Seg1SamplesPerc_R1*obalProd1SampleBudgetLeft</f>
        <v>16500</v>
      </c>
      <c r="G2056">
        <f>decInputProd1Seg1SamplesPerc_R1*obalProd1SampleBudgetLeft</f>
        <v>16500</v>
      </c>
      <c r="H2056">
        <f>decInputProd1Seg1SamplesPerc_R1*obalProd1SampleBudgetLeft</f>
        <v>16500</v>
      </c>
      <c r="I2056">
        <f>decInputProd1Seg1SamplesPerc_R1*obalProd1SampleBudgetLeft</f>
        <v>16500</v>
      </c>
      <c r="J2056" t="s">
        <v>2460</v>
      </c>
    </row>
    <row r="2057" spans="1:10">
      <c r="A2057" s="4"/>
      <c r="C2057" t="s">
        <v>517</v>
      </c>
      <c r="E2057">
        <f>decInputProd1Seg1SpeakersPerc_R1*calcProd1Seg1PromotionAllocationR1</f>
        <v>33000</v>
      </c>
      <c r="F2057">
        <f>decInputProd1Seg1SpeakersPerc_R1*calcProd1Seg1PromotionAllocationR1</f>
        <v>33000</v>
      </c>
      <c r="G2057">
        <f>decInputProd1Seg1SpeakersPerc_R1*calcProd1Seg1PromotionAllocationR1</f>
        <v>33000</v>
      </c>
      <c r="H2057">
        <f>decInputProd1Seg1SpeakersPerc_R1*calcProd1Seg1PromotionAllocationR1</f>
        <v>33000</v>
      </c>
      <c r="I2057">
        <f>decInputProd1Seg1SpeakersPerc_R1*calcProd1Seg1PromotionAllocationR1</f>
        <v>33000</v>
      </c>
      <c r="J2057" t="s">
        <v>2447</v>
      </c>
    </row>
    <row r="2058" spans="1:10">
      <c r="A2058" s="4"/>
      <c r="C2058" t="s">
        <v>2446</v>
      </c>
      <c r="E2058">
        <f>decInputProd1Seg1PromotionPerc_R1*calcProd1Seg1PromotionAllocationR1</f>
        <v>33000</v>
      </c>
      <c r="F2058">
        <f>decInputProd1Seg1PromotionPerc_R1*calcProd1Seg1PromotionAllocationR1</f>
        <v>33000</v>
      </c>
      <c r="G2058">
        <f>decInputProd1Seg1PromotionPerc_R1*calcProd1Seg1PromotionAllocationR1</f>
        <v>33000</v>
      </c>
      <c r="H2058">
        <f>decInputProd1Seg1PromotionPerc_R1*calcProd1Seg1PromotionAllocationR1</f>
        <v>33000</v>
      </c>
      <c r="I2058">
        <f>decInputProd1Seg1PromotionPerc_R1*calcProd1Seg1PromotionAllocationR1</f>
        <v>33000</v>
      </c>
      <c r="J2058" t="s">
        <v>2461</v>
      </c>
    </row>
    <row r="2059" spans="1:10">
      <c r="A2059" s="4"/>
    </row>
    <row r="2061" spans="1:10">
      <c r="A2061" s="4" t="str">
        <f>nmProd1Seg2</f>
        <v>Tullyville</v>
      </c>
      <c r="C2061" t="s">
        <v>516</v>
      </c>
      <c r="E2061">
        <f>decInputProd1Seg2SamplesPerc_R1*obalProd1SampleBudgetLeft</f>
        <v>16500</v>
      </c>
      <c r="F2061">
        <f>decInputProd1Seg2SamplesPerc_R1*obalProd1SampleBudgetLeft</f>
        <v>16500</v>
      </c>
      <c r="G2061">
        <f>decInputProd1Seg2SamplesPerc_R1*obalProd1SampleBudgetLeft</f>
        <v>16500</v>
      </c>
      <c r="H2061">
        <f>decInputProd1Seg2SamplesPerc_R1*obalProd1SampleBudgetLeft</f>
        <v>16500</v>
      </c>
      <c r="I2061">
        <f>decInputProd1Seg2SamplesPerc_R1*obalProd1SampleBudgetLeft</f>
        <v>16500</v>
      </c>
      <c r="J2061" t="s">
        <v>2462</v>
      </c>
    </row>
    <row r="2062" spans="1:10">
      <c r="A2062" s="4"/>
      <c r="C2062" t="s">
        <v>517</v>
      </c>
      <c r="E2062">
        <f>decInputProd1Seg2SpeakersPerc_R1*calcProd1Seg2PromotionAllocationR1</f>
        <v>33000</v>
      </c>
      <c r="F2062">
        <f>decInputProd1Seg2SpeakersPerc_R1*calcProd1Seg2PromotionAllocationR1</f>
        <v>33000</v>
      </c>
      <c r="G2062">
        <f>decInputProd1Seg2SpeakersPerc_R1*calcProd1Seg2PromotionAllocationR1</f>
        <v>33000</v>
      </c>
      <c r="H2062">
        <f>decInputProd1Seg2SpeakersPerc_R1*calcProd1Seg2PromotionAllocationR1</f>
        <v>33000</v>
      </c>
      <c r="I2062">
        <f>decInputProd1Seg2SpeakersPerc_R1*calcProd1Seg2PromotionAllocationR1</f>
        <v>33000</v>
      </c>
      <c r="J2062" t="s">
        <v>2463</v>
      </c>
    </row>
    <row r="2063" spans="1:10">
      <c r="A2063" s="4"/>
      <c r="C2063" t="s">
        <v>2446</v>
      </c>
      <c r="E2063">
        <f>decInputProd1Seg2PromotionPerc_R1*calcProd1Seg2PromotionAllocationR1</f>
        <v>33000</v>
      </c>
      <c r="F2063">
        <f>decInputProd1Seg2PromotionPerc_R1*calcProd1Seg2PromotionAllocationR1</f>
        <v>33000</v>
      </c>
      <c r="G2063">
        <f>decInputProd1Seg2PromotionPerc_R1*calcProd1Seg2PromotionAllocationR1</f>
        <v>33000</v>
      </c>
      <c r="H2063">
        <f>decInputProd1Seg2PromotionPerc_R1*calcProd1Seg2PromotionAllocationR1</f>
        <v>33000</v>
      </c>
      <c r="I2063">
        <f>decInputProd1Seg2PromotionPerc_R1*calcProd1Seg2PromotionAllocationR1</f>
        <v>33000</v>
      </c>
      <c r="J2063" t="s">
        <v>2464</v>
      </c>
    </row>
    <row r="2064" spans="1:10">
      <c r="A2064" s="4"/>
    </row>
    <row r="2066" spans="1:10">
      <c r="A2066" s="4" t="str">
        <f>nmProd1Seg3</f>
        <v>Lordfrey City</v>
      </c>
      <c r="C2066" t="s">
        <v>516</v>
      </c>
      <c r="E2066">
        <f>decInputProd1Seg3SamplesPerc_R1*obalProd1SampleBudgetLeft</f>
        <v>16500</v>
      </c>
      <c r="F2066">
        <f>decInputProd1Seg3SamplesPerc_R1*obalProd1SampleBudgetLeft</f>
        <v>16500</v>
      </c>
      <c r="G2066">
        <f>decInputProd1Seg3SamplesPerc_R1*obalProd1SampleBudgetLeft</f>
        <v>16500</v>
      </c>
      <c r="H2066">
        <f>decInputProd1Seg3SamplesPerc_R1*obalProd1SampleBudgetLeft</f>
        <v>16500</v>
      </c>
      <c r="I2066">
        <f>decInputProd1Seg3SamplesPerc_R1*obalProd1SampleBudgetLeft</f>
        <v>16500</v>
      </c>
      <c r="J2066" t="s">
        <v>2465</v>
      </c>
    </row>
    <row r="2067" spans="1:10">
      <c r="A2067" s="4"/>
      <c r="C2067" t="s">
        <v>517</v>
      </c>
      <c r="E2067">
        <f>decInputProd1Seg3SpeakersPerc_R1*calcProd1Seg3PromotionAllocationR1</f>
        <v>33000</v>
      </c>
      <c r="F2067">
        <f>decInputProd1Seg3SpeakersPerc_R1*calcProd1Seg3PromotionAllocationR1</f>
        <v>33000</v>
      </c>
      <c r="G2067">
        <f>decInputProd1Seg3SpeakersPerc_R1*calcProd1Seg3PromotionAllocationR1</f>
        <v>33000</v>
      </c>
      <c r="H2067">
        <f>decInputProd1Seg3SpeakersPerc_R1*calcProd1Seg3PromotionAllocationR1</f>
        <v>33000</v>
      </c>
      <c r="I2067">
        <f>decInputProd1Seg3SpeakersPerc_R1*calcProd1Seg3PromotionAllocationR1</f>
        <v>33000</v>
      </c>
      <c r="J2067" t="s">
        <v>2466</v>
      </c>
    </row>
    <row r="2068" spans="1:10">
      <c r="A2068" s="4"/>
      <c r="C2068" t="s">
        <v>2446</v>
      </c>
      <c r="E2068">
        <f>decInputProd1Seg3PromotionPerc_R1*calcProd1Seg3PromotionAllocationR1</f>
        <v>33000</v>
      </c>
      <c r="F2068">
        <f>decInputProd1Seg3PromotionPerc_R1*calcProd1Seg3PromotionAllocationR1</f>
        <v>33000</v>
      </c>
      <c r="G2068">
        <f>decInputProd1Seg3PromotionPerc_R1*calcProd1Seg3PromotionAllocationR1</f>
        <v>33000</v>
      </c>
      <c r="H2068">
        <f>decInputProd1Seg3PromotionPerc_R1*calcProd1Seg3PromotionAllocationR1</f>
        <v>33000</v>
      </c>
      <c r="I2068">
        <f>decInputProd1Seg3PromotionPerc_R1*calcProd1Seg3PromotionAllocationR1</f>
        <v>33000</v>
      </c>
      <c r="J2068" t="s">
        <v>2467</v>
      </c>
    </row>
    <row r="2069" spans="1:10">
      <c r="A2069" s="4"/>
    </row>
    <row r="2070" spans="1:10">
      <c r="A2070" s="4" t="str">
        <f>nmProd1Seg1</f>
        <v>Riverrun Central</v>
      </c>
      <c r="C2070" t="s">
        <v>516</v>
      </c>
      <c r="E2070">
        <f>decInputProd1Seg1SamplesPerc_R2*obalProd1SampleBudgetLeftR2</f>
        <v>16500</v>
      </c>
      <c r="F2070">
        <f>decInputProd1Seg1SamplesPerc_R2*obalProd1SampleBudgetLeftR2</f>
        <v>16500</v>
      </c>
      <c r="G2070">
        <f>decInputProd1Seg1SamplesPerc_R2*obalProd1SampleBudgetLeftR2</f>
        <v>16500</v>
      </c>
      <c r="H2070">
        <f>decInputProd1Seg1SamplesPerc_R2*obalProd1SampleBudgetLeftR2</f>
        <v>16500</v>
      </c>
      <c r="I2070">
        <f>decInputProd1Seg1SamplesPerc_R2*obalProd1SampleBudgetLeftR2</f>
        <v>16500</v>
      </c>
      <c r="J2070" t="s">
        <v>2481</v>
      </c>
    </row>
    <row r="2071" spans="1:10">
      <c r="A2071" s="4"/>
      <c r="C2071" t="s">
        <v>517</v>
      </c>
      <c r="E2071">
        <f>decInputProd1Seg1SpeakersPerc_R2*calcProd1Seg1PromotionAllocationR2</f>
        <v>31350</v>
      </c>
      <c r="F2071">
        <f>decInputProd1Seg1SpeakersPerc_R2*calcProd1Seg1PromotionAllocationR2</f>
        <v>31350</v>
      </c>
      <c r="G2071">
        <f>decInputProd1Seg1SpeakersPerc_R2*calcProd1Seg1PromotionAllocationR2</f>
        <v>31350</v>
      </c>
      <c r="H2071">
        <f>decInputProd1Seg1SpeakersPerc_R2*calcProd1Seg1PromotionAllocationR2</f>
        <v>31350</v>
      </c>
      <c r="I2071">
        <f>decInputProd1Seg1SpeakersPerc_R2*calcProd1Seg1PromotionAllocationR2</f>
        <v>31350</v>
      </c>
      <c r="J2071" t="s">
        <v>2482</v>
      </c>
    </row>
    <row r="2072" spans="1:10">
      <c r="A2072" s="4"/>
      <c r="C2072" t="s">
        <v>2446</v>
      </c>
      <c r="E2072">
        <f>decInputProd1Seg1PromotionPerc_R2*calcProd1Seg1PromotionAllocationR2</f>
        <v>31350</v>
      </c>
      <c r="F2072">
        <f>decInputProd1Seg1PromotionPerc_R2*calcProd1Seg1PromotionAllocationR2</f>
        <v>31350</v>
      </c>
      <c r="G2072">
        <f>decInputProd1Seg1PromotionPerc_R2*calcProd1Seg1PromotionAllocationR2</f>
        <v>31350</v>
      </c>
      <c r="H2072">
        <f>decInputProd1Seg1PromotionPerc_R2*calcProd1Seg1PromotionAllocationR2</f>
        <v>31350</v>
      </c>
      <c r="I2072">
        <f>decInputProd1Seg1PromotionPerc_R2*calcProd1Seg1PromotionAllocationR2</f>
        <v>31350</v>
      </c>
      <c r="J2072" t="s">
        <v>2483</v>
      </c>
    </row>
    <row r="2073" spans="1:10">
      <c r="A2073" s="4"/>
    </row>
    <row r="2075" spans="1:10">
      <c r="A2075" s="4" t="str">
        <f>nmProd1Seg2</f>
        <v>Tullyville</v>
      </c>
      <c r="C2075" t="s">
        <v>516</v>
      </c>
      <c r="E2075">
        <f>decInputProd1Seg2SamplesPerc_R2*obalProd1SampleBudgetLeftR2</f>
        <v>16500</v>
      </c>
      <c r="F2075">
        <f>decInputProd1Seg2SamplesPerc_R2*obalProd1SampleBudgetLeftR2</f>
        <v>16500</v>
      </c>
      <c r="G2075">
        <f>decInputProd1Seg2SamplesPerc_R2*obalProd1SampleBudgetLeftR2</f>
        <v>16500</v>
      </c>
      <c r="H2075">
        <f>decInputProd1Seg2SamplesPerc_R2*obalProd1SampleBudgetLeftR2</f>
        <v>16500</v>
      </c>
      <c r="I2075">
        <f>decInputProd1Seg2SamplesPerc_R2*obalProd1SampleBudgetLeftR2</f>
        <v>16500</v>
      </c>
      <c r="J2075" t="s">
        <v>2484</v>
      </c>
    </row>
    <row r="2076" spans="1:10">
      <c r="A2076" s="4"/>
      <c r="C2076" t="s">
        <v>517</v>
      </c>
      <c r="E2076">
        <f>decInputProd1Seg2SpeakersPerc_R2*calcProd1Seg2PromotionAllocationR2</f>
        <v>31350</v>
      </c>
      <c r="F2076">
        <f>decInputProd1Seg2SpeakersPerc_R2*calcProd1Seg2PromotionAllocationR2</f>
        <v>31350</v>
      </c>
      <c r="G2076">
        <f>decInputProd1Seg2SpeakersPerc_R2*calcProd1Seg2PromotionAllocationR2</f>
        <v>31350</v>
      </c>
      <c r="H2076">
        <f>decInputProd1Seg2SpeakersPerc_R2*calcProd1Seg2PromotionAllocationR2</f>
        <v>31350</v>
      </c>
      <c r="I2076">
        <f>decInputProd1Seg2SpeakersPerc_R2*calcProd1Seg2PromotionAllocationR2</f>
        <v>31350</v>
      </c>
      <c r="J2076" t="s">
        <v>2485</v>
      </c>
    </row>
    <row r="2077" spans="1:10">
      <c r="A2077" s="4"/>
      <c r="C2077" t="s">
        <v>2446</v>
      </c>
      <c r="E2077">
        <f>decInputProd1Seg2PromotionPerc_R2*calcProd1Seg2PromotionAllocationR2</f>
        <v>31350</v>
      </c>
      <c r="F2077">
        <f>decInputProd1Seg2PromotionPerc_R2*calcProd1Seg2PromotionAllocationR2</f>
        <v>31350</v>
      </c>
      <c r="G2077">
        <f>decInputProd1Seg2PromotionPerc_R2*calcProd1Seg2PromotionAllocationR2</f>
        <v>31350</v>
      </c>
      <c r="H2077">
        <f>decInputProd1Seg2PromotionPerc_R2*calcProd1Seg2PromotionAllocationR2</f>
        <v>31350</v>
      </c>
      <c r="I2077">
        <f>decInputProd1Seg2PromotionPerc_R2*calcProd1Seg2PromotionAllocationR2</f>
        <v>31350</v>
      </c>
      <c r="J2077" t="s">
        <v>2486</v>
      </c>
    </row>
    <row r="2078" spans="1:10">
      <c r="A2078" s="4"/>
    </row>
    <row r="2080" spans="1:10">
      <c r="A2080" s="4" t="str">
        <f>nmProd1Seg3</f>
        <v>Lordfrey City</v>
      </c>
      <c r="C2080" t="s">
        <v>516</v>
      </c>
      <c r="E2080">
        <f>decInputProd1Seg3SamplesPerc_R2*obalProd1SampleBudgetLeftR2</f>
        <v>16500</v>
      </c>
      <c r="F2080">
        <f>decInputProd1Seg3SamplesPerc_R2*obalProd1SampleBudgetLeftR2</f>
        <v>16500</v>
      </c>
      <c r="G2080">
        <f>decInputProd1Seg3SamplesPerc_R2*obalProd1SampleBudgetLeftR2</f>
        <v>16500</v>
      </c>
      <c r="H2080">
        <f>decInputProd1Seg3SamplesPerc_R2*obalProd1SampleBudgetLeftR2</f>
        <v>16500</v>
      </c>
      <c r="I2080">
        <f>decInputProd1Seg3SamplesPerc_R2*obalProd1SampleBudgetLeftR2</f>
        <v>16500</v>
      </c>
      <c r="J2080" t="s">
        <v>2487</v>
      </c>
    </row>
    <row r="2081" spans="1:10">
      <c r="A2081" s="4"/>
      <c r="C2081" t="s">
        <v>517</v>
      </c>
      <c r="E2081">
        <f>decInputProd1Seg3SpeakersPerc_R2*calcProd1Seg3PromotionAllocationR2</f>
        <v>31350</v>
      </c>
      <c r="F2081">
        <f>decInputProd1Seg3SpeakersPerc_R2*calcProd1Seg3PromotionAllocationR2</f>
        <v>31350</v>
      </c>
      <c r="G2081">
        <f>decInputProd1Seg3SpeakersPerc_R2*calcProd1Seg3PromotionAllocationR2</f>
        <v>31350</v>
      </c>
      <c r="H2081">
        <f>decInputProd1Seg3SpeakersPerc_R2*calcProd1Seg3PromotionAllocationR2</f>
        <v>31350</v>
      </c>
      <c r="I2081">
        <f>decInputProd1Seg3SpeakersPerc_R2*calcProd1Seg3PromotionAllocationR2</f>
        <v>31350</v>
      </c>
      <c r="J2081" t="s">
        <v>2488</v>
      </c>
    </row>
    <row r="2082" spans="1:10">
      <c r="A2082" s="4"/>
      <c r="C2082" t="s">
        <v>2446</v>
      </c>
      <c r="E2082">
        <f>decInputProd1Seg3PromotionPerc_R2*calcProd1Seg3PromotionAllocationR2</f>
        <v>31350</v>
      </c>
      <c r="F2082">
        <f>decInputProd1Seg3PromotionPerc_R2*calcProd1Seg3PromotionAllocationR2</f>
        <v>31350</v>
      </c>
      <c r="G2082">
        <f>decInputProd1Seg3PromotionPerc_R2*calcProd1Seg3PromotionAllocationR2</f>
        <v>31350</v>
      </c>
      <c r="H2082">
        <f>decInputProd1Seg3PromotionPerc_R2*calcProd1Seg3PromotionAllocationR2</f>
        <v>31350</v>
      </c>
      <c r="I2082">
        <f>decInputProd1Seg3PromotionPerc_R2*calcProd1Seg3PromotionAllocationR2</f>
        <v>31350</v>
      </c>
      <c r="J2082" t="s">
        <v>2489</v>
      </c>
    </row>
    <row r="2083" spans="1:10">
      <c r="A2083" s="4"/>
    </row>
    <row r="2085" spans="1:10">
      <c r="A2085" s="4" t="str">
        <f>nmReg1Seg1</f>
        <v>Riverrun</v>
      </c>
      <c r="C2085" t="s">
        <v>516</v>
      </c>
      <c r="E2085">
        <f>decInputReg1Seg1SamplesPerc_R1*obalReg1SampleBudgetLeft</f>
        <v>49500</v>
      </c>
      <c r="F2085">
        <f>decInputReg1Seg1SamplesPerc_R1*obalReg1SampleBudgetLeft</f>
        <v>49500</v>
      </c>
      <c r="G2085">
        <f>decInputReg1Seg1SamplesPerc_R1*obalReg1SampleBudgetLeft</f>
        <v>49500</v>
      </c>
      <c r="H2085">
        <f>decInputReg1Seg1SamplesPerc_R1*obalReg1SampleBudgetLeft</f>
        <v>49500</v>
      </c>
      <c r="I2085">
        <f>decInputReg1Seg1SamplesPerc_R1*obalReg1SampleBudgetLeft</f>
        <v>49500</v>
      </c>
      <c r="J2085" t="s">
        <v>2472</v>
      </c>
    </row>
    <row r="2086" spans="1:10">
      <c r="A2086" s="4"/>
      <c r="C2086" t="s">
        <v>517</v>
      </c>
      <c r="E2086">
        <f>decInputReg1Seg1SpeakersPerc_R1*calcReg1Seg1PromotionAllocationR1</f>
        <v>99000</v>
      </c>
      <c r="F2086">
        <f>decInputReg1Seg1SpeakersPerc_R1*calcReg1Seg1PromotionAllocationR1</f>
        <v>99000</v>
      </c>
      <c r="G2086">
        <f>decInputReg1Seg1SpeakersPerc_R1*calcReg1Seg1PromotionAllocationR1</f>
        <v>99000</v>
      </c>
      <c r="H2086">
        <f>decInputReg1Seg1SpeakersPerc_R1*calcReg1Seg1PromotionAllocationR1</f>
        <v>99000</v>
      </c>
      <c r="I2086">
        <f>decInputReg1Seg1SpeakersPerc_R1*calcReg1Seg1PromotionAllocationR1</f>
        <v>99000</v>
      </c>
      <c r="J2086" t="s">
        <v>2473</v>
      </c>
    </row>
    <row r="2087" spans="1:10">
      <c r="A2087" s="4"/>
      <c r="C2087" t="s">
        <v>2446</v>
      </c>
      <c r="E2087">
        <f>decInputReg1Seg1PromotionPerc_R1*calcReg1Seg1PromotionAllocationR1</f>
        <v>99000</v>
      </c>
      <c r="F2087">
        <f>decInputReg1Seg1PromotionPerc_R1*calcReg1Seg1PromotionAllocationR1</f>
        <v>99000</v>
      </c>
      <c r="G2087">
        <f>decInputReg1Seg1PromotionPerc_R1*calcReg1Seg1PromotionAllocationR1</f>
        <v>99000</v>
      </c>
      <c r="H2087">
        <f>decInputReg1Seg1PromotionPerc_R1*calcReg1Seg1PromotionAllocationR1</f>
        <v>99000</v>
      </c>
      <c r="I2087">
        <f>decInputReg1Seg1PromotionPerc_R1*calcReg1Seg1PromotionAllocationR1</f>
        <v>99000</v>
      </c>
      <c r="J2087" t="s">
        <v>2474</v>
      </c>
    </row>
    <row r="2088" spans="1:10">
      <c r="A2088" s="4"/>
    </row>
    <row r="2090" spans="1:10">
      <c r="A2090" s="4" t="str">
        <f>nmReg1Seg2</f>
        <v>Winterfell</v>
      </c>
      <c r="C2090" t="s">
        <v>516</v>
      </c>
      <c r="E2090">
        <f>decInputReg1Seg2SamplesPerc_R1*obalReg1SampleBudgetLeft</f>
        <v>49500</v>
      </c>
      <c r="F2090">
        <f>decInputReg1Seg2SamplesPerc_R1*obalReg1SampleBudgetLeft</f>
        <v>49500</v>
      </c>
      <c r="G2090">
        <f>decInputReg1Seg2SamplesPerc_R1*obalReg1SampleBudgetLeft</f>
        <v>49500</v>
      </c>
      <c r="H2090">
        <f>decInputReg1Seg2SamplesPerc_R1*obalReg1SampleBudgetLeft</f>
        <v>49500</v>
      </c>
      <c r="I2090">
        <f>decInputReg1Seg2SamplesPerc_R1*obalReg1SampleBudgetLeft</f>
        <v>49500</v>
      </c>
      <c r="J2090" t="s">
        <v>2475</v>
      </c>
    </row>
    <row r="2091" spans="1:10">
      <c r="A2091" s="4"/>
      <c r="C2091" t="s">
        <v>517</v>
      </c>
      <c r="E2091">
        <f>decInputReg1Seg2SpeakersPerc_R1*calcReg1Seg2PromotionAllocationR1</f>
        <v>99000</v>
      </c>
      <c r="F2091">
        <f>decInputReg1Seg2SpeakersPerc_R1*calcReg1Seg2PromotionAllocationR1</f>
        <v>99000</v>
      </c>
      <c r="G2091">
        <f>decInputReg1Seg2SpeakersPerc_R1*calcReg1Seg2PromotionAllocationR1</f>
        <v>99000</v>
      </c>
      <c r="H2091">
        <f>decInputReg1Seg2SpeakersPerc_R1*calcReg1Seg2PromotionAllocationR1</f>
        <v>99000</v>
      </c>
      <c r="I2091">
        <f>decInputReg1Seg2SpeakersPerc_R1*calcReg1Seg2PromotionAllocationR1</f>
        <v>99000</v>
      </c>
      <c r="J2091" t="s">
        <v>2476</v>
      </c>
    </row>
    <row r="2092" spans="1:10">
      <c r="A2092" s="4"/>
      <c r="C2092" t="s">
        <v>2446</v>
      </c>
      <c r="E2092">
        <f>decInputReg1Seg2PromotionPerc_R1*calcReg1Seg2PromotionAllocationR1</f>
        <v>99000</v>
      </c>
      <c r="F2092">
        <f>decInputReg1Seg2PromotionPerc_R1*calcReg1Seg2PromotionAllocationR1</f>
        <v>99000</v>
      </c>
      <c r="G2092">
        <f>decInputReg1Seg2PromotionPerc_R1*calcReg1Seg2PromotionAllocationR1</f>
        <v>99000</v>
      </c>
      <c r="H2092">
        <f>decInputReg1Seg2PromotionPerc_R1*calcReg1Seg2PromotionAllocationR1</f>
        <v>99000</v>
      </c>
      <c r="I2092">
        <f>decInputReg1Seg2PromotionPerc_R1*calcReg1Seg2PromotionAllocationR1</f>
        <v>99000</v>
      </c>
      <c r="J2092" t="s">
        <v>2477</v>
      </c>
    </row>
    <row r="2093" spans="1:10">
      <c r="A2093" s="4"/>
    </row>
    <row r="2095" spans="1:10">
      <c r="A2095" s="4" t="str">
        <f>nmReg1Seg3</f>
        <v>Harrenhal</v>
      </c>
      <c r="C2095" t="s">
        <v>516</v>
      </c>
      <c r="E2095">
        <f>decInputReg1Seg3SamplesPerc_R1*obalReg1SampleBudgetLeft</f>
        <v>49500</v>
      </c>
      <c r="F2095">
        <f>decInputReg1Seg3SamplesPerc_R1*obalReg1SampleBudgetLeft</f>
        <v>49500</v>
      </c>
      <c r="G2095">
        <f>decInputReg1Seg3SamplesPerc_R1*obalReg1SampleBudgetLeft</f>
        <v>49500</v>
      </c>
      <c r="H2095">
        <f>decInputReg1Seg3SamplesPerc_R1*obalReg1SampleBudgetLeft</f>
        <v>49500</v>
      </c>
      <c r="I2095">
        <f>decInputReg1Seg3SamplesPerc_R1*obalReg1SampleBudgetLeft</f>
        <v>49500</v>
      </c>
      <c r="J2095" t="s">
        <v>2478</v>
      </c>
    </row>
    <row r="2096" spans="1:10">
      <c r="A2096" s="4"/>
      <c r="C2096" t="s">
        <v>517</v>
      </c>
      <c r="E2096">
        <f>decInputReg1Seg3SpeakersPerc_R1*calcReg1Seg3PromotionAllocationR1</f>
        <v>99000</v>
      </c>
      <c r="F2096">
        <f>decInputReg1Seg3SpeakersPerc_R1*calcReg1Seg3PromotionAllocationR1</f>
        <v>99000</v>
      </c>
      <c r="G2096">
        <f>decInputReg1Seg3SpeakersPerc_R1*calcReg1Seg3PromotionAllocationR1</f>
        <v>99000</v>
      </c>
      <c r="H2096">
        <f>decInputReg1Seg3SpeakersPerc_R1*calcReg1Seg3PromotionAllocationR1</f>
        <v>99000</v>
      </c>
      <c r="I2096">
        <f>decInputReg1Seg3SpeakersPerc_R1*calcReg1Seg3PromotionAllocationR1</f>
        <v>99000</v>
      </c>
      <c r="J2096" t="s">
        <v>2479</v>
      </c>
    </row>
    <row r="2097" spans="1:10">
      <c r="A2097" s="4"/>
      <c r="C2097" t="s">
        <v>2446</v>
      </c>
      <c r="E2097">
        <f>decInputReg1Seg3PromotionPerc_R1*calcReg1Seg3PromotionAllocationR1</f>
        <v>99000</v>
      </c>
      <c r="F2097">
        <f>decInputReg1Seg3PromotionPerc_R1*calcReg1Seg3PromotionAllocationR1</f>
        <v>99000</v>
      </c>
      <c r="G2097">
        <f>decInputReg1Seg3PromotionPerc_R1*calcReg1Seg3PromotionAllocationR1</f>
        <v>99000</v>
      </c>
      <c r="H2097">
        <f>decInputReg1Seg3PromotionPerc_R1*calcReg1Seg3PromotionAllocationR1</f>
        <v>99000</v>
      </c>
      <c r="I2097">
        <f>decInputReg1Seg3PromotionPerc_R1*calcReg1Seg3PromotionAllocationR1</f>
        <v>99000</v>
      </c>
      <c r="J2097" t="s">
        <v>2480</v>
      </c>
    </row>
    <row r="2098" spans="1:10">
      <c r="A2098" s="4"/>
    </row>
    <row r="2099" spans="1:10">
      <c r="A2099" s="4" t="str">
        <f>nmReg1Seg1</f>
        <v>Riverrun</v>
      </c>
      <c r="C2099" t="s">
        <v>516</v>
      </c>
      <c r="E2099">
        <f>decInputReg1Seg1SamplesPerc_R2*obalReg1SampleBudgetLeftR2</f>
        <v>49500</v>
      </c>
      <c r="F2099">
        <f>decInputReg1Seg1SamplesPerc_R2*obalReg1SampleBudgetLeftR2</f>
        <v>49500</v>
      </c>
      <c r="G2099">
        <f>decInputReg1Seg1SamplesPerc_R2*obalReg1SampleBudgetLeftR2</f>
        <v>49500</v>
      </c>
      <c r="H2099">
        <f>decInputReg1Seg1SamplesPerc_R2*obalReg1SampleBudgetLeftR2</f>
        <v>49500</v>
      </c>
      <c r="I2099">
        <f>decInputReg1Seg1SamplesPerc_R2*obalReg1SampleBudgetLeftR2</f>
        <v>49500</v>
      </c>
      <c r="J2099" t="s">
        <v>2779</v>
      </c>
    </row>
    <row r="2100" spans="1:10">
      <c r="A2100" s="4"/>
      <c r="C2100" t="s">
        <v>517</v>
      </c>
      <c r="E2100">
        <f>decInputReg1Seg1SpeakersPerc_R2*calcReg1Seg1PromotionAllocationR2</f>
        <v>94050</v>
      </c>
      <c r="F2100">
        <f>decInputReg1Seg1SpeakersPerc_R2*calcReg1Seg1PromotionAllocationR2</f>
        <v>94050</v>
      </c>
      <c r="G2100">
        <f>decInputReg1Seg1SpeakersPerc_R2*calcReg1Seg1PromotionAllocationR2</f>
        <v>94050</v>
      </c>
      <c r="H2100">
        <f>decInputReg1Seg1SpeakersPerc_R2*calcReg1Seg1PromotionAllocationR2</f>
        <v>94050</v>
      </c>
      <c r="I2100">
        <f>decInputReg1Seg1SpeakersPerc_R2*calcReg1Seg1PromotionAllocationR2</f>
        <v>94050</v>
      </c>
      <c r="J2100" t="s">
        <v>2780</v>
      </c>
    </row>
    <row r="2101" spans="1:10">
      <c r="A2101" s="4"/>
      <c r="C2101" t="s">
        <v>2446</v>
      </c>
      <c r="E2101">
        <f>decInputReg1Seg1PromotionPerc_R2*calcReg1Seg1PromotionAllocationR2</f>
        <v>94050</v>
      </c>
      <c r="F2101">
        <f>decInputReg1Seg1PromotionPerc_R2*calcReg1Seg1PromotionAllocationR2</f>
        <v>94050</v>
      </c>
      <c r="G2101">
        <f>decInputReg1Seg1PromotionPerc_R2*calcReg1Seg1PromotionAllocationR2</f>
        <v>94050</v>
      </c>
      <c r="H2101">
        <f>decInputReg1Seg1PromotionPerc_R2*calcReg1Seg1PromotionAllocationR2</f>
        <v>94050</v>
      </c>
      <c r="I2101">
        <f>decInputReg1Seg1PromotionPerc_R2*calcReg1Seg1PromotionAllocationR2</f>
        <v>94050</v>
      </c>
      <c r="J2101" t="s">
        <v>2781</v>
      </c>
    </row>
    <row r="2102" spans="1:10">
      <c r="A2102" s="4"/>
    </row>
    <row r="2104" spans="1:10">
      <c r="A2104" s="4" t="str">
        <f>nmReg1Seg2</f>
        <v>Winterfell</v>
      </c>
      <c r="C2104" t="s">
        <v>516</v>
      </c>
      <c r="E2104">
        <f>decInputReg1Seg2SamplesPerc_R2*obalReg1SampleBudgetLeftR2</f>
        <v>49500</v>
      </c>
      <c r="F2104">
        <f>decInputReg1Seg2SamplesPerc_R2*obalReg1SampleBudgetLeftR2</f>
        <v>49500</v>
      </c>
      <c r="G2104">
        <f>decInputReg1Seg2SamplesPerc_R2*obalReg1SampleBudgetLeftR2</f>
        <v>49500</v>
      </c>
      <c r="H2104">
        <f>decInputReg1Seg2SamplesPerc_R2*obalReg1SampleBudgetLeftR2</f>
        <v>49500</v>
      </c>
      <c r="I2104">
        <f>decInputReg1Seg2SamplesPerc_R2*obalReg1SampleBudgetLeftR2</f>
        <v>49500</v>
      </c>
      <c r="J2104" t="s">
        <v>2782</v>
      </c>
    </row>
    <row r="2105" spans="1:10">
      <c r="A2105" s="4"/>
      <c r="C2105" t="s">
        <v>517</v>
      </c>
      <c r="E2105">
        <f>decInputReg1Seg2SpeakersPerc_R2*calcReg1Seg2PromotionAllocationR2</f>
        <v>94050</v>
      </c>
      <c r="F2105">
        <f>decInputReg1Seg2SpeakersPerc_R2*calcReg1Seg2PromotionAllocationR2</f>
        <v>94050</v>
      </c>
      <c r="G2105">
        <f>decInputReg1Seg2SpeakersPerc_R2*calcReg1Seg2PromotionAllocationR2</f>
        <v>94050</v>
      </c>
      <c r="H2105">
        <f>decInputReg1Seg2SpeakersPerc_R2*calcReg1Seg2PromotionAllocationR2</f>
        <v>94050</v>
      </c>
      <c r="I2105">
        <f>decInputReg1Seg2SpeakersPerc_R2*calcReg1Seg2PromotionAllocationR2</f>
        <v>94050</v>
      </c>
      <c r="J2105" t="s">
        <v>2783</v>
      </c>
    </row>
    <row r="2106" spans="1:10">
      <c r="A2106" s="4"/>
      <c r="C2106" t="s">
        <v>2446</v>
      </c>
      <c r="E2106">
        <f>decInputReg1Seg2PromotionPerc_R2*calcReg1Seg2PromotionAllocationR2</f>
        <v>94050</v>
      </c>
      <c r="F2106">
        <f>decInputReg1Seg2PromotionPerc_R2*calcReg1Seg2PromotionAllocationR2</f>
        <v>94050</v>
      </c>
      <c r="G2106">
        <f>decInputReg1Seg2PromotionPerc_R2*calcReg1Seg2PromotionAllocationR2</f>
        <v>94050</v>
      </c>
      <c r="H2106">
        <f>decInputReg1Seg2PromotionPerc_R2*calcReg1Seg2PromotionAllocationR2</f>
        <v>94050</v>
      </c>
      <c r="I2106">
        <f>decInputReg1Seg2PromotionPerc_R2*calcReg1Seg2PromotionAllocationR2</f>
        <v>94050</v>
      </c>
      <c r="J2106" t="s">
        <v>2784</v>
      </c>
    </row>
    <row r="2107" spans="1:10">
      <c r="A2107" s="4"/>
    </row>
    <row r="2109" spans="1:10">
      <c r="A2109" s="4" t="str">
        <f>nmReg1Seg3</f>
        <v>Harrenhal</v>
      </c>
      <c r="C2109" t="s">
        <v>516</v>
      </c>
      <c r="E2109">
        <f>decInputReg1Seg3SamplesPerc_R2*obalReg1SampleBudgetLeftR2</f>
        <v>49500</v>
      </c>
      <c r="F2109">
        <f>decInputReg1Seg3SamplesPerc_R2*obalReg1SampleBudgetLeftR2</f>
        <v>49500</v>
      </c>
      <c r="G2109">
        <f>decInputReg1Seg3SamplesPerc_R2*obalReg1SampleBudgetLeftR2</f>
        <v>49500</v>
      </c>
      <c r="H2109">
        <f>decInputReg1Seg3SamplesPerc_R2*obalReg1SampleBudgetLeftR2</f>
        <v>49500</v>
      </c>
      <c r="I2109">
        <f>decInputReg1Seg3SamplesPerc_R2*obalReg1SampleBudgetLeftR2</f>
        <v>49500</v>
      </c>
      <c r="J2109" t="s">
        <v>2785</v>
      </c>
    </row>
    <row r="2110" spans="1:10">
      <c r="A2110" s="4"/>
      <c r="C2110" t="s">
        <v>517</v>
      </c>
      <c r="E2110">
        <f>decInputReg1Seg3SpeakersPerc_R2*calcReg1Seg3PromotionAllocationR2</f>
        <v>94050</v>
      </c>
      <c r="F2110">
        <f>decInputReg1Seg3SpeakersPerc_R2*calcReg1Seg3PromotionAllocationR2</f>
        <v>94050</v>
      </c>
      <c r="G2110">
        <f>decInputReg1Seg3SpeakersPerc_R2*calcReg1Seg3PromotionAllocationR2</f>
        <v>94050</v>
      </c>
      <c r="H2110">
        <f>decInputReg1Seg3SpeakersPerc_R2*calcReg1Seg3PromotionAllocationR2</f>
        <v>94050</v>
      </c>
      <c r="I2110">
        <f>decInputReg1Seg3SpeakersPerc_R2*calcReg1Seg3PromotionAllocationR2</f>
        <v>94050</v>
      </c>
      <c r="J2110" t="s">
        <v>2786</v>
      </c>
    </row>
    <row r="2111" spans="1:10">
      <c r="A2111" s="4"/>
      <c r="C2111" t="s">
        <v>2446</v>
      </c>
      <c r="E2111">
        <f>decInputReg1Seg3PromotionPerc_R2*calcReg1Seg3PromotionAllocationR2</f>
        <v>94050</v>
      </c>
      <c r="F2111">
        <f>decInputReg1Seg3PromotionPerc_R2*calcReg1Seg3PromotionAllocationR2</f>
        <v>94050</v>
      </c>
      <c r="G2111">
        <f>decInputReg1Seg3PromotionPerc_R2*calcReg1Seg3PromotionAllocationR2</f>
        <v>94050</v>
      </c>
      <c r="H2111">
        <f>decInputReg1Seg3PromotionPerc_R2*calcReg1Seg3PromotionAllocationR2</f>
        <v>94050</v>
      </c>
      <c r="I2111">
        <f>decInputReg1Seg3PromotionPerc_R2*calcReg1Seg3PromotionAllocationR2</f>
        <v>94050</v>
      </c>
      <c r="J2111" t="s">
        <v>2787</v>
      </c>
    </row>
    <row r="2112" spans="1:10">
      <c r="A2112" s="4"/>
    </row>
    <row r="2113" spans="1:10">
      <c r="A2113" s="4" t="s">
        <v>3523</v>
      </c>
      <c r="C2113" t="str">
        <f>nmPayer1</f>
        <v>Blue Sword/Blue Shield</v>
      </c>
      <c r="E2113" t="str">
        <f>MarketData!K4</f>
        <v>T3 DSE</v>
      </c>
      <c r="F2113" t="str">
        <f>MarketData!$K$4</f>
        <v>T3 DSE</v>
      </c>
      <c r="G2113" t="str">
        <f>MarketData!$K$4</f>
        <v>T3 DSE</v>
      </c>
      <c r="H2113" t="str">
        <f>MarketData!$K$4</f>
        <v>T3 DSE</v>
      </c>
      <c r="I2113" t="str">
        <f>MarketData!$K$4</f>
        <v>T3 DSE</v>
      </c>
      <c r="J2113" t="s">
        <v>3524</v>
      </c>
    </row>
    <row r="2114" spans="1:10">
      <c r="A2114" s="4" t="s">
        <v>3535</v>
      </c>
    </row>
    <row r="2115" spans="1:10">
      <c r="C2115" t="str">
        <f>nmPayer1</f>
        <v>Blue Sword/Blue Shield</v>
      </c>
      <c r="D2115" t="s">
        <v>622</v>
      </c>
      <c r="E2115">
        <f>MATCH(obalProd1Payer1Status,dataTierImpactList,0)</f>
        <v>2</v>
      </c>
      <c r="F2115">
        <f>MATCH(obalProd1Payer1Status,dataTierImpactList,0)</f>
        <v>2</v>
      </c>
      <c r="G2115">
        <f>MATCH(obalProd1Payer1Status,dataTierImpactList,0)</f>
        <v>2</v>
      </c>
      <c r="H2115">
        <f>MATCH(obalProd1Payer1Status,dataTierImpactList,0)</f>
        <v>2</v>
      </c>
      <c r="I2115">
        <f>MATCH(obalProd1Payer1Status,dataTierImpactList,0)</f>
        <v>2</v>
      </c>
      <c r="J2115" t="s">
        <v>3529</v>
      </c>
    </row>
    <row r="2116" spans="1:10">
      <c r="A2116" s="4"/>
      <c r="C2116" t="str">
        <f>nmPayer1</f>
        <v>Blue Sword/Blue Shield</v>
      </c>
      <c r="D2116" t="s">
        <v>623</v>
      </c>
      <c r="E2116">
        <f>MATCH(cbalProd1Payer1Status,dataTierImpactList,0)</f>
        <v>1</v>
      </c>
      <c r="F2116">
        <f>MATCH(cbalProd1Payer1Status,dataTierImpactList,0)</f>
        <v>1</v>
      </c>
      <c r="G2116">
        <f>MATCH(cbalProd1Payer1Status,dataTierImpactList,0)</f>
        <v>1</v>
      </c>
      <c r="H2116">
        <f>MATCH(cbalProd1Payer1Status,dataTierImpactList,0)</f>
        <v>1</v>
      </c>
      <c r="I2116">
        <f>MATCH(cbalProd1Payer1Status,dataTierImpactList,0)</f>
        <v>1</v>
      </c>
      <c r="J2116" t="s">
        <v>3530</v>
      </c>
    </row>
    <row r="2117" spans="1:10">
      <c r="C2117" t="str">
        <f>nmPayer2</f>
        <v>WesterAid</v>
      </c>
      <c r="D2117" t="s">
        <v>622</v>
      </c>
      <c r="E2117">
        <f>MATCH(obalProd1Payer2Status,dataTierImpactList,0)</f>
        <v>4</v>
      </c>
      <c r="F2117">
        <f>MATCH(obalProd1Payer2Status,dataTierImpactList,0)</f>
        <v>4</v>
      </c>
      <c r="G2117">
        <f>MATCH(obalProd1Payer2Status,dataTierImpactList,0)</f>
        <v>4</v>
      </c>
      <c r="H2117">
        <f>MATCH(obalProd1Payer2Status,dataTierImpactList,0)</f>
        <v>4</v>
      </c>
      <c r="I2117">
        <f>MATCH(obalProd1Payer2Status,dataTierImpactList,0)</f>
        <v>4</v>
      </c>
      <c r="J2117" t="s">
        <v>3531</v>
      </c>
    </row>
    <row r="2118" spans="1:10">
      <c r="A2118" s="4"/>
      <c r="C2118" t="str">
        <f>nmPayer2</f>
        <v>WesterAid</v>
      </c>
      <c r="D2118" t="s">
        <v>623</v>
      </c>
      <c r="E2118">
        <f>MATCH(cbalProd1Payer2Status,dataTierImpactList,0)</f>
        <v>4</v>
      </c>
      <c r="F2118">
        <f>MATCH(cbalProd1Payer2Status,dataTierImpactList,0)</f>
        <v>4</v>
      </c>
      <c r="G2118">
        <f>MATCH(cbalProd1Payer2Status,dataTierImpactList,0)</f>
        <v>4</v>
      </c>
      <c r="H2118">
        <f>MATCH(cbalProd1Payer2Status,dataTierImpactList,0)</f>
        <v>4</v>
      </c>
      <c r="I2118">
        <f>MATCH(cbalProd1Payer2Status,dataTierImpactList,0)</f>
        <v>4</v>
      </c>
      <c r="J2118" t="s">
        <v>3532</v>
      </c>
    </row>
    <row r="2119" spans="1:10">
      <c r="C2119" t="str">
        <f>nmPayer3</f>
        <v>Dragon Health</v>
      </c>
      <c r="D2119" t="s">
        <v>622</v>
      </c>
      <c r="E2119">
        <f>MATCH(obalProd1Payer3Status,dataTierImpactList,0)</f>
        <v>3</v>
      </c>
      <c r="F2119">
        <f>MATCH(obalProd1Payer3Status,dataTierImpactList,0)</f>
        <v>3</v>
      </c>
      <c r="G2119">
        <f>MATCH(obalProd1Payer3Status,dataTierImpactList,0)</f>
        <v>3</v>
      </c>
      <c r="H2119">
        <f>MATCH(obalProd1Payer3Status,dataTierImpactList,0)</f>
        <v>3</v>
      </c>
      <c r="I2119">
        <f>MATCH(obalProd1Payer3Status,dataTierImpactList,0)</f>
        <v>3</v>
      </c>
      <c r="J2119" t="s">
        <v>3533</v>
      </c>
    </row>
    <row r="2120" spans="1:10">
      <c r="A2120" s="4"/>
      <c r="C2120" t="str">
        <f>nmPayer3</f>
        <v>Dragon Health</v>
      </c>
      <c r="D2120" t="s">
        <v>623</v>
      </c>
      <c r="E2120">
        <f>MATCH(cbalProd1Payer3Status,dataTierImpactList,0)</f>
        <v>3</v>
      </c>
      <c r="F2120">
        <f>MATCH(cbalProd1Payer3Status,dataTierImpactList,0)</f>
        <v>3</v>
      </c>
      <c r="G2120">
        <f>MATCH(cbalProd1Payer3Status,dataTierImpactList,0)</f>
        <v>3</v>
      </c>
      <c r="H2120">
        <f>MATCH(cbalProd1Payer3Status,dataTierImpactList,0)</f>
        <v>3</v>
      </c>
      <c r="I2120">
        <f>MATCH(cbalProd1Payer3Status,dataTierImpactList,0)</f>
        <v>3</v>
      </c>
      <c r="J2120" t="s">
        <v>3534</v>
      </c>
    </row>
    <row r="2121" spans="1:10">
      <c r="A2121" s="4" t="s">
        <v>3535</v>
      </c>
    </row>
    <row r="2122" spans="1:10">
      <c r="C2122" t="str">
        <f>nmPayer1</f>
        <v>Blue Sword/Blue Shield</v>
      </c>
      <c r="D2122" t="s">
        <v>622</v>
      </c>
      <c r="E2122">
        <f>MATCH(obalReg1Payer1Status,dataTierImpactList,0)</f>
        <v>2</v>
      </c>
      <c r="F2122">
        <f>MATCH(obalReg1Payer1Status,dataTierImpactList,0)</f>
        <v>2</v>
      </c>
      <c r="G2122">
        <f>MATCH(obalReg1Payer1Status,dataTierImpactList,0)</f>
        <v>2</v>
      </c>
      <c r="H2122">
        <f>MATCH(obalReg1Payer1Status,dataTierImpactList,0)</f>
        <v>2</v>
      </c>
      <c r="I2122">
        <f>MATCH(obalReg1Payer1Status,dataTierImpactList,0)</f>
        <v>2</v>
      </c>
      <c r="J2122" t="s">
        <v>3536</v>
      </c>
    </row>
    <row r="2123" spans="1:10">
      <c r="A2123" s="4"/>
      <c r="C2123" t="str">
        <f>nmPayer1</f>
        <v>Blue Sword/Blue Shield</v>
      </c>
      <c r="D2123" t="s">
        <v>623</v>
      </c>
      <c r="E2123">
        <f>MATCH(cbalReg1Payer1Status,dataTierImpactList,0)</f>
        <v>1</v>
      </c>
      <c r="F2123">
        <f>MATCH(cbalReg1Payer1Status,dataTierImpactList,0)</f>
        <v>1</v>
      </c>
      <c r="G2123">
        <f>MATCH(cbalReg1Payer1Status,dataTierImpactList,0)</f>
        <v>1</v>
      </c>
      <c r="H2123">
        <f>MATCH(cbalReg1Payer1Status,dataTierImpactList,0)</f>
        <v>1</v>
      </c>
      <c r="I2123">
        <f>MATCH(cbalReg1Payer1Status,dataTierImpactList,0)</f>
        <v>1</v>
      </c>
      <c r="J2123" t="s">
        <v>3537</v>
      </c>
    </row>
    <row r="2124" spans="1:10">
      <c r="C2124" t="str">
        <f>nmPayer2</f>
        <v>WesterAid</v>
      </c>
      <c r="D2124" t="s">
        <v>622</v>
      </c>
      <c r="E2124">
        <f>MATCH(obalReg1Payer2Status,dataTierImpactList,0)</f>
        <v>4</v>
      </c>
      <c r="F2124">
        <f>MATCH(obalReg1Payer2Status,dataTierImpactList,0)</f>
        <v>4</v>
      </c>
      <c r="G2124">
        <f>MATCH(obalReg1Payer2Status,dataTierImpactList,0)</f>
        <v>4</v>
      </c>
      <c r="H2124">
        <f>MATCH(obalReg1Payer2Status,dataTierImpactList,0)</f>
        <v>4</v>
      </c>
      <c r="I2124">
        <f>MATCH(obalReg1Payer2Status,dataTierImpactList,0)</f>
        <v>4</v>
      </c>
      <c r="J2124" t="s">
        <v>3538</v>
      </c>
    </row>
    <row r="2125" spans="1:10">
      <c r="A2125" s="4"/>
      <c r="C2125" t="str">
        <f>nmPayer2</f>
        <v>WesterAid</v>
      </c>
      <c r="D2125" t="s">
        <v>623</v>
      </c>
      <c r="E2125">
        <f>MATCH(cbalReg1Payer2Status,dataTierImpactList,0)</f>
        <v>4</v>
      </c>
      <c r="F2125">
        <f>MATCH(cbalReg1Payer2Status,dataTierImpactList,0)</f>
        <v>4</v>
      </c>
      <c r="G2125">
        <f>MATCH(cbalReg1Payer2Status,dataTierImpactList,0)</f>
        <v>4</v>
      </c>
      <c r="H2125">
        <f>MATCH(cbalReg1Payer2Status,dataTierImpactList,0)</f>
        <v>4</v>
      </c>
      <c r="I2125">
        <f>MATCH(cbalReg1Payer2Status,dataTierImpactList,0)</f>
        <v>4</v>
      </c>
      <c r="J2125" t="s">
        <v>3539</v>
      </c>
    </row>
    <row r="2126" spans="1:10">
      <c r="C2126" t="str">
        <f>nmPayer3</f>
        <v>Dragon Health</v>
      </c>
      <c r="D2126" t="s">
        <v>622</v>
      </c>
      <c r="E2126">
        <f>MATCH(obalReg1Payer3Status,dataTierImpactList,0)</f>
        <v>3</v>
      </c>
      <c r="F2126">
        <f>MATCH(obalReg1Payer3Status,dataTierImpactList,0)</f>
        <v>3</v>
      </c>
      <c r="G2126">
        <f>MATCH(obalReg1Payer3Status,dataTierImpactList,0)</f>
        <v>3</v>
      </c>
      <c r="H2126">
        <f>MATCH(obalReg1Payer3Status,dataTierImpactList,0)</f>
        <v>3</v>
      </c>
      <c r="I2126">
        <f>MATCH(obalReg1Payer3Status,dataTierImpactList,0)</f>
        <v>3</v>
      </c>
      <c r="J2126" t="s">
        <v>3540</v>
      </c>
    </row>
    <row r="2127" spans="1:10">
      <c r="A2127" s="4"/>
      <c r="C2127" t="str">
        <f>nmPayer3</f>
        <v>Dragon Health</v>
      </c>
      <c r="D2127" t="s">
        <v>623</v>
      </c>
      <c r="E2127">
        <f>MATCH(cbalReg1Payer3Status,dataTierImpactList,0)</f>
        <v>3</v>
      </c>
      <c r="F2127">
        <f>MATCH(cbalReg1Payer3Status,dataTierImpactList,0)</f>
        <v>3</v>
      </c>
      <c r="G2127">
        <f>MATCH(cbalReg1Payer3Status,dataTierImpactList,0)</f>
        <v>3</v>
      </c>
      <c r="H2127">
        <f>MATCH(cbalReg1Payer3Status,dataTierImpactList,0)</f>
        <v>3</v>
      </c>
      <c r="I2127">
        <f>MATCH(cbalReg1Payer3Status,dataTierImpactList,0)</f>
        <v>3</v>
      </c>
      <c r="J2127" t="s">
        <v>3541</v>
      </c>
    </row>
    <row r="2128" spans="1:10">
      <c r="A2128" s="4"/>
    </row>
    <row r="2129" spans="1:10">
      <c r="A2129" s="4" t="s">
        <v>2471</v>
      </c>
    </row>
    <row r="2130" spans="1:10">
      <c r="A2130" t="str">
        <f>nmProd1</f>
        <v>Riverrun</v>
      </c>
    </row>
    <row r="2131" spans="1:10">
      <c r="A2131" s="4" t="s">
        <v>376</v>
      </c>
    </row>
    <row r="2132" spans="1:10">
      <c r="B2132" t="str">
        <f>nmProd1Seg1</f>
        <v>Riverrun Central</v>
      </c>
    </row>
    <row r="2133" spans="1:10">
      <c r="B2133" s="4" t="str">
        <f>nmPayer1</f>
        <v>Blue Sword/Blue Shield</v>
      </c>
    </row>
    <row r="2134" spans="1:10">
      <c r="C2134" t="s">
        <v>1465</v>
      </c>
      <c r="E2134" t="str">
        <f>obalProd1Payer1Status</f>
        <v>T2 DGSE</v>
      </c>
      <c r="F2134" t="str">
        <f>obalProd1Payer1Status</f>
        <v>T2 DGSE</v>
      </c>
      <c r="G2134" t="str">
        <f>obalProd1Payer1Status</f>
        <v>T2 DGSE</v>
      </c>
      <c r="H2134" t="str">
        <f>obalProd1Payer1Status</f>
        <v>T2 DGSE</v>
      </c>
      <c r="I2134" t="str">
        <f>obalProd1Payer1Status</f>
        <v>T2 DGSE</v>
      </c>
    </row>
    <row r="2135" spans="1:10">
      <c r="C2135" t="s">
        <v>340</v>
      </c>
      <c r="E2135">
        <f>calcProd1Seg1Payer1VolumeR1</f>
        <v>110.2551725184</v>
      </c>
      <c r="F2135">
        <f>calcProd1Seg1Payer1VolumeR1</f>
        <v>110.2551725184</v>
      </c>
      <c r="G2135">
        <f>calcProd1Seg1Payer1VolumeR1</f>
        <v>110.2551725184</v>
      </c>
      <c r="H2135">
        <f>calcProd1Seg1Payer1VolumeR1</f>
        <v>110.2551725184</v>
      </c>
      <c r="I2135">
        <f>calcProd1Seg1Payer1VolumeR1</f>
        <v>110.2551725184</v>
      </c>
    </row>
    <row r="2136" spans="1:10">
      <c r="C2136" t="s">
        <v>2888</v>
      </c>
      <c r="E2136">
        <f>dataTherapy1ListPrice</f>
        <v>3000</v>
      </c>
      <c r="F2136">
        <f>dataTherapy1ListPrice</f>
        <v>3000</v>
      </c>
      <c r="G2136">
        <f>dataTherapy1ListPrice</f>
        <v>3000</v>
      </c>
      <c r="H2136">
        <f>dataTherapy1ListPrice</f>
        <v>3000</v>
      </c>
      <c r="I2136">
        <f>dataTherapy1ListPrice</f>
        <v>3000</v>
      </c>
    </row>
    <row r="2137" spans="1:10">
      <c r="C2137" t="s">
        <v>3542</v>
      </c>
      <c r="E2137">
        <f>INDEX(dataTierImpact,,calcProd1Payer1TierOrientationR1)</f>
        <v>0.4</v>
      </c>
      <c r="F2137">
        <f>INDEX(dataTierImpact,,calcProd1Payer1TierOrientationR1)</f>
        <v>0.4</v>
      </c>
      <c r="G2137">
        <f>INDEX(dataTierImpact,,calcProd1Payer1TierOrientationR1)</f>
        <v>0.4</v>
      </c>
      <c r="H2137">
        <f>INDEX(dataTierImpact,,calcProd1Payer1TierOrientationR1)</f>
        <v>0.4</v>
      </c>
      <c r="I2137">
        <f>INDEX(dataTierImpact,,calcProd1Payer1TierOrientationR1)</f>
        <v>0.4</v>
      </c>
    </row>
    <row r="2138" spans="1:10">
      <c r="E2138">
        <v>1</v>
      </c>
      <c r="F2138">
        <v>1</v>
      </c>
      <c r="G2138">
        <v>1</v>
      </c>
      <c r="H2138">
        <v>1</v>
      </c>
      <c r="I2138">
        <v>1</v>
      </c>
    </row>
    <row r="2139" spans="1:10">
      <c r="C2139" t="s">
        <v>2496</v>
      </c>
      <c r="E2139">
        <f>E2136*E2137*E2138</f>
        <v>1200</v>
      </c>
      <c r="F2139">
        <f t="shared" ref="F2139:I2139" si="118">F2136*F2137*F2138</f>
        <v>1200</v>
      </c>
      <c r="G2139">
        <f t="shared" si="118"/>
        <v>1200</v>
      </c>
      <c r="H2139">
        <f t="shared" si="118"/>
        <v>1200</v>
      </c>
      <c r="I2139">
        <f t="shared" si="118"/>
        <v>1200</v>
      </c>
    </row>
    <row r="2140" spans="1:10" s="4" customFormat="1">
      <c r="C2140" s="4" t="s">
        <v>684</v>
      </c>
      <c r="E2140" s="523">
        <f>E2135*dataTherapy1ListPrice</f>
        <v>330765.51755520003</v>
      </c>
      <c r="F2140" s="523">
        <f>F2135*dataTherapy1ListPrice</f>
        <v>330765.51755520003</v>
      </c>
      <c r="G2140" s="523">
        <f>G2135*dataTherapy1ListPrice</f>
        <v>330765.51755520003</v>
      </c>
      <c r="H2140" s="523">
        <f>H2135*dataTherapy1ListPrice</f>
        <v>330765.51755520003</v>
      </c>
      <c r="I2140" s="523">
        <f>I2135*dataTherapy1ListPrice</f>
        <v>330765.51755520003</v>
      </c>
      <c r="J2140" s="4" t="s">
        <v>2497</v>
      </c>
    </row>
    <row r="2141" spans="1:10" s="4" customFormat="1">
      <c r="C2141" s="4" t="s">
        <v>376</v>
      </c>
      <c r="E2141" s="4">
        <f>E2135*E2139</f>
        <v>132306.20702207999</v>
      </c>
      <c r="F2141" s="4">
        <f t="shared" ref="F2141:I2141" si="119">F2135*F2139</f>
        <v>132306.20702207999</v>
      </c>
      <c r="G2141" s="4">
        <f t="shared" si="119"/>
        <v>132306.20702207999</v>
      </c>
      <c r="H2141" s="4">
        <f t="shared" si="119"/>
        <v>132306.20702207999</v>
      </c>
      <c r="I2141" s="4">
        <f t="shared" si="119"/>
        <v>132306.20702207999</v>
      </c>
      <c r="J2141" s="4" t="s">
        <v>2498</v>
      </c>
    </row>
    <row r="2142" spans="1:10">
      <c r="B2142" s="4" t="str">
        <f>nmPayer2</f>
        <v>WesterAid</v>
      </c>
    </row>
    <row r="2143" spans="1:10">
      <c r="C2143" t="s">
        <v>1465</v>
      </c>
      <c r="E2143" t="str">
        <f>obalProd1Payer2Status</f>
        <v>T1 NR</v>
      </c>
      <c r="F2143" t="str">
        <f>obalProd1Payer2Status</f>
        <v>T1 NR</v>
      </c>
      <c r="G2143" t="str">
        <f>obalProd1Payer2Status</f>
        <v>T1 NR</v>
      </c>
      <c r="H2143" t="str">
        <f>obalProd1Payer2Status</f>
        <v>T1 NR</v>
      </c>
      <c r="I2143" t="str">
        <f>obalProd1Payer2Status</f>
        <v>T1 NR</v>
      </c>
    </row>
    <row r="2144" spans="1:10">
      <c r="C2144" t="s">
        <v>340</v>
      </c>
      <c r="E2144">
        <f>calcProd1Seg1Payer2VolumeR1</f>
        <v>1.5383820480000034</v>
      </c>
      <c r="F2144">
        <f>calcProd1Seg1Payer2VolumeR1</f>
        <v>1.5383820480000034</v>
      </c>
      <c r="G2144">
        <f>calcProd1Seg1Payer2VolumeR1</f>
        <v>1.5383820480000034</v>
      </c>
      <c r="H2144">
        <f>calcProd1Seg1Payer2VolumeR1</f>
        <v>1.5383820480000034</v>
      </c>
      <c r="I2144">
        <f>calcProd1Seg1Payer2VolumeR1</f>
        <v>1.5383820480000034</v>
      </c>
    </row>
    <row r="2145" spans="2:10">
      <c r="C2145" t="s">
        <v>2888</v>
      </c>
      <c r="E2145">
        <f>dataTherapy1ListPrice</f>
        <v>3000</v>
      </c>
      <c r="F2145">
        <f>dataTherapy1ListPrice</f>
        <v>3000</v>
      </c>
      <c r="G2145">
        <f>dataTherapy1ListPrice</f>
        <v>3000</v>
      </c>
      <c r="H2145">
        <f>dataTherapy1ListPrice</f>
        <v>3000</v>
      </c>
      <c r="I2145">
        <f>dataTherapy1ListPrice</f>
        <v>3000</v>
      </c>
    </row>
    <row r="2146" spans="2:10">
      <c r="C2146" t="s">
        <v>3542</v>
      </c>
      <c r="E2146">
        <f>INDEX(dataTierImpact,,calcProd1Payer2TierOrientationR1)</f>
        <v>0.3</v>
      </c>
      <c r="F2146">
        <f>INDEX(dataTierImpact,,calcProd1Payer2TierOrientationR1)</f>
        <v>0.3</v>
      </c>
      <c r="G2146">
        <f>INDEX(dataTierImpact,,calcProd1Payer2TierOrientationR1)</f>
        <v>0.3</v>
      </c>
      <c r="H2146">
        <f>INDEX(dataTierImpact,,calcProd1Payer2TierOrientationR1)</f>
        <v>0.3</v>
      </c>
      <c r="I2146">
        <f>INDEX(dataTierImpact,,calcProd1Payer2TierOrientationR1)</f>
        <v>0.3</v>
      </c>
    </row>
    <row r="2147" spans="2:10">
      <c r="E2147">
        <v>1</v>
      </c>
      <c r="F2147">
        <v>1</v>
      </c>
      <c r="G2147">
        <v>1</v>
      </c>
      <c r="H2147">
        <v>1</v>
      </c>
      <c r="I2147">
        <v>1</v>
      </c>
    </row>
    <row r="2148" spans="2:10">
      <c r="C2148" t="s">
        <v>2496</v>
      </c>
      <c r="E2148">
        <f>E2145*E2146*E2147</f>
        <v>900</v>
      </c>
      <c r="F2148">
        <f t="shared" ref="F2148" si="120">F2145*F2146*F2147</f>
        <v>900</v>
      </c>
      <c r="G2148">
        <f t="shared" ref="G2148" si="121">G2145*G2146*G2147</f>
        <v>900</v>
      </c>
      <c r="H2148">
        <f t="shared" ref="H2148" si="122">H2145*H2146*H2147</f>
        <v>900</v>
      </c>
      <c r="I2148">
        <f t="shared" ref="I2148" si="123">I2145*I2146*I2147</f>
        <v>900</v>
      </c>
    </row>
    <row r="2149" spans="2:10" s="4" customFormat="1">
      <c r="C2149" s="4" t="s">
        <v>684</v>
      </c>
      <c r="E2149" s="523">
        <f>E2144*dataTherapy1ListPrice</f>
        <v>4615.1461440000103</v>
      </c>
      <c r="F2149" s="523">
        <f>F2144*dataTherapy1ListPrice</f>
        <v>4615.1461440000103</v>
      </c>
      <c r="G2149" s="523">
        <f>G2144*dataTherapy1ListPrice</f>
        <v>4615.1461440000103</v>
      </c>
      <c r="H2149" s="523">
        <f>H2144*dataTherapy1ListPrice</f>
        <v>4615.1461440000103</v>
      </c>
      <c r="I2149" s="523">
        <f>I2144*dataTherapy1ListPrice</f>
        <v>4615.1461440000103</v>
      </c>
      <c r="J2149" s="4" t="s">
        <v>2499</v>
      </c>
    </row>
    <row r="2150" spans="2:10" s="4" customFormat="1">
      <c r="C2150" s="4" t="s">
        <v>376</v>
      </c>
      <c r="E2150" s="4">
        <f>E2144*E2148</f>
        <v>1384.543843200003</v>
      </c>
      <c r="F2150" s="4">
        <f t="shared" ref="F2150:I2150" si="124">F2144*F2148</f>
        <v>1384.543843200003</v>
      </c>
      <c r="G2150" s="4">
        <f t="shared" si="124"/>
        <v>1384.543843200003</v>
      </c>
      <c r="H2150" s="4">
        <f t="shared" si="124"/>
        <v>1384.543843200003</v>
      </c>
      <c r="I2150" s="4">
        <f t="shared" si="124"/>
        <v>1384.543843200003</v>
      </c>
      <c r="J2150" s="4" t="s">
        <v>2500</v>
      </c>
    </row>
    <row r="2151" spans="2:10">
      <c r="B2151" s="4" t="str">
        <f>nmPayer3</f>
        <v>Dragon Health</v>
      </c>
    </row>
    <row r="2152" spans="2:10">
      <c r="C2152" t="s">
        <v>1465</v>
      </c>
      <c r="E2152" t="str">
        <f>obalProd1Payer3Status</f>
        <v>T3 SGSE</v>
      </c>
      <c r="F2152" t="str">
        <f>obalProd1Payer3Status</f>
        <v>T3 SGSE</v>
      </c>
      <c r="G2152" t="str">
        <f>obalProd1Payer3Status</f>
        <v>T3 SGSE</v>
      </c>
      <c r="H2152" t="str">
        <f>obalProd1Payer3Status</f>
        <v>T3 SGSE</v>
      </c>
      <c r="I2152" t="str">
        <f>obalProd1Payer3Status</f>
        <v>T3 SGSE</v>
      </c>
    </row>
    <row r="2153" spans="2:10">
      <c r="C2153" t="s">
        <v>340</v>
      </c>
      <c r="E2153">
        <f>calcProd1Seg1Payer3VolumeR1</f>
        <v>47.189152684800021</v>
      </c>
      <c r="F2153">
        <f>calcProd1Seg1Payer3VolumeR1</f>
        <v>47.189152684800021</v>
      </c>
      <c r="G2153">
        <f>calcProd1Seg1Payer3VolumeR1</f>
        <v>47.189152684800021</v>
      </c>
      <c r="H2153">
        <f>calcProd1Seg1Payer3VolumeR1</f>
        <v>47.189152684800021</v>
      </c>
      <c r="I2153">
        <f>calcProd1Seg1Payer3VolumeR1</f>
        <v>47.189152684800021</v>
      </c>
    </row>
    <row r="2154" spans="2:10">
      <c r="C2154" t="s">
        <v>2888</v>
      </c>
      <c r="E2154">
        <f>dataTherapy1ListPrice</f>
        <v>3000</v>
      </c>
      <c r="F2154">
        <f>dataTherapy1ListPrice</f>
        <v>3000</v>
      </c>
      <c r="G2154">
        <f>dataTherapy1ListPrice</f>
        <v>3000</v>
      </c>
      <c r="H2154">
        <f>dataTherapy1ListPrice</f>
        <v>3000</v>
      </c>
      <c r="I2154">
        <f>dataTherapy1ListPrice</f>
        <v>3000</v>
      </c>
    </row>
    <row r="2155" spans="2:10">
      <c r="C2155" t="s">
        <v>3542</v>
      </c>
      <c r="E2155">
        <f>INDEX(dataTierImpact,,calcProd1Payer3TierOrientationR1)</f>
        <v>0.6</v>
      </c>
      <c r="F2155">
        <f>INDEX(dataTierImpact,,calcProd1Payer3TierOrientationR1)</f>
        <v>0.6</v>
      </c>
      <c r="G2155">
        <f>INDEX(dataTierImpact,,calcProd1Payer3TierOrientationR1)</f>
        <v>0.6</v>
      </c>
      <c r="H2155">
        <f>INDEX(dataTierImpact,,calcProd1Payer3TierOrientationR1)</f>
        <v>0.6</v>
      </c>
      <c r="I2155">
        <f>INDEX(dataTierImpact,,calcProd1Payer3TierOrientationR1)</f>
        <v>0.6</v>
      </c>
    </row>
    <row r="2156" spans="2:10">
      <c r="E2156">
        <v>1</v>
      </c>
      <c r="F2156">
        <v>1</v>
      </c>
      <c r="G2156">
        <v>1</v>
      </c>
      <c r="H2156">
        <v>1</v>
      </c>
      <c r="I2156">
        <v>1</v>
      </c>
    </row>
    <row r="2157" spans="2:10">
      <c r="C2157" t="s">
        <v>2496</v>
      </c>
      <c r="E2157">
        <f>E2154*E2155*E2156</f>
        <v>1800</v>
      </c>
      <c r="F2157">
        <f t="shared" ref="F2157" si="125">F2154*F2155*F2156</f>
        <v>1800</v>
      </c>
      <c r="G2157">
        <f t="shared" ref="G2157" si="126">G2154*G2155*G2156</f>
        <v>1800</v>
      </c>
      <c r="H2157">
        <f t="shared" ref="H2157" si="127">H2154*H2155*H2156</f>
        <v>1800</v>
      </c>
      <c r="I2157">
        <f t="shared" ref="I2157" si="128">I2154*I2155*I2156</f>
        <v>1800</v>
      </c>
    </row>
    <row r="2158" spans="2:10" s="4" customFormat="1">
      <c r="C2158" s="4" t="s">
        <v>684</v>
      </c>
      <c r="E2158" s="523">
        <f>E2153*dataTherapy1ListPrice</f>
        <v>141567.45805440005</v>
      </c>
      <c r="F2158" s="523">
        <f>F2153*dataTherapy1ListPrice</f>
        <v>141567.45805440005</v>
      </c>
      <c r="G2158" s="523">
        <f>G2153*dataTherapy1ListPrice</f>
        <v>141567.45805440005</v>
      </c>
      <c r="H2158" s="523">
        <f>H2153*dataTherapy1ListPrice</f>
        <v>141567.45805440005</v>
      </c>
      <c r="I2158" s="523">
        <f>I2153*dataTherapy1ListPrice</f>
        <v>141567.45805440005</v>
      </c>
      <c r="J2158" s="4" t="s">
        <v>2501</v>
      </c>
    </row>
    <row r="2159" spans="2:10" s="4" customFormat="1">
      <c r="C2159" s="4" t="s">
        <v>376</v>
      </c>
      <c r="E2159" s="4">
        <f>E2153*E2157</f>
        <v>84940.474832640044</v>
      </c>
      <c r="F2159" s="4">
        <f t="shared" ref="F2159:I2159" si="129">F2153*F2157</f>
        <v>84940.474832640044</v>
      </c>
      <c r="G2159" s="4">
        <f t="shared" si="129"/>
        <v>84940.474832640044</v>
      </c>
      <c r="H2159" s="4">
        <f t="shared" si="129"/>
        <v>84940.474832640044</v>
      </c>
      <c r="I2159" s="4">
        <f t="shared" si="129"/>
        <v>84940.474832640044</v>
      </c>
      <c r="J2159" s="4" t="s">
        <v>2502</v>
      </c>
    </row>
    <row r="2161" spans="2:10">
      <c r="C2161" s="4" t="s">
        <v>2503</v>
      </c>
      <c r="E2161">
        <f>calcProd1Seg1Payer1GrossRevenueR1+calcProd1Seg1Payer2GrossRevenueR1+calcProd1Seg1Payer3GrossRevenueR1</f>
        <v>476948.12175360008</v>
      </c>
      <c r="F2161">
        <f>calcProd1Seg1Payer1GrossRevenueR1+calcProd1Seg1Payer2GrossRevenueR1+calcProd1Seg1Payer3GrossRevenueR1</f>
        <v>476948.12175360008</v>
      </c>
      <c r="G2161">
        <f>calcProd1Seg1Payer1GrossRevenueR1+calcProd1Seg1Payer2GrossRevenueR1+calcProd1Seg1Payer3GrossRevenueR1</f>
        <v>476948.12175360008</v>
      </c>
      <c r="H2161">
        <f>calcProd1Seg1Payer1GrossRevenueR1+calcProd1Seg1Payer2GrossRevenueR1+calcProd1Seg1Payer3GrossRevenueR1</f>
        <v>476948.12175360008</v>
      </c>
      <c r="I2161">
        <f>calcProd1Seg1Payer1GrossRevenueR1+calcProd1Seg1Payer2GrossRevenueR1+calcProd1Seg1Payer3GrossRevenueR1</f>
        <v>476948.12175360008</v>
      </c>
      <c r="J2161" t="s">
        <v>2506</v>
      </c>
    </row>
    <row r="2162" spans="2:10">
      <c r="C2162" s="4" t="s">
        <v>2504</v>
      </c>
      <c r="E2162">
        <f>calcProd1Seg1Payer1NetRevenueR1+calcProd1Seg1Payer2NetRevenueR1+calcProd1Seg1Payer3NetRevenueR1</f>
        <v>218631.22569792002</v>
      </c>
      <c r="F2162">
        <f>calcProd1Seg1Payer1NetRevenueR1+calcProd1Seg1Payer2NetRevenueR1+calcProd1Seg1Payer3NetRevenueR1</f>
        <v>218631.22569792002</v>
      </c>
      <c r="G2162">
        <f>calcProd1Seg1Payer1NetRevenueR1+calcProd1Seg1Payer2NetRevenueR1+calcProd1Seg1Payer3NetRevenueR1</f>
        <v>218631.22569792002</v>
      </c>
      <c r="H2162">
        <f>calcProd1Seg1Payer1NetRevenueR1+calcProd1Seg1Payer2NetRevenueR1+calcProd1Seg1Payer3NetRevenueR1</f>
        <v>218631.22569792002</v>
      </c>
      <c r="I2162">
        <f>calcProd1Seg1Payer1NetRevenueR1+calcProd1Seg1Payer2NetRevenueR1+calcProd1Seg1Payer3NetRevenueR1</f>
        <v>218631.22569792002</v>
      </c>
      <c r="J2162" t="s">
        <v>2505</v>
      </c>
    </row>
    <row r="2163" spans="2:10">
      <c r="C2163" s="4" t="s">
        <v>686</v>
      </c>
      <c r="E2163">
        <f>calcProd1Seg1GrossRevenueR1-calcProd1Seg1NetRevenueR1</f>
        <v>258316.89605568006</v>
      </c>
      <c r="F2163">
        <f>calcProd1Seg1GrossRevenueR1-calcProd1Seg1NetRevenueR1</f>
        <v>258316.89605568006</v>
      </c>
      <c r="G2163">
        <f>calcProd1Seg1GrossRevenueR1-calcProd1Seg1NetRevenueR1</f>
        <v>258316.89605568006</v>
      </c>
      <c r="H2163">
        <f>calcProd1Seg1GrossRevenueR1-calcProd1Seg1NetRevenueR1</f>
        <v>258316.89605568006</v>
      </c>
      <c r="I2163">
        <f>calcProd1Seg1GrossRevenueR1-calcProd1Seg1NetRevenueR1</f>
        <v>258316.89605568006</v>
      </c>
      <c r="J2163" t="s">
        <v>2507</v>
      </c>
    </row>
    <row r="2164" spans="2:10">
      <c r="B2164" t="str">
        <f>nmProd1Seg2</f>
        <v>Tullyville</v>
      </c>
    </row>
    <row r="2165" spans="2:10">
      <c r="B2165" s="4" t="str">
        <f>nmPayer1</f>
        <v>Blue Sword/Blue Shield</v>
      </c>
    </row>
    <row r="2166" spans="2:10">
      <c r="C2166" t="s">
        <v>1465</v>
      </c>
      <c r="E2166" t="str">
        <f>obalProd1Payer1Status</f>
        <v>T2 DGSE</v>
      </c>
      <c r="F2166" t="str">
        <f>obalProd1Payer1Status</f>
        <v>T2 DGSE</v>
      </c>
      <c r="G2166" t="str">
        <f>obalProd1Payer1Status</f>
        <v>T2 DGSE</v>
      </c>
      <c r="H2166" t="str">
        <f>obalProd1Payer1Status</f>
        <v>T2 DGSE</v>
      </c>
      <c r="I2166" t="str">
        <f>obalProd1Payer1Status</f>
        <v>T2 DGSE</v>
      </c>
    </row>
    <row r="2167" spans="2:10">
      <c r="C2167" t="s">
        <v>340</v>
      </c>
      <c r="E2167">
        <f>calcProd1Seg2Payer1VolumeR1</f>
        <v>97.785038567999976</v>
      </c>
      <c r="F2167">
        <f>calcProd1Seg2Payer1VolumeR1</f>
        <v>97.785038567999976</v>
      </c>
      <c r="G2167">
        <f>calcProd1Seg2Payer1VolumeR1</f>
        <v>97.785038567999976</v>
      </c>
      <c r="H2167">
        <f>calcProd1Seg2Payer1VolumeR1</f>
        <v>97.785038567999976</v>
      </c>
      <c r="I2167">
        <f>calcProd1Seg2Payer1VolumeR1</f>
        <v>97.785038567999976</v>
      </c>
    </row>
    <row r="2168" spans="2:10">
      <c r="C2168" t="s">
        <v>2888</v>
      </c>
      <c r="E2168">
        <f>dataTherapy1ListPrice</f>
        <v>3000</v>
      </c>
      <c r="F2168">
        <f>dataTherapy1ListPrice</f>
        <v>3000</v>
      </c>
      <c r="G2168">
        <f>dataTherapy1ListPrice</f>
        <v>3000</v>
      </c>
      <c r="H2168">
        <f>dataTherapy1ListPrice</f>
        <v>3000</v>
      </c>
      <c r="I2168">
        <f>dataTherapy1ListPrice</f>
        <v>3000</v>
      </c>
    </row>
    <row r="2169" spans="2:10">
      <c r="C2169" t="s">
        <v>3542</v>
      </c>
      <c r="E2169">
        <f>INDEX(dataTierImpact,,calcProd1Payer1TierOrientationR1)</f>
        <v>0.4</v>
      </c>
      <c r="F2169">
        <f>INDEX(dataTierImpact,,calcProd1Payer1TierOrientationR1)</f>
        <v>0.4</v>
      </c>
      <c r="G2169">
        <f>INDEX(dataTierImpact,,calcProd1Payer1TierOrientationR1)</f>
        <v>0.4</v>
      </c>
      <c r="H2169">
        <f>INDEX(dataTierImpact,,calcProd1Payer1TierOrientationR1)</f>
        <v>0.4</v>
      </c>
      <c r="I2169">
        <f>INDEX(dataTierImpact,,calcProd1Payer1TierOrientationR1)</f>
        <v>0.4</v>
      </c>
    </row>
    <row r="2170" spans="2:10">
      <c r="E2170">
        <v>1</v>
      </c>
      <c r="F2170">
        <v>1</v>
      </c>
      <c r="G2170">
        <v>1</v>
      </c>
      <c r="H2170">
        <v>1</v>
      </c>
      <c r="I2170">
        <v>1</v>
      </c>
    </row>
    <row r="2171" spans="2:10">
      <c r="C2171" t="s">
        <v>2496</v>
      </c>
      <c r="E2171">
        <f>E2168*E2169*E2170</f>
        <v>1200</v>
      </c>
      <c r="F2171">
        <f t="shared" ref="F2171:I2171" si="130">F2168*F2169*F2170</f>
        <v>1200</v>
      </c>
      <c r="G2171">
        <f t="shared" si="130"/>
        <v>1200</v>
      </c>
      <c r="H2171">
        <f t="shared" si="130"/>
        <v>1200</v>
      </c>
      <c r="I2171">
        <f t="shared" si="130"/>
        <v>1200</v>
      </c>
    </row>
    <row r="2172" spans="2:10" s="4" customFormat="1">
      <c r="C2172" s="4" t="s">
        <v>684</v>
      </c>
      <c r="E2172" s="523">
        <f>E2167*dataTherapy1ListPrice</f>
        <v>293355.11570399994</v>
      </c>
      <c r="F2172" s="523">
        <f>F2167*dataTherapy1ListPrice</f>
        <v>293355.11570399994</v>
      </c>
      <c r="G2172" s="523">
        <f>G2167*dataTherapy1ListPrice</f>
        <v>293355.11570399994</v>
      </c>
      <c r="H2172" s="523">
        <f>H2167*dataTherapy1ListPrice</f>
        <v>293355.11570399994</v>
      </c>
      <c r="I2172" s="523">
        <f>I2167*dataTherapy1ListPrice</f>
        <v>293355.11570399994</v>
      </c>
      <c r="J2172" s="4" t="s">
        <v>2508</v>
      </c>
    </row>
    <row r="2173" spans="2:10" s="4" customFormat="1">
      <c r="C2173" s="4" t="s">
        <v>376</v>
      </c>
      <c r="E2173" s="4">
        <f>E2167*E2171</f>
        <v>117342.04628159998</v>
      </c>
      <c r="F2173" s="4">
        <f t="shared" ref="F2173:I2173" si="131">F2167*F2171</f>
        <v>117342.04628159998</v>
      </c>
      <c r="G2173" s="4">
        <f t="shared" si="131"/>
        <v>117342.04628159998</v>
      </c>
      <c r="H2173" s="4">
        <f t="shared" si="131"/>
        <v>117342.04628159998</v>
      </c>
      <c r="I2173" s="4">
        <f t="shared" si="131"/>
        <v>117342.04628159998</v>
      </c>
      <c r="J2173" s="4" t="s">
        <v>2509</v>
      </c>
    </row>
    <row r="2174" spans="2:10">
      <c r="B2174" s="4" t="str">
        <f>nmPayer2</f>
        <v>WesterAid</v>
      </c>
    </row>
    <row r="2175" spans="2:10">
      <c r="C2175" t="s">
        <v>1465</v>
      </c>
      <c r="E2175" t="str">
        <f>obalProd1Payer2Status</f>
        <v>T1 NR</v>
      </c>
      <c r="F2175" t="str">
        <f>obalProd1Payer2Status</f>
        <v>T1 NR</v>
      </c>
      <c r="G2175" t="str">
        <f>obalProd1Payer2Status</f>
        <v>T1 NR</v>
      </c>
      <c r="H2175" t="str">
        <f>obalProd1Payer2Status</f>
        <v>T1 NR</v>
      </c>
      <c r="I2175" t="str">
        <f>obalProd1Payer2Status</f>
        <v>T1 NR</v>
      </c>
    </row>
    <row r="2176" spans="2:10">
      <c r="C2176" t="s">
        <v>340</v>
      </c>
      <c r="E2176">
        <f>calcProd1Seg2Payer2VolumeR1</f>
        <v>2.9235777480000023</v>
      </c>
      <c r="F2176">
        <f>calcProd1Seg2Payer2VolumeR1</f>
        <v>2.9235777480000023</v>
      </c>
      <c r="G2176">
        <f>calcProd1Seg2Payer2VolumeR1</f>
        <v>2.9235777480000023</v>
      </c>
      <c r="H2176">
        <f>calcProd1Seg2Payer2VolumeR1</f>
        <v>2.9235777480000023</v>
      </c>
      <c r="I2176">
        <f>calcProd1Seg2Payer2VolumeR1</f>
        <v>2.9235777480000023</v>
      </c>
    </row>
    <row r="2177" spans="2:10">
      <c r="C2177" t="s">
        <v>2888</v>
      </c>
      <c r="E2177">
        <f>dataTherapy1ListPrice</f>
        <v>3000</v>
      </c>
      <c r="F2177">
        <f>dataTherapy1ListPrice</f>
        <v>3000</v>
      </c>
      <c r="G2177">
        <f>dataTherapy1ListPrice</f>
        <v>3000</v>
      </c>
      <c r="H2177">
        <f>dataTherapy1ListPrice</f>
        <v>3000</v>
      </c>
      <c r="I2177">
        <f>dataTherapy1ListPrice</f>
        <v>3000</v>
      </c>
    </row>
    <row r="2178" spans="2:10">
      <c r="C2178" t="s">
        <v>3542</v>
      </c>
      <c r="E2178">
        <f>INDEX(dataTierImpact,,calcProd1Payer2TierOrientationR1)</f>
        <v>0.3</v>
      </c>
      <c r="F2178">
        <f>INDEX(dataTierImpact,,calcProd1Payer2TierOrientationR1)</f>
        <v>0.3</v>
      </c>
      <c r="G2178">
        <f>INDEX(dataTierImpact,,calcProd1Payer2TierOrientationR1)</f>
        <v>0.3</v>
      </c>
      <c r="H2178">
        <f>INDEX(dataTierImpact,,calcProd1Payer2TierOrientationR1)</f>
        <v>0.3</v>
      </c>
      <c r="I2178">
        <f>INDEX(dataTierImpact,,calcProd1Payer2TierOrientationR1)</f>
        <v>0.3</v>
      </c>
    </row>
    <row r="2179" spans="2:10">
      <c r="E2179">
        <v>1</v>
      </c>
      <c r="F2179">
        <v>1</v>
      </c>
      <c r="G2179">
        <v>1</v>
      </c>
      <c r="H2179">
        <v>1</v>
      </c>
      <c r="I2179">
        <v>1</v>
      </c>
    </row>
    <row r="2180" spans="2:10">
      <c r="C2180" t="s">
        <v>2496</v>
      </c>
      <c r="E2180">
        <f>E2177*E2178*E2179</f>
        <v>900</v>
      </c>
      <c r="F2180">
        <f t="shared" ref="F2180:I2180" si="132">F2177*F2178*F2179</f>
        <v>900</v>
      </c>
      <c r="G2180">
        <f t="shared" si="132"/>
        <v>900</v>
      </c>
      <c r="H2180">
        <f t="shared" si="132"/>
        <v>900</v>
      </c>
      <c r="I2180">
        <f t="shared" si="132"/>
        <v>900</v>
      </c>
    </row>
    <row r="2181" spans="2:10" s="4" customFormat="1">
      <c r="C2181" s="4" t="s">
        <v>684</v>
      </c>
      <c r="E2181" s="523">
        <f>E2176*dataTherapy1ListPrice</f>
        <v>8770.7332440000064</v>
      </c>
      <c r="F2181" s="523">
        <f>F2176*dataTherapy1ListPrice</f>
        <v>8770.7332440000064</v>
      </c>
      <c r="G2181" s="523">
        <f>G2176*dataTherapy1ListPrice</f>
        <v>8770.7332440000064</v>
      </c>
      <c r="H2181" s="523">
        <f>H2176*dataTherapy1ListPrice</f>
        <v>8770.7332440000064</v>
      </c>
      <c r="I2181" s="523">
        <f>I2176*dataTherapy1ListPrice</f>
        <v>8770.7332440000064</v>
      </c>
      <c r="J2181" s="4" t="s">
        <v>2510</v>
      </c>
    </row>
    <row r="2182" spans="2:10" s="4" customFormat="1">
      <c r="C2182" s="4" t="s">
        <v>376</v>
      </c>
      <c r="E2182" s="4">
        <f>E2176*E2180</f>
        <v>2631.2199732000022</v>
      </c>
      <c r="F2182" s="4">
        <f t="shared" ref="F2182:I2182" si="133">F2176*F2180</f>
        <v>2631.2199732000022</v>
      </c>
      <c r="G2182" s="4">
        <f t="shared" si="133"/>
        <v>2631.2199732000022</v>
      </c>
      <c r="H2182" s="4">
        <f t="shared" si="133"/>
        <v>2631.2199732000022</v>
      </c>
      <c r="I2182" s="4">
        <f t="shared" si="133"/>
        <v>2631.2199732000022</v>
      </c>
      <c r="J2182" s="4" t="s">
        <v>2511</v>
      </c>
    </row>
    <row r="2183" spans="2:10">
      <c r="B2183" s="4" t="str">
        <f>nmPayer3</f>
        <v>Dragon Health</v>
      </c>
    </row>
    <row r="2184" spans="2:10">
      <c r="C2184" t="s">
        <v>1465</v>
      </c>
      <c r="E2184" t="str">
        <f>obalProd1Payer3Status</f>
        <v>T3 SGSE</v>
      </c>
      <c r="F2184" t="str">
        <f>obalProd1Payer3Status</f>
        <v>T3 SGSE</v>
      </c>
      <c r="G2184" t="str">
        <f>obalProd1Payer3Status</f>
        <v>T3 SGSE</v>
      </c>
      <c r="H2184" t="str">
        <f>obalProd1Payer3Status</f>
        <v>T3 SGSE</v>
      </c>
      <c r="I2184" t="str">
        <f>obalProd1Payer3Status</f>
        <v>T3 SGSE</v>
      </c>
    </row>
    <row r="2185" spans="2:10">
      <c r="C2185" t="s">
        <v>340</v>
      </c>
      <c r="E2185">
        <f>calcProd1Seg2Payer3VolumeR1</f>
        <v>43.560330660000005</v>
      </c>
      <c r="F2185">
        <f>calcProd1Seg2Payer3VolumeR1</f>
        <v>43.560330660000005</v>
      </c>
      <c r="G2185">
        <f>calcProd1Seg2Payer3VolumeR1</f>
        <v>43.560330660000005</v>
      </c>
      <c r="H2185">
        <f>calcProd1Seg2Payer3VolumeR1</f>
        <v>43.560330660000005</v>
      </c>
      <c r="I2185">
        <f>calcProd1Seg2Payer3VolumeR1</f>
        <v>43.560330660000005</v>
      </c>
    </row>
    <row r="2186" spans="2:10">
      <c r="C2186" t="s">
        <v>2888</v>
      </c>
      <c r="E2186">
        <f>dataTherapy1ListPrice</f>
        <v>3000</v>
      </c>
      <c r="F2186">
        <f>dataTherapy1ListPrice</f>
        <v>3000</v>
      </c>
      <c r="G2186">
        <f>dataTherapy1ListPrice</f>
        <v>3000</v>
      </c>
      <c r="H2186">
        <f>dataTherapy1ListPrice</f>
        <v>3000</v>
      </c>
      <c r="I2186">
        <f>dataTherapy1ListPrice</f>
        <v>3000</v>
      </c>
    </row>
    <row r="2187" spans="2:10">
      <c r="C2187" t="s">
        <v>3542</v>
      </c>
      <c r="E2187">
        <f>INDEX(dataTierImpact,,calcProd1Payer3TierOrientationR1)</f>
        <v>0.6</v>
      </c>
      <c r="F2187">
        <f>INDEX(dataTierImpact,,calcProd1Payer3TierOrientationR1)</f>
        <v>0.6</v>
      </c>
      <c r="G2187">
        <f>INDEX(dataTierImpact,,calcProd1Payer3TierOrientationR1)</f>
        <v>0.6</v>
      </c>
      <c r="H2187">
        <f>INDEX(dataTierImpact,,calcProd1Payer3TierOrientationR1)</f>
        <v>0.6</v>
      </c>
      <c r="I2187">
        <f>INDEX(dataTierImpact,,calcProd1Payer3TierOrientationR1)</f>
        <v>0.6</v>
      </c>
    </row>
    <row r="2188" spans="2:10">
      <c r="E2188">
        <v>1</v>
      </c>
      <c r="F2188">
        <v>1</v>
      </c>
      <c r="G2188">
        <v>1</v>
      </c>
      <c r="H2188">
        <v>1</v>
      </c>
      <c r="I2188">
        <v>1</v>
      </c>
    </row>
    <row r="2189" spans="2:10">
      <c r="C2189" t="s">
        <v>2496</v>
      </c>
      <c r="E2189">
        <f>E2186*E2187*E2188</f>
        <v>1800</v>
      </c>
      <c r="F2189">
        <f t="shared" ref="F2189:I2189" si="134">F2186*F2187*F2188</f>
        <v>1800</v>
      </c>
      <c r="G2189">
        <f t="shared" si="134"/>
        <v>1800</v>
      </c>
      <c r="H2189">
        <f t="shared" si="134"/>
        <v>1800</v>
      </c>
      <c r="I2189">
        <f t="shared" si="134"/>
        <v>1800</v>
      </c>
    </row>
    <row r="2190" spans="2:10" s="4" customFormat="1">
      <c r="C2190" s="4" t="s">
        <v>684</v>
      </c>
      <c r="E2190" s="523">
        <f>E2185*dataTherapy1ListPrice</f>
        <v>130680.99198000002</v>
      </c>
      <c r="F2190" s="523">
        <f>F2185*dataTherapy1ListPrice</f>
        <v>130680.99198000002</v>
      </c>
      <c r="G2190" s="523">
        <f>G2185*dataTherapy1ListPrice</f>
        <v>130680.99198000002</v>
      </c>
      <c r="H2190" s="523">
        <f>H2185*dataTherapy1ListPrice</f>
        <v>130680.99198000002</v>
      </c>
      <c r="I2190" s="523">
        <f>I2185*dataTherapy1ListPrice</f>
        <v>130680.99198000002</v>
      </c>
      <c r="J2190" s="4" t="s">
        <v>2512</v>
      </c>
    </row>
    <row r="2191" spans="2:10" s="4" customFormat="1">
      <c r="C2191" s="4" t="s">
        <v>376</v>
      </c>
      <c r="E2191" s="4">
        <f>E2185*E2189</f>
        <v>78408.595188000007</v>
      </c>
      <c r="F2191" s="4">
        <f t="shared" ref="F2191:I2191" si="135">F2185*F2189</f>
        <v>78408.595188000007</v>
      </c>
      <c r="G2191" s="4">
        <f t="shared" si="135"/>
        <v>78408.595188000007</v>
      </c>
      <c r="H2191" s="4">
        <f t="shared" si="135"/>
        <v>78408.595188000007</v>
      </c>
      <c r="I2191" s="4">
        <f t="shared" si="135"/>
        <v>78408.595188000007</v>
      </c>
      <c r="J2191" s="4" t="s">
        <v>2513</v>
      </c>
    </row>
    <row r="2193" spans="2:10">
      <c r="C2193" s="4" t="s">
        <v>2503</v>
      </c>
      <c r="E2193">
        <f>calcProd1Seg2Payer1GrossRevenueR1+calcProd1Seg2Payer2GrossRevenueR1+calcProd1Seg2Payer3GrossRevenueR1</f>
        <v>432806.84092799993</v>
      </c>
      <c r="F2193">
        <f>calcProd1Seg2Payer1GrossRevenueR1+calcProd1Seg2Payer2GrossRevenueR1+calcProd1Seg2Payer3GrossRevenueR1</f>
        <v>432806.84092799993</v>
      </c>
      <c r="G2193">
        <f>calcProd1Seg2Payer1GrossRevenueR1+calcProd1Seg2Payer2GrossRevenueR1+calcProd1Seg2Payer3GrossRevenueR1</f>
        <v>432806.84092799993</v>
      </c>
      <c r="H2193">
        <f>calcProd1Seg2Payer1GrossRevenueR1+calcProd1Seg2Payer2GrossRevenueR1+calcProd1Seg2Payer3GrossRevenueR1</f>
        <v>432806.84092799993</v>
      </c>
      <c r="I2193">
        <f>calcProd1Seg2Payer1GrossRevenueR1+calcProd1Seg2Payer2GrossRevenueR1+calcProd1Seg2Payer3GrossRevenueR1</f>
        <v>432806.84092799993</v>
      </c>
      <c r="J2193" t="s">
        <v>2514</v>
      </c>
    </row>
    <row r="2194" spans="2:10">
      <c r="C2194" s="4" t="s">
        <v>2504</v>
      </c>
      <c r="E2194">
        <f>calcProd1Seg2Payer1NetRevenueR1+calcProd1Seg2Payer2NetRevenueR1+calcProd1Seg2Payer3NetRevenueR1</f>
        <v>198381.86144279997</v>
      </c>
      <c r="F2194">
        <f>calcProd1Seg2Payer1NetRevenueR1+calcProd1Seg2Payer2NetRevenueR1+calcProd1Seg2Payer3NetRevenueR1</f>
        <v>198381.86144279997</v>
      </c>
      <c r="G2194">
        <f>calcProd1Seg2Payer1NetRevenueR1+calcProd1Seg2Payer2NetRevenueR1+calcProd1Seg2Payer3NetRevenueR1</f>
        <v>198381.86144279997</v>
      </c>
      <c r="H2194">
        <f>calcProd1Seg2Payer1NetRevenueR1+calcProd1Seg2Payer2NetRevenueR1+calcProd1Seg2Payer3NetRevenueR1</f>
        <v>198381.86144279997</v>
      </c>
      <c r="I2194">
        <f>calcProd1Seg2Payer1NetRevenueR1+calcProd1Seg2Payer2NetRevenueR1+calcProd1Seg2Payer3NetRevenueR1</f>
        <v>198381.86144279997</v>
      </c>
      <c r="J2194" t="s">
        <v>2515</v>
      </c>
    </row>
    <row r="2195" spans="2:10">
      <c r="C2195" s="4" t="s">
        <v>686</v>
      </c>
      <c r="E2195">
        <f>calcProd1Seg2GrossRevenueR1-calcProd1Seg2NetRevenueR1</f>
        <v>234424.97948519996</v>
      </c>
      <c r="F2195">
        <f>calcProd1Seg2GrossRevenueR1-calcProd1Seg2NetRevenueR1</f>
        <v>234424.97948519996</v>
      </c>
      <c r="G2195">
        <f>calcProd1Seg2GrossRevenueR1-calcProd1Seg2NetRevenueR1</f>
        <v>234424.97948519996</v>
      </c>
      <c r="H2195">
        <f>calcProd1Seg2GrossRevenueR1-calcProd1Seg2NetRevenueR1</f>
        <v>234424.97948519996</v>
      </c>
      <c r="I2195">
        <f>calcProd1Seg2GrossRevenueR1-calcProd1Seg2NetRevenueR1</f>
        <v>234424.97948519996</v>
      </c>
      <c r="J2195" t="s">
        <v>2516</v>
      </c>
    </row>
    <row r="2196" spans="2:10">
      <c r="B2196" t="str">
        <f>nmProd1Seg3</f>
        <v>Lordfrey City</v>
      </c>
    </row>
    <row r="2197" spans="2:10">
      <c r="B2197" s="4" t="str">
        <f>nmPayer1</f>
        <v>Blue Sword/Blue Shield</v>
      </c>
    </row>
    <row r="2198" spans="2:10">
      <c r="C2198" t="s">
        <v>1465</v>
      </c>
      <c r="E2198" t="str">
        <f>obalProd1Payer1Status</f>
        <v>T2 DGSE</v>
      </c>
      <c r="F2198" t="str">
        <f>obalProd1Payer1Status</f>
        <v>T2 DGSE</v>
      </c>
      <c r="G2198" t="str">
        <f>obalProd1Payer1Status</f>
        <v>T2 DGSE</v>
      </c>
      <c r="H2198" t="str">
        <f>obalProd1Payer1Status</f>
        <v>T2 DGSE</v>
      </c>
      <c r="I2198" t="str">
        <f>obalProd1Payer1Status</f>
        <v>T2 DGSE</v>
      </c>
    </row>
    <row r="2199" spans="2:10">
      <c r="C2199" t="s">
        <v>340</v>
      </c>
      <c r="E2199">
        <f>calcProd1Seg3Payer1VolumeR1</f>
        <v>54.989451999999972</v>
      </c>
      <c r="F2199">
        <f>calcProd1Seg3Payer1VolumeR1</f>
        <v>54.989451999999972</v>
      </c>
      <c r="G2199">
        <f>calcProd1Seg3Payer1VolumeR1</f>
        <v>54.989451999999972</v>
      </c>
      <c r="H2199">
        <f>calcProd1Seg3Payer1VolumeR1</f>
        <v>54.989451999999972</v>
      </c>
      <c r="I2199">
        <f>calcProd1Seg3Payer1VolumeR1</f>
        <v>54.989451999999972</v>
      </c>
    </row>
    <row r="2200" spans="2:10">
      <c r="C2200" t="s">
        <v>2888</v>
      </c>
      <c r="E2200">
        <f>dataTherapy1ListPrice</f>
        <v>3000</v>
      </c>
      <c r="F2200">
        <f>dataTherapy1ListPrice</f>
        <v>3000</v>
      </c>
      <c r="G2200">
        <f>dataTherapy1ListPrice</f>
        <v>3000</v>
      </c>
      <c r="H2200">
        <f>dataTherapy1ListPrice</f>
        <v>3000</v>
      </c>
      <c r="I2200">
        <f>dataTherapy1ListPrice</f>
        <v>3000</v>
      </c>
    </row>
    <row r="2201" spans="2:10">
      <c r="C2201" t="s">
        <v>3542</v>
      </c>
      <c r="E2201">
        <f>INDEX(dataTierImpact,,calcProd1Payer1TierOrientationR1)</f>
        <v>0.4</v>
      </c>
      <c r="F2201">
        <f>INDEX(dataTierImpact,,calcProd1Payer1TierOrientationR1)</f>
        <v>0.4</v>
      </c>
      <c r="G2201">
        <f>INDEX(dataTierImpact,,calcProd1Payer1TierOrientationR1)</f>
        <v>0.4</v>
      </c>
      <c r="H2201">
        <f>INDEX(dataTierImpact,,calcProd1Payer1TierOrientationR1)</f>
        <v>0.4</v>
      </c>
      <c r="I2201">
        <f>INDEX(dataTierImpact,,calcProd1Payer1TierOrientationR1)</f>
        <v>0.4</v>
      </c>
    </row>
    <row r="2202" spans="2:10">
      <c r="E2202">
        <v>1</v>
      </c>
      <c r="F2202">
        <v>1</v>
      </c>
      <c r="G2202">
        <v>1</v>
      </c>
      <c r="H2202">
        <v>1</v>
      </c>
      <c r="I2202">
        <v>1</v>
      </c>
    </row>
    <row r="2203" spans="2:10">
      <c r="C2203" t="s">
        <v>2496</v>
      </c>
      <c r="E2203">
        <f>E2200*E2201*E2202</f>
        <v>1200</v>
      </c>
      <c r="F2203">
        <f t="shared" ref="F2203:I2203" si="136">F2200*F2201*F2202</f>
        <v>1200</v>
      </c>
      <c r="G2203">
        <f t="shared" si="136"/>
        <v>1200</v>
      </c>
      <c r="H2203">
        <f t="shared" si="136"/>
        <v>1200</v>
      </c>
      <c r="I2203">
        <f t="shared" si="136"/>
        <v>1200</v>
      </c>
    </row>
    <row r="2204" spans="2:10" s="4" customFormat="1">
      <c r="C2204" s="4" t="s">
        <v>684</v>
      </c>
      <c r="E2204" s="523">
        <f>E2199*dataTherapy1ListPrice</f>
        <v>164968.35599999991</v>
      </c>
      <c r="F2204" s="523">
        <f>F2199*dataTherapy1ListPrice</f>
        <v>164968.35599999991</v>
      </c>
      <c r="G2204" s="523">
        <f>G2199*dataTherapy1ListPrice</f>
        <v>164968.35599999991</v>
      </c>
      <c r="H2204" s="523">
        <f>H2199*dataTherapy1ListPrice</f>
        <v>164968.35599999991</v>
      </c>
      <c r="I2204" s="523">
        <f>I2199*dataTherapy1ListPrice</f>
        <v>164968.35599999991</v>
      </c>
      <c r="J2204" s="4" t="s">
        <v>2517</v>
      </c>
    </row>
    <row r="2205" spans="2:10" s="4" customFormat="1">
      <c r="C2205" s="4" t="s">
        <v>376</v>
      </c>
      <c r="E2205" s="4">
        <f>E2199*E2203</f>
        <v>65987.342399999965</v>
      </c>
      <c r="F2205" s="4">
        <f t="shared" ref="F2205:I2205" si="137">F2199*F2203</f>
        <v>65987.342399999965</v>
      </c>
      <c r="G2205" s="4">
        <f t="shared" si="137"/>
        <v>65987.342399999965</v>
      </c>
      <c r="H2205" s="4">
        <f t="shared" si="137"/>
        <v>65987.342399999965</v>
      </c>
      <c r="I2205" s="4">
        <f t="shared" si="137"/>
        <v>65987.342399999965</v>
      </c>
      <c r="J2205" s="4" t="s">
        <v>2518</v>
      </c>
    </row>
    <row r="2206" spans="2:10">
      <c r="B2206" s="4" t="str">
        <f>nmPayer2</f>
        <v>WesterAid</v>
      </c>
    </row>
    <row r="2207" spans="2:10">
      <c r="C2207" t="s">
        <v>1465</v>
      </c>
      <c r="E2207" t="str">
        <f>obalProd1Payer2Status</f>
        <v>T1 NR</v>
      </c>
      <c r="F2207" t="str">
        <f>obalProd1Payer2Status</f>
        <v>T1 NR</v>
      </c>
      <c r="G2207" t="str">
        <f>obalProd1Payer2Status</f>
        <v>T1 NR</v>
      </c>
      <c r="H2207" t="str">
        <f>obalProd1Payer2Status</f>
        <v>T1 NR</v>
      </c>
      <c r="I2207" t="str">
        <f>obalProd1Payer2Status</f>
        <v>T1 NR</v>
      </c>
    </row>
    <row r="2208" spans="2:10">
      <c r="C2208" t="s">
        <v>340</v>
      </c>
      <c r="E2208">
        <f>calcProd1Seg3Payer2VolumeR1</f>
        <v>0</v>
      </c>
      <c r="F2208">
        <f>calcProd1Seg3Payer2VolumeR1</f>
        <v>0</v>
      </c>
      <c r="G2208">
        <f>calcProd1Seg3Payer2VolumeR1</f>
        <v>0</v>
      </c>
      <c r="H2208">
        <f>calcProd1Seg3Payer2VolumeR1</f>
        <v>0</v>
      </c>
      <c r="I2208">
        <f>calcProd1Seg3Payer2VolumeR1</f>
        <v>0</v>
      </c>
    </row>
    <row r="2209" spans="2:10">
      <c r="C2209" t="s">
        <v>2888</v>
      </c>
      <c r="E2209">
        <f>dataTherapy1ListPrice</f>
        <v>3000</v>
      </c>
      <c r="F2209">
        <f>dataTherapy1ListPrice</f>
        <v>3000</v>
      </c>
      <c r="G2209">
        <f>dataTherapy1ListPrice</f>
        <v>3000</v>
      </c>
      <c r="H2209">
        <f>dataTherapy1ListPrice</f>
        <v>3000</v>
      </c>
      <c r="I2209">
        <f>dataTherapy1ListPrice</f>
        <v>3000</v>
      </c>
    </row>
    <row r="2210" spans="2:10">
      <c r="C2210" t="s">
        <v>3542</v>
      </c>
      <c r="E2210">
        <f>INDEX(dataTierImpact,,calcProd1Payer2TierOrientationR1)</f>
        <v>0.3</v>
      </c>
      <c r="F2210">
        <f>INDEX(dataTierImpact,,calcProd1Payer2TierOrientationR1)</f>
        <v>0.3</v>
      </c>
      <c r="G2210">
        <f>INDEX(dataTierImpact,,calcProd1Payer2TierOrientationR1)</f>
        <v>0.3</v>
      </c>
      <c r="H2210">
        <f>INDEX(dataTierImpact,,calcProd1Payer2TierOrientationR1)</f>
        <v>0.3</v>
      </c>
      <c r="I2210">
        <f>INDEX(dataTierImpact,,calcProd1Payer2TierOrientationR1)</f>
        <v>0.3</v>
      </c>
    </row>
    <row r="2211" spans="2:10">
      <c r="E2211">
        <v>1</v>
      </c>
      <c r="F2211">
        <v>1</v>
      </c>
      <c r="G2211">
        <v>1</v>
      </c>
      <c r="H2211">
        <v>1</v>
      </c>
      <c r="I2211">
        <v>1</v>
      </c>
    </row>
    <row r="2212" spans="2:10">
      <c r="C2212" t="s">
        <v>2496</v>
      </c>
      <c r="E2212">
        <f>E2209*E2210*E2211</f>
        <v>900</v>
      </c>
      <c r="F2212">
        <f t="shared" ref="F2212:I2212" si="138">F2209*F2210*F2211</f>
        <v>900</v>
      </c>
      <c r="G2212">
        <f t="shared" si="138"/>
        <v>900</v>
      </c>
      <c r="H2212">
        <f t="shared" si="138"/>
        <v>900</v>
      </c>
      <c r="I2212">
        <f t="shared" si="138"/>
        <v>900</v>
      </c>
    </row>
    <row r="2213" spans="2:10" s="4" customFormat="1">
      <c r="C2213" s="4" t="s">
        <v>684</v>
      </c>
      <c r="E2213" s="523">
        <f>E2208*dataTherapy1ListPrice</f>
        <v>0</v>
      </c>
      <c r="F2213" s="523">
        <f>F2208*dataTherapy1ListPrice</f>
        <v>0</v>
      </c>
      <c r="G2213" s="523">
        <f>G2208*dataTherapy1ListPrice</f>
        <v>0</v>
      </c>
      <c r="H2213" s="523">
        <f>H2208*dataTherapy1ListPrice</f>
        <v>0</v>
      </c>
      <c r="I2213" s="523">
        <f>I2208*dataTherapy1ListPrice</f>
        <v>0</v>
      </c>
      <c r="J2213" s="4" t="s">
        <v>2519</v>
      </c>
    </row>
    <row r="2214" spans="2:10" s="4" customFormat="1">
      <c r="C2214" s="4" t="s">
        <v>376</v>
      </c>
      <c r="E2214" s="4">
        <f>E2208*E2212</f>
        <v>0</v>
      </c>
      <c r="F2214" s="4">
        <f t="shared" ref="F2214:I2214" si="139">F2208*F2212</f>
        <v>0</v>
      </c>
      <c r="G2214" s="4">
        <f t="shared" si="139"/>
        <v>0</v>
      </c>
      <c r="H2214" s="4">
        <f t="shared" si="139"/>
        <v>0</v>
      </c>
      <c r="I2214" s="4">
        <f t="shared" si="139"/>
        <v>0</v>
      </c>
      <c r="J2214" s="4" t="s">
        <v>2520</v>
      </c>
    </row>
    <row r="2215" spans="2:10">
      <c r="B2215" s="4" t="str">
        <f>nmPayer3</f>
        <v>Dragon Health</v>
      </c>
    </row>
    <row r="2216" spans="2:10">
      <c r="C2216" t="s">
        <v>1465</v>
      </c>
      <c r="E2216" t="str">
        <f>obalProd1Payer3Status</f>
        <v>T3 SGSE</v>
      </c>
      <c r="F2216" t="str">
        <f>obalProd1Payer3Status</f>
        <v>T3 SGSE</v>
      </c>
      <c r="G2216" t="str">
        <f>obalProd1Payer3Status</f>
        <v>T3 SGSE</v>
      </c>
      <c r="H2216" t="str">
        <f>obalProd1Payer3Status</f>
        <v>T3 SGSE</v>
      </c>
      <c r="I2216" t="str">
        <f>obalProd1Payer3Status</f>
        <v>T3 SGSE</v>
      </c>
    </row>
    <row r="2217" spans="2:10">
      <c r="C2217" t="s">
        <v>340</v>
      </c>
      <c r="E2217">
        <f>calcProd1Seg3Payer3VolumeR1</f>
        <v>24.616437631578943</v>
      </c>
      <c r="F2217">
        <f>calcProd1Seg3Payer3VolumeR1</f>
        <v>24.616437631578943</v>
      </c>
      <c r="G2217">
        <f>calcProd1Seg3Payer3VolumeR1</f>
        <v>24.616437631578943</v>
      </c>
      <c r="H2217">
        <f>calcProd1Seg3Payer3VolumeR1</f>
        <v>24.616437631578943</v>
      </c>
      <c r="I2217">
        <f>calcProd1Seg3Payer3VolumeR1</f>
        <v>24.616437631578943</v>
      </c>
    </row>
    <row r="2218" spans="2:10">
      <c r="C2218" t="s">
        <v>2888</v>
      </c>
      <c r="E2218">
        <f>dataTherapy1ListPrice</f>
        <v>3000</v>
      </c>
      <c r="F2218">
        <f>dataTherapy1ListPrice</f>
        <v>3000</v>
      </c>
      <c r="G2218">
        <f>dataTherapy1ListPrice</f>
        <v>3000</v>
      </c>
      <c r="H2218">
        <f>dataTherapy1ListPrice</f>
        <v>3000</v>
      </c>
      <c r="I2218">
        <f>dataTherapy1ListPrice</f>
        <v>3000</v>
      </c>
    </row>
    <row r="2219" spans="2:10">
      <c r="C2219" t="s">
        <v>3542</v>
      </c>
      <c r="E2219">
        <f>INDEX(dataTierImpact,,calcProd1Payer3TierOrientationR1)</f>
        <v>0.6</v>
      </c>
      <c r="F2219">
        <f>INDEX(dataTierImpact,,calcProd1Payer3TierOrientationR1)</f>
        <v>0.6</v>
      </c>
      <c r="G2219">
        <f>INDEX(dataTierImpact,,calcProd1Payer3TierOrientationR1)</f>
        <v>0.6</v>
      </c>
      <c r="H2219">
        <f>INDEX(dataTierImpact,,calcProd1Payer3TierOrientationR1)</f>
        <v>0.6</v>
      </c>
      <c r="I2219">
        <f>INDEX(dataTierImpact,,calcProd1Payer3TierOrientationR1)</f>
        <v>0.6</v>
      </c>
    </row>
    <row r="2220" spans="2:10">
      <c r="E2220">
        <v>1</v>
      </c>
      <c r="F2220">
        <v>1</v>
      </c>
      <c r="G2220">
        <v>1</v>
      </c>
      <c r="H2220">
        <v>1</v>
      </c>
      <c r="I2220">
        <v>1</v>
      </c>
    </row>
    <row r="2221" spans="2:10">
      <c r="C2221" t="s">
        <v>2496</v>
      </c>
      <c r="E2221">
        <f>E2218*E2219*E2220</f>
        <v>1800</v>
      </c>
      <c r="F2221">
        <f t="shared" ref="F2221:I2221" si="140">F2218*F2219*F2220</f>
        <v>1800</v>
      </c>
      <c r="G2221">
        <f t="shared" si="140"/>
        <v>1800</v>
      </c>
      <c r="H2221">
        <f t="shared" si="140"/>
        <v>1800</v>
      </c>
      <c r="I2221">
        <f t="shared" si="140"/>
        <v>1800</v>
      </c>
    </row>
    <row r="2222" spans="2:10" s="4" customFormat="1">
      <c r="C2222" s="4" t="s">
        <v>684</v>
      </c>
      <c r="E2222" s="523">
        <f>E2217*dataTherapy1ListPrice</f>
        <v>73849.312894736824</v>
      </c>
      <c r="F2222" s="523">
        <f>F2217*dataTherapy1ListPrice</f>
        <v>73849.312894736824</v>
      </c>
      <c r="G2222" s="523">
        <f>G2217*dataTherapy1ListPrice</f>
        <v>73849.312894736824</v>
      </c>
      <c r="H2222" s="523">
        <f>H2217*dataTherapy1ListPrice</f>
        <v>73849.312894736824</v>
      </c>
      <c r="I2222" s="523">
        <f>I2217*dataTherapy1ListPrice</f>
        <v>73849.312894736824</v>
      </c>
      <c r="J2222" s="4" t="s">
        <v>2521</v>
      </c>
    </row>
    <row r="2223" spans="2:10" s="4" customFormat="1">
      <c r="C2223" s="4" t="s">
        <v>376</v>
      </c>
      <c r="E2223" s="4">
        <f>E2217*E2221</f>
        <v>44309.587736842099</v>
      </c>
      <c r="F2223" s="4">
        <f t="shared" ref="F2223:I2223" si="141">F2217*F2221</f>
        <v>44309.587736842099</v>
      </c>
      <c r="G2223" s="4">
        <f t="shared" si="141"/>
        <v>44309.587736842099</v>
      </c>
      <c r="H2223" s="4">
        <f t="shared" si="141"/>
        <v>44309.587736842099</v>
      </c>
      <c r="I2223" s="4">
        <f t="shared" si="141"/>
        <v>44309.587736842099</v>
      </c>
      <c r="J2223" s="4" t="s">
        <v>2522</v>
      </c>
    </row>
    <row r="2225" spans="1:10">
      <c r="C2225" s="4" t="s">
        <v>2503</v>
      </c>
      <c r="E2225">
        <f>calcProd1Seg3Payer1GrossRevenueR1+calcProd1Seg3Payer2GrossRevenueR1+calcProd1Seg3Payer3GrossRevenueR1</f>
        <v>238817.66889473674</v>
      </c>
      <c r="F2225">
        <f>calcProd1Seg3Payer1GrossRevenueR1+calcProd1Seg3Payer2GrossRevenueR1+calcProd1Seg3Payer3GrossRevenueR1</f>
        <v>238817.66889473674</v>
      </c>
      <c r="G2225">
        <f>calcProd1Seg3Payer1GrossRevenueR1+calcProd1Seg3Payer2GrossRevenueR1+calcProd1Seg3Payer3GrossRevenueR1</f>
        <v>238817.66889473674</v>
      </c>
      <c r="H2225">
        <f>calcProd1Seg3Payer1GrossRevenueR1+calcProd1Seg3Payer2GrossRevenueR1+calcProd1Seg3Payer3GrossRevenueR1</f>
        <v>238817.66889473674</v>
      </c>
      <c r="I2225">
        <f>calcProd1Seg3Payer1GrossRevenueR1+calcProd1Seg3Payer2GrossRevenueR1+calcProd1Seg3Payer3GrossRevenueR1</f>
        <v>238817.66889473674</v>
      </c>
      <c r="J2225" t="s">
        <v>2523</v>
      </c>
    </row>
    <row r="2226" spans="1:10">
      <c r="C2226" s="4" t="s">
        <v>2504</v>
      </c>
      <c r="E2226">
        <f>calcProd1Seg3Payer1NetRevenueR1+calcProd1Seg3Payer2NetRevenueR1+calcProd1Seg3Payer3NetRevenueR1</f>
        <v>110296.93013684207</v>
      </c>
      <c r="F2226">
        <f>calcProd1Seg3Payer1NetRevenueR1+calcProd1Seg3Payer2NetRevenueR1+calcProd1Seg3Payer3NetRevenueR1</f>
        <v>110296.93013684207</v>
      </c>
      <c r="G2226">
        <f>calcProd1Seg3Payer1NetRevenueR1+calcProd1Seg3Payer2NetRevenueR1+calcProd1Seg3Payer3NetRevenueR1</f>
        <v>110296.93013684207</v>
      </c>
      <c r="H2226">
        <f>calcProd1Seg3Payer1NetRevenueR1+calcProd1Seg3Payer2NetRevenueR1+calcProd1Seg3Payer3NetRevenueR1</f>
        <v>110296.93013684207</v>
      </c>
      <c r="I2226">
        <f>calcProd1Seg3Payer1NetRevenueR1+calcProd1Seg3Payer2NetRevenueR1+calcProd1Seg3Payer3NetRevenueR1</f>
        <v>110296.93013684207</v>
      </c>
      <c r="J2226" t="s">
        <v>2524</v>
      </c>
    </row>
    <row r="2227" spans="1:10">
      <c r="C2227" s="4" t="s">
        <v>686</v>
      </c>
      <c r="E2227">
        <f>calcProd1Seg3GrossRevenueR1-calcProd1Seg3NetRevenueR1</f>
        <v>128520.73875789467</v>
      </c>
      <c r="F2227">
        <f>calcProd1Seg3GrossRevenueR1-calcProd1Seg3NetRevenueR1</f>
        <v>128520.73875789467</v>
      </c>
      <c r="G2227">
        <f>calcProd1Seg3GrossRevenueR1-calcProd1Seg3NetRevenueR1</f>
        <v>128520.73875789467</v>
      </c>
      <c r="H2227">
        <f>calcProd1Seg3GrossRevenueR1-calcProd1Seg3NetRevenueR1</f>
        <v>128520.73875789467</v>
      </c>
      <c r="I2227">
        <f>calcProd1Seg3GrossRevenueR1-calcProd1Seg3NetRevenueR1</f>
        <v>128520.73875789467</v>
      </c>
      <c r="J2227" t="s">
        <v>2525</v>
      </c>
    </row>
    <row r="2229" spans="1:10">
      <c r="A2229" t="s">
        <v>2526</v>
      </c>
      <c r="C2229" s="4" t="s">
        <v>2503</v>
      </c>
      <c r="E2229">
        <f>calcProd1Seg1GrossRevenueR1+calcProd1Seg2GrossRevenueR1+calcProd1Seg3GrossRevenueR1</f>
        <v>1148572.6315763367</v>
      </c>
      <c r="F2229">
        <f>calcProd1Seg1GrossRevenueR1+calcProd1Seg2GrossRevenueR1+calcProd1Seg3GrossRevenueR1</f>
        <v>1148572.6315763367</v>
      </c>
      <c r="G2229">
        <f>calcProd1Seg1GrossRevenueR1+calcProd1Seg2GrossRevenueR1+calcProd1Seg3GrossRevenueR1</f>
        <v>1148572.6315763367</v>
      </c>
      <c r="H2229">
        <f>calcProd1Seg1GrossRevenueR1+calcProd1Seg2GrossRevenueR1+calcProd1Seg3GrossRevenueR1</f>
        <v>1148572.6315763367</v>
      </c>
      <c r="I2229">
        <f>calcProd1Seg1GrossRevenueR1+calcProd1Seg2GrossRevenueR1+calcProd1Seg3GrossRevenueR1</f>
        <v>1148572.6315763367</v>
      </c>
      <c r="J2229" t="s">
        <v>2527</v>
      </c>
    </row>
    <row r="2230" spans="1:10">
      <c r="C2230" s="4" t="s">
        <v>2504</v>
      </c>
      <c r="E2230">
        <f>calcProd1Seg1NetRevenueR1+calcProd1Seg2NetRevenueR1+calcProd1Seg3NetRevenueR1</f>
        <v>527310.01727756206</v>
      </c>
      <c r="F2230">
        <f>calcProd1Seg1NetRevenueR1+calcProd1Seg2NetRevenueR1+calcProd1Seg3NetRevenueR1</f>
        <v>527310.01727756206</v>
      </c>
      <c r="G2230">
        <f>calcProd1Seg1NetRevenueR1+calcProd1Seg2NetRevenueR1+calcProd1Seg3NetRevenueR1</f>
        <v>527310.01727756206</v>
      </c>
      <c r="H2230">
        <f>calcProd1Seg1NetRevenueR1+calcProd1Seg2NetRevenueR1+calcProd1Seg3NetRevenueR1</f>
        <v>527310.01727756206</v>
      </c>
      <c r="I2230">
        <f>calcProd1Seg1NetRevenueR1+calcProd1Seg2NetRevenueR1+calcProd1Seg3NetRevenueR1</f>
        <v>527310.01727756206</v>
      </c>
      <c r="J2230" t="s">
        <v>2528</v>
      </c>
    </row>
    <row r="2231" spans="1:10">
      <c r="C2231" s="4" t="s">
        <v>686</v>
      </c>
      <c r="E2231">
        <f>calcProd1TotalGrossRevenue-calcProd1TotalNetRevenue</f>
        <v>621262.61429877463</v>
      </c>
      <c r="F2231">
        <f>calcProd1TotalGrossRevenue-calcProd1TotalNetRevenue</f>
        <v>621262.61429877463</v>
      </c>
      <c r="G2231">
        <f>calcProd1TotalGrossRevenue-calcProd1TotalNetRevenue</f>
        <v>621262.61429877463</v>
      </c>
      <c r="H2231">
        <f>calcProd1TotalGrossRevenue-calcProd1TotalNetRevenue</f>
        <v>621262.61429877463</v>
      </c>
      <c r="I2231">
        <f>calcProd1TotalGrossRevenue-calcProd1TotalNetRevenue</f>
        <v>621262.61429877463</v>
      </c>
      <c r="J2231" t="s">
        <v>2529</v>
      </c>
    </row>
    <row r="2233" spans="1:10">
      <c r="B2233" t="str">
        <f>nmProd1Seg1</f>
        <v>Riverrun Central</v>
      </c>
    </row>
    <row r="2234" spans="1:10">
      <c r="B2234" s="4" t="str">
        <f>nmPayer1</f>
        <v>Blue Sword/Blue Shield</v>
      </c>
    </row>
    <row r="2235" spans="1:10">
      <c r="C2235" t="s">
        <v>1465</v>
      </c>
      <c r="E2235" t="str">
        <f>cbalProd1Payer1Status</f>
        <v>T3 DSE</v>
      </c>
      <c r="F2235" t="str">
        <f>cbalProd1Payer1Status</f>
        <v>T3 DSE</v>
      </c>
      <c r="G2235" t="str">
        <f>cbalProd1Payer1Status</f>
        <v>T3 DSE</v>
      </c>
      <c r="H2235" t="str">
        <f>cbalProd1Payer1Status</f>
        <v>T3 DSE</v>
      </c>
      <c r="I2235" t="str">
        <f>cbalProd1Payer1Status</f>
        <v>T3 DSE</v>
      </c>
    </row>
    <row r="2236" spans="1:10">
      <c r="C2236" t="s">
        <v>340</v>
      </c>
      <c r="E2236">
        <f>calcProd1Seg1Payer1VolumeR2</f>
        <v>130.57540604559361</v>
      </c>
      <c r="F2236">
        <f>calcProd1Seg1Payer1VolumeR2</f>
        <v>130.57540604559361</v>
      </c>
      <c r="G2236">
        <f>calcProd1Seg1Payer1VolumeR2</f>
        <v>130.57540604559361</v>
      </c>
      <c r="H2236">
        <f>calcProd1Seg1Payer1VolumeR2</f>
        <v>130.57540604559361</v>
      </c>
      <c r="I2236">
        <f>calcProd1Seg1Payer1VolumeR2</f>
        <v>130.57540604559361</v>
      </c>
    </row>
    <row r="2237" spans="1:10">
      <c r="C2237" t="s">
        <v>2888</v>
      </c>
      <c r="E2237">
        <f>dataTherapy1ListPrice</f>
        <v>3000</v>
      </c>
      <c r="F2237">
        <f>dataTherapy1ListPrice</f>
        <v>3000</v>
      </c>
      <c r="G2237">
        <f>dataTherapy1ListPrice</f>
        <v>3000</v>
      </c>
      <c r="H2237">
        <f>dataTherapy1ListPrice</f>
        <v>3000</v>
      </c>
      <c r="I2237">
        <f>dataTherapy1ListPrice</f>
        <v>3000</v>
      </c>
    </row>
    <row r="2238" spans="1:10">
      <c r="C2238" t="s">
        <v>3542</v>
      </c>
      <c r="E2238">
        <f>INDEX(dataTierImpact,,calcProd1Payer1TierOrientationR2)</f>
        <v>0.4</v>
      </c>
      <c r="F2238">
        <f>INDEX(dataTierImpact,,calcProd1Payer1TierOrientationR2)</f>
        <v>0.4</v>
      </c>
      <c r="G2238">
        <f>INDEX(dataTierImpact,,calcProd1Payer1TierOrientationR2)</f>
        <v>0.4</v>
      </c>
      <c r="H2238">
        <f>INDEX(dataTierImpact,,calcProd1Payer1TierOrientationR2)</f>
        <v>0.4</v>
      </c>
      <c r="I2238">
        <f>INDEX(dataTierImpact,,calcProd1Payer1TierOrientationR2)</f>
        <v>0.4</v>
      </c>
    </row>
    <row r="2239" spans="1:10">
      <c r="E2239">
        <v>1</v>
      </c>
      <c r="F2239">
        <v>1</v>
      </c>
      <c r="G2239">
        <v>1</v>
      </c>
      <c r="H2239">
        <v>1</v>
      </c>
      <c r="I2239">
        <v>1</v>
      </c>
    </row>
    <row r="2240" spans="1:10">
      <c r="C2240" t="s">
        <v>2496</v>
      </c>
      <c r="E2240">
        <f>E2237*E2238*E2239</f>
        <v>1200</v>
      </c>
      <c r="F2240">
        <f t="shared" ref="F2240" si="142">F2237*F2238*F2239</f>
        <v>1200</v>
      </c>
      <c r="G2240">
        <f t="shared" ref="G2240" si="143">G2237*G2238*G2239</f>
        <v>1200</v>
      </c>
      <c r="H2240">
        <f t="shared" ref="H2240" si="144">H2237*H2238*H2239</f>
        <v>1200</v>
      </c>
      <c r="I2240">
        <f t="shared" ref="I2240" si="145">I2237*I2238*I2239</f>
        <v>1200</v>
      </c>
    </row>
    <row r="2241" spans="2:10" s="4" customFormat="1">
      <c r="C2241" s="4" t="s">
        <v>684</v>
      </c>
      <c r="E2241" s="523">
        <f>E2236*dataTherapy1ListPrice</f>
        <v>391726.21813678084</v>
      </c>
      <c r="F2241" s="523">
        <f>F2236*dataTherapy1ListPrice</f>
        <v>391726.21813678084</v>
      </c>
      <c r="G2241" s="523">
        <f>G2236*dataTherapy1ListPrice</f>
        <v>391726.21813678084</v>
      </c>
      <c r="H2241" s="523">
        <f>H2236*dataTherapy1ListPrice</f>
        <v>391726.21813678084</v>
      </c>
      <c r="I2241" s="523">
        <f>I2236*dataTherapy1ListPrice</f>
        <v>391726.21813678084</v>
      </c>
      <c r="J2241" s="4" t="s">
        <v>2551</v>
      </c>
    </row>
    <row r="2242" spans="2:10" s="4" customFormat="1">
      <c r="C2242" s="4" t="s">
        <v>376</v>
      </c>
      <c r="E2242" s="4">
        <f>E2236*E2240</f>
        <v>156690.48725471232</v>
      </c>
      <c r="F2242" s="4">
        <f t="shared" ref="F2242:I2242" si="146">F2236*F2240</f>
        <v>156690.48725471232</v>
      </c>
      <c r="G2242" s="4">
        <f t="shared" si="146"/>
        <v>156690.48725471232</v>
      </c>
      <c r="H2242" s="4">
        <f t="shared" si="146"/>
        <v>156690.48725471232</v>
      </c>
      <c r="I2242" s="4">
        <f t="shared" si="146"/>
        <v>156690.48725471232</v>
      </c>
      <c r="J2242" s="4" t="s">
        <v>2552</v>
      </c>
    </row>
    <row r="2243" spans="2:10">
      <c r="B2243" s="4" t="str">
        <f>nmPayer2</f>
        <v>WesterAid</v>
      </c>
    </row>
    <row r="2244" spans="2:10">
      <c r="C2244" t="s">
        <v>1465</v>
      </c>
      <c r="E2244" t="str">
        <f>cbalProd1Payer2Status</f>
        <v>T1 NR</v>
      </c>
      <c r="F2244" t="str">
        <f>cbalProd1Payer2Status</f>
        <v>T1 NR</v>
      </c>
      <c r="G2244" t="str">
        <f>cbalProd1Payer2Status</f>
        <v>T1 NR</v>
      </c>
      <c r="H2244" t="str">
        <f>cbalProd1Payer2Status</f>
        <v>T1 NR</v>
      </c>
      <c r="I2244" t="str">
        <f>cbalProd1Payer2Status</f>
        <v>T1 NR</v>
      </c>
    </row>
    <row r="2245" spans="2:10">
      <c r="C2245" t="s">
        <v>340</v>
      </c>
      <c r="E2245">
        <f>calcProd1Seg1Payer2VolumeR2</f>
        <v>2.3171833036800069</v>
      </c>
      <c r="F2245">
        <f>calcProd1Seg1Payer2VolumeR2</f>
        <v>2.3171833036800069</v>
      </c>
      <c r="G2245">
        <f>calcProd1Seg1Payer2VolumeR2</f>
        <v>2.3171833036800069</v>
      </c>
      <c r="H2245">
        <f>calcProd1Seg1Payer2VolumeR2</f>
        <v>2.3171833036800069</v>
      </c>
      <c r="I2245">
        <f>calcProd1Seg1Payer2VolumeR2</f>
        <v>2.3171833036800069</v>
      </c>
    </row>
    <row r="2246" spans="2:10">
      <c r="C2246" t="s">
        <v>2888</v>
      </c>
      <c r="E2246">
        <f>dataTherapy1ListPrice</f>
        <v>3000</v>
      </c>
      <c r="F2246">
        <f>dataTherapy1ListPrice</f>
        <v>3000</v>
      </c>
      <c r="G2246">
        <f>dataTherapy1ListPrice</f>
        <v>3000</v>
      </c>
      <c r="H2246">
        <f>dataTherapy1ListPrice</f>
        <v>3000</v>
      </c>
      <c r="I2246">
        <f>dataTherapy1ListPrice</f>
        <v>3000</v>
      </c>
    </row>
    <row r="2247" spans="2:10">
      <c r="C2247" t="s">
        <v>3542</v>
      </c>
      <c r="E2247">
        <f>INDEX(dataTierImpact,,calcProd1Payer2TierOrientationR2)</f>
        <v>0.3</v>
      </c>
      <c r="F2247">
        <f>INDEX(dataTierImpact,,calcProd1Payer2TierOrientationR2)</f>
        <v>0.3</v>
      </c>
      <c r="G2247">
        <f>INDEX(dataTierImpact,,calcProd1Payer2TierOrientationR2)</f>
        <v>0.3</v>
      </c>
      <c r="H2247">
        <f>INDEX(dataTierImpact,,calcProd1Payer2TierOrientationR2)</f>
        <v>0.3</v>
      </c>
      <c r="I2247">
        <f>INDEX(dataTierImpact,,calcProd1Payer2TierOrientationR2)</f>
        <v>0.3</v>
      </c>
    </row>
    <row r="2248" spans="2:10">
      <c r="E2248">
        <v>1</v>
      </c>
      <c r="F2248">
        <v>1</v>
      </c>
      <c r="G2248">
        <v>1</v>
      </c>
      <c r="H2248">
        <v>1</v>
      </c>
      <c r="I2248">
        <v>1</v>
      </c>
    </row>
    <row r="2249" spans="2:10">
      <c r="C2249" t="s">
        <v>2496</v>
      </c>
      <c r="E2249">
        <f>E2246*E2247*E2248</f>
        <v>900</v>
      </c>
      <c r="F2249">
        <f t="shared" ref="F2249" si="147">F2246*F2247*F2248</f>
        <v>900</v>
      </c>
      <c r="G2249">
        <f t="shared" ref="G2249" si="148">G2246*G2247*G2248</f>
        <v>900</v>
      </c>
      <c r="H2249">
        <f t="shared" ref="H2249" si="149">H2246*H2247*H2248</f>
        <v>900</v>
      </c>
      <c r="I2249">
        <f t="shared" ref="I2249" si="150">I2246*I2247*I2248</f>
        <v>900</v>
      </c>
    </row>
    <row r="2250" spans="2:10" s="4" customFormat="1">
      <c r="C2250" s="4" t="s">
        <v>684</v>
      </c>
      <c r="E2250" s="523">
        <f>E2245*dataTherapy1ListPrice</f>
        <v>6951.5499110400206</v>
      </c>
      <c r="F2250" s="523">
        <f>F2245*dataTherapy1ListPrice</f>
        <v>6951.5499110400206</v>
      </c>
      <c r="G2250" s="523">
        <f>G2245*dataTherapy1ListPrice</f>
        <v>6951.5499110400206</v>
      </c>
      <c r="H2250" s="523">
        <f>H2245*dataTherapy1ListPrice</f>
        <v>6951.5499110400206</v>
      </c>
      <c r="I2250" s="523">
        <f>I2245*dataTherapy1ListPrice</f>
        <v>6951.5499110400206</v>
      </c>
      <c r="J2250" s="4" t="s">
        <v>2530</v>
      </c>
    </row>
    <row r="2251" spans="2:10" s="4" customFormat="1">
      <c r="C2251" s="4" t="s">
        <v>376</v>
      </c>
      <c r="E2251" s="4">
        <f>E2245*E2249</f>
        <v>2085.4649733120064</v>
      </c>
      <c r="F2251" s="4">
        <f t="shared" ref="F2251:I2251" si="151">F2245*F2249</f>
        <v>2085.4649733120064</v>
      </c>
      <c r="G2251" s="4">
        <f t="shared" si="151"/>
        <v>2085.4649733120064</v>
      </c>
      <c r="H2251" s="4">
        <f t="shared" si="151"/>
        <v>2085.4649733120064</v>
      </c>
      <c r="I2251" s="4">
        <f t="shared" si="151"/>
        <v>2085.4649733120064</v>
      </c>
      <c r="J2251" s="4" t="s">
        <v>2531</v>
      </c>
    </row>
    <row r="2252" spans="2:10">
      <c r="B2252" s="4" t="str">
        <f>nmPayer3</f>
        <v>Dragon Health</v>
      </c>
    </row>
    <row r="2253" spans="2:10">
      <c r="C2253" t="s">
        <v>1465</v>
      </c>
      <c r="E2253" t="str">
        <f>cbalProd1Payer3Status</f>
        <v>T3 SGSE</v>
      </c>
      <c r="F2253" t="str">
        <f>cbalProd1Payer3Status</f>
        <v>T3 SGSE</v>
      </c>
      <c r="G2253" t="str">
        <f>cbalProd1Payer3Status</f>
        <v>T3 SGSE</v>
      </c>
      <c r="H2253" t="str">
        <f>cbalProd1Payer3Status</f>
        <v>T3 SGSE</v>
      </c>
      <c r="I2253" t="str">
        <f>cbalProd1Payer3Status</f>
        <v>T3 SGSE</v>
      </c>
    </row>
    <row r="2254" spans="2:10">
      <c r="C2254" t="s">
        <v>340</v>
      </c>
      <c r="E2254">
        <f>calcProd1Seg1Payer3VolumeR2</f>
        <v>55.726579335168033</v>
      </c>
      <c r="F2254">
        <f>calcProd1Seg1Payer3VolumeR2</f>
        <v>55.726579335168033</v>
      </c>
      <c r="G2254">
        <f>calcProd1Seg1Payer3VolumeR2</f>
        <v>55.726579335168033</v>
      </c>
      <c r="H2254">
        <f>calcProd1Seg1Payer3VolumeR2</f>
        <v>55.726579335168033</v>
      </c>
      <c r="I2254">
        <f>calcProd1Seg1Payer3VolumeR2</f>
        <v>55.726579335168033</v>
      </c>
    </row>
    <row r="2255" spans="2:10">
      <c r="C2255" t="s">
        <v>2888</v>
      </c>
      <c r="E2255">
        <f>dataTherapy1ListPrice</f>
        <v>3000</v>
      </c>
      <c r="F2255">
        <f>dataTherapy1ListPrice</f>
        <v>3000</v>
      </c>
      <c r="G2255">
        <f>dataTherapy1ListPrice</f>
        <v>3000</v>
      </c>
      <c r="H2255">
        <f>dataTherapy1ListPrice</f>
        <v>3000</v>
      </c>
      <c r="I2255">
        <f>dataTherapy1ListPrice</f>
        <v>3000</v>
      </c>
    </row>
    <row r="2256" spans="2:10">
      <c r="C2256" t="s">
        <v>3542</v>
      </c>
      <c r="E2256">
        <f>INDEX(dataTierImpact,,calcProd1Payer3TierOrientationR2)</f>
        <v>0.6</v>
      </c>
      <c r="F2256">
        <f>INDEX(dataTierImpact,,calcProd1Payer3TierOrientationR2)</f>
        <v>0.6</v>
      </c>
      <c r="G2256">
        <f>INDEX(dataTierImpact,,calcProd1Payer3TierOrientationR2)</f>
        <v>0.6</v>
      </c>
      <c r="H2256">
        <f>INDEX(dataTierImpact,,calcProd1Payer3TierOrientationR2)</f>
        <v>0.6</v>
      </c>
      <c r="I2256">
        <f>INDEX(dataTierImpact,,calcProd1Payer3TierOrientationR2)</f>
        <v>0.6</v>
      </c>
    </row>
    <row r="2257" spans="2:10">
      <c r="E2257">
        <v>1</v>
      </c>
      <c r="F2257">
        <v>1</v>
      </c>
      <c r="G2257">
        <v>1</v>
      </c>
      <c r="H2257">
        <v>1</v>
      </c>
      <c r="I2257">
        <v>1</v>
      </c>
    </row>
    <row r="2258" spans="2:10">
      <c r="C2258" t="s">
        <v>2496</v>
      </c>
      <c r="E2258">
        <f>E2255*E2256*E2257</f>
        <v>1800</v>
      </c>
      <c r="F2258">
        <f t="shared" ref="F2258" si="152">F2255*F2256*F2257</f>
        <v>1800</v>
      </c>
      <c r="G2258">
        <f t="shared" ref="G2258" si="153">G2255*G2256*G2257</f>
        <v>1800</v>
      </c>
      <c r="H2258">
        <f t="shared" ref="H2258" si="154">H2255*H2256*H2257</f>
        <v>1800</v>
      </c>
      <c r="I2258">
        <f t="shared" ref="I2258" si="155">I2255*I2256*I2257</f>
        <v>1800</v>
      </c>
    </row>
    <row r="2259" spans="2:10" s="4" customFormat="1">
      <c r="C2259" s="4" t="s">
        <v>684</v>
      </c>
      <c r="E2259" s="523">
        <f>E2254*dataTherapy1ListPrice</f>
        <v>167179.7380055041</v>
      </c>
      <c r="F2259" s="523">
        <f>F2254*dataTherapy1ListPrice</f>
        <v>167179.7380055041</v>
      </c>
      <c r="G2259" s="523">
        <f>G2254*dataTherapy1ListPrice</f>
        <v>167179.7380055041</v>
      </c>
      <c r="H2259" s="523">
        <f>H2254*dataTherapy1ListPrice</f>
        <v>167179.7380055041</v>
      </c>
      <c r="I2259" s="523">
        <f>I2254*dataTherapy1ListPrice</f>
        <v>167179.7380055041</v>
      </c>
      <c r="J2259" s="4" t="s">
        <v>2532</v>
      </c>
    </row>
    <row r="2260" spans="2:10" s="4" customFormat="1">
      <c r="C2260" s="4" t="s">
        <v>376</v>
      </c>
      <c r="E2260" s="4">
        <f>E2254*E2258</f>
        <v>100307.84280330245</v>
      </c>
      <c r="F2260" s="4">
        <f t="shared" ref="F2260:I2260" si="156">F2254*F2258</f>
        <v>100307.84280330245</v>
      </c>
      <c r="G2260" s="4">
        <f t="shared" si="156"/>
        <v>100307.84280330245</v>
      </c>
      <c r="H2260" s="4">
        <f t="shared" si="156"/>
        <v>100307.84280330245</v>
      </c>
      <c r="I2260" s="4">
        <f t="shared" si="156"/>
        <v>100307.84280330245</v>
      </c>
      <c r="J2260" s="4" t="s">
        <v>2533</v>
      </c>
    </row>
    <row r="2262" spans="2:10">
      <c r="C2262" s="4" t="s">
        <v>2503</v>
      </c>
      <c r="E2262">
        <f>calcProd1Seg1Payer1GrossRevenueR2+calcProd1Seg1Payer2GrossRevenueR2+calcProd1Seg1Payer3GrossRevenueR2</f>
        <v>565857.50605332491</v>
      </c>
      <c r="F2262">
        <f>calcProd1Seg1Payer1GrossRevenueR2+calcProd1Seg1Payer2GrossRevenueR2+calcProd1Seg1Payer3GrossRevenueR2</f>
        <v>565857.50605332491</v>
      </c>
      <c r="G2262">
        <f>calcProd1Seg1Payer1GrossRevenueR2+calcProd1Seg1Payer2GrossRevenueR2+calcProd1Seg1Payer3GrossRevenueR2</f>
        <v>565857.50605332491</v>
      </c>
      <c r="H2262">
        <f>calcProd1Seg1Payer1GrossRevenueR2+calcProd1Seg1Payer2GrossRevenueR2+calcProd1Seg1Payer3GrossRevenueR2</f>
        <v>565857.50605332491</v>
      </c>
      <c r="I2262">
        <f>calcProd1Seg1Payer1GrossRevenueR2+calcProd1Seg1Payer2GrossRevenueR2+calcProd1Seg1Payer3GrossRevenueR2</f>
        <v>565857.50605332491</v>
      </c>
      <c r="J2262" t="s">
        <v>2534</v>
      </c>
    </row>
    <row r="2263" spans="2:10">
      <c r="C2263" s="4" t="s">
        <v>2504</v>
      </c>
      <c r="E2263">
        <f>calcProd1Seg1Payer1NetRevenueR2+calcProd1Seg1Payer2NetRevenueR2+calcProd1Seg1Payer3NetRevenueR2</f>
        <v>259083.79503132679</v>
      </c>
      <c r="F2263">
        <f>calcProd1Seg1Payer1NetRevenueR2+calcProd1Seg1Payer2NetRevenueR2+calcProd1Seg1Payer3NetRevenueR2</f>
        <v>259083.79503132679</v>
      </c>
      <c r="G2263">
        <f>calcProd1Seg1Payer1NetRevenueR2+calcProd1Seg1Payer2NetRevenueR2+calcProd1Seg1Payer3NetRevenueR2</f>
        <v>259083.79503132679</v>
      </c>
      <c r="H2263">
        <f>calcProd1Seg1Payer1NetRevenueR2+calcProd1Seg1Payer2NetRevenueR2+calcProd1Seg1Payer3NetRevenueR2</f>
        <v>259083.79503132679</v>
      </c>
      <c r="I2263">
        <f>calcProd1Seg1Payer1NetRevenueR2+calcProd1Seg1Payer2NetRevenueR2+calcProd1Seg1Payer3NetRevenueR2</f>
        <v>259083.79503132679</v>
      </c>
      <c r="J2263" t="s">
        <v>2535</v>
      </c>
    </row>
    <row r="2264" spans="2:10">
      <c r="C2264" s="4" t="s">
        <v>686</v>
      </c>
      <c r="E2264">
        <f>calcProd1Seg1GrossRevenueR2-calcProd1Seg1NetRevenueR2</f>
        <v>306773.71102199808</v>
      </c>
      <c r="F2264">
        <f>calcProd1Seg1GrossRevenueR2-calcProd1Seg1NetRevenueR2</f>
        <v>306773.71102199808</v>
      </c>
      <c r="G2264">
        <f>calcProd1Seg1GrossRevenueR2-calcProd1Seg1NetRevenueR2</f>
        <v>306773.71102199808</v>
      </c>
      <c r="H2264">
        <f>calcProd1Seg1GrossRevenueR2-calcProd1Seg1NetRevenueR2</f>
        <v>306773.71102199808</v>
      </c>
      <c r="I2264">
        <f>calcProd1Seg1GrossRevenueR2-calcProd1Seg1NetRevenueR2</f>
        <v>306773.71102199808</v>
      </c>
      <c r="J2264" t="s">
        <v>2557</v>
      </c>
    </row>
    <row r="2265" spans="2:10">
      <c r="B2265" t="str">
        <f>nmProd1Seg2</f>
        <v>Tullyville</v>
      </c>
    </row>
    <row r="2266" spans="2:10">
      <c r="B2266" s="4" t="str">
        <f>nmPayer1</f>
        <v>Blue Sword/Blue Shield</v>
      </c>
    </row>
    <row r="2267" spans="2:10">
      <c r="C2267" t="s">
        <v>1465</v>
      </c>
      <c r="E2267" t="str">
        <f>cbalProd1Payer1Status</f>
        <v>T3 DSE</v>
      </c>
      <c r="F2267" t="str">
        <f>cbalProd1Payer1Status</f>
        <v>T3 DSE</v>
      </c>
      <c r="G2267" t="str">
        <f>cbalProd1Payer1Status</f>
        <v>T3 DSE</v>
      </c>
      <c r="H2267" t="str">
        <f>cbalProd1Payer1Status</f>
        <v>T3 DSE</v>
      </c>
      <c r="I2267" t="str">
        <f>cbalProd1Payer1Status</f>
        <v>T3 DSE</v>
      </c>
    </row>
    <row r="2268" spans="2:10">
      <c r="C2268" t="s">
        <v>340</v>
      </c>
      <c r="E2268">
        <f>calcProd1Seg2Payer1VolumeR2</f>
        <v>107.85983968199997</v>
      </c>
      <c r="F2268">
        <f>calcProd1Seg2Payer1VolumeR2</f>
        <v>107.85983968199997</v>
      </c>
      <c r="G2268">
        <f>calcProd1Seg2Payer1VolumeR2</f>
        <v>107.85983968199997</v>
      </c>
      <c r="H2268">
        <f>calcProd1Seg2Payer1VolumeR2</f>
        <v>107.85983968199997</v>
      </c>
      <c r="I2268">
        <f>calcProd1Seg2Payer1VolumeR2</f>
        <v>107.40155600999998</v>
      </c>
    </row>
    <row r="2269" spans="2:10">
      <c r="C2269" t="s">
        <v>2888</v>
      </c>
      <c r="E2269">
        <f>dataTherapy1ListPrice</f>
        <v>3000</v>
      </c>
      <c r="F2269">
        <f>dataTherapy1ListPrice</f>
        <v>3000</v>
      </c>
      <c r="G2269">
        <f>dataTherapy1ListPrice</f>
        <v>3000</v>
      </c>
      <c r="H2269">
        <f>dataTherapy1ListPrice</f>
        <v>3000</v>
      </c>
      <c r="I2269">
        <f>dataTherapy1ListPrice</f>
        <v>3000</v>
      </c>
    </row>
    <row r="2270" spans="2:10">
      <c r="C2270" t="s">
        <v>3542</v>
      </c>
      <c r="E2270">
        <f>INDEX(dataTierImpact,,calcProd1Payer1TierOrientationR2)</f>
        <v>0.4</v>
      </c>
      <c r="F2270">
        <f>INDEX(dataTierImpact,,calcProd1Payer1TierOrientationR2)</f>
        <v>0.4</v>
      </c>
      <c r="G2270">
        <f>INDEX(dataTierImpact,,calcProd1Payer1TierOrientationR2)</f>
        <v>0.4</v>
      </c>
      <c r="H2270">
        <f>INDEX(dataTierImpact,,calcProd1Payer1TierOrientationR2)</f>
        <v>0.4</v>
      </c>
      <c r="I2270">
        <f>INDEX(dataTierImpact,,calcProd1Payer1TierOrientationR2)</f>
        <v>0.4</v>
      </c>
    </row>
    <row r="2271" spans="2:10">
      <c r="E2271">
        <v>1</v>
      </c>
      <c r="F2271">
        <v>1</v>
      </c>
      <c r="G2271">
        <v>1</v>
      </c>
      <c r="H2271">
        <v>1</v>
      </c>
      <c r="I2271">
        <v>1</v>
      </c>
    </row>
    <row r="2272" spans="2:10">
      <c r="C2272" t="s">
        <v>2496</v>
      </c>
      <c r="E2272">
        <f>E2269*E2270*E2271</f>
        <v>1200</v>
      </c>
      <c r="F2272">
        <f t="shared" ref="F2272:I2272" si="157">F2269*F2270*F2271</f>
        <v>1200</v>
      </c>
      <c r="G2272">
        <f t="shared" si="157"/>
        <v>1200</v>
      </c>
      <c r="H2272">
        <f t="shared" si="157"/>
        <v>1200</v>
      </c>
      <c r="I2272">
        <f t="shared" si="157"/>
        <v>1200</v>
      </c>
    </row>
    <row r="2273" spans="2:10" s="4" customFormat="1">
      <c r="C2273" s="4" t="s">
        <v>684</v>
      </c>
      <c r="E2273" s="523">
        <f>E2268*dataTherapy1ListPrice</f>
        <v>323579.51904599991</v>
      </c>
      <c r="F2273" s="523">
        <f>F2268*dataTherapy1ListPrice</f>
        <v>323579.51904599991</v>
      </c>
      <c r="G2273" s="523">
        <f>G2268*dataTherapy1ListPrice</f>
        <v>323579.51904599991</v>
      </c>
      <c r="H2273" s="523">
        <f>H2268*dataTherapy1ListPrice</f>
        <v>323579.51904599991</v>
      </c>
      <c r="I2273" s="523">
        <f>I2268*dataTherapy1ListPrice</f>
        <v>322204.66802999994</v>
      </c>
      <c r="J2273" s="4" t="s">
        <v>2553</v>
      </c>
    </row>
    <row r="2274" spans="2:10" s="4" customFormat="1">
      <c r="C2274" s="4" t="s">
        <v>376</v>
      </c>
      <c r="E2274" s="4">
        <f>E2268*E2272</f>
        <v>129431.80761839997</v>
      </c>
      <c r="F2274" s="4">
        <f t="shared" ref="F2274:I2274" si="158">F2268*F2272</f>
        <v>129431.80761839997</v>
      </c>
      <c r="G2274" s="4">
        <f t="shared" si="158"/>
        <v>129431.80761839997</v>
      </c>
      <c r="H2274" s="4">
        <f t="shared" si="158"/>
        <v>129431.80761839997</v>
      </c>
      <c r="I2274" s="4">
        <f t="shared" si="158"/>
        <v>128881.86721199997</v>
      </c>
      <c r="J2274" s="4" t="s">
        <v>2554</v>
      </c>
    </row>
    <row r="2275" spans="2:10">
      <c r="B2275" s="4" t="str">
        <f>nmPayer2</f>
        <v>WesterAid</v>
      </c>
    </row>
    <row r="2276" spans="2:10">
      <c r="C2276" t="s">
        <v>1465</v>
      </c>
      <c r="E2276" t="str">
        <f>cbalProd1Payer2Status</f>
        <v>T1 NR</v>
      </c>
      <c r="F2276" t="str">
        <f>cbalProd1Payer2Status</f>
        <v>T1 NR</v>
      </c>
      <c r="G2276" t="str">
        <f>cbalProd1Payer2Status</f>
        <v>T1 NR</v>
      </c>
      <c r="H2276" t="str">
        <f>cbalProd1Payer2Status</f>
        <v>T1 NR</v>
      </c>
      <c r="I2276" t="str">
        <f>cbalProd1Payer2Status</f>
        <v>T1 NR</v>
      </c>
    </row>
    <row r="2277" spans="2:10">
      <c r="C2277" t="s">
        <v>340</v>
      </c>
      <c r="E2277">
        <f>calcProd1Seg2Payer2VolumeR2</f>
        <v>1.8287638818750047</v>
      </c>
      <c r="F2277">
        <f>calcProd1Seg2Payer2VolumeR2</f>
        <v>1.8287638818750047</v>
      </c>
      <c r="G2277">
        <f>calcProd1Seg2Payer2VolumeR2</f>
        <v>1.8287638818750047</v>
      </c>
      <c r="H2277">
        <f>calcProd1Seg2Payer2VolumeR2</f>
        <v>1.8287638818750047</v>
      </c>
      <c r="I2277">
        <f>calcProd1Seg2Payer2VolumeR2</f>
        <v>1.5720952668750041</v>
      </c>
    </row>
    <row r="2278" spans="2:10">
      <c r="C2278" t="s">
        <v>2888</v>
      </c>
      <c r="E2278">
        <f>dataTherapy1ListPrice</f>
        <v>3000</v>
      </c>
      <c r="F2278">
        <f>dataTherapy1ListPrice</f>
        <v>3000</v>
      </c>
      <c r="G2278">
        <f>dataTherapy1ListPrice</f>
        <v>3000</v>
      </c>
      <c r="H2278">
        <f>dataTherapy1ListPrice</f>
        <v>3000</v>
      </c>
      <c r="I2278">
        <f>dataTherapy1ListPrice</f>
        <v>3000</v>
      </c>
    </row>
    <row r="2279" spans="2:10">
      <c r="C2279" t="s">
        <v>3542</v>
      </c>
      <c r="E2279">
        <f>INDEX(dataTierImpact,,calcProd1Payer2TierOrientationR2)</f>
        <v>0.3</v>
      </c>
      <c r="F2279">
        <f>INDEX(dataTierImpact,,calcProd1Payer2TierOrientationR2)</f>
        <v>0.3</v>
      </c>
      <c r="G2279">
        <f>INDEX(dataTierImpact,,calcProd1Payer2TierOrientationR2)</f>
        <v>0.3</v>
      </c>
      <c r="H2279">
        <f>INDEX(dataTierImpact,,calcProd1Payer2TierOrientationR2)</f>
        <v>0.3</v>
      </c>
      <c r="I2279">
        <f>INDEX(dataTierImpact,,calcProd1Payer2TierOrientationR2)</f>
        <v>0.3</v>
      </c>
    </row>
    <row r="2280" spans="2:10">
      <c r="E2280">
        <v>1</v>
      </c>
      <c r="F2280">
        <v>1</v>
      </c>
      <c r="G2280">
        <v>1</v>
      </c>
      <c r="H2280">
        <v>1</v>
      </c>
      <c r="I2280">
        <v>1</v>
      </c>
    </row>
    <row r="2281" spans="2:10">
      <c r="C2281" t="s">
        <v>2496</v>
      </c>
      <c r="E2281">
        <f>E2278*E2279*E2280</f>
        <v>900</v>
      </c>
      <c r="F2281">
        <f t="shared" ref="F2281:I2281" si="159">F2278*F2279*F2280</f>
        <v>900</v>
      </c>
      <c r="G2281">
        <f t="shared" si="159"/>
        <v>900</v>
      </c>
      <c r="H2281">
        <f t="shared" si="159"/>
        <v>900</v>
      </c>
      <c r="I2281">
        <f t="shared" si="159"/>
        <v>900</v>
      </c>
    </row>
    <row r="2282" spans="2:10" s="4" customFormat="1">
      <c r="C2282" s="4" t="s">
        <v>684</v>
      </c>
      <c r="E2282" s="523">
        <f>E2277*dataTherapy1ListPrice</f>
        <v>5486.2916456250141</v>
      </c>
      <c r="F2282" s="523">
        <f>F2277*dataTherapy1ListPrice</f>
        <v>5486.2916456250141</v>
      </c>
      <c r="G2282" s="523">
        <f>G2277*dataTherapy1ListPrice</f>
        <v>5486.2916456250141</v>
      </c>
      <c r="H2282" s="523">
        <f>H2277*dataTherapy1ListPrice</f>
        <v>5486.2916456250141</v>
      </c>
      <c r="I2282" s="523">
        <f>I2277*dataTherapy1ListPrice</f>
        <v>4716.2858006250126</v>
      </c>
      <c r="J2282" s="4" t="s">
        <v>2536</v>
      </c>
    </row>
    <row r="2283" spans="2:10" s="4" customFormat="1">
      <c r="C2283" s="4" t="s">
        <v>376</v>
      </c>
      <c r="E2283" s="4">
        <f>E2277*E2281</f>
        <v>1645.8874936875043</v>
      </c>
      <c r="F2283" s="4">
        <f t="shared" ref="F2283:I2283" si="160">F2277*F2281</f>
        <v>1645.8874936875043</v>
      </c>
      <c r="G2283" s="4">
        <f t="shared" si="160"/>
        <v>1645.8874936875043</v>
      </c>
      <c r="H2283" s="4">
        <f t="shared" si="160"/>
        <v>1645.8874936875043</v>
      </c>
      <c r="I2283" s="4">
        <f t="shared" si="160"/>
        <v>1414.8857401875036</v>
      </c>
      <c r="J2283" s="4" t="s">
        <v>2537</v>
      </c>
    </row>
    <row r="2284" spans="2:10">
      <c r="B2284" s="4" t="str">
        <f>nmPayer3</f>
        <v>Dragon Health</v>
      </c>
    </row>
    <row r="2285" spans="2:10">
      <c r="C2285" t="s">
        <v>1465</v>
      </c>
      <c r="E2285" t="str">
        <f>cbalProd1Payer3Status</f>
        <v>T3 SGSE</v>
      </c>
      <c r="F2285" t="str">
        <f>cbalProd1Payer3Status</f>
        <v>T3 SGSE</v>
      </c>
      <c r="G2285" t="str">
        <f>cbalProd1Payer3Status</f>
        <v>T3 SGSE</v>
      </c>
      <c r="H2285" t="str">
        <f>cbalProd1Payer3Status</f>
        <v>T3 SGSE</v>
      </c>
      <c r="I2285" t="str">
        <f>cbalProd1Payer3Status</f>
        <v>T3 SGSE</v>
      </c>
    </row>
    <row r="2286" spans="2:10">
      <c r="C2286" t="s">
        <v>340</v>
      </c>
      <c r="E2286">
        <f>calcProd1Seg2Payer3VolumeR2</f>
        <v>44.735665668750002</v>
      </c>
      <c r="F2286">
        <f>calcProd1Seg2Payer3VolumeR2</f>
        <v>44.735665668750002</v>
      </c>
      <c r="G2286">
        <f>calcProd1Seg2Payer3VolumeR2</f>
        <v>44.735665668750002</v>
      </c>
      <c r="H2286">
        <f>calcProd1Seg2Payer3VolumeR2</f>
        <v>44.735665668750002</v>
      </c>
      <c r="I2286">
        <f>calcProd1Seg2Payer3VolumeR2</f>
        <v>44.345082993750005</v>
      </c>
    </row>
    <row r="2287" spans="2:10">
      <c r="C2287" t="s">
        <v>2888</v>
      </c>
      <c r="E2287">
        <f>dataTherapy1ListPrice</f>
        <v>3000</v>
      </c>
      <c r="F2287">
        <f>dataTherapy1ListPrice</f>
        <v>3000</v>
      </c>
      <c r="G2287">
        <f>dataTherapy1ListPrice</f>
        <v>3000</v>
      </c>
      <c r="H2287">
        <f>dataTherapy1ListPrice</f>
        <v>3000</v>
      </c>
      <c r="I2287">
        <f>dataTherapy1ListPrice</f>
        <v>3000</v>
      </c>
    </row>
    <row r="2288" spans="2:10">
      <c r="C2288" t="s">
        <v>3542</v>
      </c>
      <c r="E2288">
        <f>INDEX(dataTierImpact,,calcProd1Payer3TierOrientationR2)</f>
        <v>0.6</v>
      </c>
      <c r="F2288">
        <f>INDEX(dataTierImpact,,calcProd1Payer3TierOrientationR2)</f>
        <v>0.6</v>
      </c>
      <c r="G2288">
        <f>INDEX(dataTierImpact,,calcProd1Payer3TierOrientationR2)</f>
        <v>0.6</v>
      </c>
      <c r="H2288">
        <f>INDEX(dataTierImpact,,calcProd1Payer3TierOrientationR2)</f>
        <v>0.6</v>
      </c>
      <c r="I2288">
        <f>INDEX(dataTierImpact,,calcProd1Payer3TierOrientationR2)</f>
        <v>0.6</v>
      </c>
    </row>
    <row r="2289" spans="2:10">
      <c r="E2289">
        <v>1</v>
      </c>
      <c r="F2289">
        <v>1</v>
      </c>
      <c r="G2289">
        <v>1</v>
      </c>
      <c r="H2289">
        <v>1</v>
      </c>
      <c r="I2289">
        <v>1</v>
      </c>
    </row>
    <row r="2290" spans="2:10">
      <c r="C2290" t="s">
        <v>2496</v>
      </c>
      <c r="E2290">
        <f>E2287*E2288*E2289</f>
        <v>1800</v>
      </c>
      <c r="F2290">
        <f t="shared" ref="F2290:I2290" si="161">F2287*F2288*F2289</f>
        <v>1800</v>
      </c>
      <c r="G2290">
        <f t="shared" si="161"/>
        <v>1800</v>
      </c>
      <c r="H2290">
        <f t="shared" si="161"/>
        <v>1800</v>
      </c>
      <c r="I2290">
        <f t="shared" si="161"/>
        <v>1800</v>
      </c>
    </row>
    <row r="2291" spans="2:10" s="4" customFormat="1">
      <c r="C2291" s="4" t="s">
        <v>684</v>
      </c>
      <c r="E2291" s="523">
        <f>E2286*dataTherapy1ListPrice</f>
        <v>134206.99700624999</v>
      </c>
      <c r="F2291" s="523">
        <f>F2286*dataTherapy1ListPrice</f>
        <v>134206.99700624999</v>
      </c>
      <c r="G2291" s="523">
        <f>G2286*dataTherapy1ListPrice</f>
        <v>134206.99700624999</v>
      </c>
      <c r="H2291" s="523">
        <f>H2286*dataTherapy1ListPrice</f>
        <v>134206.99700624999</v>
      </c>
      <c r="I2291" s="523">
        <f>I2286*dataTherapy1ListPrice</f>
        <v>133035.24898125001</v>
      </c>
      <c r="J2291" s="4" t="s">
        <v>2538</v>
      </c>
    </row>
    <row r="2292" spans="2:10" s="4" customFormat="1">
      <c r="C2292" s="4" t="s">
        <v>376</v>
      </c>
      <c r="E2292" s="4">
        <f>E2286*E2290</f>
        <v>80524.198203749998</v>
      </c>
      <c r="F2292" s="4">
        <f t="shared" ref="F2292:I2292" si="162">F2286*F2290</f>
        <v>80524.198203749998</v>
      </c>
      <c r="G2292" s="4">
        <f t="shared" si="162"/>
        <v>80524.198203749998</v>
      </c>
      <c r="H2292" s="4">
        <f t="shared" si="162"/>
        <v>80524.198203749998</v>
      </c>
      <c r="I2292" s="4">
        <f t="shared" si="162"/>
        <v>79821.149388750011</v>
      </c>
      <c r="J2292" s="4" t="s">
        <v>2539</v>
      </c>
    </row>
    <row r="2294" spans="2:10">
      <c r="C2294" s="4" t="s">
        <v>2503</v>
      </c>
      <c r="E2294">
        <f>calcProd1Seg2Payer1GrossRevenueR2+calcProd1Seg2Payer2GrossRevenueR2+calcProd1Seg2Payer3GrossRevenueR2</f>
        <v>463272.80769787496</v>
      </c>
      <c r="F2294">
        <f>calcProd1Seg2Payer1GrossRevenueR2+calcProd1Seg2Payer2GrossRevenueR2+calcProd1Seg2Payer3GrossRevenueR2</f>
        <v>463272.80769787496</v>
      </c>
      <c r="G2294">
        <f>calcProd1Seg2Payer1GrossRevenueR2+calcProd1Seg2Payer2GrossRevenueR2+calcProd1Seg2Payer3GrossRevenueR2</f>
        <v>463272.80769787496</v>
      </c>
      <c r="H2294">
        <f>calcProd1Seg2Payer1GrossRevenueR2+calcProd1Seg2Payer2GrossRevenueR2+calcProd1Seg2Payer3GrossRevenueR2</f>
        <v>463272.80769787496</v>
      </c>
      <c r="I2294">
        <f>calcProd1Seg2Payer1GrossRevenueR2+calcProd1Seg2Payer2GrossRevenueR2+calcProd1Seg2Payer3GrossRevenueR2</f>
        <v>459956.20281187491</v>
      </c>
      <c r="J2294" t="s">
        <v>2540</v>
      </c>
    </row>
    <row r="2295" spans="2:10">
      <c r="C2295" s="4" t="s">
        <v>2504</v>
      </c>
      <c r="E2295">
        <f>calcProd1Seg2Payer1NetRevenueR2+calcProd1Seg2Payer2NetRevenueR2+calcProd1Seg2Payer3NetRevenueR2</f>
        <v>211601.89331583749</v>
      </c>
      <c r="F2295">
        <f>calcProd1Seg2Payer1NetRevenueR2+calcProd1Seg2Payer2NetRevenueR2+calcProd1Seg2Payer3NetRevenueR2</f>
        <v>211601.89331583749</v>
      </c>
      <c r="G2295">
        <f>calcProd1Seg2Payer1NetRevenueR2+calcProd1Seg2Payer2NetRevenueR2+calcProd1Seg2Payer3NetRevenueR2</f>
        <v>211601.89331583749</v>
      </c>
      <c r="H2295">
        <f>calcProd1Seg2Payer1NetRevenueR2+calcProd1Seg2Payer2NetRevenueR2+calcProd1Seg2Payer3NetRevenueR2</f>
        <v>211601.89331583749</v>
      </c>
      <c r="I2295">
        <f>calcProd1Seg2Payer1NetRevenueR2+calcProd1Seg2Payer2NetRevenueR2+calcProd1Seg2Payer3NetRevenueR2</f>
        <v>210117.90234093746</v>
      </c>
      <c r="J2295" t="s">
        <v>2541</v>
      </c>
    </row>
    <row r="2296" spans="2:10">
      <c r="C2296" s="4" t="s">
        <v>686</v>
      </c>
      <c r="E2296">
        <f>calcProd1Seg2GrossRevenueR2-calcProd1Seg2NetRevenueR2</f>
        <v>251670.91438203747</v>
      </c>
      <c r="F2296">
        <f>calcProd1Seg2GrossRevenueR2-calcProd1Seg2NetRevenueR2</f>
        <v>251670.91438203747</v>
      </c>
      <c r="G2296">
        <f>calcProd1Seg2GrossRevenueR2-calcProd1Seg2NetRevenueR2</f>
        <v>251670.91438203747</v>
      </c>
      <c r="H2296">
        <f>calcProd1Seg2GrossRevenueR2-calcProd1Seg2NetRevenueR2</f>
        <v>251670.91438203747</v>
      </c>
      <c r="I2296">
        <f>calcProd1Seg2GrossRevenueR2-calcProd1Seg2NetRevenueR2</f>
        <v>249838.30047093745</v>
      </c>
      <c r="J2296" t="s">
        <v>2558</v>
      </c>
    </row>
    <row r="2297" spans="2:10">
      <c r="B2297" t="str">
        <f>nmProd1Seg3</f>
        <v>Lordfrey City</v>
      </c>
    </row>
    <row r="2298" spans="2:10">
      <c r="B2298" s="4" t="str">
        <f>nmPayer1</f>
        <v>Blue Sword/Blue Shield</v>
      </c>
    </row>
    <row r="2299" spans="2:10">
      <c r="C2299" t="s">
        <v>1465</v>
      </c>
      <c r="E2299" t="str">
        <f>cbalProd1Payer1Status</f>
        <v>T3 DSE</v>
      </c>
      <c r="F2299" t="str">
        <f>cbalProd1Payer1Status</f>
        <v>T3 DSE</v>
      </c>
      <c r="G2299" t="str">
        <f>cbalProd1Payer1Status</f>
        <v>T3 DSE</v>
      </c>
      <c r="H2299" t="str">
        <f>cbalProd1Payer1Status</f>
        <v>T3 DSE</v>
      </c>
      <c r="I2299" t="str">
        <f>cbalProd1Payer1Status</f>
        <v>T3 DSE</v>
      </c>
    </row>
    <row r="2300" spans="2:10">
      <c r="C2300" t="s">
        <v>340</v>
      </c>
      <c r="E2300">
        <f>calcProd1Seg3Payer1VolumeR2</f>
        <v>48.934545827999976</v>
      </c>
      <c r="F2300">
        <f>calcProd1Seg3Payer1VolumeR2</f>
        <v>48.934545827999976</v>
      </c>
      <c r="G2300">
        <f>calcProd1Seg3Payer1VolumeR2</f>
        <v>48.934545827999976</v>
      </c>
      <c r="H2300">
        <f>calcProd1Seg3Payer1VolumeR2</f>
        <v>48.934545827999976</v>
      </c>
      <c r="I2300">
        <f>calcProd1Seg3Payer1VolumeR2</f>
        <v>48.934545827999976</v>
      </c>
    </row>
    <row r="2301" spans="2:10">
      <c r="C2301" t="s">
        <v>2888</v>
      </c>
      <c r="E2301">
        <f>dataTherapy1ListPrice</f>
        <v>3000</v>
      </c>
      <c r="F2301">
        <f>dataTherapy1ListPrice</f>
        <v>3000</v>
      </c>
      <c r="G2301">
        <f>dataTherapy1ListPrice</f>
        <v>3000</v>
      </c>
      <c r="H2301">
        <f>dataTherapy1ListPrice</f>
        <v>3000</v>
      </c>
      <c r="I2301">
        <f>dataTherapy1ListPrice</f>
        <v>3000</v>
      </c>
    </row>
    <row r="2302" spans="2:10">
      <c r="C2302" t="s">
        <v>3542</v>
      </c>
      <c r="E2302">
        <f>INDEX(dataTierImpact,,calcProd1Payer1TierOrientationR2)</f>
        <v>0.4</v>
      </c>
      <c r="F2302">
        <f>INDEX(dataTierImpact,,calcProd1Payer1TierOrientationR2)</f>
        <v>0.4</v>
      </c>
      <c r="G2302">
        <f>INDEX(dataTierImpact,,calcProd1Payer1TierOrientationR2)</f>
        <v>0.4</v>
      </c>
      <c r="H2302">
        <f>INDEX(dataTierImpact,,calcProd1Payer1TierOrientationR2)</f>
        <v>0.4</v>
      </c>
      <c r="I2302">
        <f>INDEX(dataTierImpact,,calcProd1Payer1TierOrientationR2)</f>
        <v>0.4</v>
      </c>
    </row>
    <row r="2303" spans="2:10">
      <c r="E2303">
        <v>1</v>
      </c>
      <c r="F2303">
        <v>1</v>
      </c>
      <c r="G2303">
        <v>1</v>
      </c>
      <c r="H2303">
        <v>1</v>
      </c>
      <c r="I2303">
        <v>1</v>
      </c>
    </row>
    <row r="2304" spans="2:10">
      <c r="C2304" t="s">
        <v>2496</v>
      </c>
      <c r="E2304">
        <f>E2301*E2302*E2303</f>
        <v>1200</v>
      </c>
      <c r="F2304">
        <f t="shared" ref="F2304:I2304" si="163">F2301*F2302*F2303</f>
        <v>1200</v>
      </c>
      <c r="G2304">
        <f t="shared" si="163"/>
        <v>1200</v>
      </c>
      <c r="H2304">
        <f t="shared" si="163"/>
        <v>1200</v>
      </c>
      <c r="I2304">
        <f t="shared" si="163"/>
        <v>1200</v>
      </c>
    </row>
    <row r="2305" spans="2:10" s="4" customFormat="1">
      <c r="C2305" s="4" t="s">
        <v>684</v>
      </c>
      <c r="E2305" s="523">
        <f>E2300*dataTherapy1ListPrice</f>
        <v>146803.63748399992</v>
      </c>
      <c r="F2305" s="523">
        <f>F2300*dataTherapy1ListPrice</f>
        <v>146803.63748399992</v>
      </c>
      <c r="G2305" s="523">
        <f>G2300*dataTherapy1ListPrice</f>
        <v>146803.63748399992</v>
      </c>
      <c r="H2305" s="523">
        <f>H2300*dataTherapy1ListPrice</f>
        <v>146803.63748399992</v>
      </c>
      <c r="I2305" s="523">
        <f>I2300*dataTherapy1ListPrice</f>
        <v>146803.63748399992</v>
      </c>
      <c r="J2305" s="4" t="s">
        <v>2555</v>
      </c>
    </row>
    <row r="2306" spans="2:10" s="4" customFormat="1">
      <c r="C2306" s="4" t="s">
        <v>376</v>
      </c>
      <c r="E2306" s="4">
        <f>E2300*E2304</f>
        <v>58721.454993599975</v>
      </c>
      <c r="F2306" s="4">
        <f t="shared" ref="F2306:I2306" si="164">F2300*F2304</f>
        <v>58721.454993599975</v>
      </c>
      <c r="G2306" s="4">
        <f t="shared" si="164"/>
        <v>58721.454993599975</v>
      </c>
      <c r="H2306" s="4">
        <f t="shared" si="164"/>
        <v>58721.454993599975</v>
      </c>
      <c r="I2306" s="4">
        <f t="shared" si="164"/>
        <v>58721.454993599975</v>
      </c>
      <c r="J2306" s="4" t="s">
        <v>2556</v>
      </c>
    </row>
    <row r="2307" spans="2:10">
      <c r="B2307" s="4" t="str">
        <f>nmPayer2</f>
        <v>WesterAid</v>
      </c>
    </row>
    <row r="2308" spans="2:10">
      <c r="C2308" t="s">
        <v>1465</v>
      </c>
      <c r="E2308" t="str">
        <f>cbalProd1Payer2Status</f>
        <v>T1 NR</v>
      </c>
      <c r="F2308" t="str">
        <f>cbalProd1Payer2Status</f>
        <v>T1 NR</v>
      </c>
      <c r="G2308" t="str">
        <f>cbalProd1Payer2Status</f>
        <v>T1 NR</v>
      </c>
      <c r="H2308" t="str">
        <f>cbalProd1Payer2Status</f>
        <v>T1 NR</v>
      </c>
      <c r="I2308" t="str">
        <f>cbalProd1Payer2Status</f>
        <v>T1 NR</v>
      </c>
    </row>
    <row r="2309" spans="2:10">
      <c r="C2309" t="s">
        <v>340</v>
      </c>
      <c r="E2309">
        <f>calcProd1Seg3Payer2VolumeR2</f>
        <v>0</v>
      </c>
      <c r="F2309">
        <f>calcProd1Seg3Payer2VolumeR2</f>
        <v>0</v>
      </c>
      <c r="G2309">
        <f>calcProd1Seg3Payer2VolumeR2</f>
        <v>0</v>
      </c>
      <c r="H2309">
        <f>calcProd1Seg3Payer2VolumeR2</f>
        <v>0</v>
      </c>
      <c r="I2309">
        <f>calcProd1Seg3Payer2VolumeR2</f>
        <v>0</v>
      </c>
    </row>
    <row r="2310" spans="2:10">
      <c r="C2310" t="s">
        <v>2888</v>
      </c>
      <c r="E2310">
        <f>dataTherapy1ListPrice</f>
        <v>3000</v>
      </c>
      <c r="F2310">
        <f>dataTherapy1ListPrice</f>
        <v>3000</v>
      </c>
      <c r="G2310">
        <f>dataTherapy1ListPrice</f>
        <v>3000</v>
      </c>
      <c r="H2310">
        <f>dataTherapy1ListPrice</f>
        <v>3000</v>
      </c>
      <c r="I2310">
        <f>dataTherapy1ListPrice</f>
        <v>3000</v>
      </c>
    </row>
    <row r="2311" spans="2:10">
      <c r="C2311" t="s">
        <v>3542</v>
      </c>
      <c r="E2311">
        <f>INDEX(dataTierImpact,,calcProd1Payer2TierOrientationR2)</f>
        <v>0.3</v>
      </c>
      <c r="F2311">
        <f>INDEX(dataTierImpact,,calcProd1Payer2TierOrientationR2)</f>
        <v>0.3</v>
      </c>
      <c r="G2311">
        <f>INDEX(dataTierImpact,,calcProd1Payer2TierOrientationR2)</f>
        <v>0.3</v>
      </c>
      <c r="H2311">
        <f>INDEX(dataTierImpact,,calcProd1Payer2TierOrientationR2)</f>
        <v>0.3</v>
      </c>
      <c r="I2311">
        <f>INDEX(dataTierImpact,,calcProd1Payer2TierOrientationR2)</f>
        <v>0.3</v>
      </c>
    </row>
    <row r="2312" spans="2:10">
      <c r="E2312">
        <v>1</v>
      </c>
      <c r="F2312">
        <v>1</v>
      </c>
      <c r="G2312">
        <v>1</v>
      </c>
      <c r="H2312">
        <v>1</v>
      </c>
      <c r="I2312">
        <v>1</v>
      </c>
    </row>
    <row r="2313" spans="2:10">
      <c r="C2313" t="s">
        <v>2496</v>
      </c>
      <c r="E2313">
        <f>E2310*E2311*E2312</f>
        <v>900</v>
      </c>
      <c r="F2313">
        <f t="shared" ref="F2313:I2313" si="165">F2310*F2311*F2312</f>
        <v>900</v>
      </c>
      <c r="G2313">
        <f t="shared" si="165"/>
        <v>900</v>
      </c>
      <c r="H2313">
        <f t="shared" si="165"/>
        <v>900</v>
      </c>
      <c r="I2313">
        <f t="shared" si="165"/>
        <v>900</v>
      </c>
    </row>
    <row r="2314" spans="2:10" s="4" customFormat="1">
      <c r="C2314" s="4" t="s">
        <v>684</v>
      </c>
      <c r="E2314" s="523">
        <f>E2309*dataTherapy1ListPrice</f>
        <v>0</v>
      </c>
      <c r="F2314" s="523">
        <f>F2309*dataTherapy1ListPrice</f>
        <v>0</v>
      </c>
      <c r="G2314" s="523">
        <f>G2309*dataTherapy1ListPrice</f>
        <v>0</v>
      </c>
      <c r="H2314" s="523">
        <f>H2309*dataTherapy1ListPrice</f>
        <v>0</v>
      </c>
      <c r="I2314" s="523">
        <f>I2309*dataTherapy1ListPrice</f>
        <v>0</v>
      </c>
      <c r="J2314" s="4" t="s">
        <v>2542</v>
      </c>
    </row>
    <row r="2315" spans="2:10" s="4" customFormat="1">
      <c r="C2315" s="4" t="s">
        <v>376</v>
      </c>
      <c r="E2315" s="4">
        <f>E2309*E2313</f>
        <v>0</v>
      </c>
      <c r="F2315" s="4">
        <f t="shared" ref="F2315:I2315" si="166">F2309*F2313</f>
        <v>0</v>
      </c>
      <c r="G2315" s="4">
        <f t="shared" si="166"/>
        <v>0</v>
      </c>
      <c r="H2315" s="4">
        <f t="shared" si="166"/>
        <v>0</v>
      </c>
      <c r="I2315" s="4">
        <f t="shared" si="166"/>
        <v>0</v>
      </c>
      <c r="J2315" s="4" t="s">
        <v>2543</v>
      </c>
    </row>
    <row r="2316" spans="2:10">
      <c r="B2316" s="4" t="str">
        <f>nmPayer3</f>
        <v>Dragon Health</v>
      </c>
    </row>
    <row r="2317" spans="2:10">
      <c r="C2317" t="s">
        <v>1465</v>
      </c>
      <c r="E2317" t="str">
        <f>cbalProd1Payer3Status</f>
        <v>T3 SGSE</v>
      </c>
      <c r="F2317" t="str">
        <f>cbalProd1Payer3Status</f>
        <v>T3 SGSE</v>
      </c>
      <c r="G2317" t="str">
        <f>cbalProd1Payer3Status</f>
        <v>T3 SGSE</v>
      </c>
      <c r="H2317" t="str">
        <f>cbalProd1Payer3Status</f>
        <v>T3 SGSE</v>
      </c>
      <c r="I2317" t="str">
        <f>cbalProd1Payer3Status</f>
        <v>T3 SGSE</v>
      </c>
    </row>
    <row r="2318" spans="2:10">
      <c r="C2318" t="s">
        <v>340</v>
      </c>
      <c r="E2318">
        <f>calcProd1Seg3Payer3VolumeR2</f>
        <v>17.520144162039472</v>
      </c>
      <c r="F2318">
        <f>calcProd1Seg3Payer3VolumeR2</f>
        <v>17.520144162039472</v>
      </c>
      <c r="G2318">
        <f>calcProd1Seg3Payer3VolumeR2</f>
        <v>17.520144162039472</v>
      </c>
      <c r="H2318">
        <f>calcProd1Seg3Payer3VolumeR2</f>
        <v>17.520144162039472</v>
      </c>
      <c r="I2318">
        <f>calcProd1Seg3Payer3VolumeR2</f>
        <v>17.520144162039472</v>
      </c>
    </row>
    <row r="2319" spans="2:10">
      <c r="C2319" t="s">
        <v>2888</v>
      </c>
      <c r="E2319">
        <f>dataTherapy1ListPrice</f>
        <v>3000</v>
      </c>
      <c r="F2319">
        <f>dataTherapy1ListPrice</f>
        <v>3000</v>
      </c>
      <c r="G2319">
        <f>dataTherapy1ListPrice</f>
        <v>3000</v>
      </c>
      <c r="H2319">
        <f>dataTherapy1ListPrice</f>
        <v>3000</v>
      </c>
      <c r="I2319">
        <f>dataTherapy1ListPrice</f>
        <v>3000</v>
      </c>
    </row>
    <row r="2320" spans="2:10">
      <c r="C2320" t="s">
        <v>3542</v>
      </c>
      <c r="E2320">
        <f>INDEX(dataTierImpact,,calcProd1Payer3TierOrientationR2)</f>
        <v>0.6</v>
      </c>
      <c r="F2320">
        <f>INDEX(dataTierImpact,,calcProd1Payer3TierOrientationR2)</f>
        <v>0.6</v>
      </c>
      <c r="G2320">
        <f>INDEX(dataTierImpact,,calcProd1Payer3TierOrientationR2)</f>
        <v>0.6</v>
      </c>
      <c r="H2320">
        <f>INDEX(dataTierImpact,,calcProd1Payer3TierOrientationR2)</f>
        <v>0.6</v>
      </c>
      <c r="I2320">
        <f>INDEX(dataTierImpact,,calcProd1Payer3TierOrientationR2)</f>
        <v>0.6</v>
      </c>
    </row>
    <row r="2321" spans="1:10">
      <c r="E2321">
        <v>1</v>
      </c>
      <c r="F2321">
        <v>1</v>
      </c>
      <c r="G2321">
        <v>1</v>
      </c>
      <c r="H2321">
        <v>1</v>
      </c>
      <c r="I2321">
        <v>1</v>
      </c>
    </row>
    <row r="2322" spans="1:10">
      <c r="C2322" t="s">
        <v>2496</v>
      </c>
      <c r="E2322">
        <f>E2319*E2320*E2321</f>
        <v>1800</v>
      </c>
      <c r="F2322">
        <f t="shared" ref="F2322:I2322" si="167">F2319*F2320*F2321</f>
        <v>1800</v>
      </c>
      <c r="G2322">
        <f t="shared" si="167"/>
        <v>1800</v>
      </c>
      <c r="H2322">
        <f t="shared" si="167"/>
        <v>1800</v>
      </c>
      <c r="I2322">
        <f t="shared" si="167"/>
        <v>1800</v>
      </c>
    </row>
    <row r="2323" spans="1:10" s="4" customFormat="1">
      <c r="C2323" s="4" t="s">
        <v>684</v>
      </c>
      <c r="E2323" s="523">
        <f>E2318*dataTherapy1ListPrice</f>
        <v>52560.432486118414</v>
      </c>
      <c r="F2323" s="523">
        <f>F2318*dataTherapy1ListPrice</f>
        <v>52560.432486118414</v>
      </c>
      <c r="G2323" s="523">
        <f>G2318*dataTherapy1ListPrice</f>
        <v>52560.432486118414</v>
      </c>
      <c r="H2323" s="523">
        <f>H2318*dataTherapy1ListPrice</f>
        <v>52560.432486118414</v>
      </c>
      <c r="I2323" s="523">
        <f>I2318*dataTherapy1ListPrice</f>
        <v>52560.432486118414</v>
      </c>
      <c r="J2323" s="4" t="s">
        <v>2544</v>
      </c>
    </row>
    <row r="2324" spans="1:10" s="4" customFormat="1">
      <c r="C2324" s="4" t="s">
        <v>376</v>
      </c>
      <c r="E2324" s="4">
        <f>E2318*E2322</f>
        <v>31536.259491671048</v>
      </c>
      <c r="F2324" s="4">
        <f t="shared" ref="F2324:I2324" si="168">F2318*F2322</f>
        <v>31536.259491671048</v>
      </c>
      <c r="G2324" s="4">
        <f t="shared" si="168"/>
        <v>31536.259491671048</v>
      </c>
      <c r="H2324" s="4">
        <f t="shared" si="168"/>
        <v>31536.259491671048</v>
      </c>
      <c r="I2324" s="4">
        <f t="shared" si="168"/>
        <v>31536.259491671048</v>
      </c>
      <c r="J2324" s="4" t="s">
        <v>2545</v>
      </c>
    </row>
    <row r="2326" spans="1:10">
      <c r="C2326" s="4" t="s">
        <v>2503</v>
      </c>
      <c r="E2326">
        <f>calcProd1Seg3Payer1GrossRevenueR2+calcProd1Seg3Payer2GrossRevenueR2+calcProd1Seg3Payer3GrossRevenueR2</f>
        <v>199364.06997011835</v>
      </c>
      <c r="F2326">
        <f>calcProd1Seg3Payer1GrossRevenueR2+calcProd1Seg3Payer2GrossRevenueR2+calcProd1Seg3Payer3GrossRevenueR2</f>
        <v>199364.06997011835</v>
      </c>
      <c r="G2326">
        <f>calcProd1Seg3Payer1GrossRevenueR2+calcProd1Seg3Payer2GrossRevenueR2+calcProd1Seg3Payer3GrossRevenueR2</f>
        <v>199364.06997011835</v>
      </c>
      <c r="H2326">
        <f>calcProd1Seg3Payer1GrossRevenueR2+calcProd1Seg3Payer2GrossRevenueR2+calcProd1Seg3Payer3GrossRevenueR2</f>
        <v>199364.06997011835</v>
      </c>
      <c r="I2326">
        <f>calcProd1Seg3Payer1GrossRevenueR2+calcProd1Seg3Payer2GrossRevenueR2+calcProd1Seg3Payer3GrossRevenueR2</f>
        <v>199364.06997011835</v>
      </c>
      <c r="J2326" t="s">
        <v>2546</v>
      </c>
    </row>
    <row r="2327" spans="1:10">
      <c r="C2327" s="4" t="s">
        <v>2504</v>
      </c>
      <c r="E2327">
        <f>calcProd1Seg3Payer1NetRevenueR2+calcProd1Seg3Payer2NetRevenueR2+calcProd1Seg3Payer3NetRevenueR2</f>
        <v>90257.714485271019</v>
      </c>
      <c r="F2327">
        <f>calcProd1Seg3Payer1NetRevenueR2+calcProd1Seg3Payer2NetRevenueR2+calcProd1Seg3Payer3NetRevenueR2</f>
        <v>90257.714485271019</v>
      </c>
      <c r="G2327">
        <f>calcProd1Seg3Payer1NetRevenueR2+calcProd1Seg3Payer2NetRevenueR2+calcProd1Seg3Payer3NetRevenueR2</f>
        <v>90257.714485271019</v>
      </c>
      <c r="H2327">
        <f>calcProd1Seg3Payer1NetRevenueR2+calcProd1Seg3Payer2NetRevenueR2+calcProd1Seg3Payer3NetRevenueR2</f>
        <v>90257.714485271019</v>
      </c>
      <c r="I2327">
        <f>calcProd1Seg3Payer1NetRevenueR2+calcProd1Seg3Payer2NetRevenueR2+calcProd1Seg3Payer3NetRevenueR2</f>
        <v>90257.714485271019</v>
      </c>
      <c r="J2327" t="s">
        <v>2547</v>
      </c>
    </row>
    <row r="2328" spans="1:10">
      <c r="C2328" s="4" t="s">
        <v>686</v>
      </c>
      <c r="E2328">
        <f>calcProd1Seg3GrossRevenueR2-calcProd1Seg3NetRevenueR2</f>
        <v>109106.35548484733</v>
      </c>
      <c r="F2328">
        <f>calcProd1Seg3GrossRevenueR2-calcProd1Seg3NetRevenueR2</f>
        <v>109106.35548484733</v>
      </c>
      <c r="G2328">
        <f>calcProd1Seg3GrossRevenueR2-calcProd1Seg3NetRevenueR2</f>
        <v>109106.35548484733</v>
      </c>
      <c r="H2328">
        <f>calcProd1Seg3GrossRevenueR2-calcProd1Seg3NetRevenueR2</f>
        <v>109106.35548484733</v>
      </c>
      <c r="I2328">
        <f>calcProd1Seg3GrossRevenueR2-calcProd1Seg3NetRevenueR2</f>
        <v>109106.35548484733</v>
      </c>
      <c r="J2328" t="s">
        <v>2559</v>
      </c>
    </row>
    <row r="2330" spans="1:10">
      <c r="A2330" t="s">
        <v>2526</v>
      </c>
      <c r="C2330" s="4" t="s">
        <v>2503</v>
      </c>
      <c r="E2330">
        <f>calcProd1Seg1GrossRevenueR2+calcProd1Seg2GrossRevenueR2+calcProd1Seg3GrossRevenueR2</f>
        <v>1228494.3837213181</v>
      </c>
      <c r="F2330">
        <f>calcProd1Seg1GrossRevenueR2+calcProd1Seg2GrossRevenueR2+calcProd1Seg3GrossRevenueR2</f>
        <v>1228494.3837213181</v>
      </c>
      <c r="G2330">
        <f>calcProd1Seg1GrossRevenueR2+calcProd1Seg2GrossRevenueR2+calcProd1Seg3GrossRevenueR2</f>
        <v>1228494.3837213181</v>
      </c>
      <c r="H2330">
        <f>calcProd1Seg1GrossRevenueR2+calcProd1Seg2GrossRevenueR2+calcProd1Seg3GrossRevenueR2</f>
        <v>1228494.3837213181</v>
      </c>
      <c r="I2330">
        <f>calcProd1Seg1GrossRevenueR2+calcProd1Seg2GrossRevenueR2+calcProd1Seg3GrossRevenueR2</f>
        <v>1225177.7788353181</v>
      </c>
      <c r="J2330" t="s">
        <v>2548</v>
      </c>
    </row>
    <row r="2331" spans="1:10">
      <c r="C2331" s="4" t="s">
        <v>2504</v>
      </c>
      <c r="E2331">
        <f>calcProd1Seg1NetRevenueR2+calcProd1Seg2NetRevenueR2+calcProd1Seg3NetRevenueR2</f>
        <v>560943.40283243533</v>
      </c>
      <c r="F2331">
        <f>calcProd1Seg1NetRevenueR2+calcProd1Seg2NetRevenueR2+calcProd1Seg3NetRevenueR2</f>
        <v>560943.40283243533</v>
      </c>
      <c r="G2331">
        <f>calcProd1Seg1NetRevenueR2+calcProd1Seg2NetRevenueR2+calcProd1Seg3NetRevenueR2</f>
        <v>560943.40283243533</v>
      </c>
      <c r="H2331">
        <f>calcProd1Seg1NetRevenueR2+calcProd1Seg2NetRevenueR2+calcProd1Seg3NetRevenueR2</f>
        <v>560943.40283243533</v>
      </c>
      <c r="I2331">
        <f>calcProd1Seg1NetRevenueR2+calcProd1Seg2NetRevenueR2+calcProd1Seg3NetRevenueR2</f>
        <v>559459.41185753525</v>
      </c>
      <c r="J2331" t="s">
        <v>2549</v>
      </c>
    </row>
    <row r="2332" spans="1:10">
      <c r="C2332" s="4" t="s">
        <v>686</v>
      </c>
      <c r="E2332">
        <f>calcProd1TotalGrossRevenueR2-calcProd1TotalNetRevenueR2</f>
        <v>667550.98088888277</v>
      </c>
      <c r="F2332">
        <f>calcProd1TotalGrossRevenueR2-calcProd1TotalNetRevenueR2</f>
        <v>667550.98088888277</v>
      </c>
      <c r="G2332">
        <f>calcProd1TotalGrossRevenueR2-calcProd1TotalNetRevenueR2</f>
        <v>667550.98088888277</v>
      </c>
      <c r="H2332">
        <f>calcProd1TotalGrossRevenueR2-calcProd1TotalNetRevenueR2</f>
        <v>667550.98088888277</v>
      </c>
      <c r="I2332">
        <f>calcProd1TotalGrossRevenueR2-calcProd1TotalNetRevenueR2</f>
        <v>665718.3669777828</v>
      </c>
      <c r="J2332" t="s">
        <v>2550</v>
      </c>
    </row>
    <row r="2334" spans="1:10">
      <c r="A2334" s="4" t="s">
        <v>2471</v>
      </c>
    </row>
    <row r="2335" spans="1:10">
      <c r="A2335" t="str">
        <f>nmReg1</f>
        <v>The Region</v>
      </c>
    </row>
    <row r="2336" spans="1:10">
      <c r="A2336" s="4" t="s">
        <v>376</v>
      </c>
    </row>
    <row r="2337" spans="2:10">
      <c r="B2337" t="str">
        <f>nmReg1Seg1</f>
        <v>Riverrun</v>
      </c>
    </row>
    <row r="2338" spans="2:10">
      <c r="B2338" s="4" t="str">
        <f>nmPayer1</f>
        <v>Blue Sword/Blue Shield</v>
      </c>
    </row>
    <row r="2339" spans="2:10">
      <c r="C2339" t="s">
        <v>1465</v>
      </c>
      <c r="E2339" t="str">
        <f>obalReg1Payer1Status</f>
        <v>T2 DGSE</v>
      </c>
      <c r="F2339" t="str">
        <f>obalReg1Payer1Status</f>
        <v>T2 DGSE</v>
      </c>
      <c r="G2339" t="str">
        <f>obalReg1Payer1Status</f>
        <v>T2 DGSE</v>
      </c>
      <c r="H2339" t="str">
        <f>obalReg1Payer1Status</f>
        <v>T2 DGSE</v>
      </c>
      <c r="I2339" t="str">
        <f>obalReg1Payer1Status</f>
        <v>T2 DGSE</v>
      </c>
    </row>
    <row r="2340" spans="2:10">
      <c r="C2340" t="s">
        <v>340</v>
      </c>
      <c r="E2340">
        <f>calcReg1Seg1Payer1VolumeR1</f>
        <v>167.23262209499995</v>
      </c>
      <c r="F2340">
        <f>calcReg1Seg1Payer1VolumeR1</f>
        <v>167.23262209499995</v>
      </c>
      <c r="G2340">
        <f>calcReg1Seg1Payer1VolumeR1</f>
        <v>167.23262209499995</v>
      </c>
      <c r="H2340">
        <f>calcReg1Seg1Payer1VolumeR1</f>
        <v>167.23262209499995</v>
      </c>
      <c r="I2340">
        <f>calcReg1Seg1Payer1VolumeR1</f>
        <v>167.23262209499995</v>
      </c>
    </row>
    <row r="2341" spans="2:10">
      <c r="C2341" t="s">
        <v>2888</v>
      </c>
      <c r="E2341">
        <f>dataTherapy1ListPrice</f>
        <v>3000</v>
      </c>
      <c r="F2341">
        <f>dataTherapy1ListPrice</f>
        <v>3000</v>
      </c>
      <c r="G2341">
        <f>dataTherapy1ListPrice</f>
        <v>3000</v>
      </c>
      <c r="H2341">
        <f>dataTherapy1ListPrice</f>
        <v>3000</v>
      </c>
      <c r="I2341">
        <f>dataTherapy1ListPrice</f>
        <v>3000</v>
      </c>
    </row>
    <row r="2342" spans="2:10">
      <c r="C2342" t="s">
        <v>3542</v>
      </c>
      <c r="E2342">
        <f>INDEX(dataTierImpact,,calcReg1Payer1TierOrientationR1)</f>
        <v>0.4</v>
      </c>
      <c r="F2342">
        <f>INDEX(dataTierImpact,,calcReg1Payer1TierOrientationR1)</f>
        <v>0.4</v>
      </c>
      <c r="G2342">
        <f>INDEX(dataTierImpact,,calcReg1Payer1TierOrientationR1)</f>
        <v>0.4</v>
      </c>
      <c r="H2342">
        <f>INDEX(dataTierImpact,,calcReg1Payer1TierOrientationR1)</f>
        <v>0.4</v>
      </c>
      <c r="I2342">
        <f>INDEX(dataTierImpact,,calcReg1Payer1TierOrientationR1)</f>
        <v>0.4</v>
      </c>
    </row>
    <row r="2343" spans="2:10">
      <c r="E2343">
        <v>1</v>
      </c>
      <c r="F2343">
        <v>1</v>
      </c>
      <c r="G2343">
        <v>1</v>
      </c>
      <c r="H2343">
        <v>1</v>
      </c>
      <c r="I2343">
        <v>1</v>
      </c>
    </row>
    <row r="2344" spans="2:10">
      <c r="C2344" t="s">
        <v>2496</v>
      </c>
      <c r="E2344">
        <f>E2341*E2342*E2343</f>
        <v>1200</v>
      </c>
      <c r="F2344">
        <f t="shared" ref="F2344:I2344" si="169">F2341*F2342*F2343</f>
        <v>1200</v>
      </c>
      <c r="G2344">
        <f t="shared" si="169"/>
        <v>1200</v>
      </c>
      <c r="H2344">
        <f t="shared" si="169"/>
        <v>1200</v>
      </c>
      <c r="I2344">
        <f t="shared" si="169"/>
        <v>1200</v>
      </c>
    </row>
    <row r="2345" spans="2:10" s="4" customFormat="1">
      <c r="C2345" s="4" t="s">
        <v>684</v>
      </c>
      <c r="E2345" s="523">
        <f>E2340*dataTherapy1ListPrice</f>
        <v>501697.86628499988</v>
      </c>
      <c r="F2345" s="523">
        <f>F2340*dataTherapy1ListPrice</f>
        <v>501697.86628499988</v>
      </c>
      <c r="G2345" s="523">
        <f>G2340*dataTherapy1ListPrice</f>
        <v>501697.86628499988</v>
      </c>
      <c r="H2345" s="523">
        <f>H2340*dataTherapy1ListPrice</f>
        <v>501697.86628499988</v>
      </c>
      <c r="I2345" s="523">
        <f>I2340*dataTherapy1ListPrice</f>
        <v>501697.86628499988</v>
      </c>
      <c r="J2345" s="4" t="s">
        <v>2560</v>
      </c>
    </row>
    <row r="2346" spans="2:10" s="4" customFormat="1">
      <c r="C2346" s="4" t="s">
        <v>376</v>
      </c>
      <c r="E2346" s="4">
        <f>E2340*E2344</f>
        <v>200679.14651399993</v>
      </c>
      <c r="F2346" s="4">
        <f t="shared" ref="F2346:I2346" si="170">F2340*F2344</f>
        <v>200679.14651399993</v>
      </c>
      <c r="G2346" s="4">
        <f t="shared" si="170"/>
        <v>200679.14651399993</v>
      </c>
      <c r="H2346" s="4">
        <f t="shared" si="170"/>
        <v>200679.14651399993</v>
      </c>
      <c r="I2346" s="4">
        <f t="shared" si="170"/>
        <v>200679.14651399993</v>
      </c>
      <c r="J2346" s="4" t="s">
        <v>2561</v>
      </c>
    </row>
    <row r="2347" spans="2:10">
      <c r="B2347" s="4" t="str">
        <f>nmPayer2</f>
        <v>WesterAid</v>
      </c>
    </row>
    <row r="2348" spans="2:10">
      <c r="C2348" t="s">
        <v>1465</v>
      </c>
      <c r="E2348" t="str">
        <f>obalReg1Payer2Status</f>
        <v>T1 NR</v>
      </c>
      <c r="F2348" t="str">
        <f>obalReg1Payer2Status</f>
        <v>T1 NR</v>
      </c>
      <c r="G2348" t="str">
        <f>obalReg1Payer2Status</f>
        <v>T1 NR</v>
      </c>
      <c r="H2348" t="str">
        <f>obalReg1Payer2Status</f>
        <v>T1 NR</v>
      </c>
      <c r="I2348" t="str">
        <f>obalReg1Payer2Status</f>
        <v>T1 NR</v>
      </c>
    </row>
    <row r="2349" spans="2:10">
      <c r="C2349" t="s">
        <v>340</v>
      </c>
      <c r="E2349">
        <f>calcReg1Seg1Payer2VolumeR1</f>
        <v>0</v>
      </c>
      <c r="F2349">
        <f>calcReg1Seg1Payer2VolumeR1</f>
        <v>0</v>
      </c>
      <c r="G2349">
        <f>calcReg1Seg1Payer2VolumeR1</f>
        <v>0</v>
      </c>
      <c r="H2349">
        <f>calcReg1Seg1Payer2VolumeR1</f>
        <v>0</v>
      </c>
      <c r="I2349">
        <f>calcReg1Seg1Payer2VolumeR1</f>
        <v>0</v>
      </c>
    </row>
    <row r="2350" spans="2:10">
      <c r="C2350" t="s">
        <v>2888</v>
      </c>
      <c r="E2350">
        <f>dataTherapy1ListPrice</f>
        <v>3000</v>
      </c>
      <c r="F2350">
        <f>dataTherapy1ListPrice</f>
        <v>3000</v>
      </c>
      <c r="G2350">
        <f>dataTherapy1ListPrice</f>
        <v>3000</v>
      </c>
      <c r="H2350">
        <f>dataTherapy1ListPrice</f>
        <v>3000</v>
      </c>
      <c r="I2350">
        <f>dataTherapy1ListPrice</f>
        <v>3000</v>
      </c>
    </row>
    <row r="2351" spans="2:10">
      <c r="C2351" t="s">
        <v>3542</v>
      </c>
      <c r="E2351">
        <f>INDEX(dataTierImpact,,calcReg1Payer2TierOrientationR1)</f>
        <v>0.3</v>
      </c>
      <c r="F2351">
        <f>INDEX(dataTierImpact,,calcReg1Payer2TierOrientationR1)</f>
        <v>0.3</v>
      </c>
      <c r="G2351">
        <f>INDEX(dataTierImpact,,calcReg1Payer2TierOrientationR1)</f>
        <v>0.3</v>
      </c>
      <c r="H2351">
        <f>INDEX(dataTierImpact,,calcReg1Payer2TierOrientationR1)</f>
        <v>0.3</v>
      </c>
      <c r="I2351">
        <f>INDEX(dataTierImpact,,calcReg1Payer2TierOrientationR1)</f>
        <v>0.3</v>
      </c>
    </row>
    <row r="2352" spans="2:10">
      <c r="E2352">
        <v>1</v>
      </c>
      <c r="F2352">
        <v>1</v>
      </c>
      <c r="G2352">
        <v>1</v>
      </c>
      <c r="H2352">
        <v>1</v>
      </c>
      <c r="I2352">
        <v>1</v>
      </c>
    </row>
    <row r="2353" spans="2:10">
      <c r="C2353" t="s">
        <v>2496</v>
      </c>
      <c r="E2353">
        <f>E2350*E2351*E2352</f>
        <v>900</v>
      </c>
      <c r="F2353">
        <f t="shared" ref="F2353:I2353" si="171">F2350*F2351*F2352</f>
        <v>900</v>
      </c>
      <c r="G2353">
        <f t="shared" si="171"/>
        <v>900</v>
      </c>
      <c r="H2353">
        <f t="shared" si="171"/>
        <v>900</v>
      </c>
      <c r="I2353">
        <f t="shared" si="171"/>
        <v>900</v>
      </c>
    </row>
    <row r="2354" spans="2:10" s="4" customFormat="1">
      <c r="C2354" s="4" t="s">
        <v>684</v>
      </c>
      <c r="E2354" s="523">
        <f>E2349*dataTherapy1ListPrice</f>
        <v>0</v>
      </c>
      <c r="F2354" s="523">
        <f>F2349*dataTherapy1ListPrice</f>
        <v>0</v>
      </c>
      <c r="G2354" s="523">
        <f>G2349*dataTherapy1ListPrice</f>
        <v>0</v>
      </c>
      <c r="H2354" s="523">
        <f>H2349*dataTherapy1ListPrice</f>
        <v>0</v>
      </c>
      <c r="I2354" s="523">
        <f>I2349*dataTherapy1ListPrice</f>
        <v>0</v>
      </c>
      <c r="J2354" s="4" t="s">
        <v>2562</v>
      </c>
    </row>
    <row r="2355" spans="2:10" s="4" customFormat="1">
      <c r="C2355" s="4" t="s">
        <v>376</v>
      </c>
      <c r="E2355" s="4">
        <f>E2349*E2353</f>
        <v>0</v>
      </c>
      <c r="F2355" s="4">
        <f t="shared" ref="F2355:I2355" si="172">F2349*F2353</f>
        <v>0</v>
      </c>
      <c r="G2355" s="4">
        <f t="shared" si="172"/>
        <v>0</v>
      </c>
      <c r="H2355" s="4">
        <f t="shared" si="172"/>
        <v>0</v>
      </c>
      <c r="I2355" s="4">
        <f t="shared" si="172"/>
        <v>0</v>
      </c>
      <c r="J2355" s="4" t="s">
        <v>2563</v>
      </c>
    </row>
    <row r="2356" spans="2:10">
      <c r="B2356" s="4" t="str">
        <f>nmPayer3</f>
        <v>Dragon Health</v>
      </c>
    </row>
    <row r="2357" spans="2:10">
      <c r="C2357" t="s">
        <v>1465</v>
      </c>
      <c r="E2357" t="str">
        <f>obalReg1Payer3Status</f>
        <v>T3 SGSE</v>
      </c>
      <c r="F2357" t="str">
        <f>obalReg1Payer3Status</f>
        <v>T3 SGSE</v>
      </c>
      <c r="G2357" t="str">
        <f>obalReg1Payer3Status</f>
        <v>T3 SGSE</v>
      </c>
      <c r="H2357" t="str">
        <f>obalReg1Payer3Status</f>
        <v>T3 SGSE</v>
      </c>
      <c r="I2357" t="str">
        <f>obalReg1Payer3Status</f>
        <v>T3 SGSE</v>
      </c>
    </row>
    <row r="2358" spans="2:10">
      <c r="C2358" t="s">
        <v>340</v>
      </c>
      <c r="E2358">
        <f>calcReg1Seg1Payer3VolumeR1</f>
        <v>206.04288830399997</v>
      </c>
      <c r="F2358">
        <f>calcReg1Seg1Payer3VolumeR1</f>
        <v>206.04288830399997</v>
      </c>
      <c r="G2358">
        <f>calcReg1Seg1Payer3VolumeR1</f>
        <v>206.04288830399997</v>
      </c>
      <c r="H2358">
        <f>calcReg1Seg1Payer3VolumeR1</f>
        <v>206.04288830399997</v>
      </c>
      <c r="I2358">
        <f>calcReg1Seg1Payer3VolumeR1</f>
        <v>206.04288830399997</v>
      </c>
    </row>
    <row r="2359" spans="2:10">
      <c r="C2359" t="s">
        <v>2888</v>
      </c>
      <c r="E2359">
        <f>dataTherapy1ListPrice</f>
        <v>3000</v>
      </c>
      <c r="F2359">
        <f>dataTherapy1ListPrice</f>
        <v>3000</v>
      </c>
      <c r="G2359">
        <f>dataTherapy1ListPrice</f>
        <v>3000</v>
      </c>
      <c r="H2359">
        <f>dataTherapy1ListPrice</f>
        <v>3000</v>
      </c>
      <c r="I2359">
        <f>dataTherapy1ListPrice</f>
        <v>3000</v>
      </c>
    </row>
    <row r="2360" spans="2:10">
      <c r="C2360" t="s">
        <v>3542</v>
      </c>
      <c r="E2360">
        <f>INDEX(dataTierImpact,,calcReg1Payer3TierOrientationR1)</f>
        <v>0.6</v>
      </c>
      <c r="F2360">
        <f>INDEX(dataTierImpact,,calcReg1Payer3TierOrientationR1)</f>
        <v>0.6</v>
      </c>
      <c r="G2360">
        <f>INDEX(dataTierImpact,,calcReg1Payer3TierOrientationR1)</f>
        <v>0.6</v>
      </c>
      <c r="H2360">
        <f>INDEX(dataTierImpact,,calcReg1Payer3TierOrientationR1)</f>
        <v>0.6</v>
      </c>
      <c r="I2360">
        <f>INDEX(dataTierImpact,,calcReg1Payer3TierOrientationR1)</f>
        <v>0.6</v>
      </c>
    </row>
    <row r="2361" spans="2:10">
      <c r="E2361">
        <v>1</v>
      </c>
      <c r="F2361">
        <v>1</v>
      </c>
      <c r="G2361">
        <v>1</v>
      </c>
      <c r="H2361">
        <v>1</v>
      </c>
      <c r="I2361">
        <v>1</v>
      </c>
    </row>
    <row r="2362" spans="2:10">
      <c r="C2362" t="s">
        <v>2496</v>
      </c>
      <c r="E2362">
        <f>E2359*E2360*E2361</f>
        <v>1800</v>
      </c>
      <c r="F2362">
        <f t="shared" ref="F2362:I2362" si="173">F2359*F2360*F2361</f>
        <v>1800</v>
      </c>
      <c r="G2362">
        <f t="shared" si="173"/>
        <v>1800</v>
      </c>
      <c r="H2362">
        <f t="shared" si="173"/>
        <v>1800</v>
      </c>
      <c r="I2362">
        <f t="shared" si="173"/>
        <v>1800</v>
      </c>
    </row>
    <row r="2363" spans="2:10" s="4" customFormat="1">
      <c r="C2363" s="4" t="s">
        <v>684</v>
      </c>
      <c r="E2363" s="523">
        <f>E2358*dataTherapy1ListPrice</f>
        <v>618128.66491199995</v>
      </c>
      <c r="F2363" s="523">
        <f>F2358*dataTherapy1ListPrice</f>
        <v>618128.66491199995</v>
      </c>
      <c r="G2363" s="523">
        <f>G2358*dataTherapy1ListPrice</f>
        <v>618128.66491199995</v>
      </c>
      <c r="H2363" s="523">
        <f>H2358*dataTherapy1ListPrice</f>
        <v>618128.66491199995</v>
      </c>
      <c r="I2363" s="523">
        <f>I2358*dataTherapy1ListPrice</f>
        <v>618128.66491199995</v>
      </c>
      <c r="J2363" s="4" t="s">
        <v>2564</v>
      </c>
    </row>
    <row r="2364" spans="2:10" s="4" customFormat="1">
      <c r="C2364" s="4" t="s">
        <v>376</v>
      </c>
      <c r="E2364" s="4">
        <f>E2358*E2362</f>
        <v>370877.19894719997</v>
      </c>
      <c r="F2364" s="4">
        <f t="shared" ref="F2364:I2364" si="174">F2358*F2362</f>
        <v>370877.19894719997</v>
      </c>
      <c r="G2364" s="4">
        <f t="shared" si="174"/>
        <v>370877.19894719997</v>
      </c>
      <c r="H2364" s="4">
        <f t="shared" si="174"/>
        <v>370877.19894719997</v>
      </c>
      <c r="I2364" s="4">
        <f t="shared" si="174"/>
        <v>370877.19894719997</v>
      </c>
      <c r="J2364" s="4" t="s">
        <v>2565</v>
      </c>
    </row>
    <row r="2366" spans="2:10">
      <c r="C2366" s="4" t="s">
        <v>2503</v>
      </c>
      <c r="E2366">
        <f>calcReg1Seg1Payer1GrossRevenueR1+calcReg1Seg1Payer2GrossRevenueR1+calcReg1Seg1Payer3GrossRevenueR1</f>
        <v>1119826.5311969998</v>
      </c>
      <c r="F2366">
        <f>calcReg1Seg1Payer1GrossRevenueR1+calcReg1Seg1Payer2GrossRevenueR1+calcReg1Seg1Payer3GrossRevenueR1</f>
        <v>1119826.5311969998</v>
      </c>
      <c r="G2366">
        <f>calcReg1Seg1Payer1GrossRevenueR1+calcReg1Seg1Payer2GrossRevenueR1+calcReg1Seg1Payer3GrossRevenueR1</f>
        <v>1119826.5311969998</v>
      </c>
      <c r="H2366">
        <f>calcReg1Seg1Payer1GrossRevenueR1+calcReg1Seg1Payer2GrossRevenueR1+calcReg1Seg1Payer3GrossRevenueR1</f>
        <v>1119826.5311969998</v>
      </c>
      <c r="I2366">
        <f>calcReg1Seg1Payer1GrossRevenueR1+calcReg1Seg1Payer2GrossRevenueR1+calcReg1Seg1Payer3GrossRevenueR1</f>
        <v>1119826.5311969998</v>
      </c>
      <c r="J2366" t="s">
        <v>2566</v>
      </c>
    </row>
    <row r="2367" spans="2:10">
      <c r="C2367" s="4" t="s">
        <v>2504</v>
      </c>
      <c r="E2367">
        <f>calcReg1Seg1Payer1NetRevenueR1+calcReg1Seg1Payer2NetRevenueR1+calcReg1Seg1Payer3NetRevenueR1</f>
        <v>571556.34546119987</v>
      </c>
      <c r="F2367">
        <f>calcReg1Seg1Payer1NetRevenueR1+calcReg1Seg1Payer2NetRevenueR1+calcReg1Seg1Payer3NetRevenueR1</f>
        <v>571556.34546119987</v>
      </c>
      <c r="G2367">
        <f>calcReg1Seg1Payer1NetRevenueR1+calcReg1Seg1Payer2NetRevenueR1+calcReg1Seg1Payer3NetRevenueR1</f>
        <v>571556.34546119987</v>
      </c>
      <c r="H2367">
        <f>calcReg1Seg1Payer1NetRevenueR1+calcReg1Seg1Payer2NetRevenueR1+calcReg1Seg1Payer3NetRevenueR1</f>
        <v>571556.34546119987</v>
      </c>
      <c r="I2367">
        <f>calcReg1Seg1Payer1NetRevenueR1+calcReg1Seg1Payer2NetRevenueR1+calcReg1Seg1Payer3NetRevenueR1</f>
        <v>571556.34546119987</v>
      </c>
      <c r="J2367" t="s">
        <v>2567</v>
      </c>
    </row>
    <row r="2368" spans="2:10">
      <c r="C2368" s="4" t="s">
        <v>686</v>
      </c>
      <c r="E2368">
        <f>calcReg1Seg1GrossRevenueR1-calcReg1Seg1NetRevenueR1</f>
        <v>548270.18573579995</v>
      </c>
      <c r="F2368">
        <f>calcReg1Seg1GrossRevenueR1-calcReg1Seg1NetRevenueR1</f>
        <v>548270.18573579995</v>
      </c>
      <c r="G2368">
        <f>calcReg1Seg1GrossRevenueR1-calcReg1Seg1NetRevenueR1</f>
        <v>548270.18573579995</v>
      </c>
      <c r="H2368">
        <f>calcReg1Seg1GrossRevenueR1-calcReg1Seg1NetRevenueR1</f>
        <v>548270.18573579995</v>
      </c>
      <c r="I2368">
        <f>calcReg1Seg1GrossRevenueR1-calcReg1Seg1NetRevenueR1</f>
        <v>548270.18573579995</v>
      </c>
      <c r="J2368" t="s">
        <v>2568</v>
      </c>
    </row>
    <row r="2369" spans="2:10">
      <c r="B2369" t="str">
        <f>nmReg1Seg2</f>
        <v>Winterfell</v>
      </c>
    </row>
    <row r="2370" spans="2:10">
      <c r="B2370" s="4" t="str">
        <f>nmPayer1</f>
        <v>Blue Sword/Blue Shield</v>
      </c>
    </row>
    <row r="2371" spans="2:10">
      <c r="C2371" t="s">
        <v>1465</v>
      </c>
      <c r="E2371" t="str">
        <f>obalReg1Payer1Status</f>
        <v>T2 DGSE</v>
      </c>
      <c r="F2371" t="str">
        <f>obalReg1Payer1Status</f>
        <v>T2 DGSE</v>
      </c>
      <c r="G2371" t="str">
        <f>obalReg1Payer1Status</f>
        <v>T2 DGSE</v>
      </c>
      <c r="H2371" t="str">
        <f>obalReg1Payer1Status</f>
        <v>T2 DGSE</v>
      </c>
      <c r="I2371" t="str">
        <f>obalReg1Payer1Status</f>
        <v>T2 DGSE</v>
      </c>
    </row>
    <row r="2372" spans="2:10">
      <c r="C2372" t="s">
        <v>340</v>
      </c>
      <c r="E2372">
        <f>calcReg1Seg2Payer1VolumeR1</f>
        <v>209.52123764000004</v>
      </c>
      <c r="F2372">
        <f>calcReg1Seg2Payer1VolumeR1</f>
        <v>209.52123764000004</v>
      </c>
      <c r="G2372">
        <f>calcReg1Seg2Payer1VolumeR1</f>
        <v>209.52123764000004</v>
      </c>
      <c r="H2372">
        <f>calcReg1Seg2Payer1VolumeR1</f>
        <v>209.52123764000004</v>
      </c>
      <c r="I2372">
        <f>calcReg1Seg2Payer1VolumeR1</f>
        <v>209.52123764000004</v>
      </c>
    </row>
    <row r="2373" spans="2:10">
      <c r="C2373" t="s">
        <v>2888</v>
      </c>
      <c r="E2373">
        <f>dataTherapy1ListPrice</f>
        <v>3000</v>
      </c>
      <c r="F2373">
        <f>dataTherapy1ListPrice</f>
        <v>3000</v>
      </c>
      <c r="G2373">
        <f>dataTherapy1ListPrice</f>
        <v>3000</v>
      </c>
      <c r="H2373">
        <f>dataTherapy1ListPrice</f>
        <v>3000</v>
      </c>
      <c r="I2373">
        <f>dataTherapy1ListPrice</f>
        <v>3000</v>
      </c>
    </row>
    <row r="2374" spans="2:10">
      <c r="C2374" t="s">
        <v>3542</v>
      </c>
      <c r="E2374">
        <f>INDEX(dataTierImpact,,calcReg1Payer1TierOrientationR1)</f>
        <v>0.4</v>
      </c>
      <c r="F2374">
        <f>INDEX(dataTierImpact,,calcReg1Payer1TierOrientationR1)</f>
        <v>0.4</v>
      </c>
      <c r="G2374">
        <f>INDEX(dataTierImpact,,calcReg1Payer1TierOrientationR1)</f>
        <v>0.4</v>
      </c>
      <c r="H2374">
        <f>INDEX(dataTierImpact,,calcReg1Payer1TierOrientationR1)</f>
        <v>0.4</v>
      </c>
      <c r="I2374">
        <f>INDEX(dataTierImpact,,calcReg1Payer1TierOrientationR1)</f>
        <v>0.4</v>
      </c>
    </row>
    <row r="2375" spans="2:10">
      <c r="E2375">
        <v>1</v>
      </c>
      <c r="F2375">
        <v>1</v>
      </c>
      <c r="G2375">
        <v>1</v>
      </c>
      <c r="H2375">
        <v>1</v>
      </c>
      <c r="I2375">
        <v>1</v>
      </c>
    </row>
    <row r="2376" spans="2:10">
      <c r="C2376" t="s">
        <v>2496</v>
      </c>
      <c r="E2376">
        <f>E2373*E2374*E2375</f>
        <v>1200</v>
      </c>
      <c r="F2376">
        <f t="shared" ref="F2376:I2376" si="175">F2373*F2374*F2375</f>
        <v>1200</v>
      </c>
      <c r="G2376">
        <f t="shared" si="175"/>
        <v>1200</v>
      </c>
      <c r="H2376">
        <f t="shared" si="175"/>
        <v>1200</v>
      </c>
      <c r="I2376">
        <f t="shared" si="175"/>
        <v>1200</v>
      </c>
    </row>
    <row r="2377" spans="2:10" s="4" customFormat="1">
      <c r="C2377" s="4" t="s">
        <v>684</v>
      </c>
      <c r="E2377" s="523">
        <f>E2372*dataTherapy1ListPrice</f>
        <v>628563.71292000008</v>
      </c>
      <c r="F2377" s="523">
        <f>F2372*dataTherapy1ListPrice</f>
        <v>628563.71292000008</v>
      </c>
      <c r="G2377" s="523">
        <f>G2372*dataTherapy1ListPrice</f>
        <v>628563.71292000008</v>
      </c>
      <c r="H2377" s="523">
        <f>H2372*dataTherapy1ListPrice</f>
        <v>628563.71292000008</v>
      </c>
      <c r="I2377" s="523">
        <f>I2372*dataTherapy1ListPrice</f>
        <v>628563.71292000008</v>
      </c>
      <c r="J2377" s="4" t="s">
        <v>2569</v>
      </c>
    </row>
    <row r="2378" spans="2:10" s="4" customFormat="1">
      <c r="C2378" s="4" t="s">
        <v>376</v>
      </c>
      <c r="E2378" s="4">
        <f>E2372*E2376</f>
        <v>251425.48516800004</v>
      </c>
      <c r="F2378" s="4">
        <f t="shared" ref="F2378:I2378" si="176">F2372*F2376</f>
        <v>251425.48516800004</v>
      </c>
      <c r="G2378" s="4">
        <f t="shared" si="176"/>
        <v>251425.48516800004</v>
      </c>
      <c r="H2378" s="4">
        <f t="shared" si="176"/>
        <v>251425.48516800004</v>
      </c>
      <c r="I2378" s="4">
        <f t="shared" si="176"/>
        <v>251425.48516800004</v>
      </c>
      <c r="J2378" s="4" t="s">
        <v>2570</v>
      </c>
    </row>
    <row r="2379" spans="2:10">
      <c r="B2379" s="4" t="str">
        <f>nmPayer2</f>
        <v>WesterAid</v>
      </c>
    </row>
    <row r="2380" spans="2:10">
      <c r="C2380" t="s">
        <v>1465</v>
      </c>
      <c r="E2380" t="str">
        <f>obalReg1Payer2Status</f>
        <v>T1 NR</v>
      </c>
      <c r="F2380" t="str">
        <f>obalReg1Payer2Status</f>
        <v>T1 NR</v>
      </c>
      <c r="G2380" t="str">
        <f>obalReg1Payer2Status</f>
        <v>T1 NR</v>
      </c>
      <c r="H2380" t="str">
        <f>obalReg1Payer2Status</f>
        <v>T1 NR</v>
      </c>
      <c r="I2380" t="str">
        <f>obalReg1Payer2Status</f>
        <v>T1 NR</v>
      </c>
    </row>
    <row r="2381" spans="2:10">
      <c r="C2381" t="s">
        <v>340</v>
      </c>
      <c r="E2381">
        <f>calcReg1Seg2Payer2VolumeR1</f>
        <v>0</v>
      </c>
      <c r="F2381">
        <f>calcReg1Seg2Payer2VolumeR1</f>
        <v>0</v>
      </c>
      <c r="G2381">
        <f>calcReg1Seg2Payer2VolumeR1</f>
        <v>0</v>
      </c>
      <c r="H2381">
        <f>calcReg1Seg2Payer2VolumeR1</f>
        <v>0</v>
      </c>
      <c r="I2381">
        <f>calcReg1Seg2Payer2VolumeR1</f>
        <v>0</v>
      </c>
    </row>
    <row r="2382" spans="2:10">
      <c r="C2382" t="s">
        <v>2888</v>
      </c>
      <c r="E2382">
        <f>dataTherapy1ListPrice</f>
        <v>3000</v>
      </c>
      <c r="F2382">
        <f>dataTherapy1ListPrice</f>
        <v>3000</v>
      </c>
      <c r="G2382">
        <f>dataTherapy1ListPrice</f>
        <v>3000</v>
      </c>
      <c r="H2382">
        <f>dataTherapy1ListPrice</f>
        <v>3000</v>
      </c>
      <c r="I2382">
        <f>dataTherapy1ListPrice</f>
        <v>3000</v>
      </c>
    </row>
    <row r="2383" spans="2:10">
      <c r="C2383" t="s">
        <v>3542</v>
      </c>
      <c r="E2383">
        <f>INDEX(dataTierImpact,,calcReg1Payer2TierOrientationR1)</f>
        <v>0.3</v>
      </c>
      <c r="F2383">
        <f>INDEX(dataTierImpact,,calcReg1Payer2TierOrientationR1)</f>
        <v>0.3</v>
      </c>
      <c r="G2383">
        <f>INDEX(dataTierImpact,,calcReg1Payer2TierOrientationR1)</f>
        <v>0.3</v>
      </c>
      <c r="H2383">
        <f>INDEX(dataTierImpact,,calcReg1Payer2TierOrientationR1)</f>
        <v>0.3</v>
      </c>
      <c r="I2383">
        <f>INDEX(dataTierImpact,,calcReg1Payer2TierOrientationR1)</f>
        <v>0.3</v>
      </c>
    </row>
    <row r="2384" spans="2:10">
      <c r="E2384">
        <v>1</v>
      </c>
      <c r="F2384">
        <v>1</v>
      </c>
      <c r="G2384">
        <v>1</v>
      </c>
      <c r="H2384">
        <v>1</v>
      </c>
      <c r="I2384">
        <v>1</v>
      </c>
    </row>
    <row r="2385" spans="2:10">
      <c r="C2385" t="s">
        <v>2496</v>
      </c>
      <c r="E2385">
        <f>E2382*E2383*E2384</f>
        <v>900</v>
      </c>
      <c r="F2385">
        <f t="shared" ref="F2385:I2385" si="177">F2382*F2383*F2384</f>
        <v>900</v>
      </c>
      <c r="G2385">
        <f t="shared" si="177"/>
        <v>900</v>
      </c>
      <c r="H2385">
        <f t="shared" si="177"/>
        <v>900</v>
      </c>
      <c r="I2385">
        <f t="shared" si="177"/>
        <v>900</v>
      </c>
    </row>
    <row r="2386" spans="2:10" s="4" customFormat="1">
      <c r="C2386" s="4" t="s">
        <v>684</v>
      </c>
      <c r="E2386" s="523">
        <f>E2381*dataTherapy1ListPrice</f>
        <v>0</v>
      </c>
      <c r="F2386" s="523">
        <f>F2381*dataTherapy1ListPrice</f>
        <v>0</v>
      </c>
      <c r="G2386" s="523">
        <f>G2381*dataTherapy1ListPrice</f>
        <v>0</v>
      </c>
      <c r="H2386" s="523">
        <f>H2381*dataTherapy1ListPrice</f>
        <v>0</v>
      </c>
      <c r="I2386" s="523">
        <f>I2381*dataTherapy1ListPrice</f>
        <v>0</v>
      </c>
      <c r="J2386" s="4" t="s">
        <v>2571</v>
      </c>
    </row>
    <row r="2387" spans="2:10" s="4" customFormat="1">
      <c r="C2387" s="4" t="s">
        <v>376</v>
      </c>
      <c r="E2387" s="4">
        <f>E2381*E2385</f>
        <v>0</v>
      </c>
      <c r="F2387" s="4">
        <f t="shared" ref="F2387:I2387" si="178">F2381*F2385</f>
        <v>0</v>
      </c>
      <c r="G2387" s="4">
        <f t="shared" si="178"/>
        <v>0</v>
      </c>
      <c r="H2387" s="4">
        <f t="shared" si="178"/>
        <v>0</v>
      </c>
      <c r="I2387" s="4">
        <f t="shared" si="178"/>
        <v>0</v>
      </c>
      <c r="J2387" s="4" t="s">
        <v>2572</v>
      </c>
    </row>
    <row r="2388" spans="2:10">
      <c r="B2388" s="4" t="str">
        <f>nmPayer3</f>
        <v>Dragon Health</v>
      </c>
    </row>
    <row r="2389" spans="2:10">
      <c r="C2389" t="s">
        <v>1465</v>
      </c>
      <c r="E2389" t="str">
        <f>obalReg1Payer3Status</f>
        <v>T3 SGSE</v>
      </c>
      <c r="F2389" t="str">
        <f>obalReg1Payer3Status</f>
        <v>T3 SGSE</v>
      </c>
      <c r="G2389" t="str">
        <f>obalReg1Payer3Status</f>
        <v>T3 SGSE</v>
      </c>
      <c r="H2389" t="str">
        <f>obalReg1Payer3Status</f>
        <v>T3 SGSE</v>
      </c>
      <c r="I2389" t="str">
        <f>obalReg1Payer3Status</f>
        <v>T3 SGSE</v>
      </c>
    </row>
    <row r="2390" spans="2:10">
      <c r="C2390" t="s">
        <v>340</v>
      </c>
      <c r="E2390">
        <f>calcReg1Seg2Payer3VolumeR1</f>
        <v>189.86695095496154</v>
      </c>
      <c r="F2390">
        <f>calcReg1Seg2Payer3VolumeR1</f>
        <v>189.86695095496154</v>
      </c>
      <c r="G2390">
        <f>calcReg1Seg2Payer3VolumeR1</f>
        <v>189.86695095496154</v>
      </c>
      <c r="H2390">
        <f>calcReg1Seg2Payer3VolumeR1</f>
        <v>189.86695095496154</v>
      </c>
      <c r="I2390">
        <f>calcReg1Seg2Payer3VolumeR1</f>
        <v>189.86695095496154</v>
      </c>
    </row>
    <row r="2391" spans="2:10">
      <c r="C2391" t="s">
        <v>2888</v>
      </c>
      <c r="E2391">
        <f>dataTherapy1ListPrice</f>
        <v>3000</v>
      </c>
      <c r="F2391">
        <f>dataTherapy1ListPrice</f>
        <v>3000</v>
      </c>
      <c r="G2391">
        <f>dataTherapy1ListPrice</f>
        <v>3000</v>
      </c>
      <c r="H2391">
        <f>dataTherapy1ListPrice</f>
        <v>3000</v>
      </c>
      <c r="I2391">
        <f>dataTherapy1ListPrice</f>
        <v>3000</v>
      </c>
    </row>
    <row r="2392" spans="2:10">
      <c r="C2392" t="s">
        <v>3542</v>
      </c>
      <c r="E2392">
        <f>INDEX(dataTierImpact,,calcReg1Payer3TierOrientationR1)</f>
        <v>0.6</v>
      </c>
      <c r="F2392">
        <f>INDEX(dataTierImpact,,calcReg1Payer3TierOrientationR1)</f>
        <v>0.6</v>
      </c>
      <c r="G2392">
        <f>INDEX(dataTierImpact,,calcReg1Payer3TierOrientationR1)</f>
        <v>0.6</v>
      </c>
      <c r="H2392">
        <f>INDEX(dataTierImpact,,calcReg1Payer3TierOrientationR1)</f>
        <v>0.6</v>
      </c>
      <c r="I2392">
        <f>INDEX(dataTierImpact,,calcReg1Payer3TierOrientationR1)</f>
        <v>0.6</v>
      </c>
    </row>
    <row r="2393" spans="2:10">
      <c r="E2393">
        <v>1</v>
      </c>
      <c r="F2393">
        <v>1</v>
      </c>
      <c r="G2393">
        <v>1</v>
      </c>
      <c r="H2393">
        <v>1</v>
      </c>
      <c r="I2393">
        <v>1</v>
      </c>
    </row>
    <row r="2394" spans="2:10">
      <c r="C2394" t="s">
        <v>2496</v>
      </c>
      <c r="E2394">
        <f>E2391*E2392*E2393</f>
        <v>1800</v>
      </c>
      <c r="F2394">
        <f t="shared" ref="F2394:I2394" si="179">F2391*F2392*F2393</f>
        <v>1800</v>
      </c>
      <c r="G2394">
        <f t="shared" si="179"/>
        <v>1800</v>
      </c>
      <c r="H2394">
        <f t="shared" si="179"/>
        <v>1800</v>
      </c>
      <c r="I2394">
        <f t="shared" si="179"/>
        <v>1800</v>
      </c>
    </row>
    <row r="2395" spans="2:10" s="4" customFormat="1">
      <c r="C2395" s="4" t="s">
        <v>684</v>
      </c>
      <c r="E2395" s="523">
        <f>E2390*dataTherapy1ListPrice</f>
        <v>569600.85286488465</v>
      </c>
      <c r="F2395" s="523">
        <f>F2390*dataTherapy1ListPrice</f>
        <v>569600.85286488465</v>
      </c>
      <c r="G2395" s="523">
        <f>G2390*dataTherapy1ListPrice</f>
        <v>569600.85286488465</v>
      </c>
      <c r="H2395" s="523">
        <f>H2390*dataTherapy1ListPrice</f>
        <v>569600.85286488465</v>
      </c>
      <c r="I2395" s="523">
        <f>I2390*dataTherapy1ListPrice</f>
        <v>569600.85286488465</v>
      </c>
      <c r="J2395" s="4" t="s">
        <v>2573</v>
      </c>
    </row>
    <row r="2396" spans="2:10" s="4" customFormat="1">
      <c r="C2396" s="4" t="s">
        <v>376</v>
      </c>
      <c r="E2396" s="4">
        <f>E2390*E2394</f>
        <v>341760.51171893079</v>
      </c>
      <c r="F2396" s="4">
        <f t="shared" ref="F2396:I2396" si="180">F2390*F2394</f>
        <v>341760.51171893079</v>
      </c>
      <c r="G2396" s="4">
        <f t="shared" si="180"/>
        <v>341760.51171893079</v>
      </c>
      <c r="H2396" s="4">
        <f t="shared" si="180"/>
        <v>341760.51171893079</v>
      </c>
      <c r="I2396" s="4">
        <f t="shared" si="180"/>
        <v>341760.51171893079</v>
      </c>
      <c r="J2396" s="4" t="s">
        <v>2574</v>
      </c>
    </row>
    <row r="2398" spans="2:10">
      <c r="C2398" s="4" t="s">
        <v>2503</v>
      </c>
      <c r="E2398">
        <f>calcReg1Seg2Payer1GrossRevenueR1+calcReg1Seg2Payer2GrossRevenueR1+calcReg1Seg2Payer3GrossRevenueR1</f>
        <v>1198164.5657848846</v>
      </c>
      <c r="F2398">
        <f>calcReg1Seg2Payer1GrossRevenueR1+calcReg1Seg2Payer2GrossRevenueR1+calcReg1Seg2Payer3GrossRevenueR1</f>
        <v>1198164.5657848846</v>
      </c>
      <c r="G2398">
        <f>calcReg1Seg2Payer1GrossRevenueR1+calcReg1Seg2Payer2GrossRevenueR1+calcReg1Seg2Payer3GrossRevenueR1</f>
        <v>1198164.5657848846</v>
      </c>
      <c r="H2398">
        <f>calcReg1Seg2Payer1GrossRevenueR1+calcReg1Seg2Payer2GrossRevenueR1+calcReg1Seg2Payer3GrossRevenueR1</f>
        <v>1198164.5657848846</v>
      </c>
      <c r="I2398">
        <f>calcReg1Seg2Payer1GrossRevenueR1+calcReg1Seg2Payer2GrossRevenueR1+calcReg1Seg2Payer3GrossRevenueR1</f>
        <v>1198164.5657848846</v>
      </c>
      <c r="J2398" t="s">
        <v>2575</v>
      </c>
    </row>
    <row r="2399" spans="2:10">
      <c r="C2399" s="4" t="s">
        <v>2504</v>
      </c>
      <c r="E2399">
        <f>calcReg1Seg2Payer1NetRevenueR1+calcReg1Seg2Payer2NetRevenueR1+calcReg1Seg2Payer3NetRevenueR1</f>
        <v>593185.99688693089</v>
      </c>
      <c r="F2399">
        <f>calcReg1Seg2Payer1NetRevenueR1+calcReg1Seg2Payer2NetRevenueR1+calcReg1Seg2Payer3NetRevenueR1</f>
        <v>593185.99688693089</v>
      </c>
      <c r="G2399">
        <f>calcReg1Seg2Payer1NetRevenueR1+calcReg1Seg2Payer2NetRevenueR1+calcReg1Seg2Payer3NetRevenueR1</f>
        <v>593185.99688693089</v>
      </c>
      <c r="H2399">
        <f>calcReg1Seg2Payer1NetRevenueR1+calcReg1Seg2Payer2NetRevenueR1+calcReg1Seg2Payer3NetRevenueR1</f>
        <v>593185.99688693089</v>
      </c>
      <c r="I2399">
        <f>calcReg1Seg2Payer1NetRevenueR1+calcReg1Seg2Payer2NetRevenueR1+calcReg1Seg2Payer3NetRevenueR1</f>
        <v>593185.99688693089</v>
      </c>
      <c r="J2399" t="s">
        <v>2576</v>
      </c>
    </row>
    <row r="2400" spans="2:10">
      <c r="C2400" s="4" t="s">
        <v>686</v>
      </c>
      <c r="E2400">
        <f>calcReg1Seg2GrossRevenueR1-calcReg1Seg2NetRevenueR1</f>
        <v>604978.56889795372</v>
      </c>
      <c r="F2400">
        <f>calcReg1Seg2GrossRevenueR1-calcReg1Seg2NetRevenueR1</f>
        <v>604978.56889795372</v>
      </c>
      <c r="G2400">
        <f>calcReg1Seg2GrossRevenueR1-calcReg1Seg2NetRevenueR1</f>
        <v>604978.56889795372</v>
      </c>
      <c r="H2400">
        <f>calcReg1Seg2GrossRevenueR1-calcReg1Seg2NetRevenueR1</f>
        <v>604978.56889795372</v>
      </c>
      <c r="I2400">
        <f>calcReg1Seg2GrossRevenueR1-calcReg1Seg2NetRevenueR1</f>
        <v>604978.56889795372</v>
      </c>
      <c r="J2400" t="s">
        <v>2577</v>
      </c>
    </row>
    <row r="2401" spans="2:10">
      <c r="B2401" t="str">
        <f>nmReg1Seg3</f>
        <v>Harrenhal</v>
      </c>
    </row>
    <row r="2402" spans="2:10">
      <c r="B2402" s="4" t="str">
        <f>nmPayer1</f>
        <v>Blue Sword/Blue Shield</v>
      </c>
    </row>
    <row r="2403" spans="2:10">
      <c r="C2403" t="s">
        <v>1465</v>
      </c>
      <c r="E2403" t="str">
        <f>obalReg1Payer1Status</f>
        <v>T2 DGSE</v>
      </c>
      <c r="F2403" t="str">
        <f>obalReg1Payer1Status</f>
        <v>T2 DGSE</v>
      </c>
      <c r="G2403" t="str">
        <f>obalReg1Payer1Status</f>
        <v>T2 DGSE</v>
      </c>
      <c r="H2403" t="str">
        <f>obalReg1Payer1Status</f>
        <v>T2 DGSE</v>
      </c>
      <c r="I2403" t="str">
        <f>obalReg1Payer1Status</f>
        <v>T2 DGSE</v>
      </c>
    </row>
    <row r="2404" spans="2:10">
      <c r="C2404" t="s">
        <v>340</v>
      </c>
      <c r="E2404">
        <f>calcReg1Seg3Payer1VolumeR1</f>
        <v>239.5613569823158</v>
      </c>
      <c r="F2404">
        <f>calcReg1Seg3Payer1VolumeR1</f>
        <v>239.5613569823158</v>
      </c>
      <c r="G2404">
        <f>calcReg1Seg3Payer1VolumeR1</f>
        <v>239.5613569823158</v>
      </c>
      <c r="H2404">
        <f>calcReg1Seg3Payer1VolumeR1</f>
        <v>239.5613569823158</v>
      </c>
      <c r="I2404">
        <f>calcReg1Seg3Payer1VolumeR1</f>
        <v>239.5613569823158</v>
      </c>
    </row>
    <row r="2405" spans="2:10">
      <c r="C2405" t="s">
        <v>2888</v>
      </c>
      <c r="E2405">
        <f>dataTherapy1ListPrice</f>
        <v>3000</v>
      </c>
      <c r="F2405">
        <f>dataTherapy1ListPrice</f>
        <v>3000</v>
      </c>
      <c r="G2405">
        <f>dataTherapy1ListPrice</f>
        <v>3000</v>
      </c>
      <c r="H2405">
        <f>dataTherapy1ListPrice</f>
        <v>3000</v>
      </c>
      <c r="I2405">
        <f>dataTherapy1ListPrice</f>
        <v>3000</v>
      </c>
    </row>
    <row r="2406" spans="2:10">
      <c r="C2406" t="s">
        <v>3542</v>
      </c>
      <c r="E2406">
        <f>INDEX(dataTierImpact,,calcReg1Payer1TierOrientationR1)</f>
        <v>0.4</v>
      </c>
      <c r="F2406">
        <f>INDEX(dataTierImpact,,calcReg1Payer1TierOrientationR1)</f>
        <v>0.4</v>
      </c>
      <c r="G2406">
        <f>INDEX(dataTierImpact,,calcReg1Payer1TierOrientationR1)</f>
        <v>0.4</v>
      </c>
      <c r="H2406">
        <f>INDEX(dataTierImpact,,calcReg1Payer1TierOrientationR1)</f>
        <v>0.4</v>
      </c>
      <c r="I2406">
        <f>INDEX(dataTierImpact,,calcReg1Payer1TierOrientationR1)</f>
        <v>0.4</v>
      </c>
    </row>
    <row r="2407" spans="2:10">
      <c r="E2407">
        <v>1</v>
      </c>
      <c r="F2407">
        <v>1</v>
      </c>
      <c r="G2407">
        <v>1</v>
      </c>
      <c r="H2407">
        <v>1</v>
      </c>
      <c r="I2407">
        <v>1</v>
      </c>
    </row>
    <row r="2408" spans="2:10">
      <c r="C2408" t="s">
        <v>2496</v>
      </c>
      <c r="E2408">
        <f>E2405*E2406*E2407</f>
        <v>1200</v>
      </c>
      <c r="F2408">
        <f t="shared" ref="F2408:I2408" si="181">F2405*F2406*F2407</f>
        <v>1200</v>
      </c>
      <c r="G2408">
        <f t="shared" si="181"/>
        <v>1200</v>
      </c>
      <c r="H2408">
        <f t="shared" si="181"/>
        <v>1200</v>
      </c>
      <c r="I2408">
        <f t="shared" si="181"/>
        <v>1200</v>
      </c>
    </row>
    <row r="2409" spans="2:10" s="4" customFormat="1">
      <c r="C2409" s="4" t="s">
        <v>684</v>
      </c>
      <c r="E2409" s="523">
        <f>E2404*dataTherapy1ListPrice</f>
        <v>718684.07094694744</v>
      </c>
      <c r="F2409" s="523">
        <f>F2404*dataTherapy1ListPrice</f>
        <v>718684.07094694744</v>
      </c>
      <c r="G2409" s="523">
        <f>G2404*dataTherapy1ListPrice</f>
        <v>718684.07094694744</v>
      </c>
      <c r="H2409" s="523">
        <f>H2404*dataTherapy1ListPrice</f>
        <v>718684.07094694744</v>
      </c>
      <c r="I2409" s="523">
        <f>I2404*dataTherapy1ListPrice</f>
        <v>718684.07094694744</v>
      </c>
      <c r="J2409" s="4" t="s">
        <v>2578</v>
      </c>
    </row>
    <row r="2410" spans="2:10" s="4" customFormat="1">
      <c r="C2410" s="4" t="s">
        <v>376</v>
      </c>
      <c r="E2410" s="4">
        <f>E2404*E2408</f>
        <v>287473.62837877899</v>
      </c>
      <c r="F2410" s="4">
        <f t="shared" ref="F2410:I2410" si="182">F2404*F2408</f>
        <v>287473.62837877899</v>
      </c>
      <c r="G2410" s="4">
        <f t="shared" si="182"/>
        <v>287473.62837877899</v>
      </c>
      <c r="H2410" s="4">
        <f t="shared" si="182"/>
        <v>287473.62837877899</v>
      </c>
      <c r="I2410" s="4">
        <f t="shared" si="182"/>
        <v>287473.62837877899</v>
      </c>
      <c r="J2410" s="4" t="s">
        <v>2579</v>
      </c>
    </row>
    <row r="2411" spans="2:10">
      <c r="B2411" s="4" t="str">
        <f>nmPayer2</f>
        <v>WesterAid</v>
      </c>
    </row>
    <row r="2412" spans="2:10">
      <c r="C2412" t="s">
        <v>1465</v>
      </c>
      <c r="E2412" t="str">
        <f>obalReg1Payer2Status</f>
        <v>T1 NR</v>
      </c>
      <c r="F2412" t="str">
        <f>obalReg1Payer2Status</f>
        <v>T1 NR</v>
      </c>
      <c r="G2412" t="str">
        <f>obalReg1Payer2Status</f>
        <v>T1 NR</v>
      </c>
      <c r="H2412" t="str">
        <f>obalReg1Payer2Status</f>
        <v>T1 NR</v>
      </c>
      <c r="I2412" t="str">
        <f>obalReg1Payer2Status</f>
        <v>T1 NR</v>
      </c>
    </row>
    <row r="2413" spans="2:10">
      <c r="C2413" t="s">
        <v>340</v>
      </c>
      <c r="E2413">
        <f>calcReg1Seg3Payer2VolumeR1</f>
        <v>0</v>
      </c>
      <c r="F2413">
        <f>calcReg1Seg3Payer2VolumeR1</f>
        <v>0</v>
      </c>
      <c r="G2413">
        <f>calcReg1Seg3Payer2VolumeR1</f>
        <v>0</v>
      </c>
      <c r="H2413">
        <f>calcReg1Seg3Payer2VolumeR1</f>
        <v>0</v>
      </c>
      <c r="I2413">
        <f>calcReg1Seg3Payer2VolumeR1</f>
        <v>0</v>
      </c>
    </row>
    <row r="2414" spans="2:10">
      <c r="C2414" t="s">
        <v>2888</v>
      </c>
      <c r="E2414">
        <f>dataTherapy1ListPrice</f>
        <v>3000</v>
      </c>
      <c r="F2414">
        <f>dataTherapy1ListPrice</f>
        <v>3000</v>
      </c>
      <c r="G2414">
        <f>dataTherapy1ListPrice</f>
        <v>3000</v>
      </c>
      <c r="H2414">
        <f>dataTherapy1ListPrice</f>
        <v>3000</v>
      </c>
      <c r="I2414">
        <f>dataTherapy1ListPrice</f>
        <v>3000</v>
      </c>
    </row>
    <row r="2415" spans="2:10">
      <c r="C2415" t="s">
        <v>3542</v>
      </c>
      <c r="E2415">
        <f>INDEX(dataTierImpact,,calcReg1Payer2TierOrientationR1)</f>
        <v>0.3</v>
      </c>
      <c r="F2415">
        <f>INDEX(dataTierImpact,,calcReg1Payer2TierOrientationR1)</f>
        <v>0.3</v>
      </c>
      <c r="G2415">
        <f>INDEX(dataTierImpact,,calcReg1Payer2TierOrientationR1)</f>
        <v>0.3</v>
      </c>
      <c r="H2415">
        <f>INDEX(dataTierImpact,,calcReg1Payer2TierOrientationR1)</f>
        <v>0.3</v>
      </c>
      <c r="I2415">
        <f>INDEX(dataTierImpact,,calcReg1Payer2TierOrientationR1)</f>
        <v>0.3</v>
      </c>
    </row>
    <row r="2416" spans="2:10">
      <c r="E2416">
        <v>1</v>
      </c>
      <c r="F2416">
        <v>1</v>
      </c>
      <c r="G2416">
        <v>1</v>
      </c>
      <c r="H2416">
        <v>1</v>
      </c>
      <c r="I2416">
        <v>1</v>
      </c>
    </row>
    <row r="2417" spans="2:10">
      <c r="C2417" t="s">
        <v>2496</v>
      </c>
      <c r="E2417">
        <f>E2414*E2415*E2416</f>
        <v>900</v>
      </c>
      <c r="F2417">
        <f t="shared" ref="F2417:I2417" si="183">F2414*F2415*F2416</f>
        <v>900</v>
      </c>
      <c r="G2417">
        <f t="shared" si="183"/>
        <v>900</v>
      </c>
      <c r="H2417">
        <f t="shared" si="183"/>
        <v>900</v>
      </c>
      <c r="I2417">
        <f t="shared" si="183"/>
        <v>900</v>
      </c>
    </row>
    <row r="2418" spans="2:10" s="4" customFormat="1">
      <c r="C2418" s="4" t="s">
        <v>684</v>
      </c>
      <c r="E2418" s="523">
        <f>E2413*dataTherapy1ListPrice</f>
        <v>0</v>
      </c>
      <c r="F2418" s="523">
        <f>F2413*dataTherapy1ListPrice</f>
        <v>0</v>
      </c>
      <c r="G2418" s="523">
        <f>G2413*dataTherapy1ListPrice</f>
        <v>0</v>
      </c>
      <c r="H2418" s="523">
        <f>H2413*dataTherapy1ListPrice</f>
        <v>0</v>
      </c>
      <c r="I2418" s="523">
        <f>I2413*dataTherapy1ListPrice</f>
        <v>0</v>
      </c>
      <c r="J2418" s="4" t="s">
        <v>2580</v>
      </c>
    </row>
    <row r="2419" spans="2:10" s="4" customFormat="1">
      <c r="C2419" s="4" t="s">
        <v>376</v>
      </c>
      <c r="E2419" s="4">
        <f>E2413*E2417</f>
        <v>0</v>
      </c>
      <c r="F2419" s="4">
        <f t="shared" ref="F2419:I2419" si="184">F2413*F2417</f>
        <v>0</v>
      </c>
      <c r="G2419" s="4">
        <f t="shared" si="184"/>
        <v>0</v>
      </c>
      <c r="H2419" s="4">
        <f t="shared" si="184"/>
        <v>0</v>
      </c>
      <c r="I2419" s="4">
        <f t="shared" si="184"/>
        <v>0</v>
      </c>
      <c r="J2419" s="4" t="s">
        <v>2581</v>
      </c>
    </row>
    <row r="2420" spans="2:10">
      <c r="B2420" s="4" t="str">
        <f>nmPayer3</f>
        <v>Dragon Health</v>
      </c>
    </row>
    <row r="2421" spans="2:10">
      <c r="C2421" t="s">
        <v>1465</v>
      </c>
      <c r="E2421" t="str">
        <f>obalReg1Payer3Status</f>
        <v>T3 SGSE</v>
      </c>
      <c r="F2421" t="str">
        <f>obalReg1Payer3Status</f>
        <v>T3 SGSE</v>
      </c>
      <c r="G2421" t="str">
        <f>obalReg1Payer3Status</f>
        <v>T3 SGSE</v>
      </c>
      <c r="H2421" t="str">
        <f>obalReg1Payer3Status</f>
        <v>T3 SGSE</v>
      </c>
      <c r="I2421" t="str">
        <f>obalReg1Payer3Status</f>
        <v>T3 SGSE</v>
      </c>
    </row>
    <row r="2422" spans="2:10">
      <c r="C2422" t="s">
        <v>340</v>
      </c>
      <c r="E2422">
        <f>calcReg1Seg3Payer3VolumeR1</f>
        <v>206.42857501466671</v>
      </c>
      <c r="F2422">
        <f>calcReg1Seg3Payer3VolumeR1</f>
        <v>206.42857501466671</v>
      </c>
      <c r="G2422">
        <f>calcReg1Seg3Payer3VolumeR1</f>
        <v>206.42857501466671</v>
      </c>
      <c r="H2422">
        <f>calcReg1Seg3Payer3VolumeR1</f>
        <v>206.42857501466671</v>
      </c>
      <c r="I2422">
        <f>calcReg1Seg3Payer3VolumeR1</f>
        <v>206.42857501466671</v>
      </c>
    </row>
    <row r="2423" spans="2:10">
      <c r="C2423" t="s">
        <v>2888</v>
      </c>
      <c r="E2423">
        <f>dataTherapy1ListPrice</f>
        <v>3000</v>
      </c>
      <c r="F2423">
        <f>dataTherapy1ListPrice</f>
        <v>3000</v>
      </c>
      <c r="G2423">
        <f>dataTherapy1ListPrice</f>
        <v>3000</v>
      </c>
      <c r="H2423">
        <f>dataTherapy1ListPrice</f>
        <v>3000</v>
      </c>
      <c r="I2423">
        <f>dataTherapy1ListPrice</f>
        <v>3000</v>
      </c>
    </row>
    <row r="2424" spans="2:10">
      <c r="C2424" t="s">
        <v>3542</v>
      </c>
      <c r="E2424">
        <f>INDEX(dataTierImpact,,calcReg1Payer3TierOrientationR1)</f>
        <v>0.6</v>
      </c>
      <c r="F2424">
        <f>INDEX(dataTierImpact,,calcReg1Payer3TierOrientationR1)</f>
        <v>0.6</v>
      </c>
      <c r="G2424">
        <f>INDEX(dataTierImpact,,calcReg1Payer3TierOrientationR1)</f>
        <v>0.6</v>
      </c>
      <c r="H2424">
        <f>INDEX(dataTierImpact,,calcReg1Payer3TierOrientationR1)</f>
        <v>0.6</v>
      </c>
      <c r="I2424">
        <f>INDEX(dataTierImpact,,calcReg1Payer3TierOrientationR1)</f>
        <v>0.6</v>
      </c>
    </row>
    <row r="2425" spans="2:10">
      <c r="E2425">
        <v>1</v>
      </c>
      <c r="F2425">
        <v>1</v>
      </c>
      <c r="G2425">
        <v>1</v>
      </c>
      <c r="H2425">
        <v>1</v>
      </c>
      <c r="I2425">
        <v>1</v>
      </c>
    </row>
    <row r="2426" spans="2:10">
      <c r="C2426" t="s">
        <v>2496</v>
      </c>
      <c r="E2426">
        <f>E2423*E2424*E2425</f>
        <v>1800</v>
      </c>
      <c r="F2426">
        <f t="shared" ref="F2426:I2426" si="185">F2423*F2424*F2425</f>
        <v>1800</v>
      </c>
      <c r="G2426">
        <f t="shared" si="185"/>
        <v>1800</v>
      </c>
      <c r="H2426">
        <f t="shared" si="185"/>
        <v>1800</v>
      </c>
      <c r="I2426">
        <f t="shared" si="185"/>
        <v>1800</v>
      </c>
    </row>
    <row r="2427" spans="2:10" s="4" customFormat="1">
      <c r="C2427" s="4" t="s">
        <v>684</v>
      </c>
      <c r="E2427" s="523">
        <f>E2422*dataTherapy1ListPrice</f>
        <v>619285.72504400008</v>
      </c>
      <c r="F2427" s="523">
        <f>F2422*dataTherapy1ListPrice</f>
        <v>619285.72504400008</v>
      </c>
      <c r="G2427" s="523">
        <f>G2422*dataTherapy1ListPrice</f>
        <v>619285.72504400008</v>
      </c>
      <c r="H2427" s="523">
        <f>H2422*dataTherapy1ListPrice</f>
        <v>619285.72504400008</v>
      </c>
      <c r="I2427" s="523">
        <f>I2422*dataTherapy1ListPrice</f>
        <v>619285.72504400008</v>
      </c>
      <c r="J2427" s="4" t="s">
        <v>2582</v>
      </c>
    </row>
    <row r="2428" spans="2:10" s="4" customFormat="1">
      <c r="C2428" s="4" t="s">
        <v>376</v>
      </c>
      <c r="E2428" s="4">
        <f>E2422*E2426</f>
        <v>371571.43502640008</v>
      </c>
      <c r="F2428" s="4">
        <f t="shared" ref="F2428:I2428" si="186">F2422*F2426</f>
        <v>371571.43502640008</v>
      </c>
      <c r="G2428" s="4">
        <f t="shared" si="186"/>
        <v>371571.43502640008</v>
      </c>
      <c r="H2428" s="4">
        <f t="shared" si="186"/>
        <v>371571.43502640008</v>
      </c>
      <c r="I2428" s="4">
        <f t="shared" si="186"/>
        <v>371571.43502640008</v>
      </c>
      <c r="J2428" s="4" t="s">
        <v>2583</v>
      </c>
    </row>
    <row r="2430" spans="2:10">
      <c r="C2430" s="4" t="s">
        <v>2503</v>
      </c>
      <c r="E2430">
        <f>calcReg1Seg3Payer1GrossRevenueR1+calcReg1Seg3Payer2GrossRevenueR1+calcReg1Seg3Payer3GrossRevenueR1</f>
        <v>1337969.7959909476</v>
      </c>
      <c r="F2430">
        <f>calcReg1Seg3Payer1GrossRevenueR1+calcReg1Seg3Payer2GrossRevenueR1+calcReg1Seg3Payer3GrossRevenueR1</f>
        <v>1337969.7959909476</v>
      </c>
      <c r="G2430">
        <f>calcReg1Seg3Payer1GrossRevenueR1+calcReg1Seg3Payer2GrossRevenueR1+calcReg1Seg3Payer3GrossRevenueR1</f>
        <v>1337969.7959909476</v>
      </c>
      <c r="H2430">
        <f>calcReg1Seg3Payer1GrossRevenueR1+calcReg1Seg3Payer2GrossRevenueR1+calcReg1Seg3Payer3GrossRevenueR1</f>
        <v>1337969.7959909476</v>
      </c>
      <c r="I2430">
        <f>calcReg1Seg3Payer1GrossRevenueR1+calcReg1Seg3Payer2GrossRevenueR1+calcReg1Seg3Payer3GrossRevenueR1</f>
        <v>1337969.7959909476</v>
      </c>
      <c r="J2430" t="s">
        <v>2584</v>
      </c>
    </row>
    <row r="2431" spans="2:10">
      <c r="C2431" s="4" t="s">
        <v>2504</v>
      </c>
      <c r="E2431">
        <f>calcReg1Seg3Payer1NetRevenueR1+calcReg1Seg3Payer2NetRevenueR1+calcReg1Seg3Payer3NetRevenueR1</f>
        <v>659045.06340517907</v>
      </c>
      <c r="F2431">
        <f>calcReg1Seg3Payer1NetRevenueR1+calcReg1Seg3Payer2NetRevenueR1+calcReg1Seg3Payer3NetRevenueR1</f>
        <v>659045.06340517907</v>
      </c>
      <c r="G2431">
        <f>calcReg1Seg3Payer1NetRevenueR1+calcReg1Seg3Payer2NetRevenueR1+calcReg1Seg3Payer3NetRevenueR1</f>
        <v>659045.06340517907</v>
      </c>
      <c r="H2431">
        <f>calcReg1Seg3Payer1NetRevenueR1+calcReg1Seg3Payer2NetRevenueR1+calcReg1Seg3Payer3NetRevenueR1</f>
        <v>659045.06340517907</v>
      </c>
      <c r="I2431">
        <f>calcReg1Seg3Payer1NetRevenueR1+calcReg1Seg3Payer2NetRevenueR1+calcReg1Seg3Payer3NetRevenueR1</f>
        <v>659045.06340517907</v>
      </c>
      <c r="J2431" t="s">
        <v>2585</v>
      </c>
    </row>
    <row r="2432" spans="2:10">
      <c r="C2432" s="4" t="s">
        <v>686</v>
      </c>
      <c r="E2432">
        <f>calcReg1Seg3GrossRevenueR1-calcReg1Seg3NetRevenueR1</f>
        <v>678924.73258576856</v>
      </c>
      <c r="F2432">
        <f>calcReg1Seg3GrossRevenueR1-calcReg1Seg3NetRevenueR1</f>
        <v>678924.73258576856</v>
      </c>
      <c r="G2432">
        <f>calcReg1Seg3GrossRevenueR1-calcReg1Seg3NetRevenueR1</f>
        <v>678924.73258576856</v>
      </c>
      <c r="H2432">
        <f>calcReg1Seg3GrossRevenueR1-calcReg1Seg3NetRevenueR1</f>
        <v>678924.73258576856</v>
      </c>
      <c r="I2432">
        <f>calcReg1Seg3GrossRevenueR1-calcReg1Seg3NetRevenueR1</f>
        <v>678924.73258576856</v>
      </c>
      <c r="J2432" t="s">
        <v>2586</v>
      </c>
    </row>
    <row r="2434" spans="1:10">
      <c r="A2434" t="s">
        <v>2526</v>
      </c>
      <c r="C2434" s="4" t="s">
        <v>2503</v>
      </c>
      <c r="E2434">
        <f>calcReg1Seg1GrossRevenueR1+calcReg1Seg2GrossRevenueR1+calcReg1Seg3GrossRevenueR1</f>
        <v>3655960.8929728321</v>
      </c>
      <c r="F2434">
        <f>calcReg1Seg1GrossRevenueR1+calcReg1Seg2GrossRevenueR1+calcReg1Seg3GrossRevenueR1</f>
        <v>3655960.8929728321</v>
      </c>
      <c r="G2434">
        <f>calcReg1Seg1GrossRevenueR1+calcReg1Seg2GrossRevenueR1+calcReg1Seg3GrossRevenueR1</f>
        <v>3655960.8929728321</v>
      </c>
      <c r="H2434">
        <f>calcReg1Seg1GrossRevenueR1+calcReg1Seg2GrossRevenueR1+calcReg1Seg3GrossRevenueR1</f>
        <v>3655960.8929728321</v>
      </c>
      <c r="I2434">
        <f>calcReg1Seg1GrossRevenueR1+calcReg1Seg2GrossRevenueR1+calcReg1Seg3GrossRevenueR1</f>
        <v>3655960.8929728321</v>
      </c>
      <c r="J2434" t="s">
        <v>2587</v>
      </c>
    </row>
    <row r="2435" spans="1:10">
      <c r="C2435" s="4" t="s">
        <v>2504</v>
      </c>
      <c r="E2435">
        <f>calcReg1Seg1NetRevenueR1+calcReg1Seg2NetRevenueR1+calcReg1Seg3NetRevenueR1</f>
        <v>1823787.4057533098</v>
      </c>
      <c r="F2435">
        <f>calcReg1Seg1NetRevenueR1+calcReg1Seg2NetRevenueR1+calcReg1Seg3NetRevenueR1</f>
        <v>1823787.4057533098</v>
      </c>
      <c r="G2435">
        <f>calcReg1Seg1NetRevenueR1+calcReg1Seg2NetRevenueR1+calcReg1Seg3NetRevenueR1</f>
        <v>1823787.4057533098</v>
      </c>
      <c r="H2435">
        <f>calcReg1Seg1NetRevenueR1+calcReg1Seg2NetRevenueR1+calcReg1Seg3NetRevenueR1</f>
        <v>1823787.4057533098</v>
      </c>
      <c r="I2435">
        <f>calcReg1Seg1NetRevenueR1+calcReg1Seg2NetRevenueR1+calcReg1Seg3NetRevenueR1</f>
        <v>1823787.4057533098</v>
      </c>
      <c r="J2435" t="s">
        <v>2588</v>
      </c>
    </row>
    <row r="2436" spans="1:10">
      <c r="C2436" s="4" t="s">
        <v>686</v>
      </c>
      <c r="E2436">
        <f>calcReg1TotalGrossRevenueR1-calcReg1TotalNetRevenueR1</f>
        <v>1832173.4872195222</v>
      </c>
      <c r="F2436">
        <f>calcReg1TotalGrossRevenueR1-calcReg1TotalNetRevenueR1</f>
        <v>1832173.4872195222</v>
      </c>
      <c r="G2436">
        <f>calcReg1TotalGrossRevenueR1-calcReg1TotalNetRevenueR1</f>
        <v>1832173.4872195222</v>
      </c>
      <c r="H2436">
        <f>calcReg1TotalGrossRevenueR1-calcReg1TotalNetRevenueR1</f>
        <v>1832173.4872195222</v>
      </c>
      <c r="I2436">
        <f>calcReg1TotalGrossRevenueR1-calcReg1TotalNetRevenueR1</f>
        <v>1832173.4872195222</v>
      </c>
      <c r="J2436" t="s">
        <v>2589</v>
      </c>
    </row>
    <row r="2438" spans="1:10">
      <c r="B2438" t="str">
        <f>nmReg1Seg1</f>
        <v>Riverrun</v>
      </c>
    </row>
    <row r="2439" spans="1:10">
      <c r="B2439" s="4" t="str">
        <f>nmPayer1</f>
        <v>Blue Sword/Blue Shield</v>
      </c>
    </row>
    <row r="2440" spans="1:10">
      <c r="C2440" t="s">
        <v>1465</v>
      </c>
      <c r="E2440" t="str">
        <f>cbalReg1Payer1Status</f>
        <v>T3 DSE</v>
      </c>
      <c r="F2440" t="str">
        <f>cbalReg1Payer1Status</f>
        <v>T3 DSE</v>
      </c>
      <c r="G2440" t="str">
        <f>cbalReg1Payer1Status</f>
        <v>T3 DSE</v>
      </c>
      <c r="H2440" t="str">
        <f>cbalReg1Payer1Status</f>
        <v>T3 DSE</v>
      </c>
      <c r="I2440" t="str">
        <f>cbalReg1Payer1Status</f>
        <v>T3 DSE</v>
      </c>
    </row>
    <row r="2441" spans="1:10">
      <c r="C2441" t="s">
        <v>340</v>
      </c>
      <c r="E2441">
        <f>calcReg1Seg1Payer1VolumeR2</f>
        <v>182.07928210457996</v>
      </c>
      <c r="F2441">
        <f>calcReg1Seg1Payer1VolumeR2</f>
        <v>182.07928210457996</v>
      </c>
      <c r="G2441">
        <f>calcReg1Seg1Payer1VolumeR2</f>
        <v>182.07928210457996</v>
      </c>
      <c r="H2441">
        <f>calcReg1Seg1Payer1VolumeR2</f>
        <v>182.07928210457996</v>
      </c>
      <c r="I2441">
        <f>calcReg1Seg1Payer1VolumeR2</f>
        <v>182.07928210457996</v>
      </c>
    </row>
    <row r="2442" spans="1:10">
      <c r="C2442" t="s">
        <v>2888</v>
      </c>
      <c r="E2442">
        <f>dataTherapy1ListPrice</f>
        <v>3000</v>
      </c>
      <c r="F2442">
        <f>dataTherapy1ListPrice</f>
        <v>3000</v>
      </c>
      <c r="G2442">
        <f>dataTherapy1ListPrice</f>
        <v>3000</v>
      </c>
      <c r="H2442">
        <f>dataTherapy1ListPrice</f>
        <v>3000</v>
      </c>
      <c r="I2442">
        <f>dataTherapy1ListPrice</f>
        <v>3000</v>
      </c>
    </row>
    <row r="2443" spans="1:10">
      <c r="C2443" t="s">
        <v>3542</v>
      </c>
      <c r="E2443">
        <f>INDEX(dataTierImpact,,calcReg1Payer1TierOrientationR2)</f>
        <v>0.4</v>
      </c>
      <c r="F2443">
        <f>INDEX(dataTierImpact,,calcReg1Payer1TierOrientationR2)</f>
        <v>0.4</v>
      </c>
      <c r="G2443">
        <f>INDEX(dataTierImpact,,calcReg1Payer1TierOrientationR2)</f>
        <v>0.4</v>
      </c>
      <c r="H2443">
        <f>INDEX(dataTierImpact,,calcReg1Payer1TierOrientationR2)</f>
        <v>0.4</v>
      </c>
      <c r="I2443">
        <f>INDEX(dataTierImpact,,calcReg1Payer1TierOrientationR2)</f>
        <v>0.4</v>
      </c>
    </row>
    <row r="2444" spans="1:10">
      <c r="E2444">
        <v>1</v>
      </c>
      <c r="F2444">
        <v>1</v>
      </c>
      <c r="G2444">
        <v>1</v>
      </c>
      <c r="H2444">
        <v>1</v>
      </c>
      <c r="I2444">
        <v>1</v>
      </c>
    </row>
    <row r="2445" spans="1:10">
      <c r="C2445" t="s">
        <v>2496</v>
      </c>
      <c r="E2445">
        <f>E2442*E2443*E2444</f>
        <v>1200</v>
      </c>
      <c r="F2445">
        <f t="shared" ref="F2445:I2445" si="187">F2442*F2443*F2444</f>
        <v>1200</v>
      </c>
      <c r="G2445">
        <f t="shared" si="187"/>
        <v>1200</v>
      </c>
      <c r="H2445">
        <f t="shared" si="187"/>
        <v>1200</v>
      </c>
      <c r="I2445">
        <f t="shared" si="187"/>
        <v>1200</v>
      </c>
    </row>
    <row r="2446" spans="1:10" s="4" customFormat="1">
      <c r="C2446" s="4" t="s">
        <v>684</v>
      </c>
      <c r="E2446" s="523">
        <f>E2441*dataTherapy1ListPrice</f>
        <v>546237.84631373989</v>
      </c>
      <c r="F2446" s="523">
        <f>F2441*dataTherapy1ListPrice</f>
        <v>546237.84631373989</v>
      </c>
      <c r="G2446" s="523">
        <f>G2441*dataTherapy1ListPrice</f>
        <v>546237.84631373989</v>
      </c>
      <c r="H2446" s="523">
        <f>H2441*dataTherapy1ListPrice</f>
        <v>546237.84631373989</v>
      </c>
      <c r="I2446" s="523">
        <f>I2441*dataTherapy1ListPrice</f>
        <v>546237.84631373989</v>
      </c>
      <c r="J2446" s="4" t="s">
        <v>2590</v>
      </c>
    </row>
    <row r="2447" spans="1:10" s="4" customFormat="1">
      <c r="C2447" s="4" t="s">
        <v>376</v>
      </c>
      <c r="E2447" s="4">
        <f>E2441*E2445</f>
        <v>218495.13852549595</v>
      </c>
      <c r="F2447" s="4">
        <f t="shared" ref="F2447:I2447" si="188">F2441*F2445</f>
        <v>218495.13852549595</v>
      </c>
      <c r="G2447" s="4">
        <f t="shared" si="188"/>
        <v>218495.13852549595</v>
      </c>
      <c r="H2447" s="4">
        <f t="shared" si="188"/>
        <v>218495.13852549595</v>
      </c>
      <c r="I2447" s="4">
        <f t="shared" si="188"/>
        <v>218495.13852549595</v>
      </c>
      <c r="J2447" s="4" t="s">
        <v>2591</v>
      </c>
    </row>
    <row r="2448" spans="1:10">
      <c r="B2448" s="4" t="str">
        <f>nmPayer2</f>
        <v>WesterAid</v>
      </c>
    </row>
    <row r="2449" spans="2:10">
      <c r="C2449" t="s">
        <v>1465</v>
      </c>
      <c r="E2449" t="str">
        <f>cbalReg1Payer2Status</f>
        <v>T1 NR</v>
      </c>
      <c r="F2449" t="str">
        <f>cbalReg1Payer2Status</f>
        <v>T1 NR</v>
      </c>
      <c r="G2449" t="str">
        <f>cbalReg1Payer2Status</f>
        <v>T1 NR</v>
      </c>
      <c r="H2449" t="str">
        <f>cbalReg1Payer2Status</f>
        <v>T1 NR</v>
      </c>
      <c r="I2449" t="str">
        <f>cbalReg1Payer2Status</f>
        <v>T1 NR</v>
      </c>
    </row>
    <row r="2450" spans="2:10">
      <c r="C2450" t="s">
        <v>340</v>
      </c>
      <c r="E2450">
        <f>calcReg1Seg1Payer2VolumeR2</f>
        <v>0</v>
      </c>
      <c r="F2450">
        <f>calcReg1Seg1Payer2VolumeR2</f>
        <v>0</v>
      </c>
      <c r="G2450">
        <f>calcReg1Seg1Payer2VolumeR2</f>
        <v>0</v>
      </c>
      <c r="H2450">
        <f>calcReg1Seg1Payer2VolumeR2</f>
        <v>0</v>
      </c>
      <c r="I2450">
        <f>calcReg1Seg1Payer2VolumeR2</f>
        <v>0</v>
      </c>
    </row>
    <row r="2451" spans="2:10">
      <c r="C2451" t="s">
        <v>2888</v>
      </c>
      <c r="E2451">
        <f>dataTherapy1ListPrice</f>
        <v>3000</v>
      </c>
      <c r="F2451">
        <f>dataTherapy1ListPrice</f>
        <v>3000</v>
      </c>
      <c r="G2451">
        <f>dataTherapy1ListPrice</f>
        <v>3000</v>
      </c>
      <c r="H2451">
        <f>dataTherapy1ListPrice</f>
        <v>3000</v>
      </c>
      <c r="I2451">
        <f>dataTherapy1ListPrice</f>
        <v>3000</v>
      </c>
    </row>
    <row r="2452" spans="2:10">
      <c r="C2452" t="s">
        <v>3542</v>
      </c>
      <c r="E2452">
        <f>INDEX(dataTierImpact,,calcReg1Payer2TierOrientationR2)</f>
        <v>0.3</v>
      </c>
      <c r="F2452">
        <f>INDEX(dataTierImpact,,calcReg1Payer2TierOrientationR2)</f>
        <v>0.3</v>
      </c>
      <c r="G2452">
        <f>INDEX(dataTierImpact,,calcReg1Payer2TierOrientationR2)</f>
        <v>0.3</v>
      </c>
      <c r="H2452">
        <f>INDEX(dataTierImpact,,calcReg1Payer2TierOrientationR2)</f>
        <v>0.3</v>
      </c>
      <c r="I2452">
        <f>INDEX(dataTierImpact,,calcReg1Payer2TierOrientationR2)</f>
        <v>0.3</v>
      </c>
    </row>
    <row r="2453" spans="2:10">
      <c r="E2453">
        <v>1</v>
      </c>
      <c r="F2453">
        <v>1</v>
      </c>
      <c r="G2453">
        <v>1</v>
      </c>
      <c r="H2453">
        <v>1</v>
      </c>
      <c r="I2453">
        <v>1</v>
      </c>
    </row>
    <row r="2454" spans="2:10">
      <c r="C2454" t="s">
        <v>2496</v>
      </c>
      <c r="E2454">
        <f>E2451*E2452*E2453</f>
        <v>900</v>
      </c>
      <c r="F2454">
        <f t="shared" ref="F2454:I2454" si="189">F2451*F2452*F2453</f>
        <v>900</v>
      </c>
      <c r="G2454">
        <f t="shared" si="189"/>
        <v>900</v>
      </c>
      <c r="H2454">
        <f t="shared" si="189"/>
        <v>900</v>
      </c>
      <c r="I2454">
        <f t="shared" si="189"/>
        <v>900</v>
      </c>
    </row>
    <row r="2455" spans="2:10" s="4" customFormat="1">
      <c r="C2455" s="4" t="s">
        <v>684</v>
      </c>
      <c r="E2455" s="523">
        <f>E2450*dataTherapy1ListPrice</f>
        <v>0</v>
      </c>
      <c r="F2455" s="523">
        <f>F2450*dataTherapy1ListPrice</f>
        <v>0</v>
      </c>
      <c r="G2455" s="523">
        <f>G2450*dataTherapy1ListPrice</f>
        <v>0</v>
      </c>
      <c r="H2455" s="523">
        <f>H2450*dataTherapy1ListPrice</f>
        <v>0</v>
      </c>
      <c r="I2455" s="523">
        <f>I2450*dataTherapy1ListPrice</f>
        <v>0</v>
      </c>
      <c r="J2455" s="4" t="s">
        <v>2592</v>
      </c>
    </row>
    <row r="2456" spans="2:10" s="4" customFormat="1">
      <c r="C2456" s="4" t="s">
        <v>376</v>
      </c>
      <c r="E2456" s="4">
        <f>E2450*E2454</f>
        <v>0</v>
      </c>
      <c r="F2456" s="4">
        <f t="shared" ref="F2456:I2456" si="190">F2450*F2454</f>
        <v>0</v>
      </c>
      <c r="G2456" s="4">
        <f t="shared" si="190"/>
        <v>0</v>
      </c>
      <c r="H2456" s="4">
        <f t="shared" si="190"/>
        <v>0</v>
      </c>
      <c r="I2456" s="4">
        <f t="shared" si="190"/>
        <v>0</v>
      </c>
      <c r="J2456" s="4" t="s">
        <v>2593</v>
      </c>
    </row>
    <row r="2457" spans="2:10">
      <c r="B2457" s="4" t="str">
        <f>nmPayer3</f>
        <v>Dragon Health</v>
      </c>
    </row>
    <row r="2458" spans="2:10">
      <c r="C2458" t="s">
        <v>1465</v>
      </c>
      <c r="E2458" t="str">
        <f>cbalReg1Payer3Status</f>
        <v>T3 SGSE</v>
      </c>
      <c r="F2458" t="str">
        <f>cbalReg1Payer3Status</f>
        <v>T3 SGSE</v>
      </c>
      <c r="G2458" t="str">
        <f>cbalReg1Payer3Status</f>
        <v>T3 SGSE</v>
      </c>
      <c r="H2458" t="str">
        <f>cbalReg1Payer3Status</f>
        <v>T3 SGSE</v>
      </c>
      <c r="I2458" t="str">
        <f>cbalReg1Payer3Status</f>
        <v>T3 SGSE</v>
      </c>
    </row>
    <row r="2459" spans="2:10">
      <c r="C2459" t="s">
        <v>340</v>
      </c>
      <c r="E2459">
        <f>calcReg1Seg1Payer3VolumeR2</f>
        <v>227.51951887929002</v>
      </c>
      <c r="F2459">
        <f>calcReg1Seg1Payer3VolumeR2</f>
        <v>227.51951887929002</v>
      </c>
      <c r="G2459">
        <f>calcReg1Seg1Payer3VolumeR2</f>
        <v>227.51951887929002</v>
      </c>
      <c r="H2459">
        <f>calcReg1Seg1Payer3VolumeR2</f>
        <v>227.51951887929002</v>
      </c>
      <c r="I2459">
        <f>calcReg1Seg1Payer3VolumeR2</f>
        <v>227.51951887929002</v>
      </c>
    </row>
    <row r="2460" spans="2:10">
      <c r="C2460" t="s">
        <v>2888</v>
      </c>
      <c r="E2460">
        <f>dataTherapy1ListPrice</f>
        <v>3000</v>
      </c>
      <c r="F2460">
        <f>dataTherapy1ListPrice</f>
        <v>3000</v>
      </c>
      <c r="G2460">
        <f>dataTherapy1ListPrice</f>
        <v>3000</v>
      </c>
      <c r="H2460">
        <f>dataTherapy1ListPrice</f>
        <v>3000</v>
      </c>
      <c r="I2460">
        <f>dataTherapy1ListPrice</f>
        <v>3000</v>
      </c>
    </row>
    <row r="2461" spans="2:10">
      <c r="C2461" t="s">
        <v>3542</v>
      </c>
      <c r="E2461">
        <f>INDEX(dataTierImpact,,calcReg1Payer3TierOrientationR2)</f>
        <v>0.6</v>
      </c>
      <c r="F2461">
        <f>INDEX(dataTierImpact,,calcReg1Payer3TierOrientationR2)</f>
        <v>0.6</v>
      </c>
      <c r="G2461">
        <f>INDEX(dataTierImpact,,calcReg1Payer3TierOrientationR2)</f>
        <v>0.6</v>
      </c>
      <c r="H2461">
        <f>INDEX(dataTierImpact,,calcReg1Payer3TierOrientationR2)</f>
        <v>0.6</v>
      </c>
      <c r="I2461">
        <f>INDEX(dataTierImpact,,calcReg1Payer3TierOrientationR2)</f>
        <v>0.6</v>
      </c>
    </row>
    <row r="2462" spans="2:10">
      <c r="E2462">
        <v>1</v>
      </c>
      <c r="F2462">
        <v>1</v>
      </c>
      <c r="G2462">
        <v>1</v>
      </c>
      <c r="H2462">
        <v>1</v>
      </c>
      <c r="I2462">
        <v>1</v>
      </c>
    </row>
    <row r="2463" spans="2:10">
      <c r="C2463" t="s">
        <v>2496</v>
      </c>
      <c r="E2463">
        <f>E2460*E2461*E2462</f>
        <v>1800</v>
      </c>
      <c r="F2463">
        <f t="shared" ref="F2463:I2463" si="191">F2460*F2461*F2462</f>
        <v>1800</v>
      </c>
      <c r="G2463">
        <f t="shared" si="191"/>
        <v>1800</v>
      </c>
      <c r="H2463">
        <f t="shared" si="191"/>
        <v>1800</v>
      </c>
      <c r="I2463">
        <f t="shared" si="191"/>
        <v>1800</v>
      </c>
    </row>
    <row r="2464" spans="2:10" s="4" customFormat="1">
      <c r="C2464" s="4" t="s">
        <v>684</v>
      </c>
      <c r="E2464" s="523">
        <f>E2459*dataTherapy1ListPrice</f>
        <v>682558.55663787003</v>
      </c>
      <c r="F2464" s="523">
        <f>F2459*dataTherapy1ListPrice</f>
        <v>682558.55663787003</v>
      </c>
      <c r="G2464" s="523">
        <f>G2459*dataTherapy1ListPrice</f>
        <v>682558.55663787003</v>
      </c>
      <c r="H2464" s="523">
        <f>H2459*dataTherapy1ListPrice</f>
        <v>682558.55663787003</v>
      </c>
      <c r="I2464" s="523">
        <f>I2459*dataTherapy1ListPrice</f>
        <v>682558.55663787003</v>
      </c>
      <c r="J2464" s="4" t="s">
        <v>2594</v>
      </c>
    </row>
    <row r="2465" spans="2:10" s="4" customFormat="1">
      <c r="C2465" s="4" t="s">
        <v>376</v>
      </c>
      <c r="E2465" s="4">
        <f>E2459*E2463</f>
        <v>409535.13398272201</v>
      </c>
      <c r="F2465" s="4">
        <f t="shared" ref="F2465:I2465" si="192">F2459*F2463</f>
        <v>409535.13398272201</v>
      </c>
      <c r="G2465" s="4">
        <f t="shared" si="192"/>
        <v>409535.13398272201</v>
      </c>
      <c r="H2465" s="4">
        <f t="shared" si="192"/>
        <v>409535.13398272201</v>
      </c>
      <c r="I2465" s="4">
        <f t="shared" si="192"/>
        <v>409535.13398272201</v>
      </c>
      <c r="J2465" s="4" t="s">
        <v>2595</v>
      </c>
    </row>
    <row r="2467" spans="2:10">
      <c r="C2467" s="4" t="s">
        <v>2503</v>
      </c>
      <c r="E2467">
        <f>calcReg1Seg1Payer1GrossRevenueR2+calcReg1Seg1Payer2GrossRevenueR2+calcReg1Seg1Payer3GrossRevenueR2</f>
        <v>1228796.4029516098</v>
      </c>
      <c r="F2467">
        <f>calcReg1Seg1Payer1GrossRevenueR2+calcReg1Seg1Payer2GrossRevenueR2+calcReg1Seg1Payer3GrossRevenueR2</f>
        <v>1228796.4029516098</v>
      </c>
      <c r="G2467">
        <f>calcReg1Seg1Payer1GrossRevenueR2+calcReg1Seg1Payer2GrossRevenueR2+calcReg1Seg1Payer3GrossRevenueR2</f>
        <v>1228796.4029516098</v>
      </c>
      <c r="H2467">
        <f>calcReg1Seg1Payer1GrossRevenueR2+calcReg1Seg1Payer2GrossRevenueR2+calcReg1Seg1Payer3GrossRevenueR2</f>
        <v>1228796.4029516098</v>
      </c>
      <c r="I2467">
        <f>calcReg1Seg1Payer1GrossRevenueR2+calcReg1Seg1Payer2GrossRevenueR2+calcReg1Seg1Payer3GrossRevenueR2</f>
        <v>1228796.4029516098</v>
      </c>
      <c r="J2467" t="s">
        <v>2596</v>
      </c>
    </row>
    <row r="2468" spans="2:10">
      <c r="C2468" s="4" t="s">
        <v>2504</v>
      </c>
      <c r="E2468">
        <f>calcReg1Seg1Payer1NetRevenueR2+calcReg1Seg1Payer2NetRevenueR2+calcReg1Seg1Payer3NetRevenueR2</f>
        <v>628030.27250821795</v>
      </c>
      <c r="F2468">
        <f>calcReg1Seg1Payer1NetRevenueR2+calcReg1Seg1Payer2NetRevenueR2+calcReg1Seg1Payer3NetRevenueR2</f>
        <v>628030.27250821795</v>
      </c>
      <c r="G2468">
        <f>calcReg1Seg1Payer1NetRevenueR2+calcReg1Seg1Payer2NetRevenueR2+calcReg1Seg1Payer3NetRevenueR2</f>
        <v>628030.27250821795</v>
      </c>
      <c r="H2468">
        <f>calcReg1Seg1Payer1NetRevenueR2+calcReg1Seg1Payer2NetRevenueR2+calcReg1Seg1Payer3NetRevenueR2</f>
        <v>628030.27250821795</v>
      </c>
      <c r="I2468">
        <f>calcReg1Seg1Payer1NetRevenueR2+calcReg1Seg1Payer2NetRevenueR2+calcReg1Seg1Payer3NetRevenueR2</f>
        <v>628030.27250821795</v>
      </c>
      <c r="J2468" t="s">
        <v>2597</v>
      </c>
    </row>
    <row r="2469" spans="2:10">
      <c r="C2469" s="4" t="s">
        <v>686</v>
      </c>
      <c r="E2469">
        <f>calcReg1Seg1GrossRevenueR2-calcReg1Seg1NetRevenueR2</f>
        <v>600766.13044339186</v>
      </c>
      <c r="F2469">
        <f>calcReg1Seg1GrossRevenueR2-calcReg1Seg1NetRevenueR2</f>
        <v>600766.13044339186</v>
      </c>
      <c r="G2469">
        <f>calcReg1Seg1GrossRevenueR2-calcReg1Seg1NetRevenueR2</f>
        <v>600766.13044339186</v>
      </c>
      <c r="H2469">
        <f>calcReg1Seg1GrossRevenueR2-calcReg1Seg1NetRevenueR2</f>
        <v>600766.13044339186</v>
      </c>
      <c r="I2469">
        <f>calcReg1Seg1GrossRevenueR2-calcReg1Seg1NetRevenueR2</f>
        <v>600766.13044339186</v>
      </c>
      <c r="J2469" t="s">
        <v>2598</v>
      </c>
    </row>
    <row r="2470" spans="2:10">
      <c r="B2470" t="str">
        <f>nmReg1Seg2</f>
        <v>Winterfell</v>
      </c>
    </row>
    <row r="2471" spans="2:10">
      <c r="B2471" s="4" t="str">
        <f>nmPayer1</f>
        <v>Blue Sword/Blue Shield</v>
      </c>
    </row>
    <row r="2472" spans="2:10">
      <c r="C2472" t="s">
        <v>1465</v>
      </c>
      <c r="E2472" t="str">
        <f>cbalReg1Payer1Status</f>
        <v>T3 DSE</v>
      </c>
      <c r="F2472" t="str">
        <f>cbalReg1Payer1Status</f>
        <v>T3 DSE</v>
      </c>
      <c r="G2472" t="str">
        <f>cbalReg1Payer1Status</f>
        <v>T3 DSE</v>
      </c>
      <c r="H2472" t="str">
        <f>cbalReg1Payer1Status</f>
        <v>T3 DSE</v>
      </c>
      <c r="I2472" t="str">
        <f>cbalReg1Payer1Status</f>
        <v>T3 DSE</v>
      </c>
    </row>
    <row r="2473" spans="2:10">
      <c r="C2473" t="s">
        <v>340</v>
      </c>
      <c r="E2473">
        <f>calcReg1Seg2Payer1VolumeR2</f>
        <v>220.55969863356006</v>
      </c>
      <c r="F2473">
        <f>calcReg1Seg2Payer1VolumeR2</f>
        <v>220.55969863356006</v>
      </c>
      <c r="G2473">
        <f>calcReg1Seg2Payer1VolumeR2</f>
        <v>220.55969863356006</v>
      </c>
      <c r="H2473">
        <f>calcReg1Seg2Payer1VolumeR2</f>
        <v>220.55969863356006</v>
      </c>
      <c r="I2473">
        <f>calcReg1Seg2Payer1VolumeR2</f>
        <v>220.55969863356006</v>
      </c>
    </row>
    <row r="2474" spans="2:10">
      <c r="C2474" t="s">
        <v>2888</v>
      </c>
      <c r="E2474">
        <f>dataTherapy1ListPrice</f>
        <v>3000</v>
      </c>
      <c r="F2474">
        <f>dataTherapy1ListPrice</f>
        <v>3000</v>
      </c>
      <c r="G2474">
        <f>dataTherapy1ListPrice</f>
        <v>3000</v>
      </c>
      <c r="H2474">
        <f>dataTherapy1ListPrice</f>
        <v>3000</v>
      </c>
      <c r="I2474">
        <f>dataTherapy1ListPrice</f>
        <v>3000</v>
      </c>
    </row>
    <row r="2475" spans="2:10">
      <c r="C2475" t="s">
        <v>3542</v>
      </c>
      <c r="E2475">
        <f>INDEX(dataTierImpact,,calcReg1Payer1TierOrientationR2)</f>
        <v>0.4</v>
      </c>
      <c r="F2475">
        <f>INDEX(dataTierImpact,,calcReg1Payer1TierOrientationR2)</f>
        <v>0.4</v>
      </c>
      <c r="G2475">
        <f>INDEX(dataTierImpact,,calcReg1Payer1TierOrientationR2)</f>
        <v>0.4</v>
      </c>
      <c r="H2475">
        <f>INDEX(dataTierImpact,,calcReg1Payer1TierOrientationR2)</f>
        <v>0.4</v>
      </c>
      <c r="I2475">
        <f>INDEX(dataTierImpact,,calcReg1Payer1TierOrientationR2)</f>
        <v>0.4</v>
      </c>
    </row>
    <row r="2476" spans="2:10">
      <c r="E2476">
        <v>1</v>
      </c>
      <c r="F2476">
        <v>1</v>
      </c>
      <c r="G2476">
        <v>1</v>
      </c>
      <c r="H2476">
        <v>1</v>
      </c>
      <c r="I2476">
        <v>1</v>
      </c>
    </row>
    <row r="2477" spans="2:10">
      <c r="C2477" t="s">
        <v>2496</v>
      </c>
      <c r="E2477">
        <f>E2474*E2475*E2476</f>
        <v>1200</v>
      </c>
      <c r="F2477">
        <f t="shared" ref="F2477:I2477" si="193">F2474*F2475*F2476</f>
        <v>1200</v>
      </c>
      <c r="G2477">
        <f t="shared" si="193"/>
        <v>1200</v>
      </c>
      <c r="H2477">
        <f t="shared" si="193"/>
        <v>1200</v>
      </c>
      <c r="I2477">
        <f t="shared" si="193"/>
        <v>1200</v>
      </c>
    </row>
    <row r="2478" spans="2:10" s="4" customFormat="1">
      <c r="C2478" s="4" t="s">
        <v>684</v>
      </c>
      <c r="E2478" s="523">
        <f>E2473*dataTherapy1ListPrice</f>
        <v>661679.09590068017</v>
      </c>
      <c r="F2478" s="523">
        <f>F2473*dataTherapy1ListPrice</f>
        <v>661679.09590068017</v>
      </c>
      <c r="G2478" s="523">
        <f>G2473*dataTherapy1ListPrice</f>
        <v>661679.09590068017</v>
      </c>
      <c r="H2478" s="523">
        <f>H2473*dataTherapy1ListPrice</f>
        <v>661679.09590068017</v>
      </c>
      <c r="I2478" s="523">
        <f>I2473*dataTherapy1ListPrice</f>
        <v>661679.09590068017</v>
      </c>
      <c r="J2478" s="4" t="s">
        <v>2599</v>
      </c>
    </row>
    <row r="2479" spans="2:10" s="4" customFormat="1">
      <c r="C2479" s="4" t="s">
        <v>376</v>
      </c>
      <c r="E2479" s="4">
        <f>E2473*E2477</f>
        <v>264671.63836027205</v>
      </c>
      <c r="F2479" s="4">
        <f t="shared" ref="F2479:I2479" si="194">F2473*F2477</f>
        <v>264671.63836027205</v>
      </c>
      <c r="G2479" s="4">
        <f t="shared" si="194"/>
        <v>264671.63836027205</v>
      </c>
      <c r="H2479" s="4">
        <f t="shared" si="194"/>
        <v>264671.63836027205</v>
      </c>
      <c r="I2479" s="4">
        <f t="shared" si="194"/>
        <v>264671.63836027205</v>
      </c>
      <c r="J2479" s="4" t="s">
        <v>2600</v>
      </c>
    </row>
    <row r="2480" spans="2:10">
      <c r="B2480" s="4" t="str">
        <f>nmPayer2</f>
        <v>WesterAid</v>
      </c>
    </row>
    <row r="2481" spans="2:10">
      <c r="C2481" t="s">
        <v>1465</v>
      </c>
      <c r="E2481" t="str">
        <f>cbalReg1Payer2Status</f>
        <v>T1 NR</v>
      </c>
      <c r="F2481" t="str">
        <f>cbalReg1Payer2Status</f>
        <v>T1 NR</v>
      </c>
      <c r="G2481" t="str">
        <f>cbalReg1Payer2Status</f>
        <v>T1 NR</v>
      </c>
      <c r="H2481" t="str">
        <f>cbalReg1Payer2Status</f>
        <v>T1 NR</v>
      </c>
      <c r="I2481" t="str">
        <f>cbalReg1Payer2Status</f>
        <v>T1 NR</v>
      </c>
    </row>
    <row r="2482" spans="2:10">
      <c r="C2482" t="s">
        <v>340</v>
      </c>
      <c r="E2482">
        <f>calcReg1Seg2Payer2VolumeR2</f>
        <v>0</v>
      </c>
      <c r="F2482">
        <f>calcReg1Seg2Payer2VolumeR2</f>
        <v>0</v>
      </c>
      <c r="G2482">
        <f>calcReg1Seg2Payer2VolumeR2</f>
        <v>0</v>
      </c>
      <c r="H2482">
        <f>calcReg1Seg2Payer2VolumeR2</f>
        <v>0</v>
      </c>
      <c r="I2482">
        <f>calcReg1Seg2Payer2VolumeR2</f>
        <v>0</v>
      </c>
    </row>
    <row r="2483" spans="2:10">
      <c r="C2483" t="s">
        <v>2888</v>
      </c>
      <c r="E2483">
        <f>dataTherapy1ListPrice</f>
        <v>3000</v>
      </c>
      <c r="F2483">
        <f>dataTherapy1ListPrice</f>
        <v>3000</v>
      </c>
      <c r="G2483">
        <f>dataTherapy1ListPrice</f>
        <v>3000</v>
      </c>
      <c r="H2483">
        <f>dataTherapy1ListPrice</f>
        <v>3000</v>
      </c>
      <c r="I2483">
        <f>dataTherapy1ListPrice</f>
        <v>3000</v>
      </c>
    </row>
    <row r="2484" spans="2:10">
      <c r="C2484" t="s">
        <v>3542</v>
      </c>
      <c r="E2484">
        <f>INDEX(dataTierImpact,,calcReg1Payer2TierOrientationR2)</f>
        <v>0.3</v>
      </c>
      <c r="F2484">
        <f>INDEX(dataTierImpact,,calcReg1Payer2TierOrientationR2)</f>
        <v>0.3</v>
      </c>
      <c r="G2484">
        <f>INDEX(dataTierImpact,,calcReg1Payer2TierOrientationR2)</f>
        <v>0.3</v>
      </c>
      <c r="H2484">
        <f>INDEX(dataTierImpact,,calcReg1Payer2TierOrientationR2)</f>
        <v>0.3</v>
      </c>
      <c r="I2484">
        <f>INDEX(dataTierImpact,,calcReg1Payer2TierOrientationR2)</f>
        <v>0.3</v>
      </c>
    </row>
    <row r="2485" spans="2:10">
      <c r="E2485">
        <v>1</v>
      </c>
      <c r="F2485">
        <v>1</v>
      </c>
      <c r="G2485">
        <v>1</v>
      </c>
      <c r="H2485">
        <v>1</v>
      </c>
      <c r="I2485">
        <v>1</v>
      </c>
    </row>
    <row r="2486" spans="2:10">
      <c r="C2486" t="s">
        <v>2496</v>
      </c>
      <c r="E2486">
        <f>E2483*E2484*E2485</f>
        <v>900</v>
      </c>
      <c r="F2486">
        <f t="shared" ref="F2486:I2486" si="195">F2483*F2484*F2485</f>
        <v>900</v>
      </c>
      <c r="G2486">
        <f t="shared" si="195"/>
        <v>900</v>
      </c>
      <c r="H2486">
        <f t="shared" si="195"/>
        <v>900</v>
      </c>
      <c r="I2486">
        <f t="shared" si="195"/>
        <v>900</v>
      </c>
    </row>
    <row r="2487" spans="2:10" s="4" customFormat="1">
      <c r="C2487" s="4" t="s">
        <v>684</v>
      </c>
      <c r="E2487" s="523">
        <f>E2482*dataTherapy1ListPrice</f>
        <v>0</v>
      </c>
      <c r="F2487" s="523">
        <f>F2482*dataTherapy1ListPrice</f>
        <v>0</v>
      </c>
      <c r="G2487" s="523">
        <f>G2482*dataTherapy1ListPrice</f>
        <v>0</v>
      </c>
      <c r="H2487" s="523">
        <f>H2482*dataTherapy1ListPrice</f>
        <v>0</v>
      </c>
      <c r="I2487" s="523">
        <f>I2482*dataTherapy1ListPrice</f>
        <v>0</v>
      </c>
      <c r="J2487" s="4" t="s">
        <v>2601</v>
      </c>
    </row>
    <row r="2488" spans="2:10" s="4" customFormat="1">
      <c r="C2488" s="4" t="s">
        <v>376</v>
      </c>
      <c r="E2488" s="4">
        <f>E2482*E2486</f>
        <v>0</v>
      </c>
      <c r="F2488" s="4">
        <f t="shared" ref="F2488:I2488" si="196">F2482*F2486</f>
        <v>0</v>
      </c>
      <c r="G2488" s="4">
        <f t="shared" si="196"/>
        <v>0</v>
      </c>
      <c r="H2488" s="4">
        <f t="shared" si="196"/>
        <v>0</v>
      </c>
      <c r="I2488" s="4">
        <f t="shared" si="196"/>
        <v>0</v>
      </c>
      <c r="J2488" s="4" t="s">
        <v>2602</v>
      </c>
    </row>
    <row r="2489" spans="2:10">
      <c r="B2489" s="4" t="str">
        <f>nmPayer3</f>
        <v>Dragon Health</v>
      </c>
    </row>
    <row r="2490" spans="2:10">
      <c r="C2490" t="s">
        <v>1465</v>
      </c>
      <c r="E2490" t="str">
        <f>cbalReg1Payer3Status</f>
        <v>T3 SGSE</v>
      </c>
      <c r="F2490" t="str">
        <f>cbalReg1Payer3Status</f>
        <v>T3 SGSE</v>
      </c>
      <c r="G2490" t="str">
        <f>cbalReg1Payer3Status</f>
        <v>T3 SGSE</v>
      </c>
      <c r="H2490" t="str">
        <f>cbalReg1Payer3Status</f>
        <v>T3 SGSE</v>
      </c>
      <c r="I2490" t="str">
        <f>cbalReg1Payer3Status</f>
        <v>T3 SGSE</v>
      </c>
    </row>
    <row r="2491" spans="2:10">
      <c r="C2491" t="s">
        <v>340</v>
      </c>
      <c r="E2491">
        <f>calcReg1Seg2Payer3VolumeR2</f>
        <v>204.72242824828905</v>
      </c>
      <c r="F2491">
        <f>calcReg1Seg2Payer3VolumeR2</f>
        <v>204.72242824828905</v>
      </c>
      <c r="G2491">
        <f>calcReg1Seg2Payer3VolumeR2</f>
        <v>204.72242824828905</v>
      </c>
      <c r="H2491">
        <f>calcReg1Seg2Payer3VolumeR2</f>
        <v>204.72242824828905</v>
      </c>
      <c r="I2491">
        <f>calcReg1Seg2Payer3VolumeR2</f>
        <v>204.72242824828905</v>
      </c>
    </row>
    <row r="2492" spans="2:10">
      <c r="C2492" t="s">
        <v>2888</v>
      </c>
      <c r="E2492">
        <f>dataTherapy1ListPrice</f>
        <v>3000</v>
      </c>
      <c r="F2492">
        <f>dataTherapy1ListPrice</f>
        <v>3000</v>
      </c>
      <c r="G2492">
        <f>dataTherapy1ListPrice</f>
        <v>3000</v>
      </c>
      <c r="H2492">
        <f>dataTherapy1ListPrice</f>
        <v>3000</v>
      </c>
      <c r="I2492">
        <f>dataTherapy1ListPrice</f>
        <v>3000</v>
      </c>
    </row>
    <row r="2493" spans="2:10">
      <c r="C2493" t="s">
        <v>3542</v>
      </c>
      <c r="E2493">
        <f>INDEX(dataTierImpact,,calcReg1Payer3TierOrientationR2)</f>
        <v>0.6</v>
      </c>
      <c r="F2493">
        <f>INDEX(dataTierImpact,,calcReg1Payer3TierOrientationR2)</f>
        <v>0.6</v>
      </c>
      <c r="G2493">
        <f>INDEX(dataTierImpact,,calcReg1Payer3TierOrientationR2)</f>
        <v>0.6</v>
      </c>
      <c r="H2493">
        <f>INDEX(dataTierImpact,,calcReg1Payer3TierOrientationR2)</f>
        <v>0.6</v>
      </c>
      <c r="I2493">
        <f>INDEX(dataTierImpact,,calcReg1Payer3TierOrientationR2)</f>
        <v>0.6</v>
      </c>
    </row>
    <row r="2494" spans="2:10">
      <c r="E2494">
        <v>1</v>
      </c>
      <c r="F2494">
        <v>1</v>
      </c>
      <c r="G2494">
        <v>1</v>
      </c>
      <c r="H2494">
        <v>1</v>
      </c>
      <c r="I2494">
        <v>1</v>
      </c>
    </row>
    <row r="2495" spans="2:10">
      <c r="C2495" t="s">
        <v>2496</v>
      </c>
      <c r="E2495">
        <f>E2492*E2493*E2494</f>
        <v>1800</v>
      </c>
      <c r="F2495">
        <f t="shared" ref="F2495:I2495" si="197">F2492*F2493*F2494</f>
        <v>1800</v>
      </c>
      <c r="G2495">
        <f t="shared" si="197"/>
        <v>1800</v>
      </c>
      <c r="H2495">
        <f t="shared" si="197"/>
        <v>1800</v>
      </c>
      <c r="I2495">
        <f t="shared" si="197"/>
        <v>1800</v>
      </c>
    </row>
    <row r="2496" spans="2:10" s="4" customFormat="1">
      <c r="C2496" s="4" t="s">
        <v>684</v>
      </c>
      <c r="E2496" s="523">
        <f>E2491*dataTherapy1ListPrice</f>
        <v>614167.28474486712</v>
      </c>
      <c r="F2496" s="523">
        <f>F2491*dataTherapy1ListPrice</f>
        <v>614167.28474486712</v>
      </c>
      <c r="G2496" s="523">
        <f>G2491*dataTherapy1ListPrice</f>
        <v>614167.28474486712</v>
      </c>
      <c r="H2496" s="523">
        <f>H2491*dataTherapy1ListPrice</f>
        <v>614167.28474486712</v>
      </c>
      <c r="I2496" s="523">
        <f>I2491*dataTherapy1ListPrice</f>
        <v>614167.28474486712</v>
      </c>
      <c r="J2496" s="4" t="s">
        <v>2603</v>
      </c>
    </row>
    <row r="2497" spans="2:10" s="4" customFormat="1">
      <c r="C2497" s="4" t="s">
        <v>376</v>
      </c>
      <c r="E2497" s="4">
        <f>E2491*E2495</f>
        <v>368500.3708469203</v>
      </c>
      <c r="F2497" s="4">
        <f t="shared" ref="F2497:I2497" si="198">F2491*F2495</f>
        <v>368500.3708469203</v>
      </c>
      <c r="G2497" s="4">
        <f t="shared" si="198"/>
        <v>368500.3708469203</v>
      </c>
      <c r="H2497" s="4">
        <f t="shared" si="198"/>
        <v>368500.3708469203</v>
      </c>
      <c r="I2497" s="4">
        <f t="shared" si="198"/>
        <v>368500.3708469203</v>
      </c>
      <c r="J2497" s="4" t="s">
        <v>2604</v>
      </c>
    </row>
    <row r="2499" spans="2:10">
      <c r="C2499" s="4" t="s">
        <v>2503</v>
      </c>
      <c r="E2499">
        <f>calcReg1Seg2Payer1GrossRevenueR2+calcReg1Seg2Payer2GrossRevenueR2+calcReg1Seg2Payer3GrossRevenueR2</f>
        <v>1275846.3806455473</v>
      </c>
      <c r="F2499">
        <f>calcReg1Seg2Payer1GrossRevenueR2+calcReg1Seg2Payer2GrossRevenueR2+calcReg1Seg2Payer3GrossRevenueR2</f>
        <v>1275846.3806455473</v>
      </c>
      <c r="G2499">
        <f>calcReg1Seg2Payer1GrossRevenueR2+calcReg1Seg2Payer2GrossRevenueR2+calcReg1Seg2Payer3GrossRevenueR2</f>
        <v>1275846.3806455473</v>
      </c>
      <c r="H2499">
        <f>calcReg1Seg2Payer1GrossRevenueR2+calcReg1Seg2Payer2GrossRevenueR2+calcReg1Seg2Payer3GrossRevenueR2</f>
        <v>1275846.3806455473</v>
      </c>
      <c r="I2499">
        <f>calcReg1Seg2Payer1GrossRevenueR2+calcReg1Seg2Payer2GrossRevenueR2+calcReg1Seg2Payer3GrossRevenueR2</f>
        <v>1275846.3806455473</v>
      </c>
      <c r="J2499" t="s">
        <v>2605</v>
      </c>
    </row>
    <row r="2500" spans="2:10">
      <c r="C2500" s="4" t="s">
        <v>2504</v>
      </c>
      <c r="E2500">
        <f>calcReg1Seg2Payer1NetRevenueR2+calcReg1Seg2Payer2NetRevenueR2+calcReg1Seg2Payer3NetRevenueR2</f>
        <v>633172.00920719234</v>
      </c>
      <c r="F2500">
        <f>calcReg1Seg2Payer1NetRevenueR2+calcReg1Seg2Payer2NetRevenueR2+calcReg1Seg2Payer3NetRevenueR2</f>
        <v>633172.00920719234</v>
      </c>
      <c r="G2500">
        <f>calcReg1Seg2Payer1NetRevenueR2+calcReg1Seg2Payer2NetRevenueR2+calcReg1Seg2Payer3NetRevenueR2</f>
        <v>633172.00920719234</v>
      </c>
      <c r="H2500">
        <f>calcReg1Seg2Payer1NetRevenueR2+calcReg1Seg2Payer2NetRevenueR2+calcReg1Seg2Payer3NetRevenueR2</f>
        <v>633172.00920719234</v>
      </c>
      <c r="I2500">
        <f>calcReg1Seg2Payer1NetRevenueR2+calcReg1Seg2Payer2NetRevenueR2+calcReg1Seg2Payer3NetRevenueR2</f>
        <v>633172.00920719234</v>
      </c>
      <c r="J2500" t="s">
        <v>2606</v>
      </c>
    </row>
    <row r="2501" spans="2:10">
      <c r="C2501" s="4" t="s">
        <v>686</v>
      </c>
      <c r="E2501">
        <f>calcReg1Seg2GrossRevenueR2-calcReg1Seg2NetRevenueR2</f>
        <v>642674.37143835495</v>
      </c>
      <c r="F2501">
        <f>calcReg1Seg2GrossRevenueR2-calcReg1Seg2NetRevenueR2</f>
        <v>642674.37143835495</v>
      </c>
      <c r="G2501">
        <f>calcReg1Seg2GrossRevenueR2-calcReg1Seg2NetRevenueR2</f>
        <v>642674.37143835495</v>
      </c>
      <c r="H2501">
        <f>calcReg1Seg2GrossRevenueR2-calcReg1Seg2NetRevenueR2</f>
        <v>642674.37143835495</v>
      </c>
      <c r="I2501">
        <f>calcReg1Seg2GrossRevenueR2-calcReg1Seg2NetRevenueR2</f>
        <v>642674.37143835495</v>
      </c>
      <c r="J2501" t="s">
        <v>2607</v>
      </c>
    </row>
    <row r="2502" spans="2:10">
      <c r="B2502" t="str">
        <f>nmReg1Seg3</f>
        <v>Harrenhal</v>
      </c>
    </row>
    <row r="2503" spans="2:10">
      <c r="B2503" s="4" t="str">
        <f>nmPayer1</f>
        <v>Blue Sword/Blue Shield</v>
      </c>
    </row>
    <row r="2504" spans="2:10">
      <c r="C2504" t="s">
        <v>1465</v>
      </c>
      <c r="E2504" t="str">
        <f>cbalReg1Payer1Status</f>
        <v>T3 DSE</v>
      </c>
      <c r="F2504" t="str">
        <f>cbalReg1Payer1Status</f>
        <v>T3 DSE</v>
      </c>
      <c r="G2504" t="str">
        <f>cbalReg1Payer1Status</f>
        <v>T3 DSE</v>
      </c>
      <c r="H2504" t="str">
        <f>cbalReg1Payer1Status</f>
        <v>T3 DSE</v>
      </c>
      <c r="I2504" t="str">
        <f>cbalReg1Payer1Status</f>
        <v>T3 DSE</v>
      </c>
    </row>
    <row r="2505" spans="2:10">
      <c r="C2505" t="s">
        <v>340</v>
      </c>
      <c r="E2505">
        <f>calcReg1Seg3Payer1VolumeR2</f>
        <v>263.84975436272089</v>
      </c>
      <c r="F2505">
        <f>calcReg1Seg3Payer1VolumeR2</f>
        <v>263.84975436272089</v>
      </c>
      <c r="G2505">
        <f>calcReg1Seg3Payer1VolumeR2</f>
        <v>263.84975436272089</v>
      </c>
      <c r="H2505">
        <f>calcReg1Seg3Payer1VolumeR2</f>
        <v>263.84975436272089</v>
      </c>
      <c r="I2505">
        <f>calcReg1Seg3Payer1VolumeR2</f>
        <v>263.84975436272089</v>
      </c>
    </row>
    <row r="2506" spans="2:10">
      <c r="C2506" t="s">
        <v>2888</v>
      </c>
      <c r="E2506">
        <f>dataTherapy1ListPrice</f>
        <v>3000</v>
      </c>
      <c r="F2506">
        <f>dataTherapy1ListPrice</f>
        <v>3000</v>
      </c>
      <c r="G2506">
        <f>dataTherapy1ListPrice</f>
        <v>3000</v>
      </c>
      <c r="H2506">
        <f>dataTherapy1ListPrice</f>
        <v>3000</v>
      </c>
      <c r="I2506">
        <f>dataTherapy1ListPrice</f>
        <v>3000</v>
      </c>
    </row>
    <row r="2507" spans="2:10">
      <c r="C2507" t="s">
        <v>3542</v>
      </c>
      <c r="E2507">
        <f>INDEX(dataTierImpact,,calcReg1Payer1TierOrientationR2)</f>
        <v>0.4</v>
      </c>
      <c r="F2507">
        <f>INDEX(dataTierImpact,,calcReg1Payer1TierOrientationR2)</f>
        <v>0.4</v>
      </c>
      <c r="G2507">
        <f>INDEX(dataTierImpact,,calcReg1Payer1TierOrientationR2)</f>
        <v>0.4</v>
      </c>
      <c r="H2507">
        <f>INDEX(dataTierImpact,,calcReg1Payer1TierOrientationR2)</f>
        <v>0.4</v>
      </c>
      <c r="I2507">
        <f>INDEX(dataTierImpact,,calcReg1Payer1TierOrientationR2)</f>
        <v>0.4</v>
      </c>
    </row>
    <row r="2508" spans="2:10">
      <c r="E2508">
        <v>1</v>
      </c>
      <c r="F2508">
        <v>1</v>
      </c>
      <c r="G2508">
        <v>1</v>
      </c>
      <c r="H2508">
        <v>1</v>
      </c>
      <c r="I2508">
        <v>1</v>
      </c>
    </row>
    <row r="2509" spans="2:10">
      <c r="C2509" t="s">
        <v>2496</v>
      </c>
      <c r="E2509">
        <f>E2506*E2507*E2508</f>
        <v>1200</v>
      </c>
      <c r="F2509">
        <f t="shared" ref="F2509:I2509" si="199">F2506*F2507*F2508</f>
        <v>1200</v>
      </c>
      <c r="G2509">
        <f t="shared" si="199"/>
        <v>1200</v>
      </c>
      <c r="H2509">
        <f t="shared" si="199"/>
        <v>1200</v>
      </c>
      <c r="I2509">
        <f t="shared" si="199"/>
        <v>1200</v>
      </c>
    </row>
    <row r="2510" spans="2:10" s="4" customFormat="1">
      <c r="C2510" s="4" t="s">
        <v>684</v>
      </c>
      <c r="E2510" s="523">
        <f>E2505*dataTherapy1ListPrice</f>
        <v>791549.26308816264</v>
      </c>
      <c r="F2510" s="523">
        <f>F2505*dataTherapy1ListPrice</f>
        <v>791549.26308816264</v>
      </c>
      <c r="G2510" s="523">
        <f>G2505*dataTherapy1ListPrice</f>
        <v>791549.26308816264</v>
      </c>
      <c r="H2510" s="523">
        <f>H2505*dataTherapy1ListPrice</f>
        <v>791549.26308816264</v>
      </c>
      <c r="I2510" s="523">
        <f>I2505*dataTherapy1ListPrice</f>
        <v>791549.26308816264</v>
      </c>
      <c r="J2510" s="4" t="s">
        <v>2608</v>
      </c>
    </row>
    <row r="2511" spans="2:10" s="4" customFormat="1">
      <c r="C2511" s="4" t="s">
        <v>376</v>
      </c>
      <c r="E2511" s="4">
        <f>E2505*E2509</f>
        <v>316619.70523526508</v>
      </c>
      <c r="F2511" s="4">
        <f t="shared" ref="F2511:I2511" si="200">F2505*F2509</f>
        <v>316619.70523526508</v>
      </c>
      <c r="G2511" s="4">
        <f t="shared" si="200"/>
        <v>316619.70523526508</v>
      </c>
      <c r="H2511" s="4">
        <f t="shared" si="200"/>
        <v>316619.70523526508</v>
      </c>
      <c r="I2511" s="4">
        <f t="shared" si="200"/>
        <v>316619.70523526508</v>
      </c>
      <c r="J2511" s="4" t="s">
        <v>2609</v>
      </c>
    </row>
    <row r="2512" spans="2:10">
      <c r="B2512" s="4" t="str">
        <f>nmPayer2</f>
        <v>WesterAid</v>
      </c>
    </row>
    <row r="2513" spans="2:10">
      <c r="C2513" t="s">
        <v>1465</v>
      </c>
      <c r="E2513" t="str">
        <f>cbalReg1Payer2Status</f>
        <v>T1 NR</v>
      </c>
      <c r="F2513" t="str">
        <f>cbalReg1Payer2Status</f>
        <v>T1 NR</v>
      </c>
      <c r="G2513" t="str">
        <f>cbalReg1Payer2Status</f>
        <v>T1 NR</v>
      </c>
      <c r="H2513" t="str">
        <f>cbalReg1Payer2Status</f>
        <v>T1 NR</v>
      </c>
      <c r="I2513" t="str">
        <f>cbalReg1Payer2Status</f>
        <v>T1 NR</v>
      </c>
    </row>
    <row r="2514" spans="2:10">
      <c r="C2514" t="s">
        <v>340</v>
      </c>
      <c r="E2514">
        <f>calcReg1Seg3Payer2VolumeR2</f>
        <v>0</v>
      </c>
      <c r="F2514">
        <f>calcReg1Seg3Payer2VolumeR2</f>
        <v>0</v>
      </c>
      <c r="G2514">
        <f>calcReg1Seg3Payer2VolumeR2</f>
        <v>0</v>
      </c>
      <c r="H2514">
        <f>calcReg1Seg3Payer2VolumeR2</f>
        <v>0</v>
      </c>
      <c r="I2514">
        <f>calcReg1Seg3Payer2VolumeR2</f>
        <v>0</v>
      </c>
    </row>
    <row r="2515" spans="2:10">
      <c r="C2515" t="s">
        <v>2888</v>
      </c>
      <c r="E2515">
        <f>dataTherapy1ListPrice</f>
        <v>3000</v>
      </c>
      <c r="F2515">
        <f>dataTherapy1ListPrice</f>
        <v>3000</v>
      </c>
      <c r="G2515">
        <f>dataTherapy1ListPrice</f>
        <v>3000</v>
      </c>
      <c r="H2515">
        <f>dataTherapy1ListPrice</f>
        <v>3000</v>
      </c>
      <c r="I2515">
        <f>dataTherapy1ListPrice</f>
        <v>3000</v>
      </c>
    </row>
    <row r="2516" spans="2:10">
      <c r="C2516" t="s">
        <v>3542</v>
      </c>
      <c r="E2516">
        <f>INDEX(dataTierImpact,,calcReg1Payer2TierOrientationR2)</f>
        <v>0.3</v>
      </c>
      <c r="F2516">
        <f>INDEX(dataTierImpact,,calcReg1Payer2TierOrientationR2)</f>
        <v>0.3</v>
      </c>
      <c r="G2516">
        <f>INDEX(dataTierImpact,,calcReg1Payer2TierOrientationR2)</f>
        <v>0.3</v>
      </c>
      <c r="H2516">
        <f>INDEX(dataTierImpact,,calcReg1Payer2TierOrientationR2)</f>
        <v>0.3</v>
      </c>
      <c r="I2516">
        <f>INDEX(dataTierImpact,,calcReg1Payer2TierOrientationR2)</f>
        <v>0.3</v>
      </c>
    </row>
    <row r="2517" spans="2:10">
      <c r="E2517">
        <v>1</v>
      </c>
      <c r="F2517">
        <v>1</v>
      </c>
      <c r="G2517">
        <v>1</v>
      </c>
      <c r="H2517">
        <v>1</v>
      </c>
      <c r="I2517">
        <v>1</v>
      </c>
    </row>
    <row r="2518" spans="2:10">
      <c r="C2518" t="s">
        <v>2496</v>
      </c>
      <c r="E2518">
        <f>E2515*E2516*E2517</f>
        <v>900</v>
      </c>
      <c r="F2518">
        <f t="shared" ref="F2518:I2518" si="201">F2515*F2516*F2517</f>
        <v>900</v>
      </c>
      <c r="G2518">
        <f t="shared" si="201"/>
        <v>900</v>
      </c>
      <c r="H2518">
        <f t="shared" si="201"/>
        <v>900</v>
      </c>
      <c r="I2518">
        <f t="shared" si="201"/>
        <v>900</v>
      </c>
    </row>
    <row r="2519" spans="2:10" s="4" customFormat="1">
      <c r="C2519" s="4" t="s">
        <v>684</v>
      </c>
      <c r="E2519" s="523">
        <f>E2514*dataTherapy1ListPrice</f>
        <v>0</v>
      </c>
      <c r="F2519" s="523">
        <f>F2514*dataTherapy1ListPrice</f>
        <v>0</v>
      </c>
      <c r="G2519" s="523">
        <f>G2514*dataTherapy1ListPrice</f>
        <v>0</v>
      </c>
      <c r="H2519" s="523">
        <f>H2514*dataTherapy1ListPrice</f>
        <v>0</v>
      </c>
      <c r="I2519" s="523">
        <f>I2514*dataTherapy1ListPrice</f>
        <v>0</v>
      </c>
      <c r="J2519" s="4" t="s">
        <v>2610</v>
      </c>
    </row>
    <row r="2520" spans="2:10" s="4" customFormat="1">
      <c r="C2520" s="4" t="s">
        <v>376</v>
      </c>
      <c r="E2520" s="4">
        <f>E2514*E2518</f>
        <v>0</v>
      </c>
      <c r="F2520" s="4">
        <f t="shared" ref="F2520:I2520" si="202">F2514*F2518</f>
        <v>0</v>
      </c>
      <c r="G2520" s="4">
        <f t="shared" si="202"/>
        <v>0</v>
      </c>
      <c r="H2520" s="4">
        <f t="shared" si="202"/>
        <v>0</v>
      </c>
      <c r="I2520" s="4">
        <f t="shared" si="202"/>
        <v>0</v>
      </c>
      <c r="J2520" s="4" t="s">
        <v>2611</v>
      </c>
    </row>
    <row r="2521" spans="2:10">
      <c r="B2521" s="4" t="str">
        <f>nmPayer3</f>
        <v>Dragon Health</v>
      </c>
    </row>
    <row r="2522" spans="2:10">
      <c r="C2522" t="s">
        <v>1465</v>
      </c>
      <c r="E2522" t="str">
        <f>cbalReg1Payer3Status</f>
        <v>T3 SGSE</v>
      </c>
      <c r="F2522" t="str">
        <f>cbalReg1Payer3Status</f>
        <v>T3 SGSE</v>
      </c>
      <c r="G2522" t="str">
        <f>cbalReg1Payer3Status</f>
        <v>T3 SGSE</v>
      </c>
      <c r="H2522" t="str">
        <f>cbalReg1Payer3Status</f>
        <v>T3 SGSE</v>
      </c>
      <c r="I2522" t="str">
        <f>cbalReg1Payer3Status</f>
        <v>T3 SGSE</v>
      </c>
    </row>
    <row r="2523" spans="2:10">
      <c r="C2523" t="s">
        <v>340</v>
      </c>
      <c r="E2523">
        <f>calcReg1Seg3Payer3VolumeR2</f>
        <v>226.81820085451341</v>
      </c>
      <c r="F2523">
        <f>calcReg1Seg3Payer3VolumeR2</f>
        <v>226.81820085451341</v>
      </c>
      <c r="G2523">
        <f>calcReg1Seg3Payer3VolumeR2</f>
        <v>226.81820085451341</v>
      </c>
      <c r="H2523">
        <f>calcReg1Seg3Payer3VolumeR2</f>
        <v>226.81820085451341</v>
      </c>
      <c r="I2523">
        <f>calcReg1Seg3Payer3VolumeR2</f>
        <v>226.81820085451341</v>
      </c>
    </row>
    <row r="2524" spans="2:10">
      <c r="C2524" t="s">
        <v>2888</v>
      </c>
      <c r="E2524">
        <f>dataTherapy1ListPrice</f>
        <v>3000</v>
      </c>
      <c r="F2524">
        <f>dataTherapy1ListPrice</f>
        <v>3000</v>
      </c>
      <c r="G2524">
        <f>dataTherapy1ListPrice</f>
        <v>3000</v>
      </c>
      <c r="H2524">
        <f>dataTherapy1ListPrice</f>
        <v>3000</v>
      </c>
      <c r="I2524">
        <f>dataTherapy1ListPrice</f>
        <v>3000</v>
      </c>
    </row>
    <row r="2525" spans="2:10">
      <c r="C2525" t="s">
        <v>3542</v>
      </c>
      <c r="E2525">
        <f>INDEX(dataTierImpact,,calcReg1Payer3TierOrientationR2)</f>
        <v>0.6</v>
      </c>
      <c r="F2525">
        <f>INDEX(dataTierImpact,,calcReg1Payer3TierOrientationR2)</f>
        <v>0.6</v>
      </c>
      <c r="G2525">
        <f>INDEX(dataTierImpact,,calcReg1Payer3TierOrientationR2)</f>
        <v>0.6</v>
      </c>
      <c r="H2525">
        <f>INDEX(dataTierImpact,,calcReg1Payer3TierOrientationR2)</f>
        <v>0.6</v>
      </c>
      <c r="I2525">
        <f>INDEX(dataTierImpact,,calcReg1Payer3TierOrientationR2)</f>
        <v>0.6</v>
      </c>
    </row>
    <row r="2526" spans="2:10">
      <c r="E2526">
        <v>1</v>
      </c>
      <c r="F2526">
        <v>1</v>
      </c>
      <c r="G2526">
        <v>1</v>
      </c>
      <c r="H2526">
        <v>1</v>
      </c>
      <c r="I2526">
        <v>1</v>
      </c>
    </row>
    <row r="2527" spans="2:10">
      <c r="C2527" t="s">
        <v>2496</v>
      </c>
      <c r="E2527">
        <f>E2524*E2525*E2526</f>
        <v>1800</v>
      </c>
      <c r="F2527">
        <f t="shared" ref="F2527:I2527" si="203">F2524*F2525*F2526</f>
        <v>1800</v>
      </c>
      <c r="G2527">
        <f t="shared" si="203"/>
        <v>1800</v>
      </c>
      <c r="H2527">
        <f t="shared" si="203"/>
        <v>1800</v>
      </c>
      <c r="I2527">
        <f t="shared" si="203"/>
        <v>1800</v>
      </c>
    </row>
    <row r="2528" spans="2:10" s="4" customFormat="1">
      <c r="C2528" s="4" t="s">
        <v>684</v>
      </c>
      <c r="E2528" s="523">
        <f>E2523*dataTherapy1ListPrice</f>
        <v>680454.60256354022</v>
      </c>
      <c r="F2528" s="523">
        <f>F2523*dataTherapy1ListPrice</f>
        <v>680454.60256354022</v>
      </c>
      <c r="G2528" s="523">
        <f>G2523*dataTherapy1ListPrice</f>
        <v>680454.60256354022</v>
      </c>
      <c r="H2528" s="523">
        <f>H2523*dataTherapy1ListPrice</f>
        <v>680454.60256354022</v>
      </c>
      <c r="I2528" s="523">
        <f>I2523*dataTherapy1ListPrice</f>
        <v>680454.60256354022</v>
      </c>
      <c r="J2528" s="4" t="s">
        <v>2612</v>
      </c>
    </row>
    <row r="2529" spans="1:15" s="4" customFormat="1">
      <c r="C2529" s="4" t="s">
        <v>376</v>
      </c>
      <c r="E2529" s="4">
        <f>E2523*E2527</f>
        <v>408272.76153812412</v>
      </c>
      <c r="F2529" s="4">
        <f t="shared" ref="F2529:I2529" si="204">F2523*F2527</f>
        <v>408272.76153812412</v>
      </c>
      <c r="G2529" s="4">
        <f t="shared" si="204"/>
        <v>408272.76153812412</v>
      </c>
      <c r="H2529" s="4">
        <f t="shared" si="204"/>
        <v>408272.76153812412</v>
      </c>
      <c r="I2529" s="4">
        <f t="shared" si="204"/>
        <v>408272.76153812412</v>
      </c>
      <c r="J2529" s="4" t="s">
        <v>2613</v>
      </c>
    </row>
    <row r="2531" spans="1:15">
      <c r="C2531" s="4" t="s">
        <v>2503</v>
      </c>
      <c r="E2531">
        <f>calcReg1Seg3Payer1GrossRevenueR2+calcReg1Seg3Payer2GrossRevenueR2+calcReg1Seg3Payer3GrossRevenueR2</f>
        <v>1472003.865651703</v>
      </c>
      <c r="F2531">
        <f>calcReg1Seg3Payer1GrossRevenueR2+calcReg1Seg3Payer2GrossRevenueR2+calcReg1Seg3Payer3GrossRevenueR2</f>
        <v>1472003.865651703</v>
      </c>
      <c r="G2531">
        <f>calcReg1Seg3Payer1GrossRevenueR2+calcReg1Seg3Payer2GrossRevenueR2+calcReg1Seg3Payer3GrossRevenueR2</f>
        <v>1472003.865651703</v>
      </c>
      <c r="H2531">
        <f>calcReg1Seg3Payer1GrossRevenueR2+calcReg1Seg3Payer2GrossRevenueR2+calcReg1Seg3Payer3GrossRevenueR2</f>
        <v>1472003.865651703</v>
      </c>
      <c r="I2531">
        <f>calcReg1Seg3Payer1GrossRevenueR2+calcReg1Seg3Payer2GrossRevenueR2+calcReg1Seg3Payer3GrossRevenueR2</f>
        <v>1472003.865651703</v>
      </c>
      <c r="J2531" t="s">
        <v>2614</v>
      </c>
    </row>
    <row r="2532" spans="1:15">
      <c r="C2532" s="4" t="s">
        <v>2504</v>
      </c>
      <c r="E2532">
        <f>calcReg1Seg3Payer1NetRevenueR2+calcReg1Seg3Payer2NetRevenueR2+calcReg1Seg3Payer3NetRevenueR2</f>
        <v>724892.46677338914</v>
      </c>
      <c r="F2532">
        <f>calcReg1Seg3Payer1NetRevenueR2+calcReg1Seg3Payer2NetRevenueR2+calcReg1Seg3Payer3NetRevenueR2</f>
        <v>724892.46677338914</v>
      </c>
      <c r="G2532">
        <f>calcReg1Seg3Payer1NetRevenueR2+calcReg1Seg3Payer2NetRevenueR2+calcReg1Seg3Payer3NetRevenueR2</f>
        <v>724892.46677338914</v>
      </c>
      <c r="H2532">
        <f>calcReg1Seg3Payer1NetRevenueR2+calcReg1Seg3Payer2NetRevenueR2+calcReg1Seg3Payer3NetRevenueR2</f>
        <v>724892.46677338914</v>
      </c>
      <c r="I2532">
        <f>calcReg1Seg3Payer1NetRevenueR2+calcReg1Seg3Payer2NetRevenueR2+calcReg1Seg3Payer3NetRevenueR2</f>
        <v>724892.46677338914</v>
      </c>
      <c r="J2532" t="s">
        <v>2615</v>
      </c>
    </row>
    <row r="2533" spans="1:15">
      <c r="C2533" s="4" t="s">
        <v>686</v>
      </c>
      <c r="E2533">
        <f>calcReg1Seg3GrossRevenueR2-calcReg1Seg3NetRevenueR2</f>
        <v>747111.39887831383</v>
      </c>
      <c r="F2533">
        <f>calcReg1Seg3GrossRevenueR2-calcReg1Seg3NetRevenueR2</f>
        <v>747111.39887831383</v>
      </c>
      <c r="G2533">
        <f>calcReg1Seg3GrossRevenueR2-calcReg1Seg3NetRevenueR2</f>
        <v>747111.39887831383</v>
      </c>
      <c r="H2533">
        <f>calcReg1Seg3GrossRevenueR2-calcReg1Seg3NetRevenueR2</f>
        <v>747111.39887831383</v>
      </c>
      <c r="I2533">
        <f>calcReg1Seg3GrossRevenueR2-calcReg1Seg3NetRevenueR2</f>
        <v>747111.39887831383</v>
      </c>
      <c r="J2533" t="s">
        <v>2616</v>
      </c>
    </row>
    <row r="2535" spans="1:15">
      <c r="A2535" t="s">
        <v>2526</v>
      </c>
      <c r="C2535" s="4" t="s">
        <v>2503</v>
      </c>
      <c r="E2535">
        <f>calcReg1Seg1GrossRevenueR2+calcReg1Seg2GrossRevenueR2+calcReg1Seg3GrossRevenueR2</f>
        <v>3976646.6492488603</v>
      </c>
      <c r="F2535">
        <f>calcReg1Seg1GrossRevenueR2+calcReg1Seg2GrossRevenueR2+calcReg1Seg3GrossRevenueR2</f>
        <v>3976646.6492488603</v>
      </c>
      <c r="G2535">
        <f>calcReg1Seg1GrossRevenueR2+calcReg1Seg2GrossRevenueR2+calcReg1Seg3GrossRevenueR2</f>
        <v>3976646.6492488603</v>
      </c>
      <c r="H2535">
        <f>calcReg1Seg1GrossRevenueR2+calcReg1Seg2GrossRevenueR2+calcReg1Seg3GrossRevenueR2</f>
        <v>3976646.6492488603</v>
      </c>
      <c r="I2535">
        <f>calcReg1Seg1GrossRevenueR2+calcReg1Seg2GrossRevenueR2+calcReg1Seg3GrossRevenueR2</f>
        <v>3976646.6492488603</v>
      </c>
      <c r="J2535" t="s">
        <v>2617</v>
      </c>
    </row>
    <row r="2536" spans="1:15">
      <c r="C2536" s="4" t="s">
        <v>2504</v>
      </c>
      <c r="E2536">
        <f>calcReg1Seg1NetRevenueR2+calcReg1Seg2NetRevenueR2+calcReg1Seg3NetRevenueR2</f>
        <v>1986094.7484887994</v>
      </c>
      <c r="F2536">
        <f>calcReg1Seg1NetRevenueR2+calcReg1Seg2NetRevenueR2+calcReg1Seg3NetRevenueR2</f>
        <v>1986094.7484887994</v>
      </c>
      <c r="G2536">
        <f>calcReg1Seg1NetRevenueR2+calcReg1Seg2NetRevenueR2+calcReg1Seg3NetRevenueR2</f>
        <v>1986094.7484887994</v>
      </c>
      <c r="H2536">
        <f>calcReg1Seg1NetRevenueR2+calcReg1Seg2NetRevenueR2+calcReg1Seg3NetRevenueR2</f>
        <v>1986094.7484887994</v>
      </c>
      <c r="I2536">
        <f>calcReg1Seg1NetRevenueR2+calcReg1Seg2NetRevenueR2+calcReg1Seg3NetRevenueR2</f>
        <v>1986094.7484887994</v>
      </c>
      <c r="J2536" t="s">
        <v>2618</v>
      </c>
    </row>
    <row r="2537" spans="1:15">
      <c r="C2537" s="4" t="s">
        <v>686</v>
      </c>
      <c r="E2537">
        <f>calcReg1TotalGrossRevenueR2-calcReg1TotalNetRevenueR2</f>
        <v>1990551.9007600609</v>
      </c>
      <c r="F2537">
        <f>calcReg1TotalGrossRevenueR2-calcReg1TotalNetRevenueR2</f>
        <v>1990551.9007600609</v>
      </c>
      <c r="G2537">
        <f>calcReg1TotalGrossRevenueR2-calcReg1TotalNetRevenueR2</f>
        <v>1990551.9007600609</v>
      </c>
      <c r="H2537">
        <f>calcReg1TotalGrossRevenueR2-calcReg1TotalNetRevenueR2</f>
        <v>1990551.9007600609</v>
      </c>
      <c r="I2537">
        <f>calcReg1TotalGrossRevenueR2-calcReg1TotalNetRevenueR2</f>
        <v>1990551.9007600609</v>
      </c>
      <c r="J2537" t="s">
        <v>2619</v>
      </c>
    </row>
    <row r="2539" spans="1:15">
      <c r="A2539" s="4" t="s">
        <v>2646</v>
      </c>
    </row>
    <row r="2540" spans="1:15" s="507" customFormat="1">
      <c r="A2540" s="506" t="str">
        <f>nmProd1Seg1</f>
        <v>Riverrun Central</v>
      </c>
    </row>
    <row r="2541" spans="1:15">
      <c r="B2541" s="4" t="str">
        <f>nmProd1Seg1Rep1</f>
        <v>Rep Allen</v>
      </c>
      <c r="C2541" s="16" t="s">
        <v>1486</v>
      </c>
      <c r="E2541">
        <f>obalProd1Seg1Rep1Cap</f>
        <v>0.5</v>
      </c>
      <c r="F2541">
        <f>obalProd1Seg1Rep1Cap</f>
        <v>0.5</v>
      </c>
      <c r="G2541">
        <f>obalProd1Seg1Rep1Cap</f>
        <v>0.5</v>
      </c>
      <c r="H2541">
        <f>obalProd1Seg1Rep1Cap</f>
        <v>0.5</v>
      </c>
      <c r="I2541">
        <f>obalProd1Seg1Rep1Cap</f>
        <v>0.5</v>
      </c>
    </row>
    <row r="2542" spans="1:15">
      <c r="C2542" t="s">
        <v>585</v>
      </c>
      <c r="E2542">
        <f>decInputProd1Seg1Rep1Coaching_R1*$K2542</f>
        <v>0</v>
      </c>
      <c r="F2542">
        <f>decInputProd1Seg1Rep1Coaching_R1*$K2542</f>
        <v>0</v>
      </c>
      <c r="G2542">
        <f>decInputProd1Seg1Rep1Coaching_R1*$K2542</f>
        <v>0</v>
      </c>
      <c r="H2542">
        <f>decInputProd1Seg1Rep1Coaching_R1*$K2542</f>
        <v>0</v>
      </c>
      <c r="I2542">
        <f>decInputProd1Seg1Rep1Coaching_R1*$K2542</f>
        <v>0</v>
      </c>
      <c r="K2542">
        <v>0.04</v>
      </c>
      <c r="N2542" s="381">
        <v>1.1000000000000001</v>
      </c>
      <c r="O2542" t="s">
        <v>3796</v>
      </c>
    </row>
    <row r="2543" spans="1:15">
      <c r="C2543" t="s">
        <v>3211</v>
      </c>
      <c r="E2543">
        <f>decInputProd1Seg1RegTrainer_R1*$K2543</f>
        <v>0</v>
      </c>
      <c r="F2543">
        <f>decInputProd1Seg1RegTrainer_R1*$K2543</f>
        <v>0</v>
      </c>
      <c r="G2543">
        <f>decInputProd1Seg1RegTrainer_R1*$K2543</f>
        <v>0</v>
      </c>
      <c r="H2543">
        <f>decInputProd1Seg1RegTrainer_R1*$K2543</f>
        <v>0</v>
      </c>
      <c r="I2543">
        <f>decInputProd1Seg1RegTrainer_R1*$K2543</f>
        <v>0</v>
      </c>
      <c r="K2543">
        <v>0.03</v>
      </c>
    </row>
    <row r="2544" spans="1:15">
      <c r="C2544" t="s">
        <v>1534</v>
      </c>
      <c r="E2544">
        <f>MIN(SUM(E2541:E2543),xxRepCapMax)</f>
        <v>0.5</v>
      </c>
      <c r="F2544">
        <f>MIN(SUM(F2541:F2543),xxRepCapMax)</f>
        <v>0.5</v>
      </c>
      <c r="G2544">
        <f>MIN(SUM(G2541:G2543),xxRepCapMax)</f>
        <v>0.5</v>
      </c>
      <c r="H2544">
        <f>MIN(SUM(H2541:H2543),xxRepCapMax)</f>
        <v>0.5</v>
      </c>
      <c r="I2544">
        <f>MIN(SUM(I2541:I2543),xxRepCapMax)</f>
        <v>0.5</v>
      </c>
      <c r="J2544" t="s">
        <v>2924</v>
      </c>
    </row>
    <row r="2546" spans="2:11">
      <c r="B2546" s="4" t="str">
        <f>nmProd1Seg1Rep2</f>
        <v>Rep Betty</v>
      </c>
      <c r="C2546" s="16" t="s">
        <v>1486</v>
      </c>
      <c r="E2546">
        <f>obalProd1Seg1Rep2Cap</f>
        <v>0.5</v>
      </c>
      <c r="F2546">
        <f>obalProd1Seg1Rep2Cap</f>
        <v>0.5</v>
      </c>
      <c r="G2546">
        <f>obalProd1Seg1Rep2Cap</f>
        <v>0.5</v>
      </c>
      <c r="H2546">
        <f>obalProd1Seg1Rep2Cap</f>
        <v>0.5</v>
      </c>
      <c r="I2546">
        <f>obalProd1Seg1Rep2Cap</f>
        <v>0.5</v>
      </c>
    </row>
    <row r="2547" spans="2:11">
      <c r="C2547" t="s">
        <v>585</v>
      </c>
      <c r="E2547">
        <f>decInputProd1Seg1Rep2Coaching_R1*$K2547</f>
        <v>0</v>
      </c>
      <c r="F2547">
        <f>decInputProd1Seg1Rep2Coaching_R1*$K2547</f>
        <v>0</v>
      </c>
      <c r="G2547">
        <f>decInputProd1Seg1Rep2Coaching_R1*$K2547</f>
        <v>0</v>
      </c>
      <c r="H2547">
        <f>decInputProd1Seg1Rep2Coaching_R1*$K2547</f>
        <v>0</v>
      </c>
      <c r="I2547">
        <f>decInputProd1Seg1Rep2Coaching_R1*$K2547</f>
        <v>0</v>
      </c>
      <c r="K2547">
        <v>0.05</v>
      </c>
    </row>
    <row r="2548" spans="2:11">
      <c r="C2548" t="s">
        <v>3211</v>
      </c>
      <c r="E2548">
        <f>decInputProd1Seg1RegTrainer_R1*$K2548</f>
        <v>0</v>
      </c>
      <c r="F2548">
        <f>decInputProd1Seg1RegTrainer_R1*$K2548</f>
        <v>0</v>
      </c>
      <c r="G2548">
        <f>decInputProd1Seg1RegTrainer_R1*$K2548</f>
        <v>0</v>
      </c>
      <c r="H2548">
        <f>decInputProd1Seg1RegTrainer_R1*$K2548</f>
        <v>0</v>
      </c>
      <c r="I2548">
        <f>decInputProd1Seg1RegTrainer_R1*$K2548</f>
        <v>0</v>
      </c>
      <c r="K2548">
        <v>0.03</v>
      </c>
    </row>
    <row r="2549" spans="2:11">
      <c r="C2549" t="s">
        <v>1534</v>
      </c>
      <c r="E2549">
        <f>MIN(SUM(E2546:E2548),xxRepCapMax)</f>
        <v>0.5</v>
      </c>
      <c r="F2549">
        <f>MIN(SUM(F2546:F2548),xxRepCapMax)</f>
        <v>0.5</v>
      </c>
      <c r="G2549">
        <f>MIN(SUM(G2546:G2548),xxRepCapMax)</f>
        <v>0.5</v>
      </c>
      <c r="H2549">
        <f>MIN(SUM(H2546:H2548),xxRepCapMax)</f>
        <v>0.5</v>
      </c>
      <c r="I2549">
        <f>MIN(SUM(I2546:I2548),xxRepCapMax)</f>
        <v>0.5</v>
      </c>
      <c r="J2549" t="s">
        <v>2925</v>
      </c>
    </row>
    <row r="2551" spans="2:11">
      <c r="B2551" s="4" t="str">
        <f>nmProd1Seg1Rep3</f>
        <v>Rep Chris</v>
      </c>
      <c r="C2551" s="16" t="s">
        <v>1486</v>
      </c>
      <c r="E2551">
        <f>obalProd1Seg1Rep3Cap</f>
        <v>0.9</v>
      </c>
      <c r="F2551">
        <f>obalProd1Seg1Rep3Cap</f>
        <v>0.9</v>
      </c>
      <c r="G2551">
        <f>obalProd1Seg1Rep3Cap</f>
        <v>0.9</v>
      </c>
      <c r="H2551">
        <f>obalProd1Seg1Rep3Cap</f>
        <v>0.9</v>
      </c>
      <c r="I2551">
        <f>obalProd1Seg1Rep3Cap</f>
        <v>0.9</v>
      </c>
    </row>
    <row r="2552" spans="2:11">
      <c r="C2552" t="s">
        <v>585</v>
      </c>
      <c r="E2552">
        <f>decInputProd1Seg1Rep3Coaching_R1*$K2552</f>
        <v>0</v>
      </c>
      <c r="F2552">
        <f>decInputProd1Seg1Rep3Coaching_R1*$K2552</f>
        <v>0</v>
      </c>
      <c r="G2552">
        <f>decInputProd1Seg1Rep3Coaching_R1*$K2552</f>
        <v>0</v>
      </c>
      <c r="H2552">
        <f>decInputProd1Seg1Rep3Coaching_R1*$K2552</f>
        <v>0</v>
      </c>
      <c r="I2552">
        <f>decInputProd1Seg1Rep3Coaching_R1*$K2552</f>
        <v>0</v>
      </c>
      <c r="K2552">
        <v>0.04</v>
      </c>
    </row>
    <row r="2553" spans="2:11">
      <c r="C2553" t="s">
        <v>3211</v>
      </c>
      <c r="E2553">
        <f>decInputProd1Seg1RegTrainer_R1*$K2553</f>
        <v>0</v>
      </c>
      <c r="F2553">
        <f>decInputProd1Seg1RegTrainer_R1*$K2553</f>
        <v>0</v>
      </c>
      <c r="G2553">
        <f>decInputProd1Seg1RegTrainer_R1*$K2553</f>
        <v>0</v>
      </c>
      <c r="H2553">
        <f>decInputProd1Seg1RegTrainer_R1*$K2553</f>
        <v>0</v>
      </c>
      <c r="I2553">
        <f>decInputProd1Seg1RegTrainer_R1*$K2553</f>
        <v>0</v>
      </c>
      <c r="K2553">
        <v>0.02</v>
      </c>
    </row>
    <row r="2554" spans="2:11">
      <c r="C2554" t="s">
        <v>1534</v>
      </c>
      <c r="E2554">
        <f>MIN(SUM(E2551:E2553),xxRepCapMax)</f>
        <v>0.9</v>
      </c>
      <c r="F2554">
        <f>MIN(SUM(F2551:F2553),xxRepCapMax)</f>
        <v>0.9</v>
      </c>
      <c r="G2554">
        <f>MIN(SUM(G2551:G2553),xxRepCapMax)</f>
        <v>0.9</v>
      </c>
      <c r="H2554">
        <f>MIN(SUM(H2551:H2553),xxRepCapMax)</f>
        <v>0.9</v>
      </c>
      <c r="I2554">
        <f>MIN(SUM(I2551:I2553),xxRepCapMax)</f>
        <v>0.9</v>
      </c>
      <c r="J2554" t="s">
        <v>2926</v>
      </c>
    </row>
    <row r="2556" spans="2:11">
      <c r="B2556" s="4" t="str">
        <f>nmProd1Seg1Rep1</f>
        <v>Rep Allen</v>
      </c>
      <c r="C2556" s="16" t="s">
        <v>1486</v>
      </c>
      <c r="E2556">
        <f>obalProd1Seg1Rep1Cap</f>
        <v>0.5</v>
      </c>
      <c r="F2556">
        <f>obalProd1Seg1Rep1Cap</f>
        <v>0.5</v>
      </c>
      <c r="G2556">
        <f>obalProd1Seg1Rep1Cap</f>
        <v>0.5</v>
      </c>
      <c r="H2556">
        <f>obalProd1Seg1Rep1Cap</f>
        <v>0.5</v>
      </c>
      <c r="I2556">
        <f>obalProd1Seg1Rep1Cap</f>
        <v>0.5</v>
      </c>
    </row>
    <row r="2557" spans="2:11">
      <c r="C2557" t="s">
        <v>585</v>
      </c>
      <c r="E2557">
        <f>decInputProd1Seg1Rep1Coaching_R2*$K2557</f>
        <v>0</v>
      </c>
      <c r="F2557">
        <f>decInputProd1Seg1Rep1Coaching_R2*$K2557</f>
        <v>0</v>
      </c>
      <c r="G2557">
        <f>decInputProd1Seg1Rep1Coaching_R2*$K2557</f>
        <v>0</v>
      </c>
      <c r="H2557">
        <f>decInputProd1Seg1Rep1Coaching_R2*$K2557</f>
        <v>0</v>
      </c>
      <c r="I2557">
        <f>decInputProd1Seg1Rep1Coaching_R2*$K2557</f>
        <v>0</v>
      </c>
      <c r="K2557">
        <v>0.05</v>
      </c>
    </row>
    <row r="2558" spans="2:11">
      <c r="C2558" t="s">
        <v>3211</v>
      </c>
      <c r="E2558">
        <f>decInputProd1Seg1RegTrainer_R2*$K2558</f>
        <v>0</v>
      </c>
      <c r="F2558">
        <f>decInputProd1Seg1RegTrainer_R2*$K2558</f>
        <v>0</v>
      </c>
      <c r="G2558">
        <f>decInputProd1Seg1RegTrainer_R2*$K2558</f>
        <v>0</v>
      </c>
      <c r="H2558">
        <f>decInputProd1Seg1RegTrainer_R2*$K2558</f>
        <v>0</v>
      </c>
      <c r="I2558">
        <f>decInputProd1Seg1RegTrainer_R2*$K2558</f>
        <v>0</v>
      </c>
      <c r="K2558">
        <v>0.03</v>
      </c>
    </row>
    <row r="2559" spans="2:11">
      <c r="C2559" t="s">
        <v>1534</v>
      </c>
      <c r="E2559">
        <f>MIN(SUM(E2556:E2558),xxRepCapMax)</f>
        <v>0.5</v>
      </c>
      <c r="F2559">
        <f>MIN(SUM(F2556:F2558),xxRepCapMax)</f>
        <v>0.5</v>
      </c>
      <c r="G2559">
        <f>MIN(SUM(G2556:G2558),xxRepCapMax)</f>
        <v>0.5</v>
      </c>
      <c r="H2559">
        <f>MIN(SUM(H2556:H2558),xxRepCapMax)</f>
        <v>0.5</v>
      </c>
      <c r="I2559">
        <f>MIN(SUM(I2556:I2558),xxRepCapMax)</f>
        <v>0.5</v>
      </c>
      <c r="J2559" t="s">
        <v>2927</v>
      </c>
    </row>
    <row r="2561" spans="1:11">
      <c r="B2561" s="4" t="str">
        <f>nmProd1Seg1Rep2</f>
        <v>Rep Betty</v>
      </c>
      <c r="C2561" s="16" t="s">
        <v>1486</v>
      </c>
      <c r="E2561">
        <f>obalProd1Seg1Rep2Cap</f>
        <v>0.5</v>
      </c>
      <c r="F2561">
        <f>obalProd1Seg1Rep2Cap</f>
        <v>0.5</v>
      </c>
      <c r="G2561">
        <f>obalProd1Seg1Rep2Cap</f>
        <v>0.5</v>
      </c>
      <c r="H2561">
        <f>obalProd1Seg1Rep2Cap</f>
        <v>0.5</v>
      </c>
      <c r="I2561">
        <f>obalProd1Seg1Rep2Cap</f>
        <v>0.5</v>
      </c>
    </row>
    <row r="2562" spans="1:11">
      <c r="C2562" t="s">
        <v>585</v>
      </c>
      <c r="E2562">
        <f>decInputProd1Seg1Rep2Coaching_R2*$K2562</f>
        <v>0</v>
      </c>
      <c r="F2562">
        <f>decInputProd1Seg1Rep2Coaching_R2*$K2562</f>
        <v>0</v>
      </c>
      <c r="G2562">
        <f>decInputProd1Seg1Rep2Coaching_R2*$K2562</f>
        <v>0</v>
      </c>
      <c r="H2562">
        <f>decInputProd1Seg1Rep2Coaching_R2*$K2562</f>
        <v>0</v>
      </c>
      <c r="I2562">
        <f>decInputProd1Seg1Rep2Coaching_R2*$K2562</f>
        <v>0</v>
      </c>
      <c r="K2562">
        <v>0.05</v>
      </c>
    </row>
    <row r="2563" spans="1:11">
      <c r="C2563" t="s">
        <v>3211</v>
      </c>
      <c r="E2563">
        <f>decInputProd1Seg1RegTrainer_R2*$K2563</f>
        <v>0</v>
      </c>
      <c r="F2563">
        <f>decInputProd1Seg1RegTrainer_R2*$K2563</f>
        <v>0</v>
      </c>
      <c r="G2563">
        <f>decInputProd1Seg1RegTrainer_R2*$K2563</f>
        <v>0</v>
      </c>
      <c r="H2563">
        <f>decInputProd1Seg1RegTrainer_R2*$K2563</f>
        <v>0</v>
      </c>
      <c r="I2563">
        <f>decInputProd1Seg1RegTrainer_R2*$K2563</f>
        <v>0</v>
      </c>
      <c r="K2563">
        <v>0.03</v>
      </c>
    </row>
    <row r="2564" spans="1:11">
      <c r="C2564" t="s">
        <v>1534</v>
      </c>
      <c r="E2564">
        <f>MIN(SUM(E2561:E2563),xxRepCapMax)</f>
        <v>0.5</v>
      </c>
      <c r="F2564">
        <f>MIN(SUM(F2561:F2563),xxRepCapMax)</f>
        <v>0.5</v>
      </c>
      <c r="G2564">
        <f>MIN(SUM(G2561:G2563),xxRepCapMax)</f>
        <v>0.5</v>
      </c>
      <c r="H2564">
        <f>MIN(SUM(H2561:H2563),xxRepCapMax)</f>
        <v>0.5</v>
      </c>
      <c r="I2564">
        <f>MIN(SUM(I2561:I2563),xxRepCapMax)</f>
        <v>0.5</v>
      </c>
      <c r="J2564" t="s">
        <v>2928</v>
      </c>
    </row>
    <row r="2566" spans="1:11">
      <c r="B2566" s="4" t="str">
        <f>nmProd1Seg1Rep3</f>
        <v>Rep Chris</v>
      </c>
      <c r="C2566" s="16" t="s">
        <v>1486</v>
      </c>
      <c r="E2566">
        <f>obalProd1Seg1Rep3Cap</f>
        <v>0.9</v>
      </c>
      <c r="F2566">
        <f>obalProd1Seg1Rep3Cap</f>
        <v>0.9</v>
      </c>
      <c r="G2566">
        <f>obalProd1Seg1Rep3Cap</f>
        <v>0.9</v>
      </c>
      <c r="H2566">
        <f>obalProd1Seg1Rep3Cap</f>
        <v>0.9</v>
      </c>
      <c r="I2566">
        <f>obalProd1Seg1Rep3Cap</f>
        <v>0.9</v>
      </c>
    </row>
    <row r="2567" spans="1:11">
      <c r="C2567" t="s">
        <v>585</v>
      </c>
      <c r="E2567">
        <f>decInputProd1Seg1Rep3Coaching_R2*$K2567</f>
        <v>0</v>
      </c>
      <c r="F2567">
        <f>decInputProd1Seg1Rep3Coaching_R2*$K2567</f>
        <v>0</v>
      </c>
      <c r="G2567">
        <f>decInputProd1Seg1Rep3Coaching_R2*$K2567</f>
        <v>0</v>
      </c>
      <c r="H2567">
        <f>decInputProd1Seg1Rep3Coaching_R2*$K2567</f>
        <v>0</v>
      </c>
      <c r="I2567">
        <f>decInputProd1Seg1Rep3Coaching_R2*$K2567</f>
        <v>0</v>
      </c>
      <c r="K2567">
        <v>0.05</v>
      </c>
    </row>
    <row r="2568" spans="1:11">
      <c r="C2568" t="s">
        <v>3211</v>
      </c>
      <c r="E2568">
        <f>decInputProd1Seg1RegTrainer_R2*$K2568</f>
        <v>0</v>
      </c>
      <c r="F2568">
        <f>decInputProd1Seg1RegTrainer_R2*$K2568</f>
        <v>0</v>
      </c>
      <c r="G2568">
        <f>decInputProd1Seg1RegTrainer_R2*$K2568</f>
        <v>0</v>
      </c>
      <c r="H2568">
        <f>decInputProd1Seg1RegTrainer_R2*$K2568</f>
        <v>0</v>
      </c>
      <c r="I2568">
        <f>decInputProd1Seg1RegTrainer_R2*$K2568</f>
        <v>0</v>
      </c>
      <c r="K2568">
        <v>0.03</v>
      </c>
    </row>
    <row r="2569" spans="1:11">
      <c r="C2569" t="s">
        <v>1534</v>
      </c>
      <c r="E2569">
        <f>MIN(SUM(E2566:E2568),xxRepCapMax)</f>
        <v>0.9</v>
      </c>
      <c r="F2569">
        <f>MIN(SUM(F2566:F2568),xxRepCapMax)</f>
        <v>0.9</v>
      </c>
      <c r="G2569">
        <f>MIN(SUM(G2566:G2568),xxRepCapMax)</f>
        <v>0.9</v>
      </c>
      <c r="H2569">
        <f>MIN(SUM(H2566:H2568),xxRepCapMax)</f>
        <v>0.9</v>
      </c>
      <c r="I2569">
        <f>MIN(SUM(I2566:I2568),xxRepCapMax)</f>
        <v>0.9</v>
      </c>
      <c r="J2569" t="s">
        <v>2929</v>
      </c>
    </row>
    <row r="2571" spans="1:11" s="507" customFormat="1">
      <c r="A2571" s="506" t="str">
        <f>nmProd1Seg2</f>
        <v>Tullyville</v>
      </c>
    </row>
    <row r="2572" spans="1:11">
      <c r="B2572" s="4" t="str">
        <f>nmProd1Seg2Rep1</f>
        <v>Rep Danielle</v>
      </c>
      <c r="C2572" s="16" t="s">
        <v>1486</v>
      </c>
      <c r="E2572">
        <f>obalProd1Seg2Rep1Cap</f>
        <v>0.8</v>
      </c>
      <c r="F2572">
        <f>obalProd1Seg2Rep1Cap</f>
        <v>0.8</v>
      </c>
      <c r="G2572">
        <f>obalProd1Seg2Rep1Cap</f>
        <v>0.8</v>
      </c>
      <c r="H2572">
        <f>obalProd1Seg2Rep1Cap</f>
        <v>0.8</v>
      </c>
      <c r="I2572">
        <f>obalProd1Seg2Rep1Cap</f>
        <v>0.8</v>
      </c>
    </row>
    <row r="2573" spans="1:11">
      <c r="C2573" t="s">
        <v>585</v>
      </c>
      <c r="E2573">
        <f>decInputProd1Seg2Rep1Coaching_R1*$K2573</f>
        <v>0</v>
      </c>
      <c r="F2573">
        <f>decInputProd1Seg2Rep1Coaching_R1*$K2573</f>
        <v>0</v>
      </c>
      <c r="G2573">
        <f>decInputProd1Seg2Rep1Coaching_R1*$K2573</f>
        <v>0</v>
      </c>
      <c r="H2573">
        <f>decInputProd1Seg2Rep1Coaching_R1*$K2573</f>
        <v>0</v>
      </c>
      <c r="I2573">
        <f>decInputProd1Seg2Rep1Coaching_R1*$K2573</f>
        <v>0</v>
      </c>
      <c r="K2573">
        <v>0.02</v>
      </c>
    </row>
    <row r="2574" spans="1:11">
      <c r="C2574" t="s">
        <v>3211</v>
      </c>
      <c r="E2574">
        <f>decInputProd1Seg2RegTrainer_R1*$K2574</f>
        <v>0</v>
      </c>
      <c r="F2574">
        <f>decInputProd1Seg2RegTrainer_R1*$K2574</f>
        <v>0</v>
      </c>
      <c r="G2574">
        <f>decInputProd1Seg2RegTrainer_R1*$K2574</f>
        <v>0</v>
      </c>
      <c r="H2574">
        <f>decInputProd1Seg2RegTrainer_R1*$K2574</f>
        <v>0</v>
      </c>
      <c r="I2574">
        <f>decInputProd1Seg2RegTrainer_R1*$K2574</f>
        <v>0</v>
      </c>
      <c r="K2574">
        <v>0.01</v>
      </c>
    </row>
    <row r="2575" spans="1:11">
      <c r="C2575" t="s">
        <v>1534</v>
      </c>
      <c r="E2575">
        <f>MIN(SUM(E2572:E2574),xxRepCapMax)</f>
        <v>0.8</v>
      </c>
      <c r="F2575">
        <f>MIN(SUM(F2572:F2574),xxRepCapMax)</f>
        <v>0.8</v>
      </c>
      <c r="G2575">
        <f>MIN(SUM(G2572:G2574),xxRepCapMax)</f>
        <v>0.8</v>
      </c>
      <c r="H2575">
        <f>MIN(SUM(H2572:H2574),xxRepCapMax)</f>
        <v>0.8</v>
      </c>
      <c r="I2575">
        <f>MIN(SUM(I2572:I2574),xxRepCapMax)</f>
        <v>0.8</v>
      </c>
      <c r="J2575" t="s">
        <v>2930</v>
      </c>
    </row>
    <row r="2577" spans="2:11">
      <c r="B2577" s="4" t="str">
        <f>nmProd1Seg2Rep2</f>
        <v>Rep Elliot</v>
      </c>
      <c r="C2577" s="16" t="s">
        <v>1486</v>
      </c>
      <c r="E2577">
        <f>obalProd1Seg2Rep2Cap</f>
        <v>0.8</v>
      </c>
      <c r="F2577">
        <f>obalProd1Seg2Rep2Cap</f>
        <v>0.8</v>
      </c>
      <c r="G2577">
        <f>obalProd1Seg2Rep2Cap</f>
        <v>0.8</v>
      </c>
      <c r="H2577">
        <f>obalProd1Seg2Rep2Cap</f>
        <v>0.8</v>
      </c>
      <c r="I2577">
        <f>obalProd1Seg2Rep2Cap</f>
        <v>0.8</v>
      </c>
    </row>
    <row r="2578" spans="2:11">
      <c r="C2578" t="s">
        <v>585</v>
      </c>
      <c r="E2578">
        <f>decInputProd1Seg2Rep2Coaching_R1*$K2578</f>
        <v>0</v>
      </c>
      <c r="F2578">
        <f>decInputProd1Seg2Rep2Coaching_R1*$K2578</f>
        <v>0</v>
      </c>
      <c r="G2578">
        <f>decInputProd1Seg2Rep2Coaching_R1*$K2578</f>
        <v>0</v>
      </c>
      <c r="H2578">
        <f>decInputProd1Seg2Rep2Coaching_R1*$K2578</f>
        <v>0</v>
      </c>
      <c r="I2578">
        <f>decInputProd1Seg2Rep2Coaching_R1*$K2578</f>
        <v>0</v>
      </c>
      <c r="K2578">
        <v>0.03</v>
      </c>
    </row>
    <row r="2579" spans="2:11">
      <c r="C2579" t="s">
        <v>3211</v>
      </c>
      <c r="E2579">
        <f>decInputProd1Seg2RegTrainer_R1*$K2579</f>
        <v>0</v>
      </c>
      <c r="F2579">
        <f>decInputProd1Seg2RegTrainer_R1*$K2579</f>
        <v>0</v>
      </c>
      <c r="G2579">
        <f>decInputProd1Seg2RegTrainer_R1*$K2579</f>
        <v>0</v>
      </c>
      <c r="H2579">
        <f>decInputProd1Seg2RegTrainer_R1*$K2579</f>
        <v>0</v>
      </c>
      <c r="I2579">
        <f>decInputProd1Seg2RegTrainer_R1*$K2579</f>
        <v>0</v>
      </c>
      <c r="K2579">
        <v>0.02</v>
      </c>
    </row>
    <row r="2580" spans="2:11">
      <c r="C2580" t="s">
        <v>1534</v>
      </c>
      <c r="E2580">
        <f>MIN(SUM(E2577:E2579),xxRepCapMax)</f>
        <v>0.8</v>
      </c>
      <c r="F2580">
        <f>MIN(SUM(F2577:F2579),xxRepCapMax)</f>
        <v>0.8</v>
      </c>
      <c r="G2580">
        <f>MIN(SUM(G2577:G2579),xxRepCapMax)</f>
        <v>0.8</v>
      </c>
      <c r="H2580">
        <f>MIN(SUM(H2577:H2579),xxRepCapMax)</f>
        <v>0.8</v>
      </c>
      <c r="I2580">
        <f>MIN(SUM(I2577:I2579),xxRepCapMax)</f>
        <v>0.8</v>
      </c>
      <c r="J2580" t="s">
        <v>2931</v>
      </c>
    </row>
    <row r="2582" spans="2:11">
      <c r="B2582" s="4" t="str">
        <f>nmProd1Seg2Rep3</f>
        <v>Rep Fiona</v>
      </c>
      <c r="C2582" s="16" t="s">
        <v>1486</v>
      </c>
      <c r="E2582">
        <f>obalProd1Seg2Rep3Cap</f>
        <v>0.5</v>
      </c>
      <c r="F2582">
        <f>obalProd1Seg2Rep3Cap</f>
        <v>0.5</v>
      </c>
      <c r="G2582">
        <f>obalProd1Seg2Rep3Cap</f>
        <v>0.5</v>
      </c>
      <c r="H2582">
        <f>obalProd1Seg2Rep3Cap</f>
        <v>0.5</v>
      </c>
      <c r="I2582">
        <f>obalProd1Seg2Rep3Cap</f>
        <v>0.5</v>
      </c>
    </row>
    <row r="2583" spans="2:11">
      <c r="C2583" t="s">
        <v>585</v>
      </c>
      <c r="E2583">
        <f>decInputProd1Seg2Rep3Coaching_R1*$K2583</f>
        <v>0</v>
      </c>
      <c r="F2583">
        <f>decInputProd1Seg2Rep3Coaching_R1*$K2583</f>
        <v>0</v>
      </c>
      <c r="G2583">
        <f>decInputProd1Seg2Rep3Coaching_R1*$K2583</f>
        <v>0</v>
      </c>
      <c r="H2583">
        <f>decInputProd1Seg2Rep3Coaching_R1*$K2583</f>
        <v>0</v>
      </c>
      <c r="I2583">
        <f>decInputProd1Seg2Rep3Coaching_R1*$K2583</f>
        <v>0</v>
      </c>
      <c r="K2583">
        <v>0.02</v>
      </c>
    </row>
    <row r="2584" spans="2:11">
      <c r="C2584" t="s">
        <v>3211</v>
      </c>
      <c r="E2584">
        <f>decInputProd1Seg2RegTrainer_R1*$K2584</f>
        <v>0</v>
      </c>
      <c r="F2584">
        <f>decInputProd1Seg2RegTrainer_R1*$K2584</f>
        <v>0</v>
      </c>
      <c r="G2584">
        <f>decInputProd1Seg2RegTrainer_R1*$K2584</f>
        <v>0</v>
      </c>
      <c r="H2584">
        <f>decInputProd1Seg2RegTrainer_R1*$K2584</f>
        <v>0</v>
      </c>
      <c r="I2584">
        <f>decInputProd1Seg2RegTrainer_R1*$K2584</f>
        <v>0</v>
      </c>
      <c r="K2584">
        <v>0.03</v>
      </c>
    </row>
    <row r="2585" spans="2:11">
      <c r="C2585" t="s">
        <v>1534</v>
      </c>
      <c r="E2585">
        <f>MIN(SUM(E2582:E2584),xxRepCapMax)</f>
        <v>0.5</v>
      </c>
      <c r="F2585">
        <f>MIN(SUM(F2582:F2584),xxRepCapMax)</f>
        <v>0.5</v>
      </c>
      <c r="G2585">
        <f>MIN(SUM(G2582:G2584),xxRepCapMax)</f>
        <v>0.5</v>
      </c>
      <c r="H2585">
        <f>MIN(SUM(H2582:H2584),xxRepCapMax)</f>
        <v>0.5</v>
      </c>
      <c r="I2585">
        <f>MIN(SUM(I2582:I2584),xxRepCapMax)</f>
        <v>0.5</v>
      </c>
      <c r="J2585" t="s">
        <v>2932</v>
      </c>
    </row>
    <row r="2587" spans="2:11">
      <c r="B2587" s="4" t="str">
        <f>nmProd1Seg2Rep1</f>
        <v>Rep Danielle</v>
      </c>
      <c r="C2587" s="16" t="s">
        <v>1486</v>
      </c>
      <c r="E2587">
        <f>obalProd1Seg2Rep1Cap</f>
        <v>0.8</v>
      </c>
      <c r="F2587">
        <f>obalProd1Seg2Rep1Cap</f>
        <v>0.8</v>
      </c>
      <c r="G2587">
        <f>obalProd1Seg2Rep1Cap</f>
        <v>0.8</v>
      </c>
      <c r="H2587">
        <f>obalProd1Seg2Rep1Cap</f>
        <v>0.8</v>
      </c>
      <c r="I2587">
        <f>obalProd1Seg2Rep1Cap</f>
        <v>0.8</v>
      </c>
    </row>
    <row r="2588" spans="2:11">
      <c r="C2588" t="s">
        <v>585</v>
      </c>
      <c r="E2588">
        <f>decInputProd1Seg2Rep1Coaching_R2*$K2588</f>
        <v>0</v>
      </c>
      <c r="F2588">
        <f>decInputProd1Seg2Rep1Coaching_R2*$K2588</f>
        <v>0</v>
      </c>
      <c r="G2588">
        <f>decInputProd1Seg2Rep1Coaching_R2*$K2588</f>
        <v>0</v>
      </c>
      <c r="H2588">
        <f>decInputProd1Seg2Rep1Coaching_R2*$K2588</f>
        <v>0</v>
      </c>
      <c r="I2588">
        <f>decInputProd1Seg2Rep1Coaching_R2*$K2588</f>
        <v>0</v>
      </c>
      <c r="K2588">
        <v>0.05</v>
      </c>
    </row>
    <row r="2589" spans="2:11">
      <c r="C2589" t="s">
        <v>3211</v>
      </c>
      <c r="E2589">
        <f>decInputProd1Seg2RegTrainer_R2*$K2589</f>
        <v>0</v>
      </c>
      <c r="F2589">
        <f>decInputProd1Seg2RegTrainer_R2*$K2589</f>
        <v>0</v>
      </c>
      <c r="G2589">
        <f>decInputProd1Seg2RegTrainer_R2*$K2589</f>
        <v>0</v>
      </c>
      <c r="H2589">
        <f>decInputProd1Seg2RegTrainer_R2*$K2589</f>
        <v>0</v>
      </c>
      <c r="I2589">
        <f>decInputProd1Seg2RegTrainer_R2*$K2589</f>
        <v>0</v>
      </c>
      <c r="K2589">
        <v>0.03</v>
      </c>
    </row>
    <row r="2590" spans="2:11">
      <c r="C2590" t="s">
        <v>1534</v>
      </c>
      <c r="E2590">
        <f>MIN(SUM(E2587:E2589),xxRepCapMax)</f>
        <v>0.8</v>
      </c>
      <c r="F2590">
        <f>MIN(SUM(F2587:F2589),xxRepCapMax)</f>
        <v>0.8</v>
      </c>
      <c r="G2590">
        <f>MIN(SUM(G2587:G2589),xxRepCapMax)</f>
        <v>0.8</v>
      </c>
      <c r="H2590">
        <f>MIN(SUM(H2587:H2589),xxRepCapMax)</f>
        <v>0.8</v>
      </c>
      <c r="I2590">
        <f>MIN(SUM(I2587:I2589),xxRepCapMax)</f>
        <v>0.8</v>
      </c>
      <c r="J2590" t="s">
        <v>2933</v>
      </c>
    </row>
    <row r="2592" spans="2:11">
      <c r="B2592" s="4" t="str">
        <f>nmProd1Seg2Rep2</f>
        <v>Rep Elliot</v>
      </c>
      <c r="C2592" s="16" t="s">
        <v>1486</v>
      </c>
      <c r="E2592">
        <f>obalProd1Seg2Rep2Cap</f>
        <v>0.8</v>
      </c>
      <c r="F2592">
        <f>obalProd1Seg2Rep2Cap</f>
        <v>0.8</v>
      </c>
      <c r="G2592">
        <f>obalProd1Seg2Rep2Cap</f>
        <v>0.8</v>
      </c>
      <c r="H2592">
        <f>obalProd1Seg2Rep2Cap</f>
        <v>0.8</v>
      </c>
      <c r="I2592">
        <f>obalProd1Seg2Rep2Cap</f>
        <v>0.8</v>
      </c>
    </row>
    <row r="2593" spans="1:11">
      <c r="C2593" t="s">
        <v>585</v>
      </c>
      <c r="E2593">
        <f>decInputProd1Seg2Rep2Coaching_R2*$K2593</f>
        <v>0</v>
      </c>
      <c r="F2593">
        <f>decInputProd1Seg2Rep2Coaching_R2*$K2593</f>
        <v>0</v>
      </c>
      <c r="G2593">
        <f>decInputProd1Seg2Rep2Coaching_R2*$K2593</f>
        <v>0</v>
      </c>
      <c r="H2593">
        <f>decInputProd1Seg2Rep2Coaching_R2*$K2593</f>
        <v>0</v>
      </c>
      <c r="I2593">
        <f>decInputProd1Seg2Rep2Coaching_R2*$K2593</f>
        <v>0</v>
      </c>
      <c r="K2593">
        <v>0.05</v>
      </c>
    </row>
    <row r="2594" spans="1:11">
      <c r="C2594" t="s">
        <v>3211</v>
      </c>
      <c r="E2594">
        <f>decInputProd1Seg2RegTrainer_R2*$K2594</f>
        <v>0</v>
      </c>
      <c r="F2594">
        <f>decInputProd1Seg2RegTrainer_R2*$K2594</f>
        <v>0</v>
      </c>
      <c r="G2594">
        <f>decInputProd1Seg2RegTrainer_R2*$K2594</f>
        <v>0</v>
      </c>
      <c r="H2594">
        <f>decInputProd1Seg2RegTrainer_R2*$K2594</f>
        <v>0</v>
      </c>
      <c r="I2594">
        <f>decInputProd1Seg2RegTrainer_R2*$K2594</f>
        <v>0</v>
      </c>
      <c r="K2594">
        <v>0.03</v>
      </c>
    </row>
    <row r="2595" spans="1:11">
      <c r="C2595" t="s">
        <v>1534</v>
      </c>
      <c r="E2595">
        <f>MIN(SUM(E2592:E2594),xxRepCapMax)</f>
        <v>0.8</v>
      </c>
      <c r="F2595">
        <f>MIN(SUM(F2592:F2594),xxRepCapMax)</f>
        <v>0.8</v>
      </c>
      <c r="G2595">
        <f>MIN(SUM(G2592:G2594),xxRepCapMax)</f>
        <v>0.8</v>
      </c>
      <c r="H2595">
        <f>MIN(SUM(H2592:H2594),xxRepCapMax)</f>
        <v>0.8</v>
      </c>
      <c r="I2595">
        <f>MIN(SUM(I2592:I2594),xxRepCapMax)</f>
        <v>0.8</v>
      </c>
      <c r="J2595" t="s">
        <v>2934</v>
      </c>
    </row>
    <row r="2597" spans="1:11">
      <c r="B2597" s="4" t="str">
        <f>nmProd1Seg2Rep3</f>
        <v>Rep Fiona</v>
      </c>
      <c r="C2597" s="16" t="s">
        <v>1486</v>
      </c>
      <c r="E2597">
        <f>obalProd1Seg2Rep3Cap</f>
        <v>0.5</v>
      </c>
      <c r="F2597">
        <f>obalProd1Seg2Rep3Cap</f>
        <v>0.5</v>
      </c>
      <c r="G2597">
        <f>obalProd1Seg2Rep3Cap</f>
        <v>0.5</v>
      </c>
      <c r="H2597">
        <f>obalProd1Seg2Rep3Cap</f>
        <v>0.5</v>
      </c>
      <c r="I2597">
        <f>obalProd1Seg2Rep3Cap</f>
        <v>0.5</v>
      </c>
    </row>
    <row r="2598" spans="1:11">
      <c r="C2598" t="s">
        <v>585</v>
      </c>
      <c r="E2598">
        <f>decInputProd1Seg2Rep3Coaching_R2*$K2598</f>
        <v>0</v>
      </c>
      <c r="F2598">
        <f>decInputProd1Seg2Rep3Coaching_R2*$K2598</f>
        <v>0</v>
      </c>
      <c r="G2598">
        <f>decInputProd1Seg2Rep3Coaching_R2*$K2598</f>
        <v>0</v>
      </c>
      <c r="H2598">
        <f>decInputProd1Seg2Rep3Coaching_R2*$K2598</f>
        <v>0</v>
      </c>
      <c r="I2598">
        <f>decInputProd1Seg2Rep3Coaching_R2*$K2598</f>
        <v>0</v>
      </c>
      <c r="K2598">
        <v>0.05</v>
      </c>
    </row>
    <row r="2599" spans="1:11">
      <c r="C2599" t="s">
        <v>3211</v>
      </c>
      <c r="E2599">
        <f>decInputProd1Seg2RegTrainer_R2*$K2599</f>
        <v>0</v>
      </c>
      <c r="F2599">
        <f>decInputProd1Seg2RegTrainer_R2*$K2599</f>
        <v>0</v>
      </c>
      <c r="G2599">
        <f>decInputProd1Seg2RegTrainer_R2*$K2599</f>
        <v>0</v>
      </c>
      <c r="H2599">
        <f>decInputProd1Seg2RegTrainer_R2*$K2599</f>
        <v>0</v>
      </c>
      <c r="I2599">
        <f>decInputProd1Seg2RegTrainer_R2*$K2599</f>
        <v>0</v>
      </c>
      <c r="K2599">
        <v>0.03</v>
      </c>
    </row>
    <row r="2600" spans="1:11">
      <c r="C2600" t="s">
        <v>1534</v>
      </c>
      <c r="E2600">
        <f>MIN(SUM(E2597:E2599),xxRepCapMax)</f>
        <v>0.5</v>
      </c>
      <c r="F2600">
        <f>MIN(SUM(F2597:F2599),xxRepCapMax)</f>
        <v>0.5</v>
      </c>
      <c r="G2600">
        <f>MIN(SUM(G2597:G2599),xxRepCapMax)</f>
        <v>0.5</v>
      </c>
      <c r="H2600">
        <f>MIN(SUM(H2597:H2599),xxRepCapMax)</f>
        <v>0.5</v>
      </c>
      <c r="I2600">
        <f>MIN(SUM(I2597:I2599),xxRepCapMax)</f>
        <v>0.5</v>
      </c>
      <c r="J2600" t="s">
        <v>2935</v>
      </c>
    </row>
    <row r="2602" spans="1:11" s="507" customFormat="1">
      <c r="A2602" s="506" t="str">
        <f>nmProd1Seg3</f>
        <v>Lordfrey City</v>
      </c>
    </row>
    <row r="2603" spans="1:11">
      <c r="B2603" s="4" t="str">
        <f>nmProd1Seg3Rep1</f>
        <v>Rep Gregg</v>
      </c>
      <c r="C2603" s="16" t="s">
        <v>1486</v>
      </c>
      <c r="E2603">
        <f>obalProd1Seg3Rep1Cap</f>
        <v>0.5</v>
      </c>
      <c r="F2603">
        <f>obalProd1Seg3Rep1Cap</f>
        <v>0.5</v>
      </c>
      <c r="G2603">
        <f>obalProd1Seg3Rep1Cap</f>
        <v>0.5</v>
      </c>
      <c r="H2603">
        <f>obalProd1Seg3Rep1Cap</f>
        <v>0.5</v>
      </c>
      <c r="I2603">
        <f>obalProd1Seg3Rep1Cap</f>
        <v>0.5</v>
      </c>
    </row>
    <row r="2604" spans="1:11">
      <c r="C2604" t="s">
        <v>585</v>
      </c>
      <c r="E2604">
        <f>decInputProd1Seg3Rep1Coaching_R1*$K2604</f>
        <v>0</v>
      </c>
      <c r="F2604">
        <f>decInputProd1Seg3Rep1Coaching_R1*$K2604</f>
        <v>0</v>
      </c>
      <c r="G2604">
        <f>decInputProd1Seg3Rep1Coaching_R1*$K2604</f>
        <v>0</v>
      </c>
      <c r="H2604">
        <f>decInputProd1Seg3Rep1Coaching_R1*$K2604</f>
        <v>0</v>
      </c>
      <c r="I2604">
        <f>decInputProd1Seg3Rep1Coaching_R1*$K2604</f>
        <v>0</v>
      </c>
      <c r="K2604">
        <v>0.01</v>
      </c>
    </row>
    <row r="2605" spans="1:11">
      <c r="C2605" t="s">
        <v>3211</v>
      </c>
      <c r="E2605">
        <f>decInputProd1Seg3RegTrainer_R1*$K2605</f>
        <v>0</v>
      </c>
      <c r="F2605">
        <f>decInputProd1Seg3RegTrainer_R1*$K2605</f>
        <v>0</v>
      </c>
      <c r="G2605">
        <f>decInputProd1Seg3RegTrainer_R1*$K2605</f>
        <v>0</v>
      </c>
      <c r="H2605">
        <f>decInputProd1Seg3RegTrainer_R1*$K2605</f>
        <v>0</v>
      </c>
      <c r="I2605">
        <f>decInputProd1Seg3RegTrainer_R1*$K2605</f>
        <v>0</v>
      </c>
      <c r="K2605">
        <v>0.01</v>
      </c>
    </row>
    <row r="2606" spans="1:11">
      <c r="C2606" t="s">
        <v>1534</v>
      </c>
      <c r="E2606">
        <f>MIN(SUM(E2603:E2605),xxRepCapMax)</f>
        <v>0.5</v>
      </c>
      <c r="F2606">
        <f>MIN(SUM(F2603:F2605),xxRepCapMax)</f>
        <v>0.5</v>
      </c>
      <c r="G2606">
        <f>MIN(SUM(G2603:G2605),xxRepCapMax)</f>
        <v>0.5</v>
      </c>
      <c r="H2606">
        <f>MIN(SUM(H2603:H2605),xxRepCapMax)</f>
        <v>0.5</v>
      </c>
      <c r="I2606">
        <f>MIN(SUM(I2603:I2605),xxRepCapMax)</f>
        <v>0.5</v>
      </c>
      <c r="J2606" t="s">
        <v>2936</v>
      </c>
    </row>
    <row r="2608" spans="1:11">
      <c r="B2608" s="4" t="str">
        <f>nmProd1Seg3Rep2</f>
        <v>Rep Howard</v>
      </c>
      <c r="C2608" s="16" t="s">
        <v>1486</v>
      </c>
      <c r="E2608">
        <f>obalProd1Seg3Rep2Cap</f>
        <v>0.5</v>
      </c>
      <c r="F2608">
        <f>obalProd1Seg3Rep2Cap</f>
        <v>0.5</v>
      </c>
      <c r="G2608">
        <f>obalProd1Seg3Rep2Cap</f>
        <v>0.5</v>
      </c>
      <c r="H2608">
        <f>obalProd1Seg3Rep2Cap</f>
        <v>0.5</v>
      </c>
      <c r="I2608">
        <f>obalProd1Seg3Rep2Cap</f>
        <v>0.5</v>
      </c>
    </row>
    <row r="2609" spans="2:11">
      <c r="C2609" t="s">
        <v>585</v>
      </c>
      <c r="E2609">
        <f>decInputProd1Seg3Rep2Coaching_R1*$K2609</f>
        <v>0</v>
      </c>
      <c r="F2609">
        <f>decInputProd1Seg3Rep2Coaching_R1*$K2609</f>
        <v>0</v>
      </c>
      <c r="G2609">
        <f>decInputProd1Seg3Rep2Coaching_R1*$K2609</f>
        <v>0</v>
      </c>
      <c r="H2609">
        <f>decInputProd1Seg3Rep2Coaching_R1*$K2609</f>
        <v>0</v>
      </c>
      <c r="I2609">
        <f>decInputProd1Seg3Rep2Coaching_R1*$K2609</f>
        <v>0</v>
      </c>
      <c r="K2609">
        <v>0.03</v>
      </c>
    </row>
    <row r="2610" spans="2:11">
      <c r="C2610" t="s">
        <v>3211</v>
      </c>
      <c r="E2610">
        <f>decInputProd1Seg3RegTrainer_R1*$K2610</f>
        <v>0</v>
      </c>
      <c r="F2610">
        <f>decInputProd1Seg3RegTrainer_R1*$K2610</f>
        <v>0</v>
      </c>
      <c r="G2610">
        <f>decInputProd1Seg3RegTrainer_R1*$K2610</f>
        <v>0</v>
      </c>
      <c r="H2610">
        <f>decInputProd1Seg3RegTrainer_R1*$K2610</f>
        <v>0</v>
      </c>
      <c r="I2610">
        <f>decInputProd1Seg3RegTrainer_R1*$K2610</f>
        <v>0</v>
      </c>
      <c r="K2610">
        <v>0.02</v>
      </c>
    </row>
    <row r="2611" spans="2:11">
      <c r="C2611" t="s">
        <v>1534</v>
      </c>
      <c r="E2611">
        <f>MIN(SUM(E2608:E2610),xxRepCapMax)</f>
        <v>0.5</v>
      </c>
      <c r="F2611">
        <f>MIN(SUM(F2608:F2610),xxRepCapMax)</f>
        <v>0.5</v>
      </c>
      <c r="G2611">
        <f>MIN(SUM(G2608:G2610),xxRepCapMax)</f>
        <v>0.5</v>
      </c>
      <c r="H2611">
        <f>MIN(SUM(H2608:H2610),xxRepCapMax)</f>
        <v>0.5</v>
      </c>
      <c r="I2611">
        <f>MIN(SUM(I2608:I2610),xxRepCapMax)</f>
        <v>0.5</v>
      </c>
      <c r="J2611" t="s">
        <v>2937</v>
      </c>
    </row>
    <row r="2613" spans="2:11">
      <c r="B2613" s="4" t="str">
        <f>nmProd1Seg3Rep3</f>
        <v>Rep Isabelle</v>
      </c>
      <c r="C2613" s="16" t="s">
        <v>1486</v>
      </c>
      <c r="E2613">
        <f>obalProd1Seg3Rep3Cap</f>
        <v>0.3</v>
      </c>
      <c r="F2613">
        <f>obalProd1Seg3Rep3Cap</f>
        <v>0.3</v>
      </c>
      <c r="G2613">
        <f>obalProd1Seg3Rep3Cap</f>
        <v>0.3</v>
      </c>
      <c r="H2613">
        <f>obalProd1Seg3Rep3Cap</f>
        <v>0.3</v>
      </c>
      <c r="I2613">
        <f>obalProd1Seg3Rep3Cap</f>
        <v>0.3</v>
      </c>
    </row>
    <row r="2614" spans="2:11">
      <c r="C2614" t="s">
        <v>585</v>
      </c>
      <c r="E2614">
        <f>decInputProd1Seg3Rep3Coaching_R1*$K2614</f>
        <v>0</v>
      </c>
      <c r="F2614">
        <f>decInputProd1Seg3Rep3Coaching_R1*$K2614</f>
        <v>0</v>
      </c>
      <c r="G2614">
        <f>decInputProd1Seg3Rep3Coaching_R1*$K2614</f>
        <v>0</v>
      </c>
      <c r="H2614">
        <f>decInputProd1Seg3Rep3Coaching_R1*$K2614</f>
        <v>0</v>
      </c>
      <c r="I2614">
        <f>decInputProd1Seg3Rep3Coaching_R1*$K2614</f>
        <v>0</v>
      </c>
      <c r="K2614">
        <v>0.05</v>
      </c>
    </row>
    <row r="2615" spans="2:11">
      <c r="C2615" t="s">
        <v>3211</v>
      </c>
      <c r="E2615">
        <f>decInputProd1Seg3RegTrainer_R1*$K2615</f>
        <v>0</v>
      </c>
      <c r="F2615">
        <f>decInputProd1Seg3RegTrainer_R1*$K2615</f>
        <v>0</v>
      </c>
      <c r="G2615">
        <f>decInputProd1Seg3RegTrainer_R1*$K2615</f>
        <v>0</v>
      </c>
      <c r="H2615">
        <f>decInputProd1Seg3RegTrainer_R1*$K2615</f>
        <v>0</v>
      </c>
      <c r="I2615">
        <f>decInputProd1Seg3RegTrainer_R1*$K2615</f>
        <v>0</v>
      </c>
      <c r="K2615">
        <v>0.03</v>
      </c>
    </row>
    <row r="2616" spans="2:11">
      <c r="C2616" t="s">
        <v>1534</v>
      </c>
      <c r="E2616">
        <f>MIN(SUM(E2613:E2615),xxRepCapMax)</f>
        <v>0.3</v>
      </c>
      <c r="F2616">
        <f>MIN(SUM(F2613:F2615),xxRepCapMax)</f>
        <v>0.3</v>
      </c>
      <c r="G2616">
        <f>MIN(SUM(G2613:G2615),xxRepCapMax)</f>
        <v>0.3</v>
      </c>
      <c r="H2616">
        <f>MIN(SUM(H2613:H2615),xxRepCapMax)</f>
        <v>0.3</v>
      </c>
      <c r="I2616">
        <f>MIN(SUM(I2613:I2615),xxRepCapMax)</f>
        <v>0.3</v>
      </c>
      <c r="J2616" t="s">
        <v>2938</v>
      </c>
    </row>
    <row r="2618" spans="2:11">
      <c r="B2618" s="4" t="str">
        <f>nmProd1Seg3Rep1</f>
        <v>Rep Gregg</v>
      </c>
      <c r="C2618" s="16" t="s">
        <v>1486</v>
      </c>
      <c r="E2618">
        <f>obalProd1Seg3Rep1Cap</f>
        <v>0.5</v>
      </c>
      <c r="F2618">
        <f>obalProd1Seg3Rep1Cap</f>
        <v>0.5</v>
      </c>
      <c r="G2618">
        <f>obalProd1Seg3Rep1Cap</f>
        <v>0.5</v>
      </c>
      <c r="H2618">
        <f>obalProd1Seg3Rep1Cap</f>
        <v>0.5</v>
      </c>
      <c r="I2618">
        <f>obalProd1Seg3Rep1Cap</f>
        <v>0.5</v>
      </c>
    </row>
    <row r="2619" spans="2:11">
      <c r="C2619" t="s">
        <v>585</v>
      </c>
      <c r="E2619">
        <f>decInputProd1Seg3Rep1Coaching_R2*$K2619</f>
        <v>0</v>
      </c>
      <c r="F2619">
        <f>decInputProd1Seg3Rep1Coaching_R2*$K2619</f>
        <v>0</v>
      </c>
      <c r="G2619">
        <f>decInputProd1Seg3Rep1Coaching_R2*$K2619</f>
        <v>0</v>
      </c>
      <c r="H2619">
        <f>decInputProd1Seg3Rep1Coaching_R2*$K2619</f>
        <v>0</v>
      </c>
      <c r="I2619">
        <f>decInputProd1Seg3Rep1Coaching_R2*$K2619</f>
        <v>0</v>
      </c>
      <c r="K2619">
        <v>0.01</v>
      </c>
    </row>
    <row r="2620" spans="2:11">
      <c r="C2620" t="s">
        <v>3211</v>
      </c>
      <c r="E2620">
        <f>decInputProd1Seg3RegTrainer_R2*$K2620</f>
        <v>0</v>
      </c>
      <c r="F2620">
        <f>decInputProd1Seg3RegTrainer_R2*$K2620</f>
        <v>0</v>
      </c>
      <c r="G2620">
        <f>decInputProd1Seg3RegTrainer_R2*$K2620</f>
        <v>0</v>
      </c>
      <c r="H2620">
        <f>decInputProd1Seg3RegTrainer_R2*$K2620</f>
        <v>0</v>
      </c>
      <c r="I2620">
        <f>decInputProd1Seg3RegTrainer_R2*$K2620</f>
        <v>0</v>
      </c>
      <c r="K2620">
        <v>0.01</v>
      </c>
    </row>
    <row r="2621" spans="2:11">
      <c r="C2621" t="s">
        <v>1534</v>
      </c>
      <c r="E2621">
        <f>MIN(SUM(E2618:E2620),xxRepCapMax)</f>
        <v>0.5</v>
      </c>
      <c r="F2621">
        <f>MIN(SUM(F2618:F2620),xxRepCapMax)</f>
        <v>0.5</v>
      </c>
      <c r="G2621">
        <f>MIN(SUM(G2618:G2620),xxRepCapMax)</f>
        <v>0.5</v>
      </c>
      <c r="H2621">
        <f>MIN(SUM(H2618:H2620),xxRepCapMax)</f>
        <v>0.5</v>
      </c>
      <c r="I2621">
        <f>MIN(SUM(I2618:I2620),xxRepCapMax)</f>
        <v>0.5</v>
      </c>
      <c r="J2621" t="s">
        <v>2939</v>
      </c>
    </row>
    <row r="2623" spans="2:11">
      <c r="B2623" s="4" t="str">
        <f>nmProd1Seg3Rep2</f>
        <v>Rep Howard</v>
      </c>
      <c r="C2623" s="16" t="s">
        <v>1486</v>
      </c>
      <c r="E2623">
        <f>obalProd1Seg3Rep2Cap</f>
        <v>0.5</v>
      </c>
      <c r="F2623">
        <f>obalProd1Seg3Rep2Cap</f>
        <v>0.5</v>
      </c>
      <c r="G2623">
        <f>obalProd1Seg3Rep2Cap</f>
        <v>0.5</v>
      </c>
      <c r="H2623">
        <f>obalProd1Seg3Rep2Cap</f>
        <v>0.5</v>
      </c>
      <c r="I2623">
        <f>obalProd1Seg3Rep2Cap</f>
        <v>0.5</v>
      </c>
    </row>
    <row r="2624" spans="2:11">
      <c r="C2624" t="s">
        <v>585</v>
      </c>
      <c r="E2624">
        <f>decInputProd1Seg3Rep2Coaching_R2*$K2624</f>
        <v>0</v>
      </c>
      <c r="F2624">
        <f>decInputProd1Seg3Rep2Coaching_R2*$K2624</f>
        <v>0</v>
      </c>
      <c r="G2624">
        <f>decInputProd1Seg3Rep2Coaching_R2*$K2624</f>
        <v>0</v>
      </c>
      <c r="H2624">
        <f>decInputProd1Seg3Rep2Coaching_R2*$K2624</f>
        <v>0</v>
      </c>
      <c r="I2624">
        <f>decInputProd1Seg3Rep2Coaching_R2*$K2624</f>
        <v>0</v>
      </c>
      <c r="K2624">
        <v>0.03</v>
      </c>
    </row>
    <row r="2625" spans="1:11">
      <c r="C2625" t="s">
        <v>3211</v>
      </c>
      <c r="E2625">
        <f>decInputProd1Seg3RegTrainer_R2*$K2625</f>
        <v>0</v>
      </c>
      <c r="F2625">
        <f>decInputProd1Seg3RegTrainer_R2*$K2625</f>
        <v>0</v>
      </c>
      <c r="G2625">
        <f>decInputProd1Seg3RegTrainer_R2*$K2625</f>
        <v>0</v>
      </c>
      <c r="H2625">
        <f>decInputProd1Seg3RegTrainer_R2*$K2625</f>
        <v>0</v>
      </c>
      <c r="I2625">
        <f>decInputProd1Seg3RegTrainer_R2*$K2625</f>
        <v>0</v>
      </c>
      <c r="K2625">
        <v>0.02</v>
      </c>
    </row>
    <row r="2626" spans="1:11">
      <c r="C2626" t="s">
        <v>1534</v>
      </c>
      <c r="E2626">
        <f>MIN(SUM(E2623:E2625),xxRepCapMax)</f>
        <v>0.5</v>
      </c>
      <c r="F2626">
        <f>MIN(SUM(F2623:F2625),xxRepCapMax)</f>
        <v>0.5</v>
      </c>
      <c r="G2626">
        <f>MIN(SUM(G2623:G2625),xxRepCapMax)</f>
        <v>0.5</v>
      </c>
      <c r="H2626">
        <f>MIN(SUM(H2623:H2625),xxRepCapMax)</f>
        <v>0.5</v>
      </c>
      <c r="I2626">
        <f>MIN(SUM(I2623:I2625),xxRepCapMax)</f>
        <v>0.5</v>
      </c>
      <c r="J2626" t="s">
        <v>2940</v>
      </c>
    </row>
    <row r="2628" spans="1:11">
      <c r="B2628" s="4" t="str">
        <f>nmProd1Seg3Rep3</f>
        <v>Rep Isabelle</v>
      </c>
      <c r="C2628" s="16" t="s">
        <v>1486</v>
      </c>
      <c r="E2628">
        <f>obalProd1Seg3Rep3Cap</f>
        <v>0.3</v>
      </c>
      <c r="F2628">
        <f>obalProd1Seg3Rep3Cap</f>
        <v>0.3</v>
      </c>
      <c r="G2628">
        <f>obalProd1Seg3Rep3Cap</f>
        <v>0.3</v>
      </c>
      <c r="H2628">
        <f>obalProd1Seg3Rep3Cap</f>
        <v>0.3</v>
      </c>
      <c r="I2628">
        <f>obalProd1Seg3Rep3Cap</f>
        <v>0.3</v>
      </c>
    </row>
    <row r="2629" spans="1:11">
      <c r="C2629" t="s">
        <v>585</v>
      </c>
      <c r="E2629">
        <f>decInputProd1Seg3Rep3Coaching_R2*$K2629</f>
        <v>0</v>
      </c>
      <c r="F2629">
        <f>decInputProd1Seg3Rep3Coaching_R2*$K2629</f>
        <v>0</v>
      </c>
      <c r="G2629">
        <f>decInputProd1Seg3Rep3Coaching_R2*$K2629</f>
        <v>0</v>
      </c>
      <c r="H2629">
        <f>decInputProd1Seg3Rep3Coaching_R2*$K2629</f>
        <v>0</v>
      </c>
      <c r="I2629">
        <f>decInputProd1Seg3Rep3Coaching_R2*$K2629</f>
        <v>0</v>
      </c>
      <c r="K2629">
        <v>0.05</v>
      </c>
    </row>
    <row r="2630" spans="1:11">
      <c r="C2630" t="s">
        <v>3211</v>
      </c>
      <c r="E2630">
        <f>decInputProd1Seg3RegTrainer_R2*$K2630</f>
        <v>0</v>
      </c>
      <c r="F2630">
        <f>decInputProd1Seg3RegTrainer_R2*$K2630</f>
        <v>0</v>
      </c>
      <c r="G2630">
        <f>decInputProd1Seg3RegTrainer_R2*$K2630</f>
        <v>0</v>
      </c>
      <c r="H2630">
        <f>decInputProd1Seg3RegTrainer_R2*$K2630</f>
        <v>0</v>
      </c>
      <c r="I2630">
        <f>decInputProd1Seg3RegTrainer_R2*$K2630</f>
        <v>0</v>
      </c>
      <c r="K2630">
        <v>0.03</v>
      </c>
    </row>
    <row r="2631" spans="1:11">
      <c r="C2631" t="s">
        <v>1534</v>
      </c>
      <c r="E2631">
        <f>MIN(SUM(E2628:E2630),xxRepCapMax)</f>
        <v>0.3</v>
      </c>
      <c r="F2631">
        <f>MIN(SUM(F2628:F2630),xxRepCapMax)</f>
        <v>0.3</v>
      </c>
      <c r="G2631">
        <f>MIN(SUM(G2628:G2630),xxRepCapMax)</f>
        <v>0.3</v>
      </c>
      <c r="H2631">
        <f>MIN(SUM(H2628:H2630),xxRepCapMax)</f>
        <v>0.3</v>
      </c>
      <c r="I2631">
        <f>MIN(SUM(I2628:I2630),xxRepCapMax)</f>
        <v>0.3</v>
      </c>
      <c r="J2631" t="s">
        <v>2941</v>
      </c>
    </row>
    <row r="2633" spans="1:11">
      <c r="A2633" s="4" t="s">
        <v>2646</v>
      </c>
    </row>
    <row r="2634" spans="1:11" s="507" customFormat="1">
      <c r="A2634" s="506" t="str">
        <f>nmReg1Seg1</f>
        <v>Riverrun</v>
      </c>
    </row>
    <row r="2635" spans="1:11">
      <c r="B2635" s="4"/>
      <c r="C2635" s="16" t="s">
        <v>1486</v>
      </c>
      <c r="E2635">
        <f>obalReg1Seg1Rep1Cap</f>
        <v>0.55000000000000004</v>
      </c>
      <c r="F2635">
        <f>obalReg1Seg1Rep1Cap</f>
        <v>0.55000000000000004</v>
      </c>
      <c r="G2635">
        <f>obalReg1Seg1Rep1Cap</f>
        <v>0.55000000000000004</v>
      </c>
      <c r="H2635">
        <f>obalReg1Seg1Rep1Cap</f>
        <v>0.55000000000000004</v>
      </c>
      <c r="I2635">
        <f>obalReg1Seg1Rep1Cap</f>
        <v>0.55000000000000004</v>
      </c>
    </row>
    <row r="2636" spans="1:11">
      <c r="C2636" t="s">
        <v>585</v>
      </c>
      <c r="E2636">
        <f>decInputReg1Seg1Rep1Coaching_R1*$K2636</f>
        <v>0</v>
      </c>
      <c r="F2636">
        <f>decInputReg1Seg1Rep1Coaching_R1*$K2636</f>
        <v>0</v>
      </c>
      <c r="G2636">
        <f>decInputReg1Seg1Rep1Coaching_R1*$K2636</f>
        <v>0</v>
      </c>
      <c r="H2636">
        <f>decInputReg1Seg1Rep1Coaching_R1*$K2636</f>
        <v>0</v>
      </c>
      <c r="I2636">
        <f>decInputReg1Seg1Rep1Coaching_R1*$K2636</f>
        <v>0</v>
      </c>
      <c r="K2636">
        <v>0.05</v>
      </c>
    </row>
    <row r="2637" spans="1:11">
      <c r="C2637" t="s">
        <v>3211</v>
      </c>
      <c r="E2637">
        <f>decInputReg1Seg1RegTrainer_R1*$K2637</f>
        <v>0</v>
      </c>
      <c r="F2637">
        <f>decInputReg1Seg1RegTrainer_R1*$K2637</f>
        <v>0</v>
      </c>
      <c r="G2637">
        <f>decInputReg1Seg1RegTrainer_R1*$K2637</f>
        <v>0</v>
      </c>
      <c r="H2637">
        <f>decInputReg1Seg1RegTrainer_R1*$K2637</f>
        <v>0</v>
      </c>
      <c r="I2637">
        <f>decInputReg1Seg1RegTrainer_R1*$K2637</f>
        <v>0</v>
      </c>
      <c r="K2637">
        <v>0.03</v>
      </c>
    </row>
    <row r="2638" spans="1:11">
      <c r="C2638" t="s">
        <v>1534</v>
      </c>
      <c r="E2638">
        <f>MIN(SUM(E2635:E2637),xxRepCapMax)</f>
        <v>0.55000000000000004</v>
      </c>
      <c r="F2638">
        <f>MIN(SUM(F2635:F2637),xxRepCapMax)</f>
        <v>0.55000000000000004</v>
      </c>
      <c r="G2638">
        <f>MIN(SUM(G2635:G2637),xxRepCapMax)</f>
        <v>0.55000000000000004</v>
      </c>
      <c r="H2638">
        <f>MIN(SUM(H2635:H2637),xxRepCapMax)</f>
        <v>0.55000000000000004</v>
      </c>
      <c r="I2638">
        <f>MIN(SUM(I2635:I2637),xxRepCapMax)</f>
        <v>0.55000000000000004</v>
      </c>
      <c r="J2638" t="s">
        <v>3404</v>
      </c>
    </row>
    <row r="2640" spans="1:11">
      <c r="B2640" s="4"/>
      <c r="C2640" s="16" t="s">
        <v>1486</v>
      </c>
      <c r="E2640">
        <f>calcReg1Seg1Rep1CapR1</f>
        <v>0.55000000000000004</v>
      </c>
      <c r="F2640">
        <f>calcReg1Seg1Rep1CapR1</f>
        <v>0.55000000000000004</v>
      </c>
      <c r="G2640">
        <f>calcReg1Seg1Rep1CapR1</f>
        <v>0.55000000000000004</v>
      </c>
      <c r="H2640">
        <f>calcReg1Seg1Rep1CapR1</f>
        <v>0.55000000000000004</v>
      </c>
      <c r="I2640">
        <f>calcReg1Seg1Rep1CapR1</f>
        <v>0.55000000000000004</v>
      </c>
    </row>
    <row r="2641" spans="1:11">
      <c r="C2641" t="s">
        <v>585</v>
      </c>
      <c r="E2641">
        <f>decInputReg1Seg1Rep1Coaching_R2*$K2641</f>
        <v>0</v>
      </c>
      <c r="F2641">
        <f>decInputReg1Seg1Rep1Coaching_R2*$K2641</f>
        <v>0</v>
      </c>
      <c r="G2641">
        <f>decInputReg1Seg1Rep1Coaching_R2*$K2641</f>
        <v>0</v>
      </c>
      <c r="H2641">
        <f>decInputReg1Seg1Rep1Coaching_R2*$K2641</f>
        <v>0</v>
      </c>
      <c r="I2641">
        <f>decInputReg1Seg1Rep1Coaching_R2*$K2641</f>
        <v>0</v>
      </c>
      <c r="K2641">
        <v>0.05</v>
      </c>
    </row>
    <row r="2642" spans="1:11">
      <c r="C2642" t="s">
        <v>3211</v>
      </c>
      <c r="E2642">
        <f>decInputReg1Seg1RegTrainer_R2*$K2642</f>
        <v>0</v>
      </c>
      <c r="F2642">
        <f>decInputReg1Seg1RegTrainer_R2*$K2642</f>
        <v>0</v>
      </c>
      <c r="G2642">
        <f>decInputReg1Seg1RegTrainer_R2*$K2642</f>
        <v>0</v>
      </c>
      <c r="H2642">
        <f>decInputReg1Seg1RegTrainer_R2*$K2642</f>
        <v>0</v>
      </c>
      <c r="I2642">
        <f>decInputReg1Seg1RegTrainer_R2*$K2642</f>
        <v>0</v>
      </c>
      <c r="K2642">
        <v>0.03</v>
      </c>
    </row>
    <row r="2643" spans="1:11">
      <c r="C2643" t="s">
        <v>1534</v>
      </c>
      <c r="E2643">
        <f>MIN(SUM(E2640:E2642),xxRepCapMax)</f>
        <v>0.55000000000000004</v>
      </c>
      <c r="F2643">
        <f>MIN(SUM(F2640:F2642),xxRepCapMax)</f>
        <v>0.55000000000000004</v>
      </c>
      <c r="G2643">
        <f>MIN(SUM(G2640:G2642),xxRepCapMax)</f>
        <v>0.55000000000000004</v>
      </c>
      <c r="H2643">
        <f>MIN(SUM(H2640:H2642),xxRepCapMax)</f>
        <v>0.55000000000000004</v>
      </c>
      <c r="I2643">
        <f>MIN(SUM(I2640:I2642),xxRepCapMax)</f>
        <v>0.55000000000000004</v>
      </c>
      <c r="J2643" t="s">
        <v>3405</v>
      </c>
    </row>
    <row r="2645" spans="1:11" s="507" customFormat="1">
      <c r="A2645" s="506" t="str">
        <f>nmReg1Seg2</f>
        <v>Winterfell</v>
      </c>
    </row>
    <row r="2646" spans="1:11">
      <c r="B2646" s="4"/>
      <c r="C2646" s="16" t="s">
        <v>1486</v>
      </c>
      <c r="E2646">
        <f>obalReg1Seg2Rep1Cap</f>
        <v>0.5</v>
      </c>
      <c r="F2646">
        <f>obalReg1Seg2Rep1Cap</f>
        <v>0.5</v>
      </c>
      <c r="G2646">
        <f>obalReg1Seg2Rep1Cap</f>
        <v>0.5</v>
      </c>
      <c r="H2646">
        <f>obalReg1Seg2Rep1Cap</f>
        <v>0.5</v>
      </c>
      <c r="I2646">
        <f>obalReg1Seg2Rep1Cap</f>
        <v>0.5</v>
      </c>
    </row>
    <row r="2647" spans="1:11">
      <c r="C2647" t="s">
        <v>585</v>
      </c>
      <c r="E2647">
        <f>decInputReg1Seg2Rep1Coaching_R1*$K2647</f>
        <v>0</v>
      </c>
      <c r="F2647">
        <f>decInputReg1Seg2Rep1Coaching_R1*$K2647</f>
        <v>0</v>
      </c>
      <c r="G2647">
        <f>decInputReg1Seg2Rep1Coaching_R1*$K2647</f>
        <v>0</v>
      </c>
      <c r="H2647">
        <f>decInputReg1Seg2Rep1Coaching_R1*$K2647</f>
        <v>0</v>
      </c>
      <c r="I2647">
        <f>decInputReg1Seg2Rep1Coaching_R1*$K2647</f>
        <v>0</v>
      </c>
      <c r="K2647">
        <v>0.05</v>
      </c>
    </row>
    <row r="2648" spans="1:11">
      <c r="C2648" t="s">
        <v>3211</v>
      </c>
      <c r="E2648">
        <f>decInputReg1Seg2RegTrainer_R1*$K2648</f>
        <v>0</v>
      </c>
      <c r="F2648">
        <f>decInputReg1Seg2RegTrainer_R1*$K2648</f>
        <v>0</v>
      </c>
      <c r="G2648">
        <f>decInputReg1Seg2RegTrainer_R1*$K2648</f>
        <v>0</v>
      </c>
      <c r="H2648">
        <f>decInputReg1Seg2RegTrainer_R1*$K2648</f>
        <v>0</v>
      </c>
      <c r="I2648">
        <f>decInputReg1Seg2RegTrainer_R1*$K2648</f>
        <v>0</v>
      </c>
      <c r="K2648">
        <v>0.03</v>
      </c>
    </row>
    <row r="2649" spans="1:11">
      <c r="C2649" t="s">
        <v>1534</v>
      </c>
      <c r="E2649">
        <f>MIN(SUM(E2646:E2648),xxRepCapMax)</f>
        <v>0.5</v>
      </c>
      <c r="F2649">
        <f>MIN(SUM(F2646:F2648),xxRepCapMax)</f>
        <v>0.5</v>
      </c>
      <c r="G2649">
        <f>MIN(SUM(G2646:G2648),xxRepCapMax)</f>
        <v>0.5</v>
      </c>
      <c r="H2649">
        <f>MIN(SUM(H2646:H2648),xxRepCapMax)</f>
        <v>0.5</v>
      </c>
      <c r="I2649">
        <f>MIN(SUM(I2646:I2648),xxRepCapMax)</f>
        <v>0.5</v>
      </c>
      <c r="J2649" t="s">
        <v>3406</v>
      </c>
    </row>
    <row r="2651" spans="1:11">
      <c r="B2651" s="4"/>
      <c r="C2651" s="16" t="s">
        <v>1486</v>
      </c>
      <c r="E2651">
        <f>calcReg1Seg2Rep1CapR1</f>
        <v>0.5</v>
      </c>
      <c r="F2651">
        <f>calcReg1Seg2Rep1CapR1</f>
        <v>0.5</v>
      </c>
      <c r="G2651">
        <f>calcReg1Seg2Rep1CapR1</f>
        <v>0.5</v>
      </c>
      <c r="H2651">
        <f>calcReg1Seg2Rep1CapR1</f>
        <v>0.5</v>
      </c>
      <c r="I2651">
        <f>calcReg1Seg2Rep1CapR1</f>
        <v>0.5</v>
      </c>
    </row>
    <row r="2652" spans="1:11">
      <c r="C2652" t="s">
        <v>585</v>
      </c>
      <c r="E2652">
        <f>decInputReg1Seg2Rep1Coaching_R2*$K2652</f>
        <v>0</v>
      </c>
      <c r="F2652">
        <f>decInputReg1Seg2Rep1Coaching_R2*$K2652</f>
        <v>0</v>
      </c>
      <c r="G2652">
        <f>decInputReg1Seg2Rep1Coaching_R2*$K2652</f>
        <v>0</v>
      </c>
      <c r="H2652">
        <f>decInputReg1Seg2Rep1Coaching_R2*$K2652</f>
        <v>0</v>
      </c>
      <c r="I2652">
        <f>decInputReg1Seg2Rep1Coaching_R2*$K2652</f>
        <v>0</v>
      </c>
      <c r="K2652">
        <v>0.05</v>
      </c>
    </row>
    <row r="2653" spans="1:11">
      <c r="C2653" t="s">
        <v>3211</v>
      </c>
      <c r="E2653">
        <f>decInputReg1Seg2RegTrainer_R2*$K2653</f>
        <v>0</v>
      </c>
      <c r="F2653">
        <f>decInputReg1Seg2RegTrainer_R2*$K2653</f>
        <v>0</v>
      </c>
      <c r="G2653">
        <f>decInputReg1Seg2RegTrainer_R2*$K2653</f>
        <v>0</v>
      </c>
      <c r="H2653">
        <f>decInputReg1Seg2RegTrainer_R2*$K2653</f>
        <v>0</v>
      </c>
      <c r="I2653">
        <f>decInputReg1Seg2RegTrainer_R2*$K2653</f>
        <v>0</v>
      </c>
      <c r="K2653">
        <v>0.03</v>
      </c>
    </row>
    <row r="2654" spans="1:11">
      <c r="C2654" t="s">
        <v>1534</v>
      </c>
      <c r="E2654">
        <f>MIN(SUM(E2651:E2653),xxRepCapMax)</f>
        <v>0.5</v>
      </c>
      <c r="F2654">
        <f>MIN(SUM(F2651:F2653),xxRepCapMax)</f>
        <v>0.5</v>
      </c>
      <c r="G2654">
        <f>MIN(SUM(G2651:G2653),xxRepCapMax)</f>
        <v>0.5</v>
      </c>
      <c r="H2654">
        <f>MIN(SUM(H2651:H2653),xxRepCapMax)</f>
        <v>0.5</v>
      </c>
      <c r="I2654">
        <f>MIN(SUM(I2651:I2653),xxRepCapMax)</f>
        <v>0.5</v>
      </c>
      <c r="J2654" t="s">
        <v>3407</v>
      </c>
    </row>
    <row r="2656" spans="1:11" s="507" customFormat="1">
      <c r="A2656" s="506" t="str">
        <f>nmReg1Seg3</f>
        <v>Harrenhal</v>
      </c>
    </row>
    <row r="2657" spans="1:11">
      <c r="B2657" s="4"/>
      <c r="C2657" s="16" t="s">
        <v>1486</v>
      </c>
      <c r="E2657">
        <f>obalReg1Seg3Rep1Cap</f>
        <v>0.55000000000000004</v>
      </c>
      <c r="F2657">
        <f>obalReg1Seg3Rep1Cap</f>
        <v>0.55000000000000004</v>
      </c>
      <c r="G2657">
        <f>obalReg1Seg3Rep1Cap</f>
        <v>0.55000000000000004</v>
      </c>
      <c r="H2657">
        <f>obalReg1Seg3Rep1Cap</f>
        <v>0.55000000000000004</v>
      </c>
      <c r="I2657">
        <f>obalReg1Seg3Rep1Cap</f>
        <v>0.55000000000000004</v>
      </c>
    </row>
    <row r="2658" spans="1:11">
      <c r="C2658" t="s">
        <v>585</v>
      </c>
      <c r="E2658">
        <f>decInputReg1Seg3Rep1Coaching_R1*$K2658</f>
        <v>0</v>
      </c>
      <c r="F2658">
        <f>decInputReg1Seg3Rep1Coaching_R1*$K2658</f>
        <v>0</v>
      </c>
      <c r="G2658">
        <f>decInputReg1Seg3Rep1Coaching_R1*$K2658</f>
        <v>0</v>
      </c>
      <c r="H2658">
        <f>decInputReg1Seg3Rep1Coaching_R1*$K2658</f>
        <v>0</v>
      </c>
      <c r="I2658">
        <f>decInputReg1Seg3Rep1Coaching_R1*$K2658</f>
        <v>0</v>
      </c>
      <c r="K2658">
        <v>0.05</v>
      </c>
    </row>
    <row r="2659" spans="1:11">
      <c r="C2659" t="s">
        <v>3211</v>
      </c>
      <c r="E2659">
        <f>decInputReg1Seg3RegTrainer_R1*$K2659</f>
        <v>0</v>
      </c>
      <c r="F2659">
        <f>decInputReg1Seg3RegTrainer_R1*$K2659</f>
        <v>0</v>
      </c>
      <c r="G2659">
        <f>decInputReg1Seg3RegTrainer_R1*$K2659</f>
        <v>0</v>
      </c>
      <c r="H2659">
        <f>decInputReg1Seg3RegTrainer_R1*$K2659</f>
        <v>0</v>
      </c>
      <c r="I2659">
        <f>decInputReg1Seg3RegTrainer_R1*$K2659</f>
        <v>0</v>
      </c>
      <c r="K2659">
        <v>0.03</v>
      </c>
    </row>
    <row r="2660" spans="1:11">
      <c r="C2660" t="s">
        <v>1534</v>
      </c>
      <c r="E2660">
        <f>MIN(SUM(E2657:E2659),xxRepCapMax)</f>
        <v>0.55000000000000004</v>
      </c>
      <c r="F2660">
        <f>MIN(SUM(F2657:F2659),xxRepCapMax)</f>
        <v>0.55000000000000004</v>
      </c>
      <c r="G2660">
        <f>MIN(SUM(G2657:G2659),xxRepCapMax)</f>
        <v>0.55000000000000004</v>
      </c>
      <c r="H2660">
        <f>MIN(SUM(H2657:H2659),xxRepCapMax)</f>
        <v>0.55000000000000004</v>
      </c>
      <c r="I2660">
        <f>MIN(SUM(I2657:I2659),xxRepCapMax)</f>
        <v>0.55000000000000004</v>
      </c>
      <c r="J2660" t="s">
        <v>3408</v>
      </c>
    </row>
    <row r="2662" spans="1:11">
      <c r="B2662" s="4"/>
      <c r="C2662" s="16" t="s">
        <v>1486</v>
      </c>
      <c r="E2662">
        <f>calcReg1Seg3Rep1CapR1</f>
        <v>0.55000000000000004</v>
      </c>
      <c r="F2662">
        <f>calcReg1Seg3Rep1CapR1</f>
        <v>0.55000000000000004</v>
      </c>
      <c r="G2662">
        <f>calcReg1Seg3Rep1CapR1</f>
        <v>0.55000000000000004</v>
      </c>
      <c r="H2662">
        <f>calcReg1Seg3Rep1CapR1</f>
        <v>0.55000000000000004</v>
      </c>
      <c r="I2662">
        <f>calcReg1Seg3Rep1CapR1</f>
        <v>0.55000000000000004</v>
      </c>
    </row>
    <row r="2663" spans="1:11">
      <c r="C2663" t="s">
        <v>585</v>
      </c>
      <c r="E2663">
        <f>decInputReg1Seg3Rep1Coaching_R2*$K2663</f>
        <v>0</v>
      </c>
      <c r="F2663">
        <f>decInputReg1Seg3Rep1Coaching_R2*$K2663</f>
        <v>0</v>
      </c>
      <c r="G2663">
        <f>decInputReg1Seg3Rep1Coaching_R2*$K2663</f>
        <v>0</v>
      </c>
      <c r="H2663">
        <f>decInputReg1Seg3Rep1Coaching_R2*$K2663</f>
        <v>0</v>
      </c>
      <c r="I2663">
        <f>decInputReg1Seg3Rep1Coaching_R2*$K2663</f>
        <v>0</v>
      </c>
      <c r="K2663">
        <v>0.05</v>
      </c>
    </row>
    <row r="2664" spans="1:11">
      <c r="C2664" t="s">
        <v>3211</v>
      </c>
      <c r="E2664">
        <f>decInputReg1Seg3RegTrainer_R2*$K2664</f>
        <v>0</v>
      </c>
      <c r="F2664">
        <f>decInputReg1Seg3RegTrainer_R2*$K2664</f>
        <v>0</v>
      </c>
      <c r="G2664">
        <f>decInputReg1Seg3RegTrainer_R2*$K2664</f>
        <v>0</v>
      </c>
      <c r="H2664">
        <f>decInputReg1Seg3RegTrainer_R2*$K2664</f>
        <v>0</v>
      </c>
      <c r="I2664">
        <f>decInputReg1Seg3RegTrainer_R2*$K2664</f>
        <v>0</v>
      </c>
      <c r="K2664">
        <v>0.03</v>
      </c>
    </row>
    <row r="2665" spans="1:11">
      <c r="C2665" t="s">
        <v>1534</v>
      </c>
      <c r="E2665">
        <f>MIN(SUM(E2662:E2664),xxRepCapMax)</f>
        <v>0.55000000000000004</v>
      </c>
      <c r="F2665">
        <f>MIN(SUM(F2662:F2664),xxRepCapMax)</f>
        <v>0.55000000000000004</v>
      </c>
      <c r="G2665">
        <f>MIN(SUM(G2662:G2664),xxRepCapMax)</f>
        <v>0.55000000000000004</v>
      </c>
      <c r="H2665">
        <f>MIN(SUM(H2662:H2664),xxRepCapMax)</f>
        <v>0.55000000000000004</v>
      </c>
      <c r="I2665">
        <f>MIN(SUM(I2662:I2664),xxRepCapMax)</f>
        <v>0.55000000000000004</v>
      </c>
      <c r="J2665" t="s">
        <v>3409</v>
      </c>
    </row>
    <row r="2667" spans="1:11">
      <c r="A2667" s="4" t="s">
        <v>3826</v>
      </c>
    </row>
    <row r="2668" spans="1:11">
      <c r="C2668" t="str">
        <f>nmProd1Seg1Rep1</f>
        <v>Rep Allen</v>
      </c>
      <c r="E2668">
        <v>5</v>
      </c>
      <c r="F2668">
        <v>5</v>
      </c>
      <c r="G2668">
        <v>5</v>
      </c>
      <c r="H2668">
        <v>5</v>
      </c>
      <c r="I2668">
        <v>5</v>
      </c>
      <c r="J2668" t="s">
        <v>3827</v>
      </c>
    </row>
    <row r="2669" spans="1:11">
      <c r="C2669" t="str">
        <f>nmProd1Seg1Rep2</f>
        <v>Rep Betty</v>
      </c>
      <c r="E2669">
        <v>2</v>
      </c>
      <c r="F2669">
        <v>2</v>
      </c>
      <c r="G2669">
        <v>2</v>
      </c>
      <c r="H2669">
        <v>2</v>
      </c>
      <c r="I2669">
        <v>2</v>
      </c>
      <c r="J2669" t="s">
        <v>3828</v>
      </c>
    </row>
    <row r="2670" spans="1:11">
      <c r="C2670" t="str">
        <f>nmProd1Seg1Rep3</f>
        <v>Rep Chris</v>
      </c>
      <c r="E2670">
        <v>4</v>
      </c>
      <c r="F2670">
        <v>4</v>
      </c>
      <c r="G2670">
        <v>4</v>
      </c>
      <c r="H2670">
        <v>4</v>
      </c>
      <c r="I2670">
        <v>4</v>
      </c>
      <c r="J2670" t="s">
        <v>3829</v>
      </c>
    </row>
    <row r="2671" spans="1:11">
      <c r="C2671" t="str">
        <f>nmProd1Seg2Rep1</f>
        <v>Rep Danielle</v>
      </c>
      <c r="E2671">
        <v>4</v>
      </c>
      <c r="F2671">
        <v>4</v>
      </c>
      <c r="G2671">
        <v>4</v>
      </c>
      <c r="H2671">
        <v>4</v>
      </c>
      <c r="I2671">
        <v>4</v>
      </c>
      <c r="J2671" t="s">
        <v>3830</v>
      </c>
    </row>
    <row r="2672" spans="1:11">
      <c r="C2672" t="str">
        <f>nmProd1Seg2Rep2</f>
        <v>Rep Elliot</v>
      </c>
      <c r="E2672">
        <v>3</v>
      </c>
      <c r="F2672">
        <v>3</v>
      </c>
      <c r="G2672">
        <v>3</v>
      </c>
      <c r="H2672">
        <v>3</v>
      </c>
      <c r="I2672">
        <v>3</v>
      </c>
      <c r="J2672" t="s">
        <v>3831</v>
      </c>
    </row>
    <row r="2673" spans="1:15">
      <c r="C2673" t="str">
        <f>nmProd1Seg2Rep3</f>
        <v>Rep Fiona</v>
      </c>
      <c r="E2673">
        <v>3</v>
      </c>
      <c r="F2673">
        <v>3</v>
      </c>
      <c r="G2673">
        <v>3</v>
      </c>
      <c r="H2673">
        <v>3</v>
      </c>
      <c r="I2673">
        <v>3</v>
      </c>
      <c r="J2673" t="s">
        <v>3832</v>
      </c>
    </row>
    <row r="2674" spans="1:15">
      <c r="C2674" t="str">
        <f>nmProd1Seg3Rep1</f>
        <v>Rep Gregg</v>
      </c>
      <c r="E2674">
        <v>4</v>
      </c>
      <c r="F2674">
        <v>4</v>
      </c>
      <c r="G2674">
        <v>4</v>
      </c>
      <c r="H2674">
        <v>4</v>
      </c>
      <c r="I2674">
        <v>4</v>
      </c>
      <c r="J2674" t="s">
        <v>3833</v>
      </c>
    </row>
    <row r="2675" spans="1:15">
      <c r="C2675" t="str">
        <f>nmProd1Seg3Rep2</f>
        <v>Rep Howard</v>
      </c>
      <c r="E2675">
        <v>3</v>
      </c>
      <c r="F2675">
        <v>3</v>
      </c>
      <c r="G2675">
        <v>3</v>
      </c>
      <c r="H2675">
        <v>3</v>
      </c>
      <c r="I2675">
        <v>3</v>
      </c>
      <c r="J2675" t="s">
        <v>3834</v>
      </c>
    </row>
    <row r="2676" spans="1:15">
      <c r="C2676" t="str">
        <f>nmProd1Seg3Rep3</f>
        <v>Rep Isabelle</v>
      </c>
      <c r="E2676">
        <v>2</v>
      </c>
      <c r="F2676">
        <v>2</v>
      </c>
      <c r="G2676">
        <v>2</v>
      </c>
      <c r="H2676">
        <v>2</v>
      </c>
      <c r="I2676">
        <v>2</v>
      </c>
      <c r="J2676" t="s">
        <v>3835</v>
      </c>
    </row>
    <row r="2679" spans="1:15">
      <c r="A2679" s="4" t="s">
        <v>3747</v>
      </c>
    </row>
    <row r="2680" spans="1:15">
      <c r="A2680" s="4" t="str">
        <f>nmProd1</f>
        <v>Riverrun</v>
      </c>
    </row>
    <row r="2681" spans="1:15">
      <c r="A2681" s="4" t="str">
        <f>nmProd1Seg1</f>
        <v>Riverrun Central</v>
      </c>
      <c r="C2681" t="str">
        <f>nmProd1Seg1Rep1</f>
        <v>Rep Allen</v>
      </c>
      <c r="D2681" t="s">
        <v>1486</v>
      </c>
      <c r="E2681" s="387">
        <f>obalInputProd1Seg1Therapy1Rep1Weight_R1</f>
        <v>0.4</v>
      </c>
      <c r="F2681" s="387">
        <f>obalInputProd1Seg1Therapy1Rep1Weight_R1</f>
        <v>0.4</v>
      </c>
      <c r="G2681" s="387">
        <f>obalInputProd1Seg1Therapy1Rep1Weight_R1</f>
        <v>0.4</v>
      </c>
      <c r="H2681" s="387">
        <f>obalInputProd1Seg1Therapy1Rep1Weight_R1</f>
        <v>0.4</v>
      </c>
      <c r="I2681" s="387">
        <f>obalInputProd1Seg1Therapy1Rep1Weight_R1</f>
        <v>0.4</v>
      </c>
    </row>
    <row r="2682" spans="1:15">
      <c r="C2682">
        <v>5</v>
      </c>
      <c r="D2682" t="s">
        <v>2334</v>
      </c>
      <c r="E2682" s="387">
        <f>decInputProd1Seg1Therapy1Rep1Weight_R1</f>
        <v>0.4</v>
      </c>
      <c r="F2682" s="387">
        <f>decInputProd1Seg1Therapy1Rep1Weight_R1</f>
        <v>0.4</v>
      </c>
      <c r="G2682" s="387">
        <f>decInputProd1Seg1Therapy1Rep1Weight_R1</f>
        <v>0.4</v>
      </c>
      <c r="H2682" s="387">
        <f>decInputProd1Seg1Therapy1Rep1Weight_R1</f>
        <v>0.4</v>
      </c>
      <c r="I2682" s="387">
        <f>decInputProd1Seg1Therapy1Rep1Weight_R1</f>
        <v>0.4</v>
      </c>
      <c r="J2682" t="s">
        <v>3748</v>
      </c>
      <c r="N2682" s="381">
        <v>0.4</v>
      </c>
      <c r="O2682" t="s">
        <v>3786</v>
      </c>
    </row>
    <row r="2683" spans="1:15">
      <c r="D2683" t="s">
        <v>3749</v>
      </c>
      <c r="E2683">
        <f>calcProd1Seg1Rep1CapR1</f>
        <v>0.5</v>
      </c>
      <c r="F2683">
        <f>calcProd1Seg1Rep1CapR1</f>
        <v>0.5</v>
      </c>
      <c r="G2683">
        <f>calcProd1Seg1Rep1CapR1</f>
        <v>0.5</v>
      </c>
      <c r="H2683">
        <f>calcProd1Seg1Rep1CapR1</f>
        <v>0.5</v>
      </c>
      <c r="I2683">
        <f>calcProd1Seg1Rep1CapR1</f>
        <v>0.5</v>
      </c>
    </row>
    <row r="2684" spans="1:15">
      <c r="D2684" t="s">
        <v>2944</v>
      </c>
      <c r="E2684" s="387">
        <f>(E2683&gt;xxRepThresholdBagWeight)*(E2682-E2681)*(E2683-xxRepThresholdBagWeight)</f>
        <v>0</v>
      </c>
      <c r="F2684" s="387">
        <f>(F2683&gt;xxRepThresholdBagWeight)*(F2682-F2681)*(F2683-xxRepThresholdBagWeight)</f>
        <v>0</v>
      </c>
      <c r="G2684" s="387">
        <f>(G2683&gt;xxRepThresholdBagWeight)*(G2682-G2681)*(G2683-xxRepThresholdBagWeight)</f>
        <v>0</v>
      </c>
      <c r="H2684" s="387">
        <f>(H2683&gt;xxRepThresholdBagWeight)*(H2682-H2681)*(H2683-xxRepThresholdBagWeight)</f>
        <v>0</v>
      </c>
      <c r="I2684" s="387">
        <f>(I2683&gt;xxRepThreshold)*(I2682-I2681)*(I2683-xxRepThreshold)</f>
        <v>0</v>
      </c>
      <c r="J2684" t="s">
        <v>3750</v>
      </c>
    </row>
    <row r="2686" spans="1:15">
      <c r="A2686" s="4"/>
      <c r="C2686" t="str">
        <f>nmProd1Seg1Rep1</f>
        <v>Rep Allen</v>
      </c>
      <c r="D2686" t="s">
        <v>1486</v>
      </c>
      <c r="E2686" s="387">
        <f>calcProd1Seg1Rep1BagWeightR1</f>
        <v>0.4</v>
      </c>
      <c r="F2686" s="387">
        <f>calcProd1Seg1Rep1BagWeightR1</f>
        <v>0.4</v>
      </c>
      <c r="G2686" s="387">
        <f>calcProd1Seg1Rep1BagWeightR1</f>
        <v>0.4</v>
      </c>
      <c r="H2686" s="387">
        <f>calcProd1Seg1Rep1BagWeightR1</f>
        <v>0.4</v>
      </c>
      <c r="I2686" s="387">
        <f>calcProd1Seg1Rep1BagWeightR1</f>
        <v>0.4</v>
      </c>
    </row>
    <row r="2687" spans="1:15">
      <c r="D2687" t="s">
        <v>2334</v>
      </c>
      <c r="E2687" s="387">
        <f>decInputProd1Seg1Therapy1Rep1Weight_R2</f>
        <v>0.4</v>
      </c>
      <c r="F2687" s="387">
        <f>decInputProd1Seg1Therapy1Rep1Weight_R2</f>
        <v>0.4</v>
      </c>
      <c r="G2687" s="387">
        <f>decInputProd1Seg1Therapy1Rep1Weight_R2</f>
        <v>0.4</v>
      </c>
      <c r="H2687" s="387">
        <f>decInputProd1Seg1Therapy1Rep1Weight_R2</f>
        <v>0.4</v>
      </c>
      <c r="I2687" s="387">
        <f>decInputProd1Seg1Therapy1Rep1Weight_R2</f>
        <v>0.4</v>
      </c>
      <c r="J2687" t="s">
        <v>3751</v>
      </c>
    </row>
    <row r="2688" spans="1:15">
      <c r="D2688" t="s">
        <v>3749</v>
      </c>
      <c r="E2688">
        <f>calcProd1Seg1Rep1CapR2</f>
        <v>0.5</v>
      </c>
      <c r="F2688">
        <f>calcProd1Seg1Rep1CapR2</f>
        <v>0.5</v>
      </c>
      <c r="G2688">
        <f>calcProd1Seg1Rep1CapR2</f>
        <v>0.5</v>
      </c>
      <c r="H2688">
        <f>calcProd1Seg1Rep1CapR2</f>
        <v>0.5</v>
      </c>
      <c r="I2688">
        <f>calcProd1Seg1Rep1CapR2</f>
        <v>0.5</v>
      </c>
    </row>
    <row r="2689" spans="1:10">
      <c r="D2689" t="s">
        <v>2944</v>
      </c>
      <c r="E2689" s="387">
        <f>(E2688&gt;xxRepThresholdBagWeight)*(E2687-E2686)*(E2688-xxRepThresholdBagWeight)</f>
        <v>0</v>
      </c>
      <c r="F2689" s="387">
        <f>(F2688&gt;xxRepThresholdBagWeight)*(F2687-F2686)*(F2688-xxRepThresholdBagWeight)</f>
        <v>0</v>
      </c>
      <c r="G2689" s="387">
        <f>(G2688&gt;xxRepThresholdBagWeight)*(G2687-G2686)*(G2688-xxRepThresholdBagWeight)</f>
        <v>0</v>
      </c>
      <c r="H2689" s="387">
        <f>(H2688&gt;xxRepThresholdBagWeight)*(H2687-H2686)*(H2688-xxRepThresholdBagWeight)</f>
        <v>0</v>
      </c>
      <c r="I2689" s="387">
        <f>(I2688&gt;xxRepThreshold)*(I2687-I2686)*(I2688-xxRepThreshold)</f>
        <v>0</v>
      </c>
      <c r="J2689" t="s">
        <v>3752</v>
      </c>
    </row>
    <row r="2691" spans="1:10">
      <c r="A2691" s="4"/>
      <c r="C2691" t="str">
        <f>nmProd1Seg1Rep2</f>
        <v>Rep Betty</v>
      </c>
      <c r="D2691" t="s">
        <v>1486</v>
      </c>
      <c r="E2691" s="387">
        <f>obalInputProd1Seg1Therapy1Rep2Weight_R1</f>
        <v>0.4</v>
      </c>
      <c r="F2691" s="387">
        <f>obalInputProd1Seg1Therapy1Rep2Weight_R1</f>
        <v>0.4</v>
      </c>
      <c r="G2691" s="387">
        <f>obalInputProd1Seg1Therapy1Rep2Weight_R1</f>
        <v>0.4</v>
      </c>
      <c r="H2691" s="387">
        <f>obalInputProd1Seg1Therapy1Rep2Weight_R1</f>
        <v>0.4</v>
      </c>
      <c r="I2691" s="387">
        <f>obalInputProd1Seg1Therapy1Rep2Weight_R1</f>
        <v>0.4</v>
      </c>
    </row>
    <row r="2692" spans="1:10">
      <c r="C2692">
        <v>2</v>
      </c>
      <c r="D2692" t="s">
        <v>2334</v>
      </c>
      <c r="E2692" s="387">
        <f>decInputProd1Seg1Therapy1Rep2Weight_R1</f>
        <v>0.4</v>
      </c>
      <c r="F2692" s="387">
        <f>decInputProd1Seg1Therapy1Rep2Weight_R1</f>
        <v>0.4</v>
      </c>
      <c r="G2692" s="387">
        <f>decInputProd1Seg1Therapy1Rep2Weight_R1</f>
        <v>0.4</v>
      </c>
      <c r="H2692" s="387">
        <f>decInputProd1Seg1Therapy1Rep2Weight_R1</f>
        <v>0.4</v>
      </c>
      <c r="I2692" s="387">
        <f>decInputProd1Seg1Therapy1Rep2Weight_R1</f>
        <v>0.4</v>
      </c>
      <c r="J2692" t="s">
        <v>3753</v>
      </c>
    </row>
    <row r="2693" spans="1:10">
      <c r="D2693" t="s">
        <v>3749</v>
      </c>
      <c r="E2693">
        <f>calcProd1Seg1Rep2CapR1</f>
        <v>0.5</v>
      </c>
      <c r="F2693">
        <f>calcProd1Seg1Rep2CapR1</f>
        <v>0.5</v>
      </c>
      <c r="G2693">
        <f>calcProd1Seg1Rep2CapR1</f>
        <v>0.5</v>
      </c>
      <c r="H2693">
        <f>calcProd1Seg1Rep2CapR1</f>
        <v>0.5</v>
      </c>
      <c r="I2693">
        <f>calcProd1Seg1Rep2CapR1</f>
        <v>0.5</v>
      </c>
    </row>
    <row r="2694" spans="1:10">
      <c r="D2694" t="s">
        <v>2944</v>
      </c>
      <c r="E2694" s="387">
        <f>(E2693&gt;xxRepThresholdBagWeight)*(E2692-E2691)*(E2693-xxRepThresholdBagWeight)</f>
        <v>0</v>
      </c>
      <c r="F2694" s="387">
        <f>(F2693&gt;xxRepThresholdBagWeight)*(F2692-F2691)*(F2693-xxRepThresholdBagWeight)</f>
        <v>0</v>
      </c>
      <c r="G2694" s="387">
        <f>(G2693&gt;xxRepThresholdBagWeight)*(G2692-G2691)*(G2693-xxRepThresholdBagWeight)</f>
        <v>0</v>
      </c>
      <c r="H2694" s="387">
        <f>(H2693&gt;xxRepThresholdBagWeight)*(H2692-H2691)*(H2693-xxRepThresholdBagWeight)</f>
        <v>0</v>
      </c>
      <c r="I2694" s="387">
        <f>(I2693&gt;xxRepThreshold)*(I2692-I2691)*(I2693-xxRepThreshold)</f>
        <v>0</v>
      </c>
      <c r="J2694" t="s">
        <v>3754</v>
      </c>
    </row>
    <row r="2696" spans="1:10">
      <c r="A2696" s="4"/>
      <c r="C2696" t="str">
        <f>nmProd1Seg1Rep2</f>
        <v>Rep Betty</v>
      </c>
      <c r="D2696" t="s">
        <v>1486</v>
      </c>
      <c r="E2696" s="387">
        <f>calcProd1Seg1Rep2BagWeightR1</f>
        <v>0.4</v>
      </c>
      <c r="F2696" s="387">
        <f>calcProd1Seg1Rep2BagWeightR1</f>
        <v>0.4</v>
      </c>
      <c r="G2696" s="387">
        <f>calcProd1Seg1Rep2BagWeightR1</f>
        <v>0.4</v>
      </c>
      <c r="H2696" s="387">
        <f>calcProd1Seg1Rep2BagWeightR1</f>
        <v>0.4</v>
      </c>
      <c r="I2696" s="387">
        <f>calcProd1Seg1Rep2BagWeightR1</f>
        <v>0.4</v>
      </c>
    </row>
    <row r="2697" spans="1:10">
      <c r="D2697" t="s">
        <v>2334</v>
      </c>
      <c r="E2697" s="387">
        <f>decInputProd1Seg1Therapy1Rep2Weight_R2</f>
        <v>0.4</v>
      </c>
      <c r="F2697" s="387">
        <f>decInputProd1Seg1Therapy1Rep2Weight_R2</f>
        <v>0.4</v>
      </c>
      <c r="G2697" s="387">
        <f>decInputProd1Seg1Therapy1Rep2Weight_R2</f>
        <v>0.4</v>
      </c>
      <c r="H2697" s="387">
        <f>decInputProd1Seg1Therapy1Rep2Weight_R2</f>
        <v>0.4</v>
      </c>
      <c r="I2697" s="387">
        <f>decInputProd1Seg1Therapy1Rep2Weight_R2</f>
        <v>0.4</v>
      </c>
      <c r="J2697" t="s">
        <v>3755</v>
      </c>
    </row>
    <row r="2698" spans="1:10">
      <c r="D2698" t="s">
        <v>3749</v>
      </c>
      <c r="E2698">
        <f>calcProd1Seg1Rep2CapR2</f>
        <v>0.5</v>
      </c>
      <c r="F2698">
        <f>calcProd1Seg1Rep2CapR2</f>
        <v>0.5</v>
      </c>
      <c r="G2698">
        <f>calcProd1Seg1Rep2CapR2</f>
        <v>0.5</v>
      </c>
      <c r="H2698">
        <f>calcProd1Seg1Rep2CapR2</f>
        <v>0.5</v>
      </c>
      <c r="I2698">
        <f>calcProd1Seg1Rep2CapR2</f>
        <v>0.5</v>
      </c>
    </row>
    <row r="2699" spans="1:10">
      <c r="D2699" t="s">
        <v>2944</v>
      </c>
      <c r="E2699" s="387">
        <f>(E2698&gt;xxRepThresholdBagWeight)*(E2697-E2696)*(E2698-xxRepThresholdBagWeight)</f>
        <v>0</v>
      </c>
      <c r="F2699" s="387">
        <f>(F2698&gt;xxRepThresholdBagWeight)*(F2697-F2696)*(F2698-xxRepThresholdBagWeight)</f>
        <v>0</v>
      </c>
      <c r="G2699" s="387">
        <f>(G2698&gt;xxRepThresholdBagWeight)*(G2697-G2696)*(G2698-xxRepThresholdBagWeight)</f>
        <v>0</v>
      </c>
      <c r="H2699" s="387">
        <f>(H2698&gt;xxRepThresholdBagWeight)*(H2697-H2696)*(H2698-xxRepThresholdBagWeight)</f>
        <v>0</v>
      </c>
      <c r="I2699" s="387">
        <f>(I2698&gt;xxRepThreshold)*(I2697-I2696)*(I2698-xxRepThreshold)</f>
        <v>0</v>
      </c>
      <c r="J2699" t="s">
        <v>3756</v>
      </c>
    </row>
    <row r="2700" spans="1:10">
      <c r="E2700" s="387"/>
      <c r="F2700" s="387"/>
      <c r="G2700" s="387"/>
      <c r="H2700" s="387"/>
      <c r="I2700" s="387"/>
    </row>
    <row r="2701" spans="1:10">
      <c r="A2701" s="4"/>
      <c r="C2701" t="str">
        <f>nmProd1Seg1Rep3</f>
        <v>Rep Chris</v>
      </c>
      <c r="D2701" t="s">
        <v>1486</v>
      </c>
      <c r="E2701" s="387">
        <f>obalInputProd1Seg1Therapy1Rep3Weight_R1</f>
        <v>0.6</v>
      </c>
      <c r="F2701" s="387">
        <f>obalInputProd1Seg1Therapy1Rep3Weight_R1</f>
        <v>0.6</v>
      </c>
      <c r="G2701" s="387">
        <f>obalInputProd1Seg1Therapy1Rep3Weight_R1</f>
        <v>0.6</v>
      </c>
      <c r="H2701" s="387">
        <f>obalInputProd1Seg1Therapy1Rep3Weight_R1</f>
        <v>0.6</v>
      </c>
      <c r="I2701" s="387">
        <f>obalInputProd1Seg1Therapy1Rep3Weight_R1</f>
        <v>0.6</v>
      </c>
    </row>
    <row r="2702" spans="1:10">
      <c r="C2702">
        <v>4</v>
      </c>
      <c r="D2702" t="s">
        <v>2334</v>
      </c>
      <c r="E2702" s="387">
        <f>decInputProd1Seg1Therapy1Rep3Weight_R1</f>
        <v>0.6</v>
      </c>
      <c r="F2702" s="387">
        <f>decInputProd1Seg1Therapy1Rep3Weight_R1</f>
        <v>0.6</v>
      </c>
      <c r="G2702" s="387">
        <f>decInputProd1Seg1Therapy1Rep3Weight_R1</f>
        <v>0.6</v>
      </c>
      <c r="H2702" s="387">
        <f>decInputProd1Seg1Therapy1Rep3Weight_R1</f>
        <v>0.6</v>
      </c>
      <c r="I2702" s="387">
        <f>decInputProd1Seg1Therapy1Rep3Weight_R1</f>
        <v>0.6</v>
      </c>
      <c r="J2702" t="s">
        <v>3757</v>
      </c>
    </row>
    <row r="2703" spans="1:10">
      <c r="D2703" t="s">
        <v>3749</v>
      </c>
      <c r="E2703">
        <f>calcProd1Seg1Rep3CapR1</f>
        <v>0.9</v>
      </c>
      <c r="F2703">
        <f>calcProd1Seg1Rep3CapR1</f>
        <v>0.9</v>
      </c>
      <c r="G2703">
        <f>calcProd1Seg1Rep3CapR1</f>
        <v>0.9</v>
      </c>
      <c r="H2703">
        <f>calcProd1Seg1Rep3CapR1</f>
        <v>0.9</v>
      </c>
      <c r="I2703">
        <f>calcProd1Seg1Rep3CapR1</f>
        <v>0.9</v>
      </c>
    </row>
    <row r="2704" spans="1:10">
      <c r="D2704" t="s">
        <v>2944</v>
      </c>
      <c r="E2704" s="387">
        <f>(E2703&gt;xxRepThresholdBagWeight)*(E2702-E2701)*(E2703-xxRepThresholdBagWeight)</f>
        <v>0</v>
      </c>
      <c r="F2704" s="387">
        <f>(F2703&gt;xxRepThresholdBagWeight)*(F2702-F2701)*(F2703-xxRepThresholdBagWeight)</f>
        <v>0</v>
      </c>
      <c r="G2704" s="387">
        <f>(G2703&gt;xxRepThresholdBagWeight)*(G2702-G2701)*(G2703-xxRepThresholdBagWeight)</f>
        <v>0</v>
      </c>
      <c r="H2704" s="387">
        <f>(H2703&gt;xxRepThresholdBagWeight)*(H2702-H2701)*(H2703-xxRepThresholdBagWeight)</f>
        <v>0</v>
      </c>
      <c r="I2704" s="387">
        <f>(I2703&gt;xxRepThreshold)*(I2702-I2701)*(I2703-xxRepThreshold)</f>
        <v>0</v>
      </c>
      <c r="J2704" t="s">
        <v>3758</v>
      </c>
    </row>
    <row r="2706" spans="1:10">
      <c r="A2706" s="4"/>
      <c r="C2706" t="str">
        <f>nmProd1Seg1Rep3</f>
        <v>Rep Chris</v>
      </c>
      <c r="D2706" t="s">
        <v>1486</v>
      </c>
      <c r="E2706" s="387">
        <f>calcProd1Seg1Rep3BagWeightR1</f>
        <v>0.6</v>
      </c>
      <c r="F2706" s="387">
        <f>calcProd1Seg1Rep3BagWeightR1</f>
        <v>0.6</v>
      </c>
      <c r="G2706" s="387">
        <f>calcProd1Seg1Rep3BagWeightR1</f>
        <v>0.6</v>
      </c>
      <c r="H2706" s="387">
        <f>calcProd1Seg1Rep3BagWeightR1</f>
        <v>0.6</v>
      </c>
      <c r="I2706" s="387">
        <f>calcProd1Seg1Rep3BagWeightR1</f>
        <v>0.6</v>
      </c>
    </row>
    <row r="2707" spans="1:10">
      <c r="D2707" t="s">
        <v>2334</v>
      </c>
      <c r="E2707" s="387">
        <f>decInputProd1Seg1Therapy1Rep3Weight_R2</f>
        <v>0.6</v>
      </c>
      <c r="F2707" s="387">
        <f>decInputProd1Seg1Therapy1Rep3Weight_R2</f>
        <v>0.6</v>
      </c>
      <c r="G2707" s="387">
        <f>decInputProd1Seg1Therapy1Rep3Weight_R2</f>
        <v>0.6</v>
      </c>
      <c r="H2707" s="387">
        <f>decInputProd1Seg1Therapy1Rep3Weight_R2</f>
        <v>0.6</v>
      </c>
      <c r="I2707" s="387">
        <f>decInputProd1Seg1Therapy1Rep3Weight_R2</f>
        <v>0.6</v>
      </c>
      <c r="J2707" t="s">
        <v>3759</v>
      </c>
    </row>
    <row r="2708" spans="1:10">
      <c r="D2708" t="s">
        <v>3749</v>
      </c>
      <c r="E2708">
        <f>calcProd1Seg1Rep3CapR2</f>
        <v>0.9</v>
      </c>
      <c r="F2708">
        <f>calcProd1Seg1Rep3CapR2</f>
        <v>0.9</v>
      </c>
      <c r="G2708">
        <f>calcProd1Seg1Rep3CapR2</f>
        <v>0.9</v>
      </c>
      <c r="H2708">
        <f>calcProd1Seg1Rep3CapR2</f>
        <v>0.9</v>
      </c>
      <c r="I2708">
        <f>calcProd1Seg1Rep3CapR2</f>
        <v>0.9</v>
      </c>
    </row>
    <row r="2709" spans="1:10">
      <c r="D2709" t="s">
        <v>2944</v>
      </c>
      <c r="E2709" s="387">
        <f>(E2708&gt;xxRepThresholdBagWeight)*(E2707-E2706)*(E2708-xxRepThresholdBagWeight)</f>
        <v>0</v>
      </c>
      <c r="F2709" s="387">
        <f>(F2708&gt;xxRepThresholdBagWeight)*(F2707-F2706)*(F2708-xxRepThresholdBagWeight)</f>
        <v>0</v>
      </c>
      <c r="G2709" s="387">
        <f>(G2708&gt;xxRepThresholdBagWeight)*(G2707-G2706)*(G2708-xxRepThresholdBagWeight)</f>
        <v>0</v>
      </c>
      <c r="H2709" s="387">
        <f>(H2708&gt;xxRepThresholdBagWeight)*(H2707-H2706)*(H2708-xxRepThresholdBagWeight)</f>
        <v>0</v>
      </c>
      <c r="I2709" s="387">
        <f>(I2708&gt;xxRepThreshold)*(I2707-I2706)*(I2708-xxRepThreshold)</f>
        <v>0</v>
      </c>
      <c r="J2709" t="s">
        <v>3760</v>
      </c>
    </row>
    <row r="2711" spans="1:10">
      <c r="A2711" s="4" t="str">
        <f>nmProd1Seg2</f>
        <v>Tullyville</v>
      </c>
      <c r="C2711" t="str">
        <f>nmProd1Seg2Rep1</f>
        <v>Rep Danielle</v>
      </c>
      <c r="D2711" t="s">
        <v>1486</v>
      </c>
      <c r="E2711" s="387">
        <f>obalInputProd1Seg2Therapy1Rep1Weight_R1</f>
        <v>0.6</v>
      </c>
      <c r="F2711" s="387">
        <f>obalInputProd1Seg2Therapy1Rep1Weight_R1</f>
        <v>0.6</v>
      </c>
      <c r="G2711" s="387">
        <f>obalInputProd1Seg2Therapy1Rep1Weight_R1</f>
        <v>0.6</v>
      </c>
      <c r="H2711" s="387">
        <f>obalInputProd1Seg2Therapy1Rep1Weight_R1</f>
        <v>0.6</v>
      </c>
      <c r="I2711" s="387">
        <f>obalInputProd1Seg2Therapy1Rep1Weight_R1</f>
        <v>0.6</v>
      </c>
    </row>
    <row r="2712" spans="1:10">
      <c r="C2712">
        <v>4</v>
      </c>
      <c r="D2712" t="s">
        <v>2334</v>
      </c>
      <c r="E2712" s="387">
        <f>decInputProd1Seg2Therapy1Rep1Weight_R1</f>
        <v>0.6</v>
      </c>
      <c r="F2712" s="387">
        <f>decInputProd1Seg2Therapy1Rep1Weight_R1</f>
        <v>0.6</v>
      </c>
      <c r="G2712" s="387">
        <f>decInputProd1Seg2Therapy1Rep1Weight_R1</f>
        <v>0.6</v>
      </c>
      <c r="H2712" s="387">
        <f>decInputProd1Seg2Therapy1Rep1Weight_R1</f>
        <v>0.6</v>
      </c>
      <c r="I2712" s="387">
        <f>decInputProd1Seg2Therapy1Rep1Weight_R1</f>
        <v>0.6</v>
      </c>
      <c r="J2712" t="s">
        <v>3773</v>
      </c>
    </row>
    <row r="2713" spans="1:10">
      <c r="D2713" t="s">
        <v>3749</v>
      </c>
      <c r="E2713">
        <f>calcProd1Seg2Rep1CapR1</f>
        <v>0.8</v>
      </c>
      <c r="F2713">
        <f>calcProd1Seg2Rep1CapR1</f>
        <v>0.8</v>
      </c>
      <c r="G2713">
        <f>calcProd1Seg2Rep1CapR1</f>
        <v>0.8</v>
      </c>
      <c r="H2713">
        <f>calcProd1Seg2Rep1CapR1</f>
        <v>0.8</v>
      </c>
      <c r="I2713">
        <f>calcProd1Seg2Rep1CapR1</f>
        <v>0.8</v>
      </c>
    </row>
    <row r="2714" spans="1:10">
      <c r="D2714" t="s">
        <v>2944</v>
      </c>
      <c r="E2714" s="387">
        <f>(E2713&gt;xxRepThresholdBagWeight)*(E2712-E2711)*(E2713-xxRepThresholdBagWeight)</f>
        <v>0</v>
      </c>
      <c r="F2714" s="387">
        <f>(F2713&gt;xxRepThresholdBagWeight)*(F2712-F2711)*(F2713-xxRepThresholdBagWeight)</f>
        <v>0</v>
      </c>
      <c r="G2714" s="387">
        <f>(G2713&gt;xxRepThresholdBagWeight)*(G2712-G2711)*(G2713-xxRepThresholdBagWeight)</f>
        <v>0</v>
      </c>
      <c r="H2714" s="387">
        <f>(H2713&gt;xxRepThresholdBagWeight)*(H2712-H2711)*(H2713-xxRepThresholdBagWeight)</f>
        <v>0</v>
      </c>
      <c r="I2714" s="387">
        <f>(I2713&gt;xxRepThreshold)*(I2712-I2711)*(I2713-xxRepThreshold)</f>
        <v>0</v>
      </c>
      <c r="J2714" t="s">
        <v>3774</v>
      </c>
    </row>
    <row r="2716" spans="1:10">
      <c r="A2716" s="4"/>
      <c r="C2716" t="str">
        <f>nmProd1Seg2Rep1</f>
        <v>Rep Danielle</v>
      </c>
      <c r="D2716" t="s">
        <v>1486</v>
      </c>
      <c r="E2716" s="387">
        <f>calcProd1Seg2Rep1BagWeightR1</f>
        <v>0.6</v>
      </c>
      <c r="F2716" s="387">
        <f>calcProd1Seg2Rep1BagWeightR1</f>
        <v>0.6</v>
      </c>
      <c r="G2716" s="387">
        <f>calcProd1Seg2Rep1BagWeightR1</f>
        <v>0.6</v>
      </c>
      <c r="H2716" s="387">
        <f>calcProd1Seg2Rep1BagWeightR1</f>
        <v>0.6</v>
      </c>
      <c r="I2716" s="387">
        <f>calcProd1Seg2Rep1BagWeightR1</f>
        <v>0.6</v>
      </c>
    </row>
    <row r="2717" spans="1:10">
      <c r="D2717" t="s">
        <v>2334</v>
      </c>
      <c r="E2717" s="387">
        <f>decInputProd1Seg2Therapy1Rep1Weight_R2</f>
        <v>0.6</v>
      </c>
      <c r="F2717" s="387">
        <f>decInputProd1Seg2Therapy1Rep1Weight_R2</f>
        <v>0.6</v>
      </c>
      <c r="G2717" s="387">
        <f>decInputProd1Seg2Therapy1Rep1Weight_R2</f>
        <v>0.6</v>
      </c>
      <c r="H2717" s="387">
        <f>decInputProd1Seg2Therapy1Rep1Weight_R2</f>
        <v>0.6</v>
      </c>
      <c r="I2717" s="387">
        <f>decInputProd1Seg2Therapy1Rep1Weight_R2</f>
        <v>0.6</v>
      </c>
      <c r="J2717" t="s">
        <v>3775</v>
      </c>
    </row>
    <row r="2718" spans="1:10">
      <c r="D2718" t="s">
        <v>3749</v>
      </c>
      <c r="E2718">
        <f>calcProd1Seg2Rep1CapR2</f>
        <v>0.8</v>
      </c>
      <c r="F2718">
        <f>calcProd1Seg2Rep1CapR2</f>
        <v>0.8</v>
      </c>
      <c r="G2718">
        <f>calcProd1Seg2Rep1CapR2</f>
        <v>0.8</v>
      </c>
      <c r="H2718">
        <f>calcProd1Seg2Rep1CapR2</f>
        <v>0.8</v>
      </c>
      <c r="I2718">
        <f>calcProd1Seg2Rep1CapR2</f>
        <v>0.8</v>
      </c>
    </row>
    <row r="2719" spans="1:10">
      <c r="D2719" t="s">
        <v>2944</v>
      </c>
      <c r="E2719" s="387">
        <f>(E2718&gt;xxRepThresholdBagWeight)*(E2717-E2716)*(E2718-xxRepThresholdBagWeight)</f>
        <v>0</v>
      </c>
      <c r="F2719" s="387">
        <f>(F2718&gt;xxRepThresholdBagWeight)*(F2717-F2716)*(F2718-xxRepThresholdBagWeight)</f>
        <v>0</v>
      </c>
      <c r="G2719" s="387">
        <f>(G2718&gt;xxRepThresholdBagWeight)*(G2717-G2716)*(G2718-xxRepThresholdBagWeight)</f>
        <v>0</v>
      </c>
      <c r="H2719" s="387">
        <f>(H2718&gt;xxRepThresholdBagWeight)*(H2717-H2716)*(H2718-xxRepThresholdBagWeight)</f>
        <v>0</v>
      </c>
      <c r="I2719" s="387">
        <f>(I2718&gt;xxRepThreshold)*(I2717-I2716)*(I2718-xxRepThreshold)</f>
        <v>0</v>
      </c>
      <c r="J2719" t="s">
        <v>3776</v>
      </c>
    </row>
    <row r="2721" spans="1:10">
      <c r="A2721" s="4"/>
      <c r="C2721" t="str">
        <f>nmProd1Seg2Rep2</f>
        <v>Rep Elliot</v>
      </c>
      <c r="D2721" t="s">
        <v>1486</v>
      </c>
      <c r="E2721" s="387">
        <f>obalInputProd1Seg2Therapy1Rep2Weight_R1</f>
        <v>0.5</v>
      </c>
      <c r="F2721" s="387">
        <f>obalInputProd1Seg2Therapy1Rep2Weight_R1</f>
        <v>0.5</v>
      </c>
      <c r="G2721" s="387">
        <f>obalInputProd1Seg2Therapy1Rep2Weight_R1</f>
        <v>0.5</v>
      </c>
      <c r="H2721" s="387">
        <f>obalInputProd1Seg2Therapy1Rep2Weight_R1</f>
        <v>0.5</v>
      </c>
      <c r="I2721" s="387">
        <f>obalInputProd1Seg2Therapy1Rep2Weight_R1</f>
        <v>0.5</v>
      </c>
    </row>
    <row r="2722" spans="1:10">
      <c r="C2722">
        <v>3</v>
      </c>
      <c r="D2722" t="s">
        <v>2334</v>
      </c>
      <c r="E2722" s="387">
        <f>decInputProd1Seg2Therapy1Rep2Weight_R1</f>
        <v>0.5</v>
      </c>
      <c r="F2722" s="387">
        <f>decInputProd1Seg2Therapy1Rep2Weight_R1</f>
        <v>0.5</v>
      </c>
      <c r="G2722" s="387">
        <f>decInputProd1Seg2Therapy1Rep2Weight_R1</f>
        <v>0.5</v>
      </c>
      <c r="H2722" s="387">
        <f>decInputProd1Seg2Therapy1Rep2Weight_R1</f>
        <v>0.5</v>
      </c>
      <c r="I2722" s="387">
        <f>decInputProd1Seg2Therapy1Rep2Weight_R1</f>
        <v>0.5</v>
      </c>
      <c r="J2722" t="s">
        <v>3777</v>
      </c>
    </row>
    <row r="2723" spans="1:10">
      <c r="D2723" t="s">
        <v>3749</v>
      </c>
      <c r="E2723">
        <f>calcProd1Seg2Rep2CapR1</f>
        <v>0.8</v>
      </c>
      <c r="F2723">
        <f>calcProd1Seg2Rep2CapR1</f>
        <v>0.8</v>
      </c>
      <c r="G2723">
        <f>calcProd1Seg2Rep2CapR1</f>
        <v>0.8</v>
      </c>
      <c r="H2723">
        <f>calcProd1Seg2Rep2CapR1</f>
        <v>0.8</v>
      </c>
      <c r="I2723">
        <f>calcProd1Seg2Rep2CapR1</f>
        <v>0.8</v>
      </c>
    </row>
    <row r="2724" spans="1:10">
      <c r="D2724" t="s">
        <v>2944</v>
      </c>
      <c r="E2724" s="387">
        <f>(E2723&gt;xxRepThresholdBagWeight)*(E2722-E2721)*(E2723-xxRepThresholdBagWeight)</f>
        <v>0</v>
      </c>
      <c r="F2724" s="387">
        <f>(F2723&gt;xxRepThresholdBagWeight)*(F2722-F2721)*(F2723-xxRepThresholdBagWeight)</f>
        <v>0</v>
      </c>
      <c r="G2724" s="387">
        <f>(G2723&gt;xxRepThresholdBagWeight)*(G2722-G2721)*(G2723-xxRepThresholdBagWeight)</f>
        <v>0</v>
      </c>
      <c r="H2724" s="387">
        <f>(H2723&gt;xxRepThresholdBagWeight)*(H2722-H2721)*(H2723-xxRepThresholdBagWeight)</f>
        <v>0</v>
      </c>
      <c r="I2724" s="387">
        <f>(I2723&gt;xxRepThreshold)*(I2722-I2721)*(I2723-xxRepThreshold)</f>
        <v>0</v>
      </c>
      <c r="J2724" t="s">
        <v>3778</v>
      </c>
    </row>
    <row r="2726" spans="1:10">
      <c r="A2726" s="4"/>
      <c r="C2726" t="str">
        <f>nmProd1Seg2Rep2</f>
        <v>Rep Elliot</v>
      </c>
      <c r="D2726" t="s">
        <v>1486</v>
      </c>
      <c r="E2726" s="387">
        <f>calcProd1Seg2Rep2BagWeightR1</f>
        <v>0.5</v>
      </c>
      <c r="F2726" s="387">
        <f>calcProd1Seg2Rep2BagWeightR1</f>
        <v>0.5</v>
      </c>
      <c r="G2726" s="387">
        <f>calcProd1Seg2Rep2BagWeightR1</f>
        <v>0.5</v>
      </c>
      <c r="H2726" s="387">
        <f>calcProd1Seg2Rep2BagWeightR1</f>
        <v>0.5</v>
      </c>
      <c r="I2726" s="387">
        <f>calcProd1Seg2Rep2BagWeightR1</f>
        <v>0.5</v>
      </c>
    </row>
    <row r="2727" spans="1:10">
      <c r="D2727" t="s">
        <v>2334</v>
      </c>
      <c r="E2727" s="387">
        <f>decInputProd1Seg2Therapy1Rep2Weight_R2</f>
        <v>0.6</v>
      </c>
      <c r="F2727" s="387">
        <f>decInputProd1Seg2Therapy1Rep2Weight_R2</f>
        <v>0.6</v>
      </c>
      <c r="G2727" s="387">
        <f>decInputProd1Seg2Therapy1Rep2Weight_R2</f>
        <v>0.6</v>
      </c>
      <c r="H2727" s="387">
        <f>decInputProd1Seg2Therapy1Rep2Weight_R2</f>
        <v>0.6</v>
      </c>
      <c r="I2727" s="387">
        <f>decInputProd1Seg2Therapy1Rep2Weight_R2</f>
        <v>0.6</v>
      </c>
      <c r="J2727" t="s">
        <v>3779</v>
      </c>
    </row>
    <row r="2728" spans="1:10">
      <c r="D2728" t="s">
        <v>3749</v>
      </c>
      <c r="E2728">
        <f>calcProd1Seg2Rep2CapR2</f>
        <v>0.8</v>
      </c>
      <c r="F2728">
        <f>calcProd1Seg2Rep2CapR2</f>
        <v>0.8</v>
      </c>
      <c r="G2728">
        <f>calcProd1Seg2Rep2CapR2</f>
        <v>0.8</v>
      </c>
      <c r="H2728">
        <f>calcProd1Seg2Rep2CapR2</f>
        <v>0.8</v>
      </c>
      <c r="I2728">
        <f>calcProd1Seg2Rep2CapR2</f>
        <v>0.8</v>
      </c>
    </row>
    <row r="2729" spans="1:10">
      <c r="D2729" t="s">
        <v>2944</v>
      </c>
      <c r="E2729" s="387">
        <f>(E2728&gt;xxRepThresholdBagWeight)*(E2727-E2726)*(E2728-xxRepThresholdBagWeight)</f>
        <v>3.9999999999999994E-2</v>
      </c>
      <c r="F2729" s="387">
        <f>(F2728&gt;xxRepThresholdBagWeight)*(F2727-F2726)*(F2728-xxRepThresholdBagWeight)</f>
        <v>3.9999999999999994E-2</v>
      </c>
      <c r="G2729" s="387">
        <f>(G2728&gt;xxRepThresholdBagWeight)*(G2727-G2726)*(G2728-xxRepThresholdBagWeight)</f>
        <v>3.9999999999999994E-2</v>
      </c>
      <c r="H2729" s="387">
        <f>(H2728&gt;xxRepThresholdBagWeight)*(H2727-H2726)*(H2728-xxRepThresholdBagWeight)</f>
        <v>3.9999999999999994E-2</v>
      </c>
      <c r="I2729" s="387">
        <f>(I2728&gt;xxRepThreshold)*(I2727-I2726)*(I2728-xxRepThreshold)</f>
        <v>2.0000000000000004E-2</v>
      </c>
      <c r="J2729" t="s">
        <v>3780</v>
      </c>
    </row>
    <row r="2730" spans="1:10">
      <c r="E2730" s="387"/>
      <c r="F2730" s="387"/>
      <c r="G2730" s="387"/>
      <c r="H2730" s="387"/>
      <c r="I2730" s="387"/>
    </row>
    <row r="2731" spans="1:10">
      <c r="A2731" s="4"/>
      <c r="C2731" t="str">
        <f>nmProd1Seg2Rep3</f>
        <v>Rep Fiona</v>
      </c>
      <c r="D2731" t="s">
        <v>1486</v>
      </c>
      <c r="E2731" s="387">
        <f>obalInputProd1Seg2Therapy1Rep3Weight_R1</f>
        <v>0.4</v>
      </c>
      <c r="F2731" s="387">
        <f>obalInputProd1Seg2Therapy1Rep3Weight_R1</f>
        <v>0.4</v>
      </c>
      <c r="G2731" s="387">
        <f>obalInputProd1Seg2Therapy1Rep3Weight_R1</f>
        <v>0.4</v>
      </c>
      <c r="H2731" s="387">
        <f>obalInputProd1Seg2Therapy1Rep3Weight_R1</f>
        <v>0.4</v>
      </c>
      <c r="I2731" s="387">
        <f>obalInputProd1Seg2Therapy1Rep3Weight_R1</f>
        <v>0.4</v>
      </c>
    </row>
    <row r="2732" spans="1:10">
      <c r="C2732">
        <v>3</v>
      </c>
      <c r="D2732" t="s">
        <v>2334</v>
      </c>
      <c r="E2732" s="387">
        <f>decInputProd1Seg2Therapy1Rep3Weight_R1</f>
        <v>0.4</v>
      </c>
      <c r="F2732" s="387">
        <f>decInputProd1Seg2Therapy1Rep3Weight_R1</f>
        <v>0.4</v>
      </c>
      <c r="G2732" s="387">
        <f>decInputProd1Seg2Therapy1Rep3Weight_R1</f>
        <v>0.4</v>
      </c>
      <c r="H2732" s="387">
        <f>decInputProd1Seg2Therapy1Rep3Weight_R1</f>
        <v>0.4</v>
      </c>
      <c r="I2732" s="387">
        <f>decInputProd1Seg2Therapy1Rep3Weight_R1</f>
        <v>0.4</v>
      </c>
      <c r="J2732" t="s">
        <v>3781</v>
      </c>
    </row>
    <row r="2733" spans="1:10">
      <c r="D2733" t="s">
        <v>3749</v>
      </c>
      <c r="E2733">
        <f>calcProd1Seg2Rep3CapR1</f>
        <v>0.5</v>
      </c>
      <c r="F2733">
        <f>calcProd1Seg2Rep3CapR1</f>
        <v>0.5</v>
      </c>
      <c r="G2733">
        <f>calcProd1Seg2Rep3CapR1</f>
        <v>0.5</v>
      </c>
      <c r="H2733">
        <f>calcProd1Seg2Rep3CapR1</f>
        <v>0.5</v>
      </c>
      <c r="I2733">
        <f>calcProd1Seg2Rep3CapR1</f>
        <v>0.5</v>
      </c>
    </row>
    <row r="2734" spans="1:10">
      <c r="D2734" t="s">
        <v>2944</v>
      </c>
      <c r="E2734" s="387">
        <f>(E2733&gt;xxRepThresholdBagWeight)*(E2732-E2731)*(E2733-xxRepThresholdBagWeight)</f>
        <v>0</v>
      </c>
      <c r="F2734" s="387">
        <f>(F2733&gt;xxRepThresholdBagWeight)*(F2732-F2731)*(F2733-xxRepThresholdBagWeight)</f>
        <v>0</v>
      </c>
      <c r="G2734" s="387">
        <f>(G2733&gt;xxRepThresholdBagWeight)*(G2732-G2731)*(G2733-xxRepThresholdBagWeight)</f>
        <v>0</v>
      </c>
      <c r="H2734" s="387">
        <f>(H2733&gt;xxRepThresholdBagWeight)*(H2732-H2731)*(H2733-xxRepThresholdBagWeight)</f>
        <v>0</v>
      </c>
      <c r="I2734" s="387">
        <f>(I2733&gt;xxRepThreshold)*(I2732-I2731)*(I2733-xxRepThreshold)</f>
        <v>0</v>
      </c>
      <c r="J2734" t="s">
        <v>3782</v>
      </c>
    </row>
    <row r="2736" spans="1:10">
      <c r="A2736" s="4"/>
      <c r="C2736" t="str">
        <f>nmProd1Seg2Rep3</f>
        <v>Rep Fiona</v>
      </c>
      <c r="D2736" t="s">
        <v>1486</v>
      </c>
      <c r="E2736" s="387">
        <f>calcProd1Seg2Rep3BagWeightR1</f>
        <v>0.4</v>
      </c>
      <c r="F2736" s="387">
        <f>calcProd1Seg2Rep3BagWeightR1</f>
        <v>0.4</v>
      </c>
      <c r="G2736" s="387">
        <f>calcProd1Seg2Rep3BagWeightR1</f>
        <v>0.4</v>
      </c>
      <c r="H2736" s="387">
        <f>calcProd1Seg2Rep3BagWeightR1</f>
        <v>0.4</v>
      </c>
      <c r="I2736" s="387">
        <f>calcProd1Seg2Rep3BagWeightR1</f>
        <v>0.4</v>
      </c>
    </row>
    <row r="2737" spans="1:10">
      <c r="D2737" t="s">
        <v>2334</v>
      </c>
      <c r="E2737" s="387">
        <f>decInputProd1Seg2Therapy1Rep3Weight_R2</f>
        <v>0.4</v>
      </c>
      <c r="F2737" s="387">
        <f>decInputProd1Seg2Therapy1Rep3Weight_R2</f>
        <v>0.4</v>
      </c>
      <c r="G2737" s="387">
        <f>decInputProd1Seg2Therapy1Rep3Weight_R2</f>
        <v>0.4</v>
      </c>
      <c r="H2737" s="387">
        <f>decInputProd1Seg2Therapy1Rep3Weight_R2</f>
        <v>0.4</v>
      </c>
      <c r="I2737" s="387">
        <f>decInputProd1Seg2Therapy1Rep3Weight_R2</f>
        <v>0.4</v>
      </c>
      <c r="J2737" t="s">
        <v>3783</v>
      </c>
    </row>
    <row r="2738" spans="1:10">
      <c r="D2738" t="s">
        <v>3749</v>
      </c>
      <c r="E2738">
        <f>calcProd1Seg2Rep3CapR2</f>
        <v>0.5</v>
      </c>
      <c r="F2738">
        <f>calcProd1Seg2Rep3CapR2</f>
        <v>0.5</v>
      </c>
      <c r="G2738">
        <f>calcProd1Seg2Rep3CapR2</f>
        <v>0.5</v>
      </c>
      <c r="H2738">
        <f>calcProd1Seg2Rep3CapR2</f>
        <v>0.5</v>
      </c>
      <c r="I2738">
        <f>calcProd1Seg2Rep3CapR2</f>
        <v>0.5</v>
      </c>
    </row>
    <row r="2739" spans="1:10">
      <c r="D2739" t="s">
        <v>2944</v>
      </c>
      <c r="E2739" s="387">
        <f>(E2738&gt;xxRepThresholdBagWeight)*(E2737-E2736)*(E2738-xxRepThresholdBagWeight)</f>
        <v>0</v>
      </c>
      <c r="F2739" s="387">
        <f>(F2738&gt;xxRepThresholdBagWeight)*(F2737-F2736)*(F2738-xxRepThresholdBagWeight)</f>
        <v>0</v>
      </c>
      <c r="G2739" s="387">
        <f>(G2738&gt;xxRepThresholdBagWeight)*(G2737-G2736)*(G2738-xxRepThresholdBagWeight)</f>
        <v>0</v>
      </c>
      <c r="H2739" s="387">
        <f>(H2738&gt;xxRepThresholdBagWeight)*(H2737-H2736)*(H2738-xxRepThresholdBagWeight)</f>
        <v>0</v>
      </c>
      <c r="I2739" s="387">
        <f>(I2738&gt;xxRepThreshold)*(I2737-I2736)*(I2738-xxRepThreshold)</f>
        <v>0</v>
      </c>
      <c r="J2739" t="s">
        <v>3784</v>
      </c>
    </row>
    <row r="2741" spans="1:10">
      <c r="A2741" s="4" t="str">
        <f>nmProd1Seg3</f>
        <v>Lordfrey City</v>
      </c>
      <c r="C2741" t="str">
        <f>nmProd1Seg3Rep1</f>
        <v>Rep Gregg</v>
      </c>
      <c r="D2741" t="s">
        <v>1486</v>
      </c>
      <c r="E2741" s="387">
        <f>obalInputProd1Seg3Therapy1Rep1Weight_R1</f>
        <v>0.5</v>
      </c>
      <c r="F2741" s="387">
        <f>obalInputProd1Seg3Therapy1Rep1Weight_R1</f>
        <v>0.5</v>
      </c>
      <c r="G2741" s="387">
        <f>obalInputProd1Seg3Therapy1Rep1Weight_R1</f>
        <v>0.5</v>
      </c>
      <c r="H2741" s="387">
        <f>obalInputProd1Seg3Therapy1Rep1Weight_R1</f>
        <v>0.5</v>
      </c>
      <c r="I2741" s="387">
        <f>obalInputProd1Seg3Therapy1Rep1Weight_R1</f>
        <v>0.5</v>
      </c>
    </row>
    <row r="2742" spans="1:10">
      <c r="C2742">
        <v>4</v>
      </c>
      <c r="D2742" t="s">
        <v>2334</v>
      </c>
      <c r="E2742" s="387">
        <f>decInputProd1Seg3Therapy1Rep1Weight_R1</f>
        <v>0.5</v>
      </c>
      <c r="F2742" s="387">
        <f>decInputProd1Seg3Therapy1Rep1Weight_R1</f>
        <v>0.5</v>
      </c>
      <c r="G2742" s="387">
        <f>decInputProd1Seg3Therapy1Rep1Weight_R1</f>
        <v>0.5</v>
      </c>
      <c r="H2742" s="387">
        <f>decInputProd1Seg3Therapy1Rep1Weight_R1</f>
        <v>0.5</v>
      </c>
      <c r="I2742" s="387">
        <f>decInputProd1Seg3Therapy1Rep1Weight_R1</f>
        <v>0.5</v>
      </c>
      <c r="J2742" t="s">
        <v>3761</v>
      </c>
    </row>
    <row r="2743" spans="1:10">
      <c r="D2743" t="s">
        <v>3749</v>
      </c>
      <c r="E2743">
        <f>calcProd1Seg3Rep1CapR1</f>
        <v>0.5</v>
      </c>
      <c r="F2743">
        <f>calcProd1Seg3Rep1CapR1</f>
        <v>0.5</v>
      </c>
      <c r="G2743">
        <f>calcProd1Seg3Rep1CapR1</f>
        <v>0.5</v>
      </c>
      <c r="H2743">
        <f>calcProd1Seg3Rep1CapR1</f>
        <v>0.5</v>
      </c>
      <c r="I2743">
        <f>calcProd1Seg3Rep1CapR1</f>
        <v>0.5</v>
      </c>
    </row>
    <row r="2744" spans="1:10">
      <c r="D2744" t="s">
        <v>2944</v>
      </c>
      <c r="E2744" s="387">
        <f>(E2743&gt;xxRepThresholdBagWeight)*(E2742-E2741)*(E2743-xxRepThresholdBagWeight)</f>
        <v>0</v>
      </c>
      <c r="F2744" s="387">
        <f>(F2743&gt;xxRepThresholdBagWeight)*(F2742-F2741)*(F2743-xxRepThresholdBagWeight)</f>
        <v>0</v>
      </c>
      <c r="G2744" s="387">
        <f>(G2743&gt;xxRepThresholdBagWeight)*(G2742-G2741)*(G2743-xxRepThresholdBagWeight)</f>
        <v>0</v>
      </c>
      <c r="H2744" s="387">
        <f>(H2743&gt;xxRepThresholdBagWeight)*(H2742-H2741)*(H2743-xxRepThresholdBagWeight)</f>
        <v>0</v>
      </c>
      <c r="I2744" s="387">
        <f>(I2743&gt;xxRepThreshold)*(I2742-I2741)*(I2743-xxRepThreshold)</f>
        <v>0</v>
      </c>
      <c r="J2744" t="s">
        <v>3762</v>
      </c>
    </row>
    <row r="2746" spans="1:10">
      <c r="A2746" s="4"/>
      <c r="C2746" t="str">
        <f>nmProd1Seg3Rep1</f>
        <v>Rep Gregg</v>
      </c>
      <c r="D2746" t="s">
        <v>1486</v>
      </c>
      <c r="E2746" s="387">
        <f>calcProd1Seg3Rep1BagWeightR1</f>
        <v>0.5</v>
      </c>
      <c r="F2746" s="387">
        <f>calcProd1Seg3Rep1BagWeightR1</f>
        <v>0.5</v>
      </c>
      <c r="G2746" s="387">
        <f>calcProd1Seg3Rep1BagWeightR1</f>
        <v>0.5</v>
      </c>
      <c r="H2746" s="387">
        <f>calcProd1Seg3Rep1BagWeightR1</f>
        <v>0.5</v>
      </c>
      <c r="I2746" s="387">
        <f>calcProd1Seg3Rep1BagWeightR1</f>
        <v>0.5</v>
      </c>
    </row>
    <row r="2747" spans="1:10">
      <c r="D2747" t="s">
        <v>2334</v>
      </c>
      <c r="E2747" s="387">
        <f>decInputProd1Seg3Therapy1Rep1Weight_R2</f>
        <v>0.5</v>
      </c>
      <c r="F2747" s="387">
        <f>decInputProd1Seg3Therapy1Rep1Weight_R2</f>
        <v>0.5</v>
      </c>
      <c r="G2747" s="387">
        <f>decInputProd1Seg3Therapy1Rep1Weight_R2</f>
        <v>0.5</v>
      </c>
      <c r="H2747" s="387">
        <f>decInputProd1Seg3Therapy1Rep1Weight_R2</f>
        <v>0.5</v>
      </c>
      <c r="I2747" s="387">
        <f>decInputProd1Seg3Therapy1Rep1Weight_R2</f>
        <v>0.5</v>
      </c>
      <c r="J2747" t="s">
        <v>3763</v>
      </c>
    </row>
    <row r="2748" spans="1:10">
      <c r="D2748" t="s">
        <v>3749</v>
      </c>
      <c r="E2748">
        <f>calcProd1Seg3Rep1CapR2</f>
        <v>0.5</v>
      </c>
      <c r="F2748">
        <f>calcProd1Seg3Rep1CapR2</f>
        <v>0.5</v>
      </c>
      <c r="G2748">
        <f>calcProd1Seg3Rep1CapR2</f>
        <v>0.5</v>
      </c>
      <c r="H2748">
        <f>calcProd1Seg3Rep1CapR2</f>
        <v>0.5</v>
      </c>
      <c r="I2748">
        <f>calcProd1Seg3Rep1CapR2</f>
        <v>0.5</v>
      </c>
    </row>
    <row r="2749" spans="1:10">
      <c r="D2749" t="s">
        <v>2944</v>
      </c>
      <c r="E2749" s="387">
        <f>(E2748&gt;xxRepThresholdBagWeight)*(E2747-E2746)*(E2748-xxRepThresholdBagWeight)</f>
        <v>0</v>
      </c>
      <c r="F2749" s="387">
        <f>(F2748&gt;xxRepThresholdBagWeight)*(F2747-F2746)*(F2748-xxRepThresholdBagWeight)</f>
        <v>0</v>
      </c>
      <c r="G2749" s="387">
        <f>(G2748&gt;xxRepThresholdBagWeight)*(G2747-G2746)*(G2748-xxRepThresholdBagWeight)</f>
        <v>0</v>
      </c>
      <c r="H2749" s="387">
        <f>(H2748&gt;xxRepThresholdBagWeight)*(H2747-H2746)*(H2748-xxRepThresholdBagWeight)</f>
        <v>0</v>
      </c>
      <c r="I2749" s="387">
        <f>(I2748&gt;xxRepThreshold)*(I2747-I2746)*(I2748-xxRepThreshold)</f>
        <v>0</v>
      </c>
      <c r="J2749" t="s">
        <v>3764</v>
      </c>
    </row>
    <row r="2751" spans="1:10">
      <c r="A2751" s="4"/>
      <c r="C2751" t="str">
        <f>nmProd1Seg3Rep2</f>
        <v>Rep Howard</v>
      </c>
      <c r="D2751" t="s">
        <v>1486</v>
      </c>
      <c r="E2751" s="387">
        <f>obalInputProd1Seg3Therapy1Rep2Weight_R1</f>
        <v>0.5</v>
      </c>
      <c r="F2751" s="387">
        <f>obalInputProd1Seg3Therapy1Rep2Weight_R1</f>
        <v>0.5</v>
      </c>
      <c r="G2751" s="387">
        <f>obalInputProd1Seg3Therapy1Rep2Weight_R1</f>
        <v>0.5</v>
      </c>
      <c r="H2751" s="387">
        <f>obalInputProd1Seg3Therapy1Rep2Weight_R1</f>
        <v>0.5</v>
      </c>
      <c r="I2751" s="387">
        <f>obalInputProd1Seg3Therapy1Rep2Weight_R1</f>
        <v>0.5</v>
      </c>
    </row>
    <row r="2752" spans="1:10">
      <c r="C2752">
        <v>3</v>
      </c>
      <c r="D2752" t="s">
        <v>2334</v>
      </c>
      <c r="E2752" s="387">
        <f>decInputProd1Seg3Therapy1Rep2Weight_R1</f>
        <v>0.5</v>
      </c>
      <c r="F2752" s="387">
        <f>decInputProd1Seg3Therapy1Rep2Weight_R1</f>
        <v>0.5</v>
      </c>
      <c r="G2752" s="387">
        <f>decInputProd1Seg3Therapy1Rep2Weight_R1</f>
        <v>0.5</v>
      </c>
      <c r="H2752" s="387">
        <f>decInputProd1Seg3Therapy1Rep2Weight_R1</f>
        <v>0.5</v>
      </c>
      <c r="I2752" s="387">
        <f>decInputProd1Seg3Therapy1Rep2Weight_R1</f>
        <v>0.5</v>
      </c>
      <c r="J2752" t="s">
        <v>3765</v>
      </c>
    </row>
    <row r="2753" spans="1:10">
      <c r="D2753" t="s">
        <v>3749</v>
      </c>
      <c r="E2753">
        <f>calcProd1Seg3Rep2CapR1</f>
        <v>0.5</v>
      </c>
      <c r="F2753">
        <f>calcProd1Seg3Rep2CapR1</f>
        <v>0.5</v>
      </c>
      <c r="G2753">
        <f>calcProd1Seg3Rep2CapR1</f>
        <v>0.5</v>
      </c>
      <c r="H2753">
        <f>calcProd1Seg3Rep2CapR1</f>
        <v>0.5</v>
      </c>
      <c r="I2753">
        <f>calcProd1Seg3Rep2CapR1</f>
        <v>0.5</v>
      </c>
    </row>
    <row r="2754" spans="1:10">
      <c r="D2754" t="s">
        <v>2944</v>
      </c>
      <c r="E2754" s="387">
        <f>(E2753&gt;xxRepThresholdBagWeight)*(E2752-E2751)*(E2753-xxRepThresholdBagWeight)</f>
        <v>0</v>
      </c>
      <c r="F2754" s="387">
        <f>(F2753&gt;xxRepThresholdBagWeight)*(F2752-F2751)*(F2753-xxRepThresholdBagWeight)</f>
        <v>0</v>
      </c>
      <c r="G2754" s="387">
        <f>(G2753&gt;xxRepThresholdBagWeight)*(G2752-G2751)*(G2753-xxRepThresholdBagWeight)</f>
        <v>0</v>
      </c>
      <c r="H2754" s="387">
        <f>(H2753&gt;xxRepThresholdBagWeight)*(H2752-H2751)*(H2753-xxRepThresholdBagWeight)</f>
        <v>0</v>
      </c>
      <c r="I2754" s="387">
        <f>(I2753&gt;xxRepThreshold)*(I2752-I2751)*(I2753-xxRepThreshold)</f>
        <v>0</v>
      </c>
      <c r="J2754" t="s">
        <v>3766</v>
      </c>
    </row>
    <row r="2756" spans="1:10">
      <c r="A2756" s="4"/>
      <c r="C2756" t="str">
        <f>nmProd1Seg3Rep2</f>
        <v>Rep Howard</v>
      </c>
      <c r="D2756" t="s">
        <v>1486</v>
      </c>
      <c r="E2756" s="387">
        <f>calcProd1Seg3Rep2BagWeightR1</f>
        <v>0.5</v>
      </c>
      <c r="F2756" s="387">
        <f>calcProd1Seg3Rep2BagWeightR1</f>
        <v>0.5</v>
      </c>
      <c r="G2756" s="387">
        <f>calcProd1Seg3Rep2BagWeightR1</f>
        <v>0.5</v>
      </c>
      <c r="H2756" s="387">
        <f>calcProd1Seg3Rep2BagWeightR1</f>
        <v>0.5</v>
      </c>
      <c r="I2756" s="387">
        <f>calcProd1Seg3Rep2BagWeightR1</f>
        <v>0.5</v>
      </c>
    </row>
    <row r="2757" spans="1:10">
      <c r="D2757" t="s">
        <v>2334</v>
      </c>
      <c r="E2757" s="387">
        <f>decInputProd1Seg3Therapy1Rep2Weight_R2</f>
        <v>0.5</v>
      </c>
      <c r="F2757" s="387">
        <f>decInputProd1Seg3Therapy1Rep2Weight_R2</f>
        <v>0.5</v>
      </c>
      <c r="G2757" s="387">
        <f>decInputProd1Seg3Therapy1Rep2Weight_R2</f>
        <v>0.5</v>
      </c>
      <c r="H2757" s="387">
        <f>decInputProd1Seg3Therapy1Rep2Weight_R2</f>
        <v>0.5</v>
      </c>
      <c r="I2757" s="387">
        <f>decInputProd1Seg3Therapy1Rep2Weight_R2</f>
        <v>0.5</v>
      </c>
      <c r="J2757" t="s">
        <v>3767</v>
      </c>
    </row>
    <row r="2758" spans="1:10">
      <c r="D2758" t="s">
        <v>3749</v>
      </c>
      <c r="E2758">
        <f>calcProd1Seg3Rep2CapR2</f>
        <v>0.5</v>
      </c>
      <c r="F2758">
        <f>calcProd1Seg3Rep2CapR2</f>
        <v>0.5</v>
      </c>
      <c r="G2758">
        <f>calcProd1Seg3Rep2CapR2</f>
        <v>0.5</v>
      </c>
      <c r="H2758">
        <f>calcProd1Seg3Rep2CapR2</f>
        <v>0.5</v>
      </c>
      <c r="I2758">
        <f>calcProd1Seg3Rep2CapR2</f>
        <v>0.5</v>
      </c>
    </row>
    <row r="2759" spans="1:10">
      <c r="D2759" t="s">
        <v>2944</v>
      </c>
      <c r="E2759" s="387">
        <f>(E2758&gt;xxRepThresholdBagWeight)*(E2757-E2756)*(E2758-xxRepThresholdBagWeight)</f>
        <v>0</v>
      </c>
      <c r="F2759" s="387">
        <f>(F2758&gt;xxRepThresholdBagWeight)*(F2757-F2756)*(F2758-xxRepThresholdBagWeight)</f>
        <v>0</v>
      </c>
      <c r="G2759" s="387">
        <f>(G2758&gt;xxRepThresholdBagWeight)*(G2757-G2756)*(G2758-xxRepThresholdBagWeight)</f>
        <v>0</v>
      </c>
      <c r="H2759" s="387">
        <f>(H2758&gt;xxRepThresholdBagWeight)*(H2757-H2756)*(H2758-xxRepThresholdBagWeight)</f>
        <v>0</v>
      </c>
      <c r="I2759" s="387">
        <f>(I2758&gt;xxRepThreshold)*(I2757-I2756)*(I2758-xxRepThreshold)</f>
        <v>0</v>
      </c>
      <c r="J2759" t="s">
        <v>3768</v>
      </c>
    </row>
    <row r="2760" spans="1:10">
      <c r="E2760" s="387"/>
      <c r="F2760" s="387"/>
      <c r="G2760" s="387"/>
      <c r="H2760" s="387"/>
      <c r="I2760" s="387"/>
    </row>
    <row r="2761" spans="1:10">
      <c r="A2761" s="4"/>
      <c r="C2761" t="str">
        <f>nmProd1Seg3Rep3</f>
        <v>Rep Isabelle</v>
      </c>
      <c r="D2761" t="s">
        <v>1486</v>
      </c>
      <c r="E2761" s="387">
        <f>obalInputProd1Seg3Therapy1Rep3Weight_R1</f>
        <v>0.5</v>
      </c>
      <c r="F2761" s="387">
        <f>obalInputProd1Seg3Therapy1Rep3Weight_R1</f>
        <v>0.5</v>
      </c>
      <c r="G2761" s="387">
        <f>obalInputProd1Seg3Therapy1Rep3Weight_R1</f>
        <v>0.5</v>
      </c>
      <c r="H2761" s="387">
        <f>obalInputProd1Seg3Therapy1Rep3Weight_R1</f>
        <v>0.5</v>
      </c>
      <c r="I2761" s="387">
        <f>obalInputProd1Seg3Therapy1Rep3Weight_R1</f>
        <v>0.5</v>
      </c>
    </row>
    <row r="2762" spans="1:10">
      <c r="C2762">
        <v>2</v>
      </c>
      <c r="D2762" t="s">
        <v>2334</v>
      </c>
      <c r="E2762" s="387">
        <f>decInputProd1Seg3Therapy1Rep3Weight_R1</f>
        <v>0.5</v>
      </c>
      <c r="F2762" s="387">
        <f>decInputProd1Seg3Therapy1Rep3Weight_R1</f>
        <v>0.5</v>
      </c>
      <c r="G2762" s="387">
        <f>decInputProd1Seg3Therapy1Rep3Weight_R1</f>
        <v>0.5</v>
      </c>
      <c r="H2762" s="387">
        <f>decInputProd1Seg3Therapy1Rep3Weight_R1</f>
        <v>0.5</v>
      </c>
      <c r="I2762" s="387">
        <f>decInputProd1Seg3Therapy1Rep3Weight_R1</f>
        <v>0.5</v>
      </c>
      <c r="J2762" t="s">
        <v>3769</v>
      </c>
    </row>
    <row r="2763" spans="1:10">
      <c r="D2763" t="s">
        <v>3749</v>
      </c>
      <c r="E2763">
        <f>calcProd1Seg3Rep3CapR1</f>
        <v>0.3</v>
      </c>
      <c r="F2763">
        <f>calcProd1Seg3Rep3CapR1</f>
        <v>0.3</v>
      </c>
      <c r="G2763">
        <f>calcProd1Seg3Rep3CapR1</f>
        <v>0.3</v>
      </c>
      <c r="H2763">
        <f>calcProd1Seg3Rep3CapR1</f>
        <v>0.3</v>
      </c>
      <c r="I2763">
        <f>calcProd1Seg3Rep3CapR1</f>
        <v>0.3</v>
      </c>
    </row>
    <row r="2764" spans="1:10">
      <c r="D2764" t="s">
        <v>2944</v>
      </c>
      <c r="E2764" s="387">
        <f>(E2763&gt;xxRepThresholdBagWeight)*(E2762-E2761)*(E2763-xxRepThresholdBagWeight)</f>
        <v>0</v>
      </c>
      <c r="F2764" s="387">
        <f>(F2763&gt;xxRepThresholdBagWeight)*(F2762-F2761)*(F2763-xxRepThresholdBagWeight)</f>
        <v>0</v>
      </c>
      <c r="G2764" s="387">
        <f>(G2763&gt;xxRepThresholdBagWeight)*(G2762-G2761)*(G2763-xxRepThresholdBagWeight)</f>
        <v>0</v>
      </c>
      <c r="H2764" s="387">
        <f>(H2763&gt;xxRepThresholdBagWeight)*(H2762-H2761)*(H2763-xxRepThresholdBagWeight)</f>
        <v>0</v>
      </c>
      <c r="I2764" s="387">
        <f>(I2763&gt;xxRepThreshold)*(I2762-I2761)*(I2763-xxRepThreshold)</f>
        <v>0</v>
      </c>
      <c r="J2764" t="s">
        <v>3770</v>
      </c>
    </row>
    <row r="2766" spans="1:10">
      <c r="A2766" s="4"/>
      <c r="C2766" t="str">
        <f>nmProd1Seg3Rep3</f>
        <v>Rep Isabelle</v>
      </c>
      <c r="D2766" t="s">
        <v>1486</v>
      </c>
      <c r="E2766" s="387">
        <f>calcProd1Seg3Rep3BagWeightR1</f>
        <v>0.5</v>
      </c>
      <c r="F2766" s="387">
        <f>calcProd1Seg3Rep3BagWeightR1</f>
        <v>0.5</v>
      </c>
      <c r="G2766" s="387">
        <f>calcProd1Seg3Rep3BagWeightR1</f>
        <v>0.5</v>
      </c>
      <c r="H2766" s="387">
        <f>calcProd1Seg3Rep3BagWeightR1</f>
        <v>0.5</v>
      </c>
      <c r="I2766" s="387">
        <f>calcProd1Seg3Rep3BagWeightR1</f>
        <v>0.5</v>
      </c>
    </row>
    <row r="2767" spans="1:10">
      <c r="D2767" t="s">
        <v>2334</v>
      </c>
      <c r="E2767" s="387">
        <f>decInputProd1Seg3Therapy1Rep3Weight_R2</f>
        <v>0.5</v>
      </c>
      <c r="F2767" s="387">
        <f>decInputProd1Seg3Therapy1Rep3Weight_R2</f>
        <v>0.5</v>
      </c>
      <c r="G2767" s="387">
        <f>decInputProd1Seg3Therapy1Rep3Weight_R2</f>
        <v>0.5</v>
      </c>
      <c r="H2767" s="387">
        <f>decInputProd1Seg3Therapy1Rep3Weight_R2</f>
        <v>0.5</v>
      </c>
      <c r="I2767" s="387">
        <f>decInputProd1Seg3Therapy1Rep3Weight_R2</f>
        <v>0.5</v>
      </c>
      <c r="J2767" t="s">
        <v>3771</v>
      </c>
    </row>
    <row r="2768" spans="1:10">
      <c r="D2768" t="s">
        <v>3749</v>
      </c>
      <c r="E2768">
        <f>calcProd1Seg3Rep3CapR2</f>
        <v>0.3</v>
      </c>
      <c r="F2768">
        <f>calcProd1Seg3Rep3CapR2</f>
        <v>0.3</v>
      </c>
      <c r="G2768">
        <f>calcProd1Seg3Rep3CapR2</f>
        <v>0.3</v>
      </c>
      <c r="H2768">
        <f>calcProd1Seg3Rep3CapR2</f>
        <v>0.3</v>
      </c>
      <c r="I2768">
        <f>calcProd1Seg3Rep3CapR2</f>
        <v>0.3</v>
      </c>
    </row>
    <row r="2769" spans="1:14">
      <c r="D2769" t="s">
        <v>2944</v>
      </c>
      <c r="E2769" s="387">
        <f>(E2768&gt;xxRepThresholdBagWeight)*(E2767-E2766)*(E2768-xxRepThresholdBagWeight)</f>
        <v>0</v>
      </c>
      <c r="F2769" s="387">
        <f>(F2768&gt;xxRepThresholdBagWeight)*(F2767-F2766)*(F2768-xxRepThresholdBagWeight)</f>
        <v>0</v>
      </c>
      <c r="G2769" s="387">
        <f>(G2768&gt;xxRepThresholdBagWeight)*(G2767-G2766)*(G2768-xxRepThresholdBagWeight)</f>
        <v>0</v>
      </c>
      <c r="H2769" s="387">
        <f>(H2768&gt;xxRepThresholdBagWeight)*(H2767-H2766)*(H2768-xxRepThresholdBagWeight)</f>
        <v>0</v>
      </c>
      <c r="I2769" s="387">
        <f>(I2768&gt;xxRepThreshold)*(I2767-I2766)*(I2768-xxRepThreshold)</f>
        <v>0</v>
      </c>
      <c r="J2769" t="s">
        <v>3772</v>
      </c>
    </row>
    <row r="2773" spans="1:14">
      <c r="A2773" s="4" t="s">
        <v>2942</v>
      </c>
    </row>
    <row r="2774" spans="1:14" s="377" customFormat="1">
      <c r="A2774" s="377" t="str">
        <f>nmProd1Seg1</f>
        <v>Riverrun Central</v>
      </c>
    </row>
    <row r="2775" spans="1:14">
      <c r="B2775" t="str">
        <f>nmProd1Seg1Rep1</f>
        <v>Rep Allen</v>
      </c>
      <c r="C2775" t="s">
        <v>1488</v>
      </c>
      <c r="E2775" s="549">
        <f>calcProd1Seg1Rep1CapR1</f>
        <v>0.5</v>
      </c>
      <c r="F2775" s="549">
        <f>calcProd1Seg1Rep1CapR1</f>
        <v>0.5</v>
      </c>
      <c r="G2775" s="549">
        <f>calcProd1Seg1Rep1CapR1</f>
        <v>0.5</v>
      </c>
      <c r="H2775" s="549">
        <f>calcProd1Seg1Rep1CapR1</f>
        <v>0.5</v>
      </c>
      <c r="I2775" s="549">
        <f>calcProd1Seg1Rep1CapR1</f>
        <v>0.5</v>
      </c>
      <c r="M2775" s="551">
        <v>0.6</v>
      </c>
      <c r="N2775" t="s">
        <v>2943</v>
      </c>
    </row>
    <row r="2776" spans="1:14">
      <c r="C2776" t="s">
        <v>2944</v>
      </c>
      <c r="E2776" s="388">
        <f>MIN(IF(E2775-xxRepThreshold&lt;0,E2775-xxRepThreshold,(E2775-xxRepThreshold)*(1-calcProd1Seg1Rep1InternalTimeR1)),xxRepMaxImpact)+calcProd1Seg1Rep1BagWeightImpactR1</f>
        <v>-9.9999999999999978E-2</v>
      </c>
      <c r="F2776" s="388">
        <f>MIN(IF(F2775-xxRepThreshold&lt;0,F2775-xxRepThreshold,(F2775-xxRepThreshold)*(1-calcProd1Seg1Rep1InternalTimeR1)),xxRepMaxImpact)+calcProd1Seg1Rep1BagWeightImpactR1</f>
        <v>-9.9999999999999978E-2</v>
      </c>
      <c r="G2776" s="388">
        <f>MIN(IF(G2775-xxRepThreshold&lt;0,G2775-xxRepThreshold,(G2775-xxRepThreshold)*(1-calcProd1Seg1Rep1InternalTimeR1)),xxRepMaxImpact)+calcProd1Seg1Rep1BagWeightImpactR1</f>
        <v>-9.9999999999999978E-2</v>
      </c>
      <c r="H2776" s="388">
        <f>MIN(IF(H2775-xxRepThreshold&lt;0,H2775-xxRepThreshold,(H2775-xxRepThreshold)*(1-calcProd1Seg1Rep1InternalTimeR1)),xxRepMaxImpact)+calcProd1Seg1Rep1BagWeightImpactR1</f>
        <v>-9.9999999999999978E-2</v>
      </c>
      <c r="I2776" s="388">
        <f>MIN(IF(I2775-xxRepThreshold&lt;0,I2775-xxRepThreshold,(I2775-xxRepThreshold)*(1-calcProd1Seg1Rep1InternalTimeR1)),xxRepMaxImpact)+calcProd1Seg1Rep1BagWeightImpactR1</f>
        <v>-9.9999999999999978E-2</v>
      </c>
      <c r="J2776" t="s">
        <v>2946</v>
      </c>
    </row>
    <row r="2777" spans="1:14">
      <c r="B2777" t="s">
        <v>2945</v>
      </c>
      <c r="C2777" t="str">
        <f>nmPayer1</f>
        <v>Blue Sword/Blue Shield</v>
      </c>
      <c r="E2777" s="511">
        <f>INDEX(datatblProd1Seg1Payer1,4,)</f>
        <v>2E-3</v>
      </c>
      <c r="F2777" s="511">
        <f>INDEX(datatblProd1Seg1Payer1,4,)</f>
        <v>2E-3</v>
      </c>
      <c r="G2777" s="511">
        <f>INDEX(datatblProd1Seg1Payer1,4,)</f>
        <v>2E-3</v>
      </c>
      <c r="H2777" s="511">
        <f>INDEX(datatblProd1Seg1Payer1,4,)</f>
        <v>2E-3</v>
      </c>
      <c r="I2777" s="511">
        <f>INDEX(datatblProd1Seg1Payer1,4,)</f>
        <v>2E-3</v>
      </c>
    </row>
    <row r="2778" spans="1:14">
      <c r="B2778" t="s">
        <v>2945</v>
      </c>
      <c r="C2778" t="str">
        <f>nmPayer2</f>
        <v>WesterAid</v>
      </c>
      <c r="E2778" s="511">
        <f>INDEX(datatblProd1Seg1Payer2,4,)</f>
        <v>1.5E-3</v>
      </c>
      <c r="F2778" s="511">
        <f>INDEX(datatblProd1Seg1Payer2,4,)</f>
        <v>1.5E-3</v>
      </c>
      <c r="G2778" s="511">
        <f>INDEX(datatblProd1Seg1Payer2,4,)</f>
        <v>1.5E-3</v>
      </c>
      <c r="H2778" s="511">
        <f>INDEX(datatblProd1Seg1Payer2,4,)</f>
        <v>1.5E-3</v>
      </c>
      <c r="I2778" s="511">
        <f>INDEX(datatblProd1Seg1Payer2,4,)</f>
        <v>1.5E-3</v>
      </c>
    </row>
    <row r="2779" spans="1:14">
      <c r="B2779" t="s">
        <v>2945</v>
      </c>
      <c r="C2779" t="str">
        <f>nmPayer3</f>
        <v>Dragon Health</v>
      </c>
      <c r="E2779" s="511">
        <f>INDEX(datatblProd1Seg1Payer3,4,)</f>
        <v>1.5E-3</v>
      </c>
      <c r="F2779" s="511">
        <f>INDEX(datatblProd1Seg1Payer3,4,)</f>
        <v>1.5E-3</v>
      </c>
      <c r="G2779" s="511">
        <f>INDEX(datatblProd1Seg1Payer3,4,)</f>
        <v>1.5E-3</v>
      </c>
      <c r="H2779" s="511">
        <f>INDEX(datatblProd1Seg1Payer3,4,)</f>
        <v>1.5E-3</v>
      </c>
      <c r="I2779" s="511">
        <f>INDEX(datatblProd1Seg1Payer3,4,)</f>
        <v>1.5E-3</v>
      </c>
    </row>
    <row r="2780" spans="1:14">
      <c r="E2780" s="552">
        <f t="shared" ref="E2780:I2782" si="205">calcProd1Seg1Rep1ImpactR1*E2777</f>
        <v>-1.9999999999999996E-4</v>
      </c>
      <c r="F2780" s="552">
        <f t="shared" si="205"/>
        <v>-1.9999999999999996E-4</v>
      </c>
      <c r="G2780" s="552">
        <f t="shared" si="205"/>
        <v>-1.9999999999999996E-4</v>
      </c>
      <c r="H2780" s="552">
        <f t="shared" si="205"/>
        <v>-1.9999999999999996E-4</v>
      </c>
      <c r="I2780" s="552">
        <f t="shared" si="205"/>
        <v>-1.9999999999999996E-4</v>
      </c>
      <c r="J2780" t="s">
        <v>2947</v>
      </c>
    </row>
    <row r="2781" spans="1:14">
      <c r="E2781" s="552">
        <f t="shared" si="205"/>
        <v>-1.4999999999999996E-4</v>
      </c>
      <c r="F2781" s="552">
        <f t="shared" si="205"/>
        <v>-1.4999999999999996E-4</v>
      </c>
      <c r="G2781" s="552">
        <f t="shared" si="205"/>
        <v>-1.4999999999999996E-4</v>
      </c>
      <c r="H2781" s="552">
        <f t="shared" si="205"/>
        <v>-1.4999999999999996E-4</v>
      </c>
      <c r="I2781" s="552">
        <f t="shared" si="205"/>
        <v>-1.4999999999999996E-4</v>
      </c>
      <c r="J2781" t="s">
        <v>2948</v>
      </c>
    </row>
    <row r="2782" spans="1:14">
      <c r="E2782" s="552">
        <f t="shared" si="205"/>
        <v>-1.4999999999999996E-4</v>
      </c>
      <c r="F2782" s="552">
        <f t="shared" si="205"/>
        <v>-1.4999999999999996E-4</v>
      </c>
      <c r="G2782" s="552">
        <f t="shared" si="205"/>
        <v>-1.4999999999999996E-4</v>
      </c>
      <c r="H2782" s="552">
        <f t="shared" si="205"/>
        <v>-1.4999999999999996E-4</v>
      </c>
      <c r="I2782" s="552">
        <f t="shared" si="205"/>
        <v>-1.4999999999999996E-4</v>
      </c>
      <c r="J2782" t="s">
        <v>2949</v>
      </c>
    </row>
    <row r="2784" spans="1:14">
      <c r="A2784" t="str">
        <f>nmProd1Seg1</f>
        <v>Riverrun Central</v>
      </c>
      <c r="B2784" t="str">
        <f>nmProd1Seg1Rep2</f>
        <v>Rep Betty</v>
      </c>
      <c r="C2784" t="s">
        <v>1488</v>
      </c>
      <c r="E2784" s="549">
        <f>calcProd1Seg1Rep2CapR1</f>
        <v>0.5</v>
      </c>
      <c r="F2784" s="549">
        <f>calcProd1Seg1Rep2CapR1</f>
        <v>0.5</v>
      </c>
      <c r="G2784" s="549">
        <f>calcProd1Seg1Rep2CapR1</f>
        <v>0.5</v>
      </c>
      <c r="H2784" s="549">
        <f>calcProd1Seg1Rep2CapR1</f>
        <v>0.5</v>
      </c>
      <c r="I2784" s="549">
        <f>calcProd1Seg1Rep2CapR1</f>
        <v>0.5</v>
      </c>
      <c r="M2784" s="551">
        <v>0.3</v>
      </c>
      <c r="N2784" t="s">
        <v>3746</v>
      </c>
    </row>
    <row r="2785" spans="1:13">
      <c r="C2785" t="s">
        <v>2944</v>
      </c>
      <c r="E2785" s="388">
        <f>MIN(IF(E2784-xxRepThreshold&lt;0,E2784-xxRepThreshold,(E2784-xxRepThreshold)*(1-calcProd1Seg1Rep2InternalTimeR1)),xxRepMaxImpact)+calcProd1Seg1Rep2BagWeightImpactR1</f>
        <v>-9.9999999999999978E-2</v>
      </c>
      <c r="F2785" s="388">
        <f>MIN(IF(F2784-xxRepThreshold&lt;0,F2784-xxRepThreshold,(F2784-xxRepThreshold)*(1-calcProd1Seg1Rep2InternalTimeR1)),xxRepMaxImpact)+calcProd1Seg1Rep2BagWeightImpactR1</f>
        <v>-9.9999999999999978E-2</v>
      </c>
      <c r="G2785" s="388">
        <f>MIN(IF(G2784-xxRepThreshold&lt;0,G2784-xxRepThreshold,(G2784-xxRepThreshold)*(1-calcProd1Seg1Rep2InternalTimeR1)),xxRepMaxImpact)+calcProd1Seg1Rep2BagWeightImpactR1</f>
        <v>-9.9999999999999978E-2</v>
      </c>
      <c r="H2785" s="388">
        <f>MIN(IF(H2784-xxRepThreshold&lt;0,H2784-xxRepThreshold,(H2784-xxRepThreshold)*(1-calcProd1Seg1Rep2InternalTimeR1)),xxRepMaxImpact)+calcProd1Seg1Rep2BagWeightImpactR1</f>
        <v>-9.9999999999999978E-2</v>
      </c>
      <c r="I2785" s="388">
        <f>MIN(IF(I2784-xxRepThreshold&lt;0,I2784-xxRepThreshold,(I2784-xxRepThreshold)*(1-calcProd1Seg1Rep2InternalTimeR1)),xxRepMaxImpact)+calcProd1Seg1Rep2BagWeightImpactR1</f>
        <v>-9.9999999999999978E-2</v>
      </c>
      <c r="J2785" t="s">
        <v>2950</v>
      </c>
    </row>
    <row r="2786" spans="1:13">
      <c r="B2786" t="s">
        <v>2945</v>
      </c>
      <c r="C2786" t="str">
        <f>nmPayer1</f>
        <v>Blue Sword/Blue Shield</v>
      </c>
      <c r="E2786" s="511">
        <f>INDEX(datatblProd1Seg1Payer1,4,)</f>
        <v>2E-3</v>
      </c>
      <c r="F2786" s="511">
        <f>INDEX(datatblProd1Seg1Payer1,4,)</f>
        <v>2E-3</v>
      </c>
      <c r="G2786" s="511">
        <f>INDEX(datatblProd1Seg1Payer1,4,)</f>
        <v>2E-3</v>
      </c>
      <c r="H2786" s="511">
        <f>INDEX(datatblProd1Seg1Payer1,4,)</f>
        <v>2E-3</v>
      </c>
      <c r="I2786" s="511">
        <f>INDEX(datatblProd1Seg1Payer1,4,)</f>
        <v>2E-3</v>
      </c>
    </row>
    <row r="2787" spans="1:13">
      <c r="B2787" t="s">
        <v>2945</v>
      </c>
      <c r="C2787" t="str">
        <f>nmPayer2</f>
        <v>WesterAid</v>
      </c>
      <c r="E2787" s="511">
        <f>INDEX(datatblProd1Seg1Payer2,4,)</f>
        <v>1.5E-3</v>
      </c>
      <c r="F2787" s="511">
        <f>INDEX(datatblProd1Seg1Payer2,4,)</f>
        <v>1.5E-3</v>
      </c>
      <c r="G2787" s="511">
        <f>INDEX(datatblProd1Seg1Payer2,4,)</f>
        <v>1.5E-3</v>
      </c>
      <c r="H2787" s="511">
        <f>INDEX(datatblProd1Seg1Payer2,4,)</f>
        <v>1.5E-3</v>
      </c>
      <c r="I2787" s="511">
        <f>INDEX(datatblProd1Seg1Payer2,4,)</f>
        <v>1.5E-3</v>
      </c>
    </row>
    <row r="2788" spans="1:13">
      <c r="B2788" t="s">
        <v>2945</v>
      </c>
      <c r="C2788" t="str">
        <f>nmPayer3</f>
        <v>Dragon Health</v>
      </c>
      <c r="E2788" s="511">
        <f>INDEX(datatblProd1Seg1Payer3,4,)</f>
        <v>1.5E-3</v>
      </c>
      <c r="F2788" s="511">
        <f>INDEX(datatblProd1Seg1Payer3,4,)</f>
        <v>1.5E-3</v>
      </c>
      <c r="G2788" s="511">
        <f>INDEX(datatblProd1Seg1Payer3,4,)</f>
        <v>1.5E-3</v>
      </c>
      <c r="H2788" s="511">
        <f>INDEX(datatblProd1Seg1Payer3,4,)</f>
        <v>1.5E-3</v>
      </c>
      <c r="I2788" s="511">
        <f>INDEX(datatblProd1Seg1Payer3,4,)</f>
        <v>1.5E-3</v>
      </c>
    </row>
    <row r="2789" spans="1:13">
      <c r="E2789" s="552">
        <f t="shared" ref="E2789:I2791" si="206">calcProd1Seg1Rep2ImpactR1*E2786</f>
        <v>-1.9999999999999996E-4</v>
      </c>
      <c r="F2789" s="552">
        <f t="shared" si="206"/>
        <v>-1.9999999999999996E-4</v>
      </c>
      <c r="G2789" s="552">
        <f t="shared" si="206"/>
        <v>-1.9999999999999996E-4</v>
      </c>
      <c r="H2789" s="552">
        <f t="shared" si="206"/>
        <v>-1.9999999999999996E-4</v>
      </c>
      <c r="I2789" s="552">
        <f t="shared" si="206"/>
        <v>-1.9999999999999996E-4</v>
      </c>
      <c r="J2789" t="s">
        <v>2951</v>
      </c>
    </row>
    <row r="2790" spans="1:13">
      <c r="E2790" s="552">
        <f t="shared" si="206"/>
        <v>-1.4999999999999996E-4</v>
      </c>
      <c r="F2790" s="552">
        <f t="shared" si="206"/>
        <v>-1.4999999999999996E-4</v>
      </c>
      <c r="G2790" s="552">
        <f t="shared" si="206"/>
        <v>-1.4999999999999996E-4</v>
      </c>
      <c r="H2790" s="552">
        <f t="shared" si="206"/>
        <v>-1.4999999999999996E-4</v>
      </c>
      <c r="I2790" s="552">
        <f t="shared" si="206"/>
        <v>-1.4999999999999996E-4</v>
      </c>
      <c r="J2790" t="s">
        <v>2952</v>
      </c>
    </row>
    <row r="2791" spans="1:13">
      <c r="E2791" s="552">
        <f t="shared" si="206"/>
        <v>-1.4999999999999996E-4</v>
      </c>
      <c r="F2791" s="552">
        <f t="shared" si="206"/>
        <v>-1.4999999999999996E-4</v>
      </c>
      <c r="G2791" s="552">
        <f t="shared" si="206"/>
        <v>-1.4999999999999996E-4</v>
      </c>
      <c r="H2791" s="552">
        <f t="shared" si="206"/>
        <v>-1.4999999999999996E-4</v>
      </c>
      <c r="I2791" s="552">
        <f t="shared" si="206"/>
        <v>-1.4999999999999996E-4</v>
      </c>
      <c r="J2791" t="s">
        <v>2953</v>
      </c>
    </row>
    <row r="2793" spans="1:13">
      <c r="A2793" t="str">
        <f>nmProd1Seg1</f>
        <v>Riverrun Central</v>
      </c>
      <c r="B2793" t="str">
        <f>nmProd1Seg1Rep3</f>
        <v>Rep Chris</v>
      </c>
      <c r="C2793" t="s">
        <v>1488</v>
      </c>
      <c r="E2793" s="549">
        <f>calcProd1Seg1Rep3CapR1</f>
        <v>0.9</v>
      </c>
      <c r="F2793" s="549">
        <f>calcProd1Seg1Rep3CapR1</f>
        <v>0.9</v>
      </c>
      <c r="G2793" s="549">
        <f>calcProd1Seg1Rep3CapR1</f>
        <v>0.9</v>
      </c>
      <c r="H2793" s="549">
        <f>calcProd1Seg1Rep3CapR1</f>
        <v>0.9</v>
      </c>
      <c r="I2793" s="549">
        <f>calcProd1Seg1Rep3CapR1</f>
        <v>0.9</v>
      </c>
      <c r="M2793" s="551"/>
    </row>
    <row r="2794" spans="1:13">
      <c r="C2794" t="s">
        <v>2944</v>
      </c>
      <c r="E2794" s="388">
        <f>MIN(IF(E2793-xxRepThreshold&lt;0,E2793-xxRepThreshold,(E2793-xxRepThreshold)*(1-calcProd1Seg1Rep3InternalTimeR1)),xxRepMaxImpact)+calcProd1Seg1Rep3BagWeightImpactR1</f>
        <v>0.27000000000000007</v>
      </c>
      <c r="F2794" s="388">
        <f>MIN(IF(F2793-xxRepThreshold&lt;0,F2793-xxRepThreshold,(F2793-xxRepThreshold)*(1-calcProd1Seg1Rep3InternalTimeR1)),xxRepMaxImpact)+calcProd1Seg1Rep3BagWeightImpactR1</f>
        <v>0.27000000000000007</v>
      </c>
      <c r="G2794" s="388">
        <f>MIN(IF(G2793-xxRepThreshold&lt;0,G2793-xxRepThreshold,(G2793-xxRepThreshold)*(1-calcProd1Seg1Rep3InternalTimeR1)),xxRepMaxImpact)+calcProd1Seg1Rep3BagWeightImpactR1</f>
        <v>0.27000000000000007</v>
      </c>
      <c r="H2794" s="388">
        <f>MIN(IF(H2793-xxRepThreshold&lt;0,H2793-xxRepThreshold,(H2793-xxRepThreshold)*(1-calcProd1Seg1Rep3InternalTimeR1)),xxRepMaxImpact)+calcProd1Seg1Rep3BagWeightImpactR1</f>
        <v>0.27000000000000007</v>
      </c>
      <c r="I2794" s="388">
        <f>MIN(IF(I2793-xxRepThreshold&lt;0,I2793-xxRepThreshold,(I2793-xxRepThreshold)*(1-calcProd1Seg1Rep3InternalTimeR1)),xxRepMaxImpact)+calcProd1Seg1Rep3BagWeightImpactR1</f>
        <v>0.27000000000000007</v>
      </c>
      <c r="J2794" t="s">
        <v>2954</v>
      </c>
    </row>
    <row r="2795" spans="1:13">
      <c r="B2795" t="s">
        <v>2945</v>
      </c>
      <c r="C2795" t="str">
        <f>nmPayer1</f>
        <v>Blue Sword/Blue Shield</v>
      </c>
      <c r="E2795" s="511">
        <f>INDEX(datatblProd1Seg1Payer1,4,)</f>
        <v>2E-3</v>
      </c>
      <c r="F2795" s="511">
        <f>INDEX(datatblProd1Seg1Payer1,4,)</f>
        <v>2E-3</v>
      </c>
      <c r="G2795" s="511">
        <f>INDEX(datatblProd1Seg1Payer1,4,)</f>
        <v>2E-3</v>
      </c>
      <c r="H2795" s="511">
        <f>INDEX(datatblProd1Seg1Payer1,4,)</f>
        <v>2E-3</v>
      </c>
      <c r="I2795" s="511">
        <f>INDEX(datatblProd1Seg1Payer1,4,)</f>
        <v>2E-3</v>
      </c>
    </row>
    <row r="2796" spans="1:13">
      <c r="B2796" t="s">
        <v>2945</v>
      </c>
      <c r="C2796" t="str">
        <f>nmPayer2</f>
        <v>WesterAid</v>
      </c>
      <c r="E2796" s="511">
        <f>INDEX(datatblProd1Seg1Payer2,4,)</f>
        <v>1.5E-3</v>
      </c>
      <c r="F2796" s="511">
        <f>INDEX(datatblProd1Seg1Payer2,4,)</f>
        <v>1.5E-3</v>
      </c>
      <c r="G2796" s="511">
        <f>INDEX(datatblProd1Seg1Payer2,4,)</f>
        <v>1.5E-3</v>
      </c>
      <c r="H2796" s="511">
        <f>INDEX(datatblProd1Seg1Payer2,4,)</f>
        <v>1.5E-3</v>
      </c>
      <c r="I2796" s="511">
        <f>INDEX(datatblProd1Seg1Payer2,4,)</f>
        <v>1.5E-3</v>
      </c>
    </row>
    <row r="2797" spans="1:13">
      <c r="B2797" t="s">
        <v>2945</v>
      </c>
      <c r="C2797" t="str">
        <f>nmPayer3</f>
        <v>Dragon Health</v>
      </c>
      <c r="E2797" s="511">
        <f>INDEX(datatblProd1Seg1Payer3,4,)</f>
        <v>1.5E-3</v>
      </c>
      <c r="F2797" s="511">
        <f>INDEX(datatblProd1Seg1Payer3,4,)</f>
        <v>1.5E-3</v>
      </c>
      <c r="G2797" s="511">
        <f>INDEX(datatblProd1Seg1Payer3,4,)</f>
        <v>1.5E-3</v>
      </c>
      <c r="H2797" s="511">
        <f>INDEX(datatblProd1Seg1Payer3,4,)</f>
        <v>1.5E-3</v>
      </c>
      <c r="I2797" s="511">
        <f>INDEX(datatblProd1Seg1Payer3,4,)</f>
        <v>1.5E-3</v>
      </c>
    </row>
    <row r="2798" spans="1:13">
      <c r="E2798" s="552">
        <f t="shared" ref="E2798:I2800" si="207">calcProd1Seg1Rep3ImpactR1*E2795</f>
        <v>5.4000000000000012E-4</v>
      </c>
      <c r="F2798" s="552">
        <f t="shared" si="207"/>
        <v>5.4000000000000012E-4</v>
      </c>
      <c r="G2798" s="552">
        <f t="shared" si="207"/>
        <v>5.4000000000000012E-4</v>
      </c>
      <c r="H2798" s="552">
        <f t="shared" si="207"/>
        <v>5.4000000000000012E-4</v>
      </c>
      <c r="I2798" s="552">
        <f t="shared" si="207"/>
        <v>5.4000000000000012E-4</v>
      </c>
      <c r="J2798" t="s">
        <v>2955</v>
      </c>
    </row>
    <row r="2799" spans="1:13">
      <c r="E2799" s="552">
        <f t="shared" si="207"/>
        <v>4.0500000000000014E-4</v>
      </c>
      <c r="F2799" s="552">
        <f t="shared" si="207"/>
        <v>4.0500000000000014E-4</v>
      </c>
      <c r="G2799" s="552">
        <f t="shared" si="207"/>
        <v>4.0500000000000014E-4</v>
      </c>
      <c r="H2799" s="552">
        <f t="shared" si="207"/>
        <v>4.0500000000000014E-4</v>
      </c>
      <c r="I2799" s="552">
        <f t="shared" si="207"/>
        <v>4.0500000000000014E-4</v>
      </c>
      <c r="J2799" t="s">
        <v>2956</v>
      </c>
    </row>
    <row r="2800" spans="1:13">
      <c r="E2800" s="552">
        <f t="shared" si="207"/>
        <v>4.0500000000000014E-4</v>
      </c>
      <c r="F2800" s="552">
        <f t="shared" si="207"/>
        <v>4.0500000000000014E-4</v>
      </c>
      <c r="G2800" s="552">
        <f t="shared" si="207"/>
        <v>4.0500000000000014E-4</v>
      </c>
      <c r="H2800" s="552">
        <f t="shared" si="207"/>
        <v>4.0500000000000014E-4</v>
      </c>
      <c r="I2800" s="552">
        <f t="shared" si="207"/>
        <v>4.0500000000000014E-4</v>
      </c>
      <c r="J2800" t="s">
        <v>2957</v>
      </c>
    </row>
    <row r="2802" spans="1:13">
      <c r="A2802" t="str">
        <f>nmProd1Seg1</f>
        <v>Riverrun Central</v>
      </c>
      <c r="B2802" t="str">
        <f>nmProd1Seg1Rep1</f>
        <v>Rep Allen</v>
      </c>
      <c r="C2802" t="s">
        <v>1551</v>
      </c>
      <c r="E2802" s="549">
        <f>calcProd1Seg1Rep1CapR2</f>
        <v>0.5</v>
      </c>
      <c r="F2802" s="549">
        <f>calcProd1Seg1Rep1CapR2</f>
        <v>0.5</v>
      </c>
      <c r="G2802" s="549">
        <f>calcProd1Seg1Rep1CapR2</f>
        <v>0.5</v>
      </c>
      <c r="H2802" s="549">
        <f>calcProd1Seg1Rep1CapR2</f>
        <v>0.5</v>
      </c>
      <c r="I2802" s="549">
        <f>calcProd1Seg1Rep1CapR2</f>
        <v>0.5</v>
      </c>
      <c r="M2802" s="551"/>
    </row>
    <row r="2803" spans="1:13">
      <c r="C2803" t="s">
        <v>2944</v>
      </c>
      <c r="E2803" s="388">
        <f>MIN(IF(E2802-xxRepThreshold&lt;0,E2802-xxRepThreshold,(E2802-xxRepThreshold)*(1-calcProd1Seg1Rep1InternalTimeR2)),xxRepMaxImpact)+calcProd1Seg1Rep1BagWeightImpactR2</f>
        <v>-9.9999999999999978E-2</v>
      </c>
      <c r="F2803" s="388">
        <f>MIN(IF(F2802-xxRepThreshold&lt;0,F2802-xxRepThreshold,(F2802-xxRepThreshold)*(1-calcProd1Seg1Rep1InternalTimeR2)),xxRepMaxImpact)+calcProd1Seg1Rep1BagWeightImpactR2</f>
        <v>-9.9999999999999978E-2</v>
      </c>
      <c r="G2803" s="388">
        <f>MIN(IF(G2802-xxRepThreshold&lt;0,G2802-xxRepThreshold,(G2802-xxRepThreshold)*(1-calcProd1Seg1Rep1InternalTimeR2)),xxRepMaxImpact)+calcProd1Seg1Rep1BagWeightImpactR2</f>
        <v>-9.9999999999999978E-2</v>
      </c>
      <c r="H2803" s="388">
        <f>MIN(IF(H2802-xxRepThreshold&lt;0,H2802-xxRepThreshold,(H2802-xxRepThreshold)*(1-calcProd1Seg1Rep1InternalTimeR2)),xxRepMaxImpact)+calcProd1Seg1Rep1BagWeightImpactR2</f>
        <v>-9.9999999999999978E-2</v>
      </c>
      <c r="I2803" s="388">
        <f>MIN(IF(I2802-xxRepThreshold&lt;0,I2802-xxRepThreshold,(I2802-xxRepThreshold)*(1-calcProd1Seg1Rep1InternalTimeR2)),xxRepMaxImpact)+calcProd1Seg1Rep1BagWeightImpactR2</f>
        <v>-9.9999999999999978E-2</v>
      </c>
      <c r="J2803" t="s">
        <v>2958</v>
      </c>
    </row>
    <row r="2804" spans="1:13">
      <c r="B2804" t="s">
        <v>2945</v>
      </c>
      <c r="C2804" t="str">
        <f>nmPayer1</f>
        <v>Blue Sword/Blue Shield</v>
      </c>
      <c r="E2804" s="511">
        <f>INDEX(datatblProd1Seg1Payer1,4,)</f>
        <v>2E-3</v>
      </c>
      <c r="F2804" s="511">
        <f>INDEX(datatblProd1Seg1Payer1,4,)</f>
        <v>2E-3</v>
      </c>
      <c r="G2804" s="511">
        <f>INDEX(datatblProd1Seg1Payer1,4,)</f>
        <v>2E-3</v>
      </c>
      <c r="H2804" s="511">
        <f>INDEX(datatblProd1Seg1Payer1,4,)</f>
        <v>2E-3</v>
      </c>
      <c r="I2804" s="511">
        <f>INDEX(datatblProd1Seg1Payer1,4,)</f>
        <v>2E-3</v>
      </c>
    </row>
    <row r="2805" spans="1:13">
      <c r="B2805" t="s">
        <v>2945</v>
      </c>
      <c r="C2805" t="str">
        <f>nmPayer2</f>
        <v>WesterAid</v>
      </c>
      <c r="E2805" s="511">
        <f>INDEX(datatblProd1Seg1Payer2,4,)</f>
        <v>1.5E-3</v>
      </c>
      <c r="F2805" s="511">
        <f>INDEX(datatblProd1Seg1Payer2,4,)</f>
        <v>1.5E-3</v>
      </c>
      <c r="G2805" s="511">
        <f>INDEX(datatblProd1Seg1Payer2,4,)</f>
        <v>1.5E-3</v>
      </c>
      <c r="H2805" s="511">
        <f>INDEX(datatblProd1Seg1Payer2,4,)</f>
        <v>1.5E-3</v>
      </c>
      <c r="I2805" s="511">
        <f>INDEX(datatblProd1Seg1Payer2,4,)</f>
        <v>1.5E-3</v>
      </c>
    </row>
    <row r="2806" spans="1:13">
      <c r="B2806" t="s">
        <v>2945</v>
      </c>
      <c r="C2806" t="str">
        <f>nmPayer3</f>
        <v>Dragon Health</v>
      </c>
      <c r="E2806" s="511">
        <f>INDEX(datatblProd1Seg1Payer3,4,)</f>
        <v>1.5E-3</v>
      </c>
      <c r="F2806" s="511">
        <f>INDEX(datatblProd1Seg1Payer3,4,)</f>
        <v>1.5E-3</v>
      </c>
      <c r="G2806" s="511">
        <f>INDEX(datatblProd1Seg1Payer3,4,)</f>
        <v>1.5E-3</v>
      </c>
      <c r="H2806" s="511">
        <f>INDEX(datatblProd1Seg1Payer3,4,)</f>
        <v>1.5E-3</v>
      </c>
      <c r="I2806" s="511">
        <f>INDEX(datatblProd1Seg1Payer3,4,)</f>
        <v>1.5E-3</v>
      </c>
    </row>
    <row r="2807" spans="1:13">
      <c r="E2807" s="552">
        <f t="shared" ref="E2807:I2809" si="208">calcProd1Seg1Rep1ImpactR2*E2804</f>
        <v>-1.9999999999999996E-4</v>
      </c>
      <c r="F2807" s="552">
        <f t="shared" si="208"/>
        <v>-1.9999999999999996E-4</v>
      </c>
      <c r="G2807" s="552">
        <f t="shared" si="208"/>
        <v>-1.9999999999999996E-4</v>
      </c>
      <c r="H2807" s="552">
        <f t="shared" si="208"/>
        <v>-1.9999999999999996E-4</v>
      </c>
      <c r="I2807" s="552">
        <f t="shared" si="208"/>
        <v>-1.9999999999999996E-4</v>
      </c>
      <c r="J2807" t="s">
        <v>2959</v>
      </c>
    </row>
    <row r="2808" spans="1:13">
      <c r="E2808" s="552">
        <f t="shared" si="208"/>
        <v>-1.4999999999999996E-4</v>
      </c>
      <c r="F2808" s="552">
        <f t="shared" si="208"/>
        <v>-1.4999999999999996E-4</v>
      </c>
      <c r="G2808" s="552">
        <f t="shared" si="208"/>
        <v>-1.4999999999999996E-4</v>
      </c>
      <c r="H2808" s="552">
        <f t="shared" si="208"/>
        <v>-1.4999999999999996E-4</v>
      </c>
      <c r="I2808" s="552">
        <f t="shared" si="208"/>
        <v>-1.4999999999999996E-4</v>
      </c>
      <c r="J2808" t="s">
        <v>2960</v>
      </c>
    </row>
    <row r="2809" spans="1:13">
      <c r="E2809" s="552">
        <f t="shared" si="208"/>
        <v>-1.4999999999999996E-4</v>
      </c>
      <c r="F2809" s="552">
        <f t="shared" si="208"/>
        <v>-1.4999999999999996E-4</v>
      </c>
      <c r="G2809" s="552">
        <f t="shared" si="208"/>
        <v>-1.4999999999999996E-4</v>
      </c>
      <c r="H2809" s="552">
        <f t="shared" si="208"/>
        <v>-1.4999999999999996E-4</v>
      </c>
      <c r="I2809" s="552">
        <f t="shared" si="208"/>
        <v>-1.4999999999999996E-4</v>
      </c>
      <c r="J2809" t="s">
        <v>2961</v>
      </c>
    </row>
    <row r="2811" spans="1:13">
      <c r="A2811" t="str">
        <f>nmProd1Seg1</f>
        <v>Riverrun Central</v>
      </c>
      <c r="B2811" t="str">
        <f>nmProd1Seg1Rep2</f>
        <v>Rep Betty</v>
      </c>
      <c r="C2811" t="s">
        <v>1551</v>
      </c>
      <c r="E2811" s="549">
        <f>calcProd1Seg1Rep2CapR2</f>
        <v>0.5</v>
      </c>
      <c r="F2811" s="549">
        <f>calcProd1Seg1Rep2CapR2</f>
        <v>0.5</v>
      </c>
      <c r="G2811" s="549">
        <f>calcProd1Seg1Rep2CapR2</f>
        <v>0.5</v>
      </c>
      <c r="H2811" s="549">
        <f>calcProd1Seg1Rep2CapR2</f>
        <v>0.5</v>
      </c>
      <c r="I2811" s="549">
        <f>calcProd1Seg1Rep2CapR2</f>
        <v>0.5</v>
      </c>
      <c r="M2811" s="551"/>
    </row>
    <row r="2812" spans="1:13">
      <c r="C2812" t="s">
        <v>2944</v>
      </c>
      <c r="E2812" s="388">
        <f>MIN(IF(E2811-xxRepThreshold&lt;0,E2811-xxRepThreshold,(E2811-xxRepThreshold)*(1-calcProd1Seg1Rep2InternalTimeR2)),xxRepMaxImpact)+calcProd1Seg1Rep2BagWeightImpactR2</f>
        <v>-9.9999999999999978E-2</v>
      </c>
      <c r="F2812" s="388">
        <f>MIN(IF(F2811-xxRepThreshold&lt;0,F2811-xxRepThreshold,(F2811-xxRepThreshold)*(1-calcProd1Seg1Rep2InternalTimeR2)),xxRepMaxImpact)+calcProd1Seg1Rep2BagWeightImpactR2</f>
        <v>-9.9999999999999978E-2</v>
      </c>
      <c r="G2812" s="388">
        <f>MIN(IF(G2811-xxRepThreshold&lt;0,G2811-xxRepThreshold,(G2811-xxRepThreshold)*(1-calcProd1Seg1Rep2InternalTimeR2)),xxRepMaxImpact)+calcProd1Seg1Rep2BagWeightImpactR2</f>
        <v>-9.9999999999999978E-2</v>
      </c>
      <c r="H2812" s="388">
        <f>MIN(IF(H2811-xxRepThreshold&lt;0,H2811-xxRepThreshold,(H2811-xxRepThreshold)*(1-calcProd1Seg1Rep2InternalTimeR2)),xxRepMaxImpact)+calcProd1Seg1Rep2BagWeightImpactR2</f>
        <v>-9.9999999999999978E-2</v>
      </c>
      <c r="I2812" s="388">
        <f>MIN(IF(I2811-xxRepThreshold&lt;0,I2811-xxRepThreshold,(I2811-xxRepThreshold)*(1-calcProd1Seg1Rep2InternalTimeR2)),xxRepMaxImpact)+calcProd1Seg1Rep2BagWeightImpactR2</f>
        <v>-9.9999999999999978E-2</v>
      </c>
      <c r="J2812" t="s">
        <v>2962</v>
      </c>
    </row>
    <row r="2813" spans="1:13">
      <c r="B2813" t="s">
        <v>2945</v>
      </c>
      <c r="C2813" t="str">
        <f>nmPayer1</f>
        <v>Blue Sword/Blue Shield</v>
      </c>
      <c r="E2813" s="511">
        <f>INDEX(datatblProd1Seg1Payer1,4,)</f>
        <v>2E-3</v>
      </c>
      <c r="F2813" s="511">
        <f>INDEX(datatblProd1Seg1Payer1,4,)</f>
        <v>2E-3</v>
      </c>
      <c r="G2813" s="511">
        <f>INDEX(datatblProd1Seg1Payer1,4,)</f>
        <v>2E-3</v>
      </c>
      <c r="H2813" s="511">
        <f>INDEX(datatblProd1Seg1Payer1,4,)</f>
        <v>2E-3</v>
      </c>
      <c r="I2813" s="511">
        <f>INDEX(datatblProd1Seg1Payer1,4,)</f>
        <v>2E-3</v>
      </c>
    </row>
    <row r="2814" spans="1:13">
      <c r="B2814" t="s">
        <v>2945</v>
      </c>
      <c r="C2814" t="str">
        <f>nmPayer2</f>
        <v>WesterAid</v>
      </c>
      <c r="E2814" s="511">
        <f>INDEX(datatblProd1Seg1Payer2,4,)</f>
        <v>1.5E-3</v>
      </c>
      <c r="F2814" s="511">
        <f>INDEX(datatblProd1Seg1Payer2,4,)</f>
        <v>1.5E-3</v>
      </c>
      <c r="G2814" s="511">
        <f>INDEX(datatblProd1Seg1Payer2,4,)</f>
        <v>1.5E-3</v>
      </c>
      <c r="H2814" s="511">
        <f>INDEX(datatblProd1Seg1Payer2,4,)</f>
        <v>1.5E-3</v>
      </c>
      <c r="I2814" s="511">
        <f>INDEX(datatblProd1Seg1Payer2,4,)</f>
        <v>1.5E-3</v>
      </c>
    </row>
    <row r="2815" spans="1:13">
      <c r="B2815" t="s">
        <v>2945</v>
      </c>
      <c r="C2815" t="str">
        <f>nmPayer3</f>
        <v>Dragon Health</v>
      </c>
      <c r="E2815" s="511">
        <f>INDEX(datatblProd1Seg1Payer3,4,)</f>
        <v>1.5E-3</v>
      </c>
      <c r="F2815" s="511">
        <f>INDEX(datatblProd1Seg1Payer3,4,)</f>
        <v>1.5E-3</v>
      </c>
      <c r="G2815" s="511">
        <f>INDEX(datatblProd1Seg1Payer3,4,)</f>
        <v>1.5E-3</v>
      </c>
      <c r="H2815" s="511">
        <f>INDEX(datatblProd1Seg1Payer3,4,)</f>
        <v>1.5E-3</v>
      </c>
      <c r="I2815" s="511">
        <f>INDEX(datatblProd1Seg1Payer3,4,)</f>
        <v>1.5E-3</v>
      </c>
    </row>
    <row r="2816" spans="1:13">
      <c r="E2816" s="552">
        <f t="shared" ref="E2816:I2818" si="209">calcProd1Seg1Rep2ImpactR2*E2813</f>
        <v>-1.9999999999999996E-4</v>
      </c>
      <c r="F2816" s="552">
        <f t="shared" si="209"/>
        <v>-1.9999999999999996E-4</v>
      </c>
      <c r="G2816" s="552">
        <f t="shared" si="209"/>
        <v>-1.9999999999999996E-4</v>
      </c>
      <c r="H2816" s="552">
        <f t="shared" si="209"/>
        <v>-1.9999999999999996E-4</v>
      </c>
      <c r="I2816" s="552">
        <f t="shared" si="209"/>
        <v>-1.9999999999999996E-4</v>
      </c>
      <c r="J2816" t="s">
        <v>2963</v>
      </c>
    </row>
    <row r="2817" spans="1:13">
      <c r="E2817" s="552">
        <f t="shared" si="209"/>
        <v>-1.4999999999999996E-4</v>
      </c>
      <c r="F2817" s="552">
        <f t="shared" si="209"/>
        <v>-1.4999999999999996E-4</v>
      </c>
      <c r="G2817" s="552">
        <f t="shared" si="209"/>
        <v>-1.4999999999999996E-4</v>
      </c>
      <c r="H2817" s="552">
        <f t="shared" si="209"/>
        <v>-1.4999999999999996E-4</v>
      </c>
      <c r="I2817" s="552">
        <f t="shared" si="209"/>
        <v>-1.4999999999999996E-4</v>
      </c>
      <c r="J2817" t="s">
        <v>2964</v>
      </c>
    </row>
    <row r="2818" spans="1:13">
      <c r="E2818" s="552">
        <f t="shared" si="209"/>
        <v>-1.4999999999999996E-4</v>
      </c>
      <c r="F2818" s="552">
        <f t="shared" si="209"/>
        <v>-1.4999999999999996E-4</v>
      </c>
      <c r="G2818" s="552">
        <f t="shared" si="209"/>
        <v>-1.4999999999999996E-4</v>
      </c>
      <c r="H2818" s="552">
        <f t="shared" si="209"/>
        <v>-1.4999999999999996E-4</v>
      </c>
      <c r="I2818" s="552">
        <f t="shared" si="209"/>
        <v>-1.4999999999999996E-4</v>
      </c>
      <c r="J2818" t="s">
        <v>2965</v>
      </c>
    </row>
    <row r="2820" spans="1:13">
      <c r="A2820" t="str">
        <f>nmProd1Seg1</f>
        <v>Riverrun Central</v>
      </c>
      <c r="B2820" t="str">
        <f>nmProd1Seg1Rep3</f>
        <v>Rep Chris</v>
      </c>
      <c r="C2820" t="s">
        <v>1551</v>
      </c>
      <c r="E2820" s="549">
        <f>calcProd1Seg1Rep3CapR2</f>
        <v>0.9</v>
      </c>
      <c r="F2820" s="549">
        <f>calcProd1Seg1Rep3CapR2</f>
        <v>0.9</v>
      </c>
      <c r="G2820" s="549">
        <f>calcProd1Seg1Rep3CapR2</f>
        <v>0.9</v>
      </c>
      <c r="H2820" s="549">
        <f>calcProd1Seg1Rep3CapR2</f>
        <v>0.9</v>
      </c>
      <c r="I2820" s="549">
        <f>calcProd1Seg1Rep3CapR2</f>
        <v>0.9</v>
      </c>
      <c r="M2820" s="551"/>
    </row>
    <row r="2821" spans="1:13">
      <c r="C2821" t="s">
        <v>2944</v>
      </c>
      <c r="E2821" s="388">
        <f>MIN(IF(E2820-xxRepThreshold&lt;0,E2820-xxRepThreshold,(E2820-xxRepThreshold)*(1-calcProd1Seg1Rep3InternalTimeR2)),xxRepMaxImpact)+calcProd1Seg1Rep3BagWeightImpactR2</f>
        <v>0.27000000000000007</v>
      </c>
      <c r="F2821" s="388">
        <f>MIN(IF(F2820-xxRepThreshold&lt;0,F2820-xxRepThreshold,(F2820-xxRepThreshold)*(1-calcProd1Seg1Rep3InternalTimeR2)),xxRepMaxImpact)+calcProd1Seg1Rep3BagWeightImpactR2</f>
        <v>0.27000000000000007</v>
      </c>
      <c r="G2821" s="388">
        <f>MIN(IF(G2820-xxRepThreshold&lt;0,G2820-xxRepThreshold,(G2820-xxRepThreshold)*(1-calcProd1Seg1Rep3InternalTimeR2)),xxRepMaxImpact)+calcProd1Seg1Rep3BagWeightImpactR2</f>
        <v>0.27000000000000007</v>
      </c>
      <c r="H2821" s="388">
        <f>MIN(IF(H2820-xxRepThreshold&lt;0,H2820-xxRepThreshold,(H2820-xxRepThreshold)*(1-calcProd1Seg1Rep3InternalTimeR2)),xxRepMaxImpact)+calcProd1Seg1Rep3BagWeightImpactR2</f>
        <v>0.27000000000000007</v>
      </c>
      <c r="I2821" s="388">
        <f>MIN(IF(I2820-xxRepThreshold&lt;0,I2820-xxRepThreshold,(I2820-xxRepThreshold)*(1-calcProd1Seg1Rep3InternalTimeR2)),xxRepMaxImpact)+calcProd1Seg1Rep3BagWeightImpactR2</f>
        <v>0.27000000000000007</v>
      </c>
      <c r="J2821" t="s">
        <v>2966</v>
      </c>
    </row>
    <row r="2822" spans="1:13">
      <c r="B2822" t="s">
        <v>2945</v>
      </c>
      <c r="C2822" t="str">
        <f>nmPayer1</f>
        <v>Blue Sword/Blue Shield</v>
      </c>
      <c r="E2822" s="511">
        <f>INDEX(datatblProd1Seg1Payer1,4,)</f>
        <v>2E-3</v>
      </c>
      <c r="F2822" s="511">
        <f>INDEX(datatblProd1Seg1Payer1,4,)</f>
        <v>2E-3</v>
      </c>
      <c r="G2822" s="511">
        <f>INDEX(datatblProd1Seg1Payer1,4,)</f>
        <v>2E-3</v>
      </c>
      <c r="H2822" s="511">
        <f>INDEX(datatblProd1Seg1Payer1,4,)</f>
        <v>2E-3</v>
      </c>
      <c r="I2822" s="511">
        <f>INDEX(datatblProd1Seg1Payer1,4,)</f>
        <v>2E-3</v>
      </c>
    </row>
    <row r="2823" spans="1:13">
      <c r="B2823" t="s">
        <v>2945</v>
      </c>
      <c r="C2823" t="str">
        <f>nmPayer2</f>
        <v>WesterAid</v>
      </c>
      <c r="E2823" s="511">
        <f>INDEX(datatblProd1Seg1Payer2,4,)</f>
        <v>1.5E-3</v>
      </c>
      <c r="F2823" s="511">
        <f>INDEX(datatblProd1Seg1Payer2,4,)</f>
        <v>1.5E-3</v>
      </c>
      <c r="G2823" s="511">
        <f>INDEX(datatblProd1Seg1Payer2,4,)</f>
        <v>1.5E-3</v>
      </c>
      <c r="H2823" s="511">
        <f>INDEX(datatblProd1Seg1Payer2,4,)</f>
        <v>1.5E-3</v>
      </c>
      <c r="I2823" s="511">
        <f>INDEX(datatblProd1Seg1Payer2,4,)</f>
        <v>1.5E-3</v>
      </c>
    </row>
    <row r="2824" spans="1:13">
      <c r="B2824" t="s">
        <v>2945</v>
      </c>
      <c r="C2824" t="str">
        <f>nmPayer3</f>
        <v>Dragon Health</v>
      </c>
      <c r="E2824" s="511">
        <f>INDEX(datatblProd1Seg1Payer3,4,)</f>
        <v>1.5E-3</v>
      </c>
      <c r="F2824" s="511">
        <f>INDEX(datatblProd1Seg1Payer3,4,)</f>
        <v>1.5E-3</v>
      </c>
      <c r="G2824" s="511">
        <f>INDEX(datatblProd1Seg1Payer3,4,)</f>
        <v>1.5E-3</v>
      </c>
      <c r="H2824" s="511">
        <f>INDEX(datatblProd1Seg1Payer3,4,)</f>
        <v>1.5E-3</v>
      </c>
      <c r="I2824" s="511">
        <f>INDEX(datatblProd1Seg1Payer3,4,)</f>
        <v>1.5E-3</v>
      </c>
    </row>
    <row r="2825" spans="1:13">
      <c r="E2825" s="552">
        <f t="shared" ref="E2825:I2827" si="210">calcProd1Seg1Rep3ImpactR2*E2822</f>
        <v>5.4000000000000012E-4</v>
      </c>
      <c r="F2825" s="552">
        <f t="shared" si="210"/>
        <v>5.4000000000000012E-4</v>
      </c>
      <c r="G2825" s="552">
        <f t="shared" si="210"/>
        <v>5.4000000000000012E-4</v>
      </c>
      <c r="H2825" s="552">
        <f t="shared" si="210"/>
        <v>5.4000000000000012E-4</v>
      </c>
      <c r="I2825" s="552">
        <f t="shared" si="210"/>
        <v>5.4000000000000012E-4</v>
      </c>
      <c r="J2825" t="s">
        <v>2967</v>
      </c>
    </row>
    <row r="2826" spans="1:13">
      <c r="E2826" s="552">
        <f t="shared" si="210"/>
        <v>4.0500000000000014E-4</v>
      </c>
      <c r="F2826" s="552">
        <f t="shared" si="210"/>
        <v>4.0500000000000014E-4</v>
      </c>
      <c r="G2826" s="552">
        <f t="shared" si="210"/>
        <v>4.0500000000000014E-4</v>
      </c>
      <c r="H2826" s="552">
        <f t="shared" si="210"/>
        <v>4.0500000000000014E-4</v>
      </c>
      <c r="I2826" s="552">
        <f t="shared" si="210"/>
        <v>4.0500000000000014E-4</v>
      </c>
      <c r="J2826" t="s">
        <v>2968</v>
      </c>
    </row>
    <row r="2827" spans="1:13">
      <c r="E2827" s="552">
        <f t="shared" si="210"/>
        <v>4.0500000000000014E-4</v>
      </c>
      <c r="F2827" s="552">
        <f t="shared" si="210"/>
        <v>4.0500000000000014E-4</v>
      </c>
      <c r="G2827" s="552">
        <f t="shared" si="210"/>
        <v>4.0500000000000014E-4</v>
      </c>
      <c r="H2827" s="552">
        <f t="shared" si="210"/>
        <v>4.0500000000000014E-4</v>
      </c>
      <c r="I2827" s="552">
        <f t="shared" si="210"/>
        <v>4.0500000000000014E-4</v>
      </c>
      <c r="J2827" t="s">
        <v>2969</v>
      </c>
    </row>
    <row r="2828" spans="1:13" s="377" customFormat="1">
      <c r="A2828" s="377" t="str">
        <f>nmProd1Seg2</f>
        <v>Tullyville</v>
      </c>
    </row>
    <row r="2829" spans="1:13">
      <c r="B2829" t="str">
        <f>nmProd1Seg2Rep1</f>
        <v>Rep Danielle</v>
      </c>
      <c r="C2829" t="s">
        <v>1488</v>
      </c>
      <c r="E2829" s="549">
        <f>calcProd1Seg2Rep1CapR1</f>
        <v>0.8</v>
      </c>
      <c r="F2829" s="549">
        <f>calcProd1Seg2Rep1CapR1</f>
        <v>0.8</v>
      </c>
      <c r="G2829" s="549">
        <f>calcProd1Seg2Rep1CapR1</f>
        <v>0.8</v>
      </c>
      <c r="H2829" s="549">
        <f>calcProd1Seg2Rep1CapR1</f>
        <v>0.8</v>
      </c>
      <c r="I2829" s="549">
        <f>calcProd1Seg2Rep1CapR1</f>
        <v>0.8</v>
      </c>
      <c r="M2829" s="551"/>
    </row>
    <row r="2830" spans="1:13">
      <c r="C2830" t="s">
        <v>2944</v>
      </c>
      <c r="E2830" s="388">
        <f>MIN(IF(E2829-xxRepThreshold&lt;0,E2829-xxRepThreshold,(E2829-xxRepThreshold)*(1-calcProd1Seg2Rep1InternalTimeR1)),xxRepMaxImpact)+calcProd1Seg2Rep1BagWeightImpactR1</f>
        <v>0.18000000000000008</v>
      </c>
      <c r="F2830" s="388">
        <f>MIN(IF(F2829-xxRepThreshold&lt;0,F2829-xxRepThreshold,(F2829-xxRepThreshold)*(1-calcProd1Seg2Rep1InternalTimeR1)),xxRepMaxImpact)+calcProd1Seg2Rep1BagWeightImpactR1</f>
        <v>0.18000000000000008</v>
      </c>
      <c r="G2830" s="388">
        <f>MIN(IF(G2829-xxRepThreshold&lt;0,G2829-xxRepThreshold,(G2829-xxRepThreshold)*(1-calcProd1Seg2Rep1InternalTimeR1)),xxRepMaxImpact)+calcProd1Seg2Rep1BagWeightImpactR1</f>
        <v>0.18000000000000008</v>
      </c>
      <c r="H2830" s="388">
        <f>MIN(IF(H2829-xxRepThreshold&lt;0,H2829-xxRepThreshold,(H2829-xxRepThreshold)*(1-calcProd1Seg2Rep1InternalTimeR1)),xxRepMaxImpact)+calcProd1Seg2Rep1BagWeightImpactR1</f>
        <v>0.18000000000000008</v>
      </c>
      <c r="I2830" s="388">
        <f>MIN(IF(I2829-xxRepThreshold&lt;0,I2829-xxRepThreshold,(I2829-xxRepThreshold)*(1-calcProd1Seg2Rep1InternalTimeR1)),xxRepMaxImpact)+calcProd1Seg2Rep1BagWeightImpactR1</f>
        <v>0.18000000000000008</v>
      </c>
      <c r="J2830" t="s">
        <v>2970</v>
      </c>
    </row>
    <row r="2831" spans="1:13">
      <c r="B2831" t="s">
        <v>2945</v>
      </c>
      <c r="C2831" t="str">
        <f>nmPayer1</f>
        <v>Blue Sword/Blue Shield</v>
      </c>
      <c r="E2831" s="511">
        <f>INDEX(datatblProd1Seg2Payer1,4,)</f>
        <v>1.5E-3</v>
      </c>
      <c r="F2831" s="511">
        <f>INDEX(datatblProd1Seg2Payer1,4,)</f>
        <v>1.5E-3</v>
      </c>
      <c r="G2831" s="511">
        <f>INDEX(datatblProd1Seg2Payer1,4,)</f>
        <v>1.5E-3</v>
      </c>
      <c r="H2831" s="511">
        <f>INDEX(datatblProd1Seg2Payer1,4,)</f>
        <v>1.5E-3</v>
      </c>
      <c r="I2831" s="511">
        <f>INDEX(datatblProd1Seg2Payer1,4,)</f>
        <v>1.5E-3</v>
      </c>
    </row>
    <row r="2832" spans="1:13">
      <c r="B2832" t="s">
        <v>2945</v>
      </c>
      <c r="C2832" t="str">
        <f>nmPayer2</f>
        <v>WesterAid</v>
      </c>
      <c r="E2832" s="511">
        <f>INDEX(datatblProd1Seg2Payer2,4,)</f>
        <v>2E-3</v>
      </c>
      <c r="F2832" s="511">
        <f>INDEX(datatblProd1Seg2Payer2,4,)</f>
        <v>2E-3</v>
      </c>
      <c r="G2832" s="511">
        <f>INDEX(datatblProd1Seg2Payer2,4,)</f>
        <v>2E-3</v>
      </c>
      <c r="H2832" s="511">
        <f>INDEX(datatblProd1Seg2Payer2,4,)</f>
        <v>2E-3</v>
      </c>
      <c r="I2832" s="511">
        <f>INDEX(datatblProd1Seg2Payer2,4,)</f>
        <v>2E-3</v>
      </c>
    </row>
    <row r="2833" spans="1:13">
      <c r="B2833" t="s">
        <v>2945</v>
      </c>
      <c r="C2833" t="str">
        <f>nmPayer3</f>
        <v>Dragon Health</v>
      </c>
      <c r="E2833" s="511">
        <f>INDEX(datatblProd1Seg2Payer3,4,)</f>
        <v>1E-3</v>
      </c>
      <c r="F2833" s="511">
        <f>INDEX(datatblProd1Seg2Payer3,4,)</f>
        <v>1E-3</v>
      </c>
      <c r="G2833" s="511">
        <f>INDEX(datatblProd1Seg2Payer3,4,)</f>
        <v>1E-3</v>
      </c>
      <c r="H2833" s="511">
        <f>INDEX(datatblProd1Seg2Payer3,4,)</f>
        <v>1E-3</v>
      </c>
      <c r="I2833" s="511">
        <f>INDEX(datatblProd1Seg2Payer3,4,)</f>
        <v>1E-3</v>
      </c>
    </row>
    <row r="2834" spans="1:13">
      <c r="E2834" s="552">
        <f t="shared" ref="E2834:I2836" si="211">calcProd1Seg2Rep1ImpactR1*E2831</f>
        <v>2.7000000000000011E-4</v>
      </c>
      <c r="F2834" s="552">
        <f t="shared" si="211"/>
        <v>2.7000000000000011E-4</v>
      </c>
      <c r="G2834" s="552">
        <f t="shared" si="211"/>
        <v>2.7000000000000011E-4</v>
      </c>
      <c r="H2834" s="552">
        <f t="shared" si="211"/>
        <v>2.7000000000000011E-4</v>
      </c>
      <c r="I2834" s="552">
        <f t="shared" si="211"/>
        <v>2.7000000000000011E-4</v>
      </c>
      <c r="J2834" t="s">
        <v>2971</v>
      </c>
    </row>
    <row r="2835" spans="1:13">
      <c r="E2835" s="552">
        <f t="shared" si="211"/>
        <v>3.6000000000000019E-4</v>
      </c>
      <c r="F2835" s="552">
        <f t="shared" si="211"/>
        <v>3.6000000000000019E-4</v>
      </c>
      <c r="G2835" s="552">
        <f t="shared" si="211"/>
        <v>3.6000000000000019E-4</v>
      </c>
      <c r="H2835" s="552">
        <f t="shared" si="211"/>
        <v>3.6000000000000019E-4</v>
      </c>
      <c r="I2835" s="552">
        <f t="shared" si="211"/>
        <v>3.6000000000000019E-4</v>
      </c>
      <c r="J2835" t="s">
        <v>2972</v>
      </c>
    </row>
    <row r="2836" spans="1:13">
      <c r="E2836" s="552">
        <f t="shared" si="211"/>
        <v>1.8000000000000009E-4</v>
      </c>
      <c r="F2836" s="552">
        <f t="shared" si="211"/>
        <v>1.8000000000000009E-4</v>
      </c>
      <c r="G2836" s="552">
        <f t="shared" si="211"/>
        <v>1.8000000000000009E-4</v>
      </c>
      <c r="H2836" s="552">
        <f t="shared" si="211"/>
        <v>1.8000000000000009E-4</v>
      </c>
      <c r="I2836" s="552">
        <f t="shared" si="211"/>
        <v>1.8000000000000009E-4</v>
      </c>
      <c r="J2836" t="s">
        <v>2973</v>
      </c>
    </row>
    <row r="2838" spans="1:13">
      <c r="A2838" t="str">
        <f>nmProd1Seg2</f>
        <v>Tullyville</v>
      </c>
      <c r="B2838" t="str">
        <f>nmProd1Seg2Rep2</f>
        <v>Rep Elliot</v>
      </c>
      <c r="C2838" t="s">
        <v>1488</v>
      </c>
      <c r="E2838" s="549">
        <f>calcProd1Seg2Rep2CapR1</f>
        <v>0.8</v>
      </c>
      <c r="F2838" s="549">
        <f>calcProd1Seg2Rep2CapR1</f>
        <v>0.8</v>
      </c>
      <c r="G2838" s="549">
        <f>calcProd1Seg2Rep2CapR1</f>
        <v>0.8</v>
      </c>
      <c r="H2838" s="549">
        <f>calcProd1Seg2Rep2CapR1</f>
        <v>0.8</v>
      </c>
      <c r="I2838" s="549">
        <f>calcProd1Seg2Rep2CapR1</f>
        <v>0.8</v>
      </c>
      <c r="M2838" s="551"/>
    </row>
    <row r="2839" spans="1:13">
      <c r="C2839" t="s">
        <v>2944</v>
      </c>
      <c r="E2839" s="388">
        <f>MIN(IF(E2838-xxRepThreshold&lt;0,E2838-xxRepThreshold,(E2838-xxRepThreshold)*(1-calcProd1Seg2Rep2InternalTimeR1)),xxRepMaxImpact)+calcProd1Seg2Rep2BagWeightImpactR1</f>
        <v>0.18000000000000008</v>
      </c>
      <c r="F2839" s="388">
        <f>MIN(IF(F2838-xxRepThreshold&lt;0,F2838-xxRepThreshold,(F2838-xxRepThreshold)*(1-calcProd1Seg2Rep2InternalTimeR1)),xxRepMaxImpact)+calcProd1Seg2Rep2BagWeightImpactR1</f>
        <v>0.18000000000000008</v>
      </c>
      <c r="G2839" s="388">
        <f>MIN(IF(G2838-xxRepThreshold&lt;0,G2838-xxRepThreshold,(G2838-xxRepThreshold)*(1-calcProd1Seg2Rep2InternalTimeR1)),xxRepMaxImpact)+calcProd1Seg2Rep2BagWeightImpactR1</f>
        <v>0.18000000000000008</v>
      </c>
      <c r="H2839" s="388">
        <f>MIN(IF(H2838-xxRepThreshold&lt;0,H2838-xxRepThreshold,(H2838-xxRepThreshold)*(1-calcProd1Seg2Rep2InternalTimeR1)),xxRepMaxImpact)+calcProd1Seg2Rep2BagWeightImpactR1</f>
        <v>0.18000000000000008</v>
      </c>
      <c r="I2839" s="388">
        <f>MIN(IF(I2838-xxRepThreshold&lt;0,I2838-xxRepThreshold,(I2838-xxRepThreshold)*(1-calcProd1Seg2Rep2InternalTimeR1)),xxRepMaxImpact)+calcProd1Seg2Rep2BagWeightImpactR1</f>
        <v>0.18000000000000008</v>
      </c>
      <c r="J2839" t="s">
        <v>2974</v>
      </c>
    </row>
    <row r="2840" spans="1:13">
      <c r="B2840" t="s">
        <v>2945</v>
      </c>
      <c r="C2840" t="str">
        <f>nmPayer1</f>
        <v>Blue Sword/Blue Shield</v>
      </c>
      <c r="E2840" s="511">
        <f>INDEX(datatblProd1Seg2Payer1,4,)</f>
        <v>1.5E-3</v>
      </c>
      <c r="F2840" s="511">
        <f>INDEX(datatblProd1Seg2Payer1,4,)</f>
        <v>1.5E-3</v>
      </c>
      <c r="G2840" s="511">
        <f>INDEX(datatblProd1Seg2Payer1,4,)</f>
        <v>1.5E-3</v>
      </c>
      <c r="H2840" s="511">
        <f>INDEX(datatblProd1Seg2Payer1,4,)</f>
        <v>1.5E-3</v>
      </c>
      <c r="I2840" s="511">
        <f>INDEX(datatblProd1Seg2Payer1,4,)</f>
        <v>1.5E-3</v>
      </c>
    </row>
    <row r="2841" spans="1:13">
      <c r="B2841" t="s">
        <v>2945</v>
      </c>
      <c r="C2841" t="str">
        <f>nmPayer2</f>
        <v>WesterAid</v>
      </c>
      <c r="E2841" s="511">
        <f>INDEX(datatblProd1Seg2Payer2,4,)</f>
        <v>2E-3</v>
      </c>
      <c r="F2841" s="511">
        <f>INDEX(datatblProd1Seg2Payer2,4,)</f>
        <v>2E-3</v>
      </c>
      <c r="G2841" s="511">
        <f>INDEX(datatblProd1Seg2Payer2,4,)</f>
        <v>2E-3</v>
      </c>
      <c r="H2841" s="511">
        <f>INDEX(datatblProd1Seg2Payer2,4,)</f>
        <v>2E-3</v>
      </c>
      <c r="I2841" s="511">
        <f>INDEX(datatblProd1Seg2Payer2,4,)</f>
        <v>2E-3</v>
      </c>
    </row>
    <row r="2842" spans="1:13">
      <c r="B2842" t="s">
        <v>2945</v>
      </c>
      <c r="C2842" t="str">
        <f>nmPayer3</f>
        <v>Dragon Health</v>
      </c>
      <c r="E2842" s="511">
        <f>INDEX(datatblProd1Seg2Payer3,4,)</f>
        <v>1E-3</v>
      </c>
      <c r="F2842" s="511">
        <f>INDEX(datatblProd1Seg2Payer3,4,)</f>
        <v>1E-3</v>
      </c>
      <c r="G2842" s="511">
        <f>INDEX(datatblProd1Seg2Payer3,4,)</f>
        <v>1E-3</v>
      </c>
      <c r="H2842" s="511">
        <f>INDEX(datatblProd1Seg2Payer3,4,)</f>
        <v>1E-3</v>
      </c>
      <c r="I2842" s="511">
        <f>INDEX(datatblProd1Seg2Payer3,4,)</f>
        <v>1E-3</v>
      </c>
    </row>
    <row r="2843" spans="1:13">
      <c r="E2843" s="552">
        <f t="shared" ref="E2843:I2845" si="212">calcProd1Seg2Rep2ImpactR1*E2840</f>
        <v>2.7000000000000011E-4</v>
      </c>
      <c r="F2843" s="552">
        <f t="shared" si="212"/>
        <v>2.7000000000000011E-4</v>
      </c>
      <c r="G2843" s="552">
        <f t="shared" si="212"/>
        <v>2.7000000000000011E-4</v>
      </c>
      <c r="H2843" s="552">
        <f t="shared" si="212"/>
        <v>2.7000000000000011E-4</v>
      </c>
      <c r="I2843" s="552">
        <f t="shared" si="212"/>
        <v>2.7000000000000011E-4</v>
      </c>
      <c r="J2843" t="s">
        <v>2975</v>
      </c>
    </row>
    <row r="2844" spans="1:13">
      <c r="E2844" s="552">
        <f t="shared" si="212"/>
        <v>3.6000000000000019E-4</v>
      </c>
      <c r="F2844" s="552">
        <f t="shared" si="212"/>
        <v>3.6000000000000019E-4</v>
      </c>
      <c r="G2844" s="552">
        <f t="shared" si="212"/>
        <v>3.6000000000000019E-4</v>
      </c>
      <c r="H2844" s="552">
        <f t="shared" si="212"/>
        <v>3.6000000000000019E-4</v>
      </c>
      <c r="I2844" s="552">
        <f t="shared" si="212"/>
        <v>3.6000000000000019E-4</v>
      </c>
      <c r="J2844" t="s">
        <v>2976</v>
      </c>
    </row>
    <row r="2845" spans="1:13">
      <c r="E2845" s="552">
        <f t="shared" si="212"/>
        <v>1.8000000000000009E-4</v>
      </c>
      <c r="F2845" s="552">
        <f t="shared" si="212"/>
        <v>1.8000000000000009E-4</v>
      </c>
      <c r="G2845" s="552">
        <f t="shared" si="212"/>
        <v>1.8000000000000009E-4</v>
      </c>
      <c r="H2845" s="552">
        <f t="shared" si="212"/>
        <v>1.8000000000000009E-4</v>
      </c>
      <c r="I2845" s="552">
        <f t="shared" si="212"/>
        <v>1.8000000000000009E-4</v>
      </c>
      <c r="J2845" t="s">
        <v>2977</v>
      </c>
    </row>
    <row r="2847" spans="1:13">
      <c r="A2847" t="str">
        <f>nmProd1Seg2</f>
        <v>Tullyville</v>
      </c>
      <c r="B2847" t="str">
        <f>nmProd1Seg2Rep3</f>
        <v>Rep Fiona</v>
      </c>
      <c r="C2847" t="s">
        <v>1488</v>
      </c>
      <c r="E2847" s="549">
        <f>calcProd1Seg2Rep3CapR1</f>
        <v>0.5</v>
      </c>
      <c r="F2847" s="549">
        <f>calcProd1Seg2Rep3CapR1</f>
        <v>0.5</v>
      </c>
      <c r="G2847" s="549">
        <f>calcProd1Seg2Rep3CapR1</f>
        <v>0.5</v>
      </c>
      <c r="H2847" s="549">
        <f>calcProd1Seg2Rep3CapR1</f>
        <v>0.5</v>
      </c>
      <c r="I2847" s="549">
        <f>calcProd1Seg2Rep3CapR1</f>
        <v>0.5</v>
      </c>
      <c r="M2847" s="551"/>
    </row>
    <row r="2848" spans="1:13">
      <c r="C2848" t="s">
        <v>2944</v>
      </c>
      <c r="E2848" s="388">
        <f>MIN(IF(E2847-xxRepThreshold&lt;0,E2847-xxRepThreshold,(E2847-xxRepThreshold)*(1-calcProd1Seg2Rep3InternalTimeR1)),xxRepMaxImpact)+calcProd1Seg2Rep3BagWeightImpactR1</f>
        <v>-9.9999999999999978E-2</v>
      </c>
      <c r="F2848" s="388">
        <f>MIN(IF(F2847-xxRepThreshold&lt;0,F2847-xxRepThreshold,(F2847-xxRepThreshold)*(1-calcProd1Seg2Rep3InternalTimeR1)),xxRepMaxImpact)+calcProd1Seg2Rep3BagWeightImpactR1</f>
        <v>-9.9999999999999978E-2</v>
      </c>
      <c r="G2848" s="388">
        <f>MIN(IF(G2847-xxRepThreshold&lt;0,G2847-xxRepThreshold,(G2847-xxRepThreshold)*(1-calcProd1Seg2Rep3InternalTimeR1)),xxRepMaxImpact)+calcProd1Seg2Rep3BagWeightImpactR1</f>
        <v>-9.9999999999999978E-2</v>
      </c>
      <c r="H2848" s="388">
        <f>MIN(IF(H2847-xxRepThreshold&lt;0,H2847-xxRepThreshold,(H2847-xxRepThreshold)*(1-calcProd1Seg2Rep3InternalTimeR1)),xxRepMaxImpact)+calcProd1Seg2Rep3BagWeightImpactR1</f>
        <v>-9.9999999999999978E-2</v>
      </c>
      <c r="I2848" s="388">
        <f>MIN(IF(I2847-xxRepThreshold&lt;0,I2847-xxRepThreshold,(I2847-xxRepThreshold)*(1-calcProd1Seg2Rep3InternalTimeR1)),xxRepMaxImpact)+calcProd1Seg2Rep3BagWeightImpactR1</f>
        <v>-9.9999999999999978E-2</v>
      </c>
      <c r="J2848" t="s">
        <v>2978</v>
      </c>
    </row>
    <row r="2849" spans="1:13">
      <c r="B2849" t="s">
        <v>2945</v>
      </c>
      <c r="C2849" t="str">
        <f>nmPayer1</f>
        <v>Blue Sword/Blue Shield</v>
      </c>
      <c r="E2849" s="511">
        <f>INDEX(datatblProd1Seg2Payer1,4,)</f>
        <v>1.5E-3</v>
      </c>
      <c r="F2849" s="511">
        <f>INDEX(datatblProd1Seg2Payer1,4,)</f>
        <v>1.5E-3</v>
      </c>
      <c r="G2849" s="511">
        <f>INDEX(datatblProd1Seg2Payer1,4,)</f>
        <v>1.5E-3</v>
      </c>
      <c r="H2849" s="511">
        <f>INDEX(datatblProd1Seg2Payer1,4,)</f>
        <v>1.5E-3</v>
      </c>
      <c r="I2849" s="511">
        <f>INDEX(datatblProd1Seg2Payer1,4,)</f>
        <v>1.5E-3</v>
      </c>
    </row>
    <row r="2850" spans="1:13">
      <c r="B2850" t="s">
        <v>2945</v>
      </c>
      <c r="C2850" t="str">
        <f>nmPayer2</f>
        <v>WesterAid</v>
      </c>
      <c r="E2850" s="511">
        <f>INDEX(datatblProd1Seg2Payer2,4,)</f>
        <v>2E-3</v>
      </c>
      <c r="F2850" s="511">
        <f>INDEX(datatblProd1Seg2Payer2,4,)</f>
        <v>2E-3</v>
      </c>
      <c r="G2850" s="511">
        <f>INDEX(datatblProd1Seg2Payer2,4,)</f>
        <v>2E-3</v>
      </c>
      <c r="H2850" s="511">
        <f>INDEX(datatblProd1Seg2Payer2,4,)</f>
        <v>2E-3</v>
      </c>
      <c r="I2850" s="511">
        <f>INDEX(datatblProd1Seg2Payer2,4,)</f>
        <v>2E-3</v>
      </c>
    </row>
    <row r="2851" spans="1:13">
      <c r="B2851" t="s">
        <v>2945</v>
      </c>
      <c r="C2851" t="str">
        <f>nmPayer3</f>
        <v>Dragon Health</v>
      </c>
      <c r="E2851" s="511">
        <f>INDEX(datatblProd1Seg2Payer3,4,)</f>
        <v>1E-3</v>
      </c>
      <c r="F2851" s="511">
        <f>INDEX(datatblProd1Seg2Payer3,4,)</f>
        <v>1E-3</v>
      </c>
      <c r="G2851" s="511">
        <f>INDEX(datatblProd1Seg2Payer3,4,)</f>
        <v>1E-3</v>
      </c>
      <c r="H2851" s="511">
        <f>INDEX(datatblProd1Seg2Payer3,4,)</f>
        <v>1E-3</v>
      </c>
      <c r="I2851" s="511">
        <f>INDEX(datatblProd1Seg2Payer3,4,)</f>
        <v>1E-3</v>
      </c>
    </row>
    <row r="2852" spans="1:13">
      <c r="E2852" s="552">
        <f t="shared" ref="E2852:I2854" si="213">calcProd1Seg2Rep3ImpactR1*E2849</f>
        <v>-1.4999999999999996E-4</v>
      </c>
      <c r="F2852" s="552">
        <f t="shared" si="213"/>
        <v>-1.4999999999999996E-4</v>
      </c>
      <c r="G2852" s="552">
        <f t="shared" si="213"/>
        <v>-1.4999999999999996E-4</v>
      </c>
      <c r="H2852" s="552">
        <f t="shared" si="213"/>
        <v>-1.4999999999999996E-4</v>
      </c>
      <c r="I2852" s="552">
        <f t="shared" si="213"/>
        <v>-1.4999999999999996E-4</v>
      </c>
      <c r="J2852" t="s">
        <v>2979</v>
      </c>
    </row>
    <row r="2853" spans="1:13">
      <c r="E2853" s="552">
        <f t="shared" si="213"/>
        <v>-1.9999999999999996E-4</v>
      </c>
      <c r="F2853" s="552">
        <f t="shared" si="213"/>
        <v>-1.9999999999999996E-4</v>
      </c>
      <c r="G2853" s="552">
        <f t="shared" si="213"/>
        <v>-1.9999999999999996E-4</v>
      </c>
      <c r="H2853" s="552">
        <f t="shared" si="213"/>
        <v>-1.9999999999999996E-4</v>
      </c>
      <c r="I2853" s="552">
        <f t="shared" si="213"/>
        <v>-1.9999999999999996E-4</v>
      </c>
      <c r="J2853" t="s">
        <v>2980</v>
      </c>
    </row>
    <row r="2854" spans="1:13">
      <c r="E2854" s="552">
        <f t="shared" si="213"/>
        <v>-9.9999999999999978E-5</v>
      </c>
      <c r="F2854" s="552">
        <f t="shared" si="213"/>
        <v>-9.9999999999999978E-5</v>
      </c>
      <c r="G2854" s="552">
        <f t="shared" si="213"/>
        <v>-9.9999999999999978E-5</v>
      </c>
      <c r="H2854" s="552">
        <f t="shared" si="213"/>
        <v>-9.9999999999999978E-5</v>
      </c>
      <c r="I2854" s="552">
        <f t="shared" si="213"/>
        <v>-9.9999999999999978E-5</v>
      </c>
      <c r="J2854" t="s">
        <v>2981</v>
      </c>
    </row>
    <row r="2856" spans="1:13">
      <c r="A2856" t="str">
        <f>nmProd1Seg2</f>
        <v>Tullyville</v>
      </c>
      <c r="B2856" t="str">
        <f>nmProd1Seg2Rep1</f>
        <v>Rep Danielle</v>
      </c>
      <c r="C2856" t="s">
        <v>1551</v>
      </c>
      <c r="E2856" s="549">
        <f>$M2856</f>
        <v>0.4</v>
      </c>
      <c r="F2856" s="549">
        <f t="shared" ref="F2856:I2856" si="214">$M2856</f>
        <v>0.4</v>
      </c>
      <c r="G2856" s="549">
        <f t="shared" si="214"/>
        <v>0.4</v>
      </c>
      <c r="H2856" s="549">
        <f t="shared" si="214"/>
        <v>0.4</v>
      </c>
      <c r="I2856" s="549">
        <f t="shared" si="214"/>
        <v>0.4</v>
      </c>
      <c r="M2856" s="551">
        <v>0.4</v>
      </c>
    </row>
    <row r="2857" spans="1:13">
      <c r="C2857" t="s">
        <v>2944</v>
      </c>
      <c r="E2857" s="388">
        <f>MIN(IF(E2856-xxRepThreshold&lt;0,E2856-xxRepThreshold,(E2856-xxRepThreshold)*(1-calcProd1Seg2Rep1InternalTimeR2)),xxRepMaxImpact)+calcProd1Seg2Rep1BagWeightImpactR2</f>
        <v>-0.19999999999999996</v>
      </c>
      <c r="F2857" s="388">
        <f>MIN(IF(F2856-xxRepThreshold&lt;0,F2856-xxRepThreshold,(F2856-xxRepThreshold)*(1-calcProd1Seg2Rep1InternalTimeR2)),xxRepMaxImpact)+calcProd1Seg2Rep1BagWeightImpactR2</f>
        <v>-0.19999999999999996</v>
      </c>
      <c r="G2857" s="388">
        <f>MIN(IF(G2856-xxRepThreshold&lt;0,G2856-xxRepThreshold,(G2856-xxRepThreshold)*(1-calcProd1Seg2Rep1InternalTimeR2)),xxRepMaxImpact)+calcProd1Seg2Rep1BagWeightImpactR2</f>
        <v>-0.19999999999999996</v>
      </c>
      <c r="H2857" s="388">
        <f>MIN(IF(H2856-xxRepThreshold&lt;0,H2856-xxRepThreshold,(H2856-xxRepThreshold)*(1-calcProd1Seg2Rep1InternalTimeR2)),xxRepMaxImpact)+calcProd1Seg2Rep1BagWeightImpactR2</f>
        <v>-0.19999999999999996</v>
      </c>
      <c r="I2857" s="388">
        <f>MIN(IF(I2856-xxRepThreshold&lt;0,I2856-xxRepThreshold,(I2856-xxRepThreshold)*(1-calcProd1Seg2Rep1InternalTimeR2)),xxRepMaxImpact)+calcProd1Seg2Rep1BagWeightImpactR2</f>
        <v>-0.19999999999999996</v>
      </c>
      <c r="J2857" t="s">
        <v>2982</v>
      </c>
    </row>
    <row r="2858" spans="1:13">
      <c r="B2858" t="s">
        <v>2945</v>
      </c>
      <c r="C2858" t="str">
        <f>nmPayer1</f>
        <v>Blue Sword/Blue Shield</v>
      </c>
      <c r="E2858" s="511">
        <f>INDEX(datatblProd1Seg2Payer1,4,)</f>
        <v>1.5E-3</v>
      </c>
      <c r="F2858" s="511">
        <f>INDEX(datatblProd1Seg2Payer1,4,)</f>
        <v>1.5E-3</v>
      </c>
      <c r="G2858" s="511">
        <f>INDEX(datatblProd1Seg2Payer1,4,)</f>
        <v>1.5E-3</v>
      </c>
      <c r="H2858" s="511">
        <f>INDEX(datatblProd1Seg2Payer1,4,)</f>
        <v>1.5E-3</v>
      </c>
      <c r="I2858" s="511">
        <f>INDEX(datatblProd1Seg2Payer1,4,)</f>
        <v>1.5E-3</v>
      </c>
    </row>
    <row r="2859" spans="1:13">
      <c r="B2859" t="s">
        <v>2945</v>
      </c>
      <c r="C2859" t="str">
        <f>nmPayer2</f>
        <v>WesterAid</v>
      </c>
      <c r="E2859" s="511">
        <f>INDEX(datatblProd1Seg2Payer2,4,)</f>
        <v>2E-3</v>
      </c>
      <c r="F2859" s="511">
        <f>INDEX(datatblProd1Seg2Payer2,4,)</f>
        <v>2E-3</v>
      </c>
      <c r="G2859" s="511">
        <f>INDEX(datatblProd1Seg2Payer2,4,)</f>
        <v>2E-3</v>
      </c>
      <c r="H2859" s="511">
        <f>INDEX(datatblProd1Seg2Payer2,4,)</f>
        <v>2E-3</v>
      </c>
      <c r="I2859" s="511">
        <f>INDEX(datatblProd1Seg2Payer2,4,)</f>
        <v>2E-3</v>
      </c>
    </row>
    <row r="2860" spans="1:13">
      <c r="B2860" t="s">
        <v>2945</v>
      </c>
      <c r="C2860" t="str">
        <f>nmPayer3</f>
        <v>Dragon Health</v>
      </c>
      <c r="E2860" s="511">
        <f>INDEX(datatblProd1Seg2Payer3,4,)</f>
        <v>1E-3</v>
      </c>
      <c r="F2860" s="511">
        <f>INDEX(datatblProd1Seg2Payer3,4,)</f>
        <v>1E-3</v>
      </c>
      <c r="G2860" s="511">
        <f>INDEX(datatblProd1Seg2Payer3,4,)</f>
        <v>1E-3</v>
      </c>
      <c r="H2860" s="511">
        <f>INDEX(datatblProd1Seg2Payer3,4,)</f>
        <v>1E-3</v>
      </c>
      <c r="I2860" s="511">
        <f>INDEX(datatblProd1Seg2Payer3,4,)</f>
        <v>1E-3</v>
      </c>
    </row>
    <row r="2861" spans="1:13">
      <c r="E2861" s="552">
        <f t="shared" ref="E2861:I2863" si="215">calcProd1Seg2Rep1ImpactR2*E2858</f>
        <v>-2.9999999999999992E-4</v>
      </c>
      <c r="F2861" s="552">
        <f t="shared" si="215"/>
        <v>-2.9999999999999992E-4</v>
      </c>
      <c r="G2861" s="552">
        <f t="shared" si="215"/>
        <v>-2.9999999999999992E-4</v>
      </c>
      <c r="H2861" s="552">
        <f t="shared" si="215"/>
        <v>-2.9999999999999992E-4</v>
      </c>
      <c r="I2861" s="552">
        <f t="shared" si="215"/>
        <v>-2.9999999999999992E-4</v>
      </c>
      <c r="J2861" t="s">
        <v>2983</v>
      </c>
    </row>
    <row r="2862" spans="1:13">
      <c r="E2862" s="552">
        <f t="shared" si="215"/>
        <v>-3.9999999999999991E-4</v>
      </c>
      <c r="F2862" s="552">
        <f t="shared" si="215"/>
        <v>-3.9999999999999991E-4</v>
      </c>
      <c r="G2862" s="552">
        <f t="shared" si="215"/>
        <v>-3.9999999999999991E-4</v>
      </c>
      <c r="H2862" s="552">
        <f t="shared" si="215"/>
        <v>-3.9999999999999991E-4</v>
      </c>
      <c r="I2862" s="552">
        <f t="shared" si="215"/>
        <v>-3.9999999999999991E-4</v>
      </c>
      <c r="J2862" t="s">
        <v>2984</v>
      </c>
    </row>
    <row r="2863" spans="1:13">
      <c r="E2863" s="552">
        <f t="shared" si="215"/>
        <v>-1.9999999999999996E-4</v>
      </c>
      <c r="F2863" s="552">
        <f t="shared" si="215"/>
        <v>-1.9999999999999996E-4</v>
      </c>
      <c r="G2863" s="552">
        <f t="shared" si="215"/>
        <v>-1.9999999999999996E-4</v>
      </c>
      <c r="H2863" s="552">
        <f t="shared" si="215"/>
        <v>-1.9999999999999996E-4</v>
      </c>
      <c r="I2863" s="552">
        <f t="shared" si="215"/>
        <v>-1.9999999999999996E-4</v>
      </c>
      <c r="J2863" t="s">
        <v>2985</v>
      </c>
    </row>
    <row r="2865" spans="1:13">
      <c r="A2865" t="str">
        <f>nmProd1Seg2</f>
        <v>Tullyville</v>
      </c>
      <c r="B2865" t="str">
        <f>nmProd1Seg2Rep2</f>
        <v>Rep Elliot</v>
      </c>
      <c r="C2865" t="s">
        <v>1551</v>
      </c>
      <c r="E2865" s="549">
        <f>calcProd1Seg2Rep2CapR2</f>
        <v>0.8</v>
      </c>
      <c r="F2865" s="549">
        <f>calcProd1Seg2Rep2CapR2</f>
        <v>0.8</v>
      </c>
      <c r="G2865" s="549">
        <f>calcProd1Seg2Rep2CapR2</f>
        <v>0.8</v>
      </c>
      <c r="H2865" s="549">
        <f>calcProd1Seg2Rep2CapR2</f>
        <v>0.8</v>
      </c>
      <c r="I2865" s="549">
        <f>calcProd1Seg2Rep2CapR2</f>
        <v>0.8</v>
      </c>
      <c r="M2865" s="551"/>
    </row>
    <row r="2866" spans="1:13">
      <c r="C2866" t="s">
        <v>2944</v>
      </c>
      <c r="E2866" s="388">
        <f>MIN(IF(E2865-xxRepThreshold&lt;0,E2865-xxRepThreshold,(E2865-xxRepThreshold)*(1-calcProd1Seg2Rep2InternalTimeR2)),xxRepMaxImpact)+calcProd1Seg2Rep2BagWeightImpactR2</f>
        <v>0.22000000000000008</v>
      </c>
      <c r="F2866" s="388">
        <f>MIN(IF(F2865-xxRepThreshold&lt;0,F2865-xxRepThreshold,(F2865-xxRepThreshold)*(1-calcProd1Seg2Rep2InternalTimeR2)),xxRepMaxImpact)+calcProd1Seg2Rep2BagWeightImpactR2</f>
        <v>0.22000000000000008</v>
      </c>
      <c r="G2866" s="388">
        <f>MIN(IF(G2865-xxRepThreshold&lt;0,G2865-xxRepThreshold,(G2865-xxRepThreshold)*(1-calcProd1Seg2Rep2InternalTimeR2)),xxRepMaxImpact)+calcProd1Seg2Rep2BagWeightImpactR2</f>
        <v>0.22000000000000008</v>
      </c>
      <c r="H2866" s="388">
        <f>MIN(IF(H2865-xxRepThreshold&lt;0,H2865-xxRepThreshold,(H2865-xxRepThreshold)*(1-calcProd1Seg2Rep2InternalTimeR2)),xxRepMaxImpact)+calcProd1Seg2Rep2BagWeightImpactR2</f>
        <v>0.22000000000000008</v>
      </c>
      <c r="I2866" s="388">
        <f>MIN(IF(I2865-xxRepThreshold&lt;0,I2865-xxRepThreshold,(I2865-xxRepThreshold)*(1-calcProd1Seg2Rep2InternalTimeR2)),xxRepMaxImpact)+calcProd1Seg2Rep2BagWeightImpactR2</f>
        <v>0.20000000000000007</v>
      </c>
      <c r="J2866" t="s">
        <v>2986</v>
      </c>
    </row>
    <row r="2867" spans="1:13">
      <c r="B2867" t="s">
        <v>2945</v>
      </c>
      <c r="C2867" t="str">
        <f>nmPayer1</f>
        <v>Blue Sword/Blue Shield</v>
      </c>
      <c r="E2867" s="511">
        <f>INDEX(datatblProd1Seg2Payer1,4,)</f>
        <v>1.5E-3</v>
      </c>
      <c r="F2867" s="511">
        <f>INDEX(datatblProd1Seg2Payer1,4,)</f>
        <v>1.5E-3</v>
      </c>
      <c r="G2867" s="511">
        <f>INDEX(datatblProd1Seg2Payer1,4,)</f>
        <v>1.5E-3</v>
      </c>
      <c r="H2867" s="511">
        <f>INDEX(datatblProd1Seg2Payer1,4,)</f>
        <v>1.5E-3</v>
      </c>
      <c r="I2867" s="511">
        <f>INDEX(datatblProd1Seg2Payer1,4,)</f>
        <v>1.5E-3</v>
      </c>
    </row>
    <row r="2868" spans="1:13">
      <c r="B2868" t="s">
        <v>2945</v>
      </c>
      <c r="C2868" t="str">
        <f>nmPayer2</f>
        <v>WesterAid</v>
      </c>
      <c r="E2868" s="511">
        <f>INDEX(datatblProd1Seg2Payer2,4,)</f>
        <v>2E-3</v>
      </c>
      <c r="F2868" s="511">
        <f>INDEX(datatblProd1Seg2Payer2,4,)</f>
        <v>2E-3</v>
      </c>
      <c r="G2868" s="511">
        <f>INDEX(datatblProd1Seg2Payer2,4,)</f>
        <v>2E-3</v>
      </c>
      <c r="H2868" s="511">
        <f>INDEX(datatblProd1Seg2Payer2,4,)</f>
        <v>2E-3</v>
      </c>
      <c r="I2868" s="511">
        <f>INDEX(datatblProd1Seg2Payer2,4,)</f>
        <v>2E-3</v>
      </c>
    </row>
    <row r="2869" spans="1:13">
      <c r="B2869" t="s">
        <v>2945</v>
      </c>
      <c r="C2869" t="str">
        <f>nmPayer3</f>
        <v>Dragon Health</v>
      </c>
      <c r="E2869" s="511">
        <f>INDEX(datatblProd1Seg2Payer3,4,)</f>
        <v>1E-3</v>
      </c>
      <c r="F2869" s="511">
        <f>INDEX(datatblProd1Seg2Payer3,4,)</f>
        <v>1E-3</v>
      </c>
      <c r="G2869" s="511">
        <f>INDEX(datatblProd1Seg2Payer3,4,)</f>
        <v>1E-3</v>
      </c>
      <c r="H2869" s="511">
        <f>INDEX(datatblProd1Seg2Payer3,4,)</f>
        <v>1E-3</v>
      </c>
      <c r="I2869" s="511">
        <f>INDEX(datatblProd1Seg2Payer3,4,)</f>
        <v>1E-3</v>
      </c>
    </row>
    <row r="2870" spans="1:13">
      <c r="E2870" s="552">
        <f t="shared" ref="E2870:I2872" si="216">calcProd1Seg2Rep2ImpactR2*E2867</f>
        <v>3.3000000000000011E-4</v>
      </c>
      <c r="F2870" s="552">
        <f t="shared" si="216"/>
        <v>3.3000000000000011E-4</v>
      </c>
      <c r="G2870" s="552">
        <f t="shared" si="216"/>
        <v>3.3000000000000011E-4</v>
      </c>
      <c r="H2870" s="552">
        <f t="shared" si="216"/>
        <v>3.3000000000000011E-4</v>
      </c>
      <c r="I2870" s="552">
        <f t="shared" si="216"/>
        <v>3.0000000000000008E-4</v>
      </c>
      <c r="J2870" t="s">
        <v>2987</v>
      </c>
    </row>
    <row r="2871" spans="1:13">
      <c r="E2871" s="552">
        <f t="shared" si="216"/>
        <v>4.4000000000000018E-4</v>
      </c>
      <c r="F2871" s="552">
        <f t="shared" si="216"/>
        <v>4.4000000000000018E-4</v>
      </c>
      <c r="G2871" s="552">
        <f t="shared" si="216"/>
        <v>4.4000000000000018E-4</v>
      </c>
      <c r="H2871" s="552">
        <f t="shared" si="216"/>
        <v>4.4000000000000018E-4</v>
      </c>
      <c r="I2871" s="552">
        <f t="shared" si="216"/>
        <v>4.0000000000000013E-4</v>
      </c>
      <c r="J2871" t="s">
        <v>2988</v>
      </c>
    </row>
    <row r="2872" spans="1:13">
      <c r="E2872" s="552">
        <f t="shared" si="216"/>
        <v>2.2000000000000009E-4</v>
      </c>
      <c r="F2872" s="552">
        <f t="shared" si="216"/>
        <v>2.2000000000000009E-4</v>
      </c>
      <c r="G2872" s="552">
        <f t="shared" si="216"/>
        <v>2.2000000000000009E-4</v>
      </c>
      <c r="H2872" s="552">
        <f t="shared" si="216"/>
        <v>2.2000000000000009E-4</v>
      </c>
      <c r="I2872" s="552">
        <f t="shared" si="216"/>
        <v>2.0000000000000006E-4</v>
      </c>
      <c r="J2872" t="s">
        <v>2989</v>
      </c>
    </row>
    <row r="2874" spans="1:13">
      <c r="A2874" t="str">
        <f>nmProd1Seg2</f>
        <v>Tullyville</v>
      </c>
      <c r="B2874" t="str">
        <f>nmProd1Seg2Rep3</f>
        <v>Rep Fiona</v>
      </c>
      <c r="C2874" t="s">
        <v>1551</v>
      </c>
      <c r="E2874" s="549">
        <f>calcProd1Seg2Rep3CapR2</f>
        <v>0.5</v>
      </c>
      <c r="F2874" s="549">
        <f>calcProd1Seg2Rep3CapR2</f>
        <v>0.5</v>
      </c>
      <c r="G2874" s="549">
        <f>calcProd1Seg2Rep3CapR2</f>
        <v>0.5</v>
      </c>
      <c r="H2874" s="549">
        <f>calcProd1Seg2Rep3CapR2</f>
        <v>0.5</v>
      </c>
      <c r="I2874" s="549">
        <f>calcProd1Seg2Rep3CapR2</f>
        <v>0.5</v>
      </c>
      <c r="M2874" s="551"/>
    </row>
    <row r="2875" spans="1:13">
      <c r="C2875" t="s">
        <v>2944</v>
      </c>
      <c r="E2875" s="388">
        <f>MIN(IF(E2874-xxRepThreshold&lt;0,E2874-xxRepThreshold,(E2874-xxRepThreshold)*(1-calcProd1Seg2Rep3InternalTimeR2)),xxRepMaxImpact)+calcProd1Seg2Rep3BagWeightImpactR2</f>
        <v>-9.9999999999999978E-2</v>
      </c>
      <c r="F2875" s="388">
        <f>MIN(IF(F2874-xxRepThreshold&lt;0,F2874-xxRepThreshold,(F2874-xxRepThreshold)*(1-calcProd1Seg2Rep3InternalTimeR2)),xxRepMaxImpact)+calcProd1Seg2Rep3BagWeightImpactR2</f>
        <v>-9.9999999999999978E-2</v>
      </c>
      <c r="G2875" s="388">
        <f>MIN(IF(G2874-xxRepThreshold&lt;0,G2874-xxRepThreshold,(G2874-xxRepThreshold)*(1-calcProd1Seg2Rep3InternalTimeR2)),xxRepMaxImpact)+calcProd1Seg2Rep3BagWeightImpactR2</f>
        <v>-9.9999999999999978E-2</v>
      </c>
      <c r="H2875" s="388">
        <f>MIN(IF(H2874-xxRepThreshold&lt;0,H2874-xxRepThreshold,(H2874-xxRepThreshold)*(1-calcProd1Seg2Rep3InternalTimeR2)),xxRepMaxImpact)+calcProd1Seg2Rep3BagWeightImpactR2</f>
        <v>-9.9999999999999978E-2</v>
      </c>
      <c r="I2875" s="388">
        <f>MIN(IF(I2874-xxRepThreshold&lt;0,I2874-xxRepThreshold,(I2874-xxRepThreshold)*(1-calcProd1Seg2Rep3InternalTimeR2)),xxRepMaxImpact)+calcProd1Seg2Rep3BagWeightImpactR2</f>
        <v>-9.9999999999999978E-2</v>
      </c>
      <c r="J2875" t="s">
        <v>2990</v>
      </c>
    </row>
    <row r="2876" spans="1:13">
      <c r="B2876" t="s">
        <v>2945</v>
      </c>
      <c r="C2876" t="str">
        <f>nmPayer1</f>
        <v>Blue Sword/Blue Shield</v>
      </c>
      <c r="E2876" s="511">
        <f>INDEX(datatblProd1Seg2Payer1,4,)</f>
        <v>1.5E-3</v>
      </c>
      <c r="F2876" s="511">
        <f>INDEX(datatblProd1Seg2Payer1,4,)</f>
        <v>1.5E-3</v>
      </c>
      <c r="G2876" s="511">
        <f>INDEX(datatblProd1Seg2Payer1,4,)</f>
        <v>1.5E-3</v>
      </c>
      <c r="H2876" s="511">
        <f>INDEX(datatblProd1Seg2Payer1,4,)</f>
        <v>1.5E-3</v>
      </c>
      <c r="I2876" s="511">
        <f>INDEX(datatblProd1Seg2Payer1,4,)</f>
        <v>1.5E-3</v>
      </c>
    </row>
    <row r="2877" spans="1:13">
      <c r="B2877" t="s">
        <v>2945</v>
      </c>
      <c r="C2877" t="str">
        <f>nmPayer2</f>
        <v>WesterAid</v>
      </c>
      <c r="E2877" s="511">
        <f>INDEX(datatblProd1Seg2Payer2,4,)</f>
        <v>2E-3</v>
      </c>
      <c r="F2877" s="511">
        <f>INDEX(datatblProd1Seg2Payer2,4,)</f>
        <v>2E-3</v>
      </c>
      <c r="G2877" s="511">
        <f>INDEX(datatblProd1Seg2Payer2,4,)</f>
        <v>2E-3</v>
      </c>
      <c r="H2877" s="511">
        <f>INDEX(datatblProd1Seg2Payer2,4,)</f>
        <v>2E-3</v>
      </c>
      <c r="I2877" s="511">
        <f>INDEX(datatblProd1Seg2Payer2,4,)</f>
        <v>2E-3</v>
      </c>
    </row>
    <row r="2878" spans="1:13">
      <c r="B2878" t="s">
        <v>2945</v>
      </c>
      <c r="C2878" t="str">
        <f>nmPayer3</f>
        <v>Dragon Health</v>
      </c>
      <c r="E2878" s="511">
        <f>INDEX(datatblProd1Seg2Payer3,4,)</f>
        <v>1E-3</v>
      </c>
      <c r="F2878" s="511">
        <f>INDEX(datatblProd1Seg2Payer3,4,)</f>
        <v>1E-3</v>
      </c>
      <c r="G2878" s="511">
        <f>INDEX(datatblProd1Seg2Payer3,4,)</f>
        <v>1E-3</v>
      </c>
      <c r="H2878" s="511">
        <f>INDEX(datatblProd1Seg2Payer3,4,)</f>
        <v>1E-3</v>
      </c>
      <c r="I2878" s="511">
        <f>INDEX(datatblProd1Seg2Payer3,4,)</f>
        <v>1E-3</v>
      </c>
    </row>
    <row r="2879" spans="1:13">
      <c r="E2879" s="552">
        <f t="shared" ref="E2879:I2881" si="217">calcProd1Seg2Rep3ImpactR2*E2876</f>
        <v>-1.4999999999999996E-4</v>
      </c>
      <c r="F2879" s="552">
        <f t="shared" si="217"/>
        <v>-1.4999999999999996E-4</v>
      </c>
      <c r="G2879" s="552">
        <f t="shared" si="217"/>
        <v>-1.4999999999999996E-4</v>
      </c>
      <c r="H2879" s="552">
        <f t="shared" si="217"/>
        <v>-1.4999999999999996E-4</v>
      </c>
      <c r="I2879" s="552">
        <f t="shared" si="217"/>
        <v>-1.4999999999999996E-4</v>
      </c>
      <c r="J2879" t="s">
        <v>2991</v>
      </c>
    </row>
    <row r="2880" spans="1:13">
      <c r="E2880" s="552">
        <f t="shared" si="217"/>
        <v>-1.9999999999999996E-4</v>
      </c>
      <c r="F2880" s="552">
        <f t="shared" si="217"/>
        <v>-1.9999999999999996E-4</v>
      </c>
      <c r="G2880" s="552">
        <f t="shared" si="217"/>
        <v>-1.9999999999999996E-4</v>
      </c>
      <c r="H2880" s="552">
        <f t="shared" si="217"/>
        <v>-1.9999999999999996E-4</v>
      </c>
      <c r="I2880" s="552">
        <f t="shared" si="217"/>
        <v>-1.9999999999999996E-4</v>
      </c>
      <c r="J2880" t="s">
        <v>2992</v>
      </c>
    </row>
    <row r="2881" spans="1:14">
      <c r="E2881" s="552">
        <f t="shared" si="217"/>
        <v>-9.9999999999999978E-5</v>
      </c>
      <c r="F2881" s="552">
        <f t="shared" si="217"/>
        <v>-9.9999999999999978E-5</v>
      </c>
      <c r="G2881" s="552">
        <f t="shared" si="217"/>
        <v>-9.9999999999999978E-5</v>
      </c>
      <c r="H2881" s="552">
        <f t="shared" si="217"/>
        <v>-9.9999999999999978E-5</v>
      </c>
      <c r="I2881" s="552">
        <f t="shared" si="217"/>
        <v>-9.9999999999999978E-5</v>
      </c>
      <c r="J2881" t="s">
        <v>2993</v>
      </c>
    </row>
    <row r="2883" spans="1:14" s="377" customFormat="1">
      <c r="A2883" s="377" t="str">
        <f>nmProd1Seg3</f>
        <v>Lordfrey City</v>
      </c>
    </row>
    <row r="2884" spans="1:14">
      <c r="B2884" t="str">
        <f>nmProd1Seg3Rep1</f>
        <v>Rep Gregg</v>
      </c>
      <c r="C2884" t="s">
        <v>1488</v>
      </c>
      <c r="E2884" s="549">
        <f>calcProd1Seg3Rep1CapR1</f>
        <v>0.5</v>
      </c>
      <c r="F2884" s="549">
        <f>calcProd1Seg3Rep1CapR1</f>
        <v>0.5</v>
      </c>
      <c r="G2884" s="549">
        <f>calcProd1Seg3Rep1CapR1</f>
        <v>0.5</v>
      </c>
      <c r="H2884" s="549">
        <f>calcProd1Seg3Rep1CapR1</f>
        <v>0.5</v>
      </c>
      <c r="I2884" s="549">
        <f>calcProd1Seg3Rep1CapR1</f>
        <v>0.5</v>
      </c>
      <c r="M2884" s="551"/>
    </row>
    <row r="2885" spans="1:14">
      <c r="C2885" t="s">
        <v>2944</v>
      </c>
      <c r="E2885" s="388">
        <f>MIN(IF(E2884-xxRepThreshold&lt;0,E2884-xxRepThreshold,(E2884-xxRepThreshold)*(1-calcProd1Seg3Rep1InternalTimeR1)),xxRepMaxImpact)+calcProd1Seg3Rep1BagWeightImpactR1</f>
        <v>-9.9999999999999978E-2</v>
      </c>
      <c r="F2885" s="388">
        <f>MIN(IF(F2884-xxRepThreshold&lt;0,F2884-xxRepThreshold,(F2884-xxRepThreshold)*(1-calcProd1Seg3Rep1InternalTimeR1)),xxRepMaxImpact)+calcProd1Seg3Rep1BagWeightImpactR1</f>
        <v>-9.9999999999999978E-2</v>
      </c>
      <c r="G2885" s="388">
        <f>MIN(IF(G2884-xxRepThreshold&lt;0,G2884-xxRepThreshold,(G2884-xxRepThreshold)*(1-calcProd1Seg3Rep1InternalTimeR1)),xxRepMaxImpact)+calcProd1Seg3Rep1BagWeightImpactR1</f>
        <v>-9.9999999999999978E-2</v>
      </c>
      <c r="H2885" s="388">
        <f>MIN(IF(H2884-xxRepThreshold&lt;0,H2884-xxRepThreshold,(H2884-xxRepThreshold)*(1-calcProd1Seg3Rep1InternalTimeR1)),xxRepMaxImpact)+calcProd1Seg3Rep1BagWeightImpactR1</f>
        <v>-9.9999999999999978E-2</v>
      </c>
      <c r="I2885" s="388">
        <f>MIN(IF(I2884-xxRepThreshold&lt;0,I2884-xxRepThreshold,(I2884-xxRepThreshold)*(1-calcProd1Seg3Rep1InternalTimeR1)),xxRepMaxImpact)+calcProd1Seg3Rep1BagWeightImpactR1</f>
        <v>-9.9999999999999978E-2</v>
      </c>
      <c r="J2885" t="s">
        <v>2994</v>
      </c>
    </row>
    <row r="2886" spans="1:14">
      <c r="B2886" t="s">
        <v>2945</v>
      </c>
      <c r="C2886" t="str">
        <f>nmPayer1</f>
        <v>Blue Sword/Blue Shield</v>
      </c>
      <c r="E2886" s="511">
        <f>INDEX(datatblProd1Seg3Payer1,4,)</f>
        <v>2E-3</v>
      </c>
      <c r="F2886" s="511">
        <f>INDEX(datatblProd1Seg3Payer1,4,)</f>
        <v>2E-3</v>
      </c>
      <c r="G2886" s="511">
        <f>INDEX(datatblProd1Seg3Payer1,4,)</f>
        <v>2E-3</v>
      </c>
      <c r="H2886" s="511">
        <f>INDEX(datatblProd1Seg3Payer1,4,)</f>
        <v>2E-3</v>
      </c>
      <c r="I2886" s="511">
        <f>INDEX(datatblProd1Seg3Payer1,4,)</f>
        <v>2E-3</v>
      </c>
    </row>
    <row r="2887" spans="1:14">
      <c r="B2887" t="s">
        <v>2945</v>
      </c>
      <c r="C2887" t="str">
        <f>nmPayer2</f>
        <v>WesterAid</v>
      </c>
      <c r="E2887" s="511">
        <f>INDEX(datatblProd1Seg3Payer2,4,)</f>
        <v>2E-3</v>
      </c>
      <c r="F2887" s="511">
        <f>INDEX(datatblProd1Seg3Payer2,4,)</f>
        <v>2E-3</v>
      </c>
      <c r="G2887" s="511">
        <f>INDEX(datatblProd1Seg3Payer2,4,)</f>
        <v>2E-3</v>
      </c>
      <c r="H2887" s="511">
        <f>INDEX(datatblProd1Seg3Payer2,4,)</f>
        <v>2E-3</v>
      </c>
      <c r="I2887" s="511">
        <f>INDEX(datatblProd1Seg3Payer2,4,)</f>
        <v>2E-3</v>
      </c>
    </row>
    <row r="2888" spans="1:14">
      <c r="B2888" t="s">
        <v>2945</v>
      </c>
      <c r="C2888" t="str">
        <f>nmPayer3</f>
        <v>Dragon Health</v>
      </c>
      <c r="E2888" s="511">
        <f>INDEX(datatblProd1Seg3Payer3,4,)</f>
        <v>2E-3</v>
      </c>
      <c r="F2888" s="511">
        <f>INDEX(datatblProd1Seg3Payer3,4,)</f>
        <v>2E-3</v>
      </c>
      <c r="G2888" s="511">
        <f>INDEX(datatblProd1Seg3Payer3,4,)</f>
        <v>2E-3</v>
      </c>
      <c r="H2888" s="511">
        <f>INDEX(datatblProd1Seg3Payer3,4,)</f>
        <v>2E-3</v>
      </c>
      <c r="I2888" s="511">
        <f>INDEX(datatblProd1Seg3Payer3,4,)</f>
        <v>2E-3</v>
      </c>
    </row>
    <row r="2889" spans="1:14">
      <c r="E2889" s="552">
        <f t="shared" ref="E2889:I2891" si="218">calcProd1Seg3Rep1ImpactR1*E2886</f>
        <v>-1.9999999999999996E-4</v>
      </c>
      <c r="F2889" s="552">
        <f t="shared" si="218"/>
        <v>-1.9999999999999996E-4</v>
      </c>
      <c r="G2889" s="552">
        <f t="shared" si="218"/>
        <v>-1.9999999999999996E-4</v>
      </c>
      <c r="H2889" s="552">
        <f t="shared" si="218"/>
        <v>-1.9999999999999996E-4</v>
      </c>
      <c r="I2889" s="552">
        <f t="shared" si="218"/>
        <v>-1.9999999999999996E-4</v>
      </c>
      <c r="J2889" t="s">
        <v>2995</v>
      </c>
    </row>
    <row r="2890" spans="1:14">
      <c r="E2890" s="552">
        <f t="shared" si="218"/>
        <v>-1.9999999999999996E-4</v>
      </c>
      <c r="F2890" s="552">
        <f t="shared" si="218"/>
        <v>-1.9999999999999996E-4</v>
      </c>
      <c r="G2890" s="552">
        <f t="shared" si="218"/>
        <v>-1.9999999999999996E-4</v>
      </c>
      <c r="H2890" s="552">
        <f t="shared" si="218"/>
        <v>-1.9999999999999996E-4</v>
      </c>
      <c r="I2890" s="552">
        <f t="shared" si="218"/>
        <v>-1.9999999999999996E-4</v>
      </c>
      <c r="J2890" t="s">
        <v>2996</v>
      </c>
    </row>
    <row r="2891" spans="1:14">
      <c r="E2891" s="552">
        <f t="shared" si="218"/>
        <v>-1.9999999999999996E-4</v>
      </c>
      <c r="F2891" s="552">
        <f t="shared" si="218"/>
        <v>-1.9999999999999996E-4</v>
      </c>
      <c r="G2891" s="552">
        <f t="shared" si="218"/>
        <v>-1.9999999999999996E-4</v>
      </c>
      <c r="H2891" s="552">
        <f t="shared" si="218"/>
        <v>-1.9999999999999996E-4</v>
      </c>
      <c r="I2891" s="552">
        <f t="shared" si="218"/>
        <v>-1.9999999999999996E-4</v>
      </c>
      <c r="J2891" t="s">
        <v>2997</v>
      </c>
    </row>
    <row r="2893" spans="1:14">
      <c r="A2893" t="str">
        <f>nmProd1Seg3</f>
        <v>Lordfrey City</v>
      </c>
      <c r="B2893" t="str">
        <f>nmProd1Seg3Rep2</f>
        <v>Rep Howard</v>
      </c>
      <c r="C2893" t="s">
        <v>1488</v>
      </c>
      <c r="E2893" s="549">
        <f>calcProd1Seg3Rep2CapR1</f>
        <v>0.5</v>
      </c>
      <c r="F2893" s="549">
        <f>calcProd1Seg3Rep2CapR1</f>
        <v>0.5</v>
      </c>
      <c r="G2893" s="549">
        <f>calcProd1Seg3Rep2CapR1</f>
        <v>0.5</v>
      </c>
      <c r="H2893" s="549">
        <f>calcProd1Seg3Rep2CapR1</f>
        <v>0.5</v>
      </c>
      <c r="I2893" s="549">
        <f>calcProd1Seg3Rep2CapR1</f>
        <v>0.5</v>
      </c>
      <c r="M2893" s="551">
        <v>0.6</v>
      </c>
      <c r="N2893" t="s">
        <v>2943</v>
      </c>
    </row>
    <row r="2894" spans="1:14">
      <c r="C2894" t="s">
        <v>2944</v>
      </c>
      <c r="E2894" s="388">
        <f>MIN(IF(E2893-xxRepThreshold&lt;0,E2893-xxRepThreshold,(E2893-xxRepThreshold)*(1-calcProd1Seg3Rep2InternalTimeR1)),xxRepMaxImpact)+calcProd1Seg3Rep2BagWeightImpactR1</f>
        <v>-9.9999999999999978E-2</v>
      </c>
      <c r="F2894" s="388">
        <f>MIN(IF(F2893-xxRepThreshold&lt;0,F2893-xxRepThreshold,(F2893-xxRepThreshold)*(1-calcProd1Seg3Rep2InternalTimeR1)),xxRepMaxImpact)+calcProd1Seg3Rep2BagWeightImpactR1</f>
        <v>-9.9999999999999978E-2</v>
      </c>
      <c r="G2894" s="388">
        <f>MIN(IF(G2893-xxRepThreshold&lt;0,G2893-xxRepThreshold,(G2893-xxRepThreshold)*(1-calcProd1Seg3Rep2InternalTimeR1)),xxRepMaxImpact)+calcProd1Seg3Rep2BagWeightImpactR1</f>
        <v>-9.9999999999999978E-2</v>
      </c>
      <c r="H2894" s="388">
        <f>MIN(IF(H2893-xxRepThreshold&lt;0,H2893-xxRepThreshold,(H2893-xxRepThreshold)*(1-calcProd1Seg3Rep2InternalTimeR1)),xxRepMaxImpact)+calcProd1Seg3Rep2BagWeightImpactR1</f>
        <v>-9.9999999999999978E-2</v>
      </c>
      <c r="I2894" s="388">
        <f>MIN(IF(I2893-xxRepThreshold&lt;0,I2893-xxRepThreshold,(I2893-xxRepThreshold)*(1-calcProd1Seg3Rep2InternalTimeR1)),xxRepMaxImpact)+calcProd1Seg3Rep2BagWeightImpactR1</f>
        <v>-9.9999999999999978E-2</v>
      </c>
      <c r="J2894" t="s">
        <v>2998</v>
      </c>
    </row>
    <row r="2895" spans="1:14">
      <c r="B2895" t="s">
        <v>2945</v>
      </c>
      <c r="C2895" t="str">
        <f>nmPayer1</f>
        <v>Blue Sword/Blue Shield</v>
      </c>
      <c r="E2895" s="511">
        <f>INDEX(datatblProd1Seg3Payer1,4,)</f>
        <v>2E-3</v>
      </c>
      <c r="F2895" s="511">
        <f>INDEX(datatblProd1Seg3Payer1,4,)</f>
        <v>2E-3</v>
      </c>
      <c r="G2895" s="511">
        <f>INDEX(datatblProd1Seg3Payer1,4,)</f>
        <v>2E-3</v>
      </c>
      <c r="H2895" s="511">
        <f>INDEX(datatblProd1Seg3Payer1,4,)</f>
        <v>2E-3</v>
      </c>
      <c r="I2895" s="511">
        <f>INDEX(datatblProd1Seg3Payer1,4,)</f>
        <v>2E-3</v>
      </c>
    </row>
    <row r="2896" spans="1:14">
      <c r="B2896" t="s">
        <v>2945</v>
      </c>
      <c r="C2896" t="str">
        <f>nmPayer2</f>
        <v>WesterAid</v>
      </c>
      <c r="E2896" s="511">
        <f>INDEX(datatblProd1Seg3Payer2,4,)</f>
        <v>2E-3</v>
      </c>
      <c r="F2896" s="511">
        <f>INDEX(datatblProd1Seg3Payer2,4,)</f>
        <v>2E-3</v>
      </c>
      <c r="G2896" s="511">
        <f>INDEX(datatblProd1Seg3Payer2,4,)</f>
        <v>2E-3</v>
      </c>
      <c r="H2896" s="511">
        <f>INDEX(datatblProd1Seg3Payer2,4,)</f>
        <v>2E-3</v>
      </c>
      <c r="I2896" s="511">
        <f>INDEX(datatblProd1Seg3Payer2,4,)</f>
        <v>2E-3</v>
      </c>
    </row>
    <row r="2897" spans="1:14">
      <c r="B2897" t="s">
        <v>2945</v>
      </c>
      <c r="C2897" t="str">
        <f>nmPayer3</f>
        <v>Dragon Health</v>
      </c>
      <c r="E2897" s="511">
        <f>INDEX(datatblProd1Seg3Payer3,4,)</f>
        <v>2E-3</v>
      </c>
      <c r="F2897" s="511">
        <f>INDEX(datatblProd1Seg3Payer3,4,)</f>
        <v>2E-3</v>
      </c>
      <c r="G2897" s="511">
        <f>INDEX(datatblProd1Seg3Payer3,4,)</f>
        <v>2E-3</v>
      </c>
      <c r="H2897" s="511">
        <f>INDEX(datatblProd1Seg3Payer3,4,)</f>
        <v>2E-3</v>
      </c>
      <c r="I2897" s="511">
        <f>INDEX(datatblProd1Seg3Payer3,4,)</f>
        <v>2E-3</v>
      </c>
    </row>
    <row r="2898" spans="1:14">
      <c r="E2898" s="552">
        <f t="shared" ref="E2898:I2900" si="219">calcProd1Seg3Rep2ImpactR1*E2895</f>
        <v>-1.9999999999999996E-4</v>
      </c>
      <c r="F2898" s="552">
        <f t="shared" si="219"/>
        <v>-1.9999999999999996E-4</v>
      </c>
      <c r="G2898" s="552">
        <f t="shared" si="219"/>
        <v>-1.9999999999999996E-4</v>
      </c>
      <c r="H2898" s="552">
        <f t="shared" si="219"/>
        <v>-1.9999999999999996E-4</v>
      </c>
      <c r="I2898" s="552">
        <f t="shared" si="219"/>
        <v>-1.9999999999999996E-4</v>
      </c>
      <c r="J2898" t="s">
        <v>2999</v>
      </c>
    </row>
    <row r="2899" spans="1:14">
      <c r="E2899" s="552">
        <f t="shared" si="219"/>
        <v>-1.9999999999999996E-4</v>
      </c>
      <c r="F2899" s="552">
        <f t="shared" si="219"/>
        <v>-1.9999999999999996E-4</v>
      </c>
      <c r="G2899" s="552">
        <f t="shared" si="219"/>
        <v>-1.9999999999999996E-4</v>
      </c>
      <c r="H2899" s="552">
        <f t="shared" si="219"/>
        <v>-1.9999999999999996E-4</v>
      </c>
      <c r="I2899" s="552">
        <f t="shared" si="219"/>
        <v>-1.9999999999999996E-4</v>
      </c>
      <c r="J2899" t="s">
        <v>3000</v>
      </c>
    </row>
    <row r="2900" spans="1:14">
      <c r="E2900" s="552">
        <f t="shared" si="219"/>
        <v>-1.9999999999999996E-4</v>
      </c>
      <c r="F2900" s="552">
        <f t="shared" si="219"/>
        <v>-1.9999999999999996E-4</v>
      </c>
      <c r="G2900" s="552">
        <f t="shared" si="219"/>
        <v>-1.9999999999999996E-4</v>
      </c>
      <c r="H2900" s="552">
        <f t="shared" si="219"/>
        <v>-1.9999999999999996E-4</v>
      </c>
      <c r="I2900" s="552">
        <f t="shared" si="219"/>
        <v>-1.9999999999999996E-4</v>
      </c>
      <c r="J2900" t="s">
        <v>3001</v>
      </c>
    </row>
    <row r="2902" spans="1:14">
      <c r="A2902" t="str">
        <f>nmProd1Seg3</f>
        <v>Lordfrey City</v>
      </c>
      <c r="B2902" t="str">
        <f>nmProd1Seg3Rep3</f>
        <v>Rep Isabelle</v>
      </c>
      <c r="C2902" t="s">
        <v>1488</v>
      </c>
      <c r="E2902" s="549">
        <f>calcProd1Seg3Rep3CapR1</f>
        <v>0.3</v>
      </c>
      <c r="F2902" s="549">
        <f>calcProd1Seg3Rep3CapR1</f>
        <v>0.3</v>
      </c>
      <c r="G2902" s="549">
        <f>calcProd1Seg3Rep3CapR1</f>
        <v>0.3</v>
      </c>
      <c r="H2902" s="549">
        <f>calcProd1Seg3Rep3CapR1</f>
        <v>0.3</v>
      </c>
      <c r="I2902" s="549">
        <f>calcProd1Seg3Rep3CapR1</f>
        <v>0.3</v>
      </c>
      <c r="M2902" s="551">
        <v>0.6</v>
      </c>
      <c r="N2902" t="s">
        <v>2943</v>
      </c>
    </row>
    <row r="2903" spans="1:14">
      <c r="C2903" t="s">
        <v>2944</v>
      </c>
      <c r="E2903" s="388">
        <f>MIN(IF(E2902-xxRepThreshold&lt;0,E2902-xxRepThreshold,(E2902-xxRepThreshold)*(1-calcProd1Seg3Rep3InternalTimeR1)),xxRepMaxImpact)+calcProd1Seg3Rep3BagWeightImpactR1</f>
        <v>-0.3</v>
      </c>
      <c r="F2903" s="388">
        <f>MIN(IF(F2902-xxRepThreshold&lt;0,F2902-xxRepThreshold,(F2902-xxRepThreshold)*(1-calcProd1Seg3Rep3InternalTimeR1)),xxRepMaxImpact)+calcProd1Seg3Rep3BagWeightImpactR1</f>
        <v>-0.3</v>
      </c>
      <c r="G2903" s="388">
        <f>MIN(IF(G2902-xxRepThreshold&lt;0,G2902-xxRepThreshold,(G2902-xxRepThreshold)*(1-calcProd1Seg3Rep3InternalTimeR1)),xxRepMaxImpact)+calcProd1Seg3Rep3BagWeightImpactR1</f>
        <v>-0.3</v>
      </c>
      <c r="H2903" s="388">
        <f>MIN(IF(H2902-xxRepThreshold&lt;0,H2902-xxRepThreshold,(H2902-xxRepThreshold)*(1-calcProd1Seg3Rep3InternalTimeR1)),xxRepMaxImpact)+calcProd1Seg3Rep3BagWeightImpactR1</f>
        <v>-0.3</v>
      </c>
      <c r="I2903" s="388">
        <f>MIN(IF(I2902-xxRepThreshold&lt;0,I2902-xxRepThreshold,(I2902-xxRepThreshold)*(1-calcProd1Seg3Rep3InternalTimeR1)),xxRepMaxImpact)+calcProd1Seg3Rep3BagWeightImpactR1</f>
        <v>-0.3</v>
      </c>
      <c r="J2903" t="s">
        <v>3002</v>
      </c>
    </row>
    <row r="2904" spans="1:14">
      <c r="B2904" t="s">
        <v>2945</v>
      </c>
      <c r="C2904" t="str">
        <f>nmPayer1</f>
        <v>Blue Sword/Blue Shield</v>
      </c>
      <c r="E2904" s="511">
        <f>INDEX(datatblProd1Seg3Payer1,4,)</f>
        <v>2E-3</v>
      </c>
      <c r="F2904" s="511">
        <f>INDEX(datatblProd1Seg3Payer1,4,)</f>
        <v>2E-3</v>
      </c>
      <c r="G2904" s="511">
        <f>INDEX(datatblProd1Seg3Payer1,4,)</f>
        <v>2E-3</v>
      </c>
      <c r="H2904" s="511">
        <f>INDEX(datatblProd1Seg3Payer1,4,)</f>
        <v>2E-3</v>
      </c>
      <c r="I2904" s="511">
        <f>INDEX(datatblProd1Seg3Payer1,4,)</f>
        <v>2E-3</v>
      </c>
    </row>
    <row r="2905" spans="1:14">
      <c r="B2905" t="s">
        <v>2945</v>
      </c>
      <c r="C2905" t="str">
        <f>nmPayer2</f>
        <v>WesterAid</v>
      </c>
      <c r="E2905" s="511">
        <f>INDEX(datatblProd1Seg3Payer2,4,)</f>
        <v>2E-3</v>
      </c>
      <c r="F2905" s="511">
        <f>INDEX(datatblProd1Seg3Payer2,4,)</f>
        <v>2E-3</v>
      </c>
      <c r="G2905" s="511">
        <f>INDEX(datatblProd1Seg3Payer2,4,)</f>
        <v>2E-3</v>
      </c>
      <c r="H2905" s="511">
        <f>INDEX(datatblProd1Seg3Payer2,4,)</f>
        <v>2E-3</v>
      </c>
      <c r="I2905" s="511">
        <f>INDEX(datatblProd1Seg3Payer2,4,)</f>
        <v>2E-3</v>
      </c>
    </row>
    <row r="2906" spans="1:14">
      <c r="B2906" t="s">
        <v>2945</v>
      </c>
      <c r="C2906" t="str">
        <f>nmPayer3</f>
        <v>Dragon Health</v>
      </c>
      <c r="E2906" s="511">
        <f>INDEX(datatblProd1Seg3Payer3,4,)</f>
        <v>2E-3</v>
      </c>
      <c r="F2906" s="511">
        <f>INDEX(datatblProd1Seg3Payer3,4,)</f>
        <v>2E-3</v>
      </c>
      <c r="G2906" s="511">
        <f>INDEX(datatblProd1Seg3Payer3,4,)</f>
        <v>2E-3</v>
      </c>
      <c r="H2906" s="511">
        <f>INDEX(datatblProd1Seg3Payer3,4,)</f>
        <v>2E-3</v>
      </c>
      <c r="I2906" s="511">
        <f>INDEX(datatblProd1Seg3Payer3,4,)</f>
        <v>2E-3</v>
      </c>
    </row>
    <row r="2907" spans="1:14">
      <c r="E2907" s="552">
        <f t="shared" ref="E2907:I2909" si="220">calcProd1Seg3Rep3ImpactR1*E2904</f>
        <v>-5.9999999999999995E-4</v>
      </c>
      <c r="F2907" s="552">
        <f t="shared" si="220"/>
        <v>-5.9999999999999995E-4</v>
      </c>
      <c r="G2907" s="552">
        <f t="shared" si="220"/>
        <v>-5.9999999999999995E-4</v>
      </c>
      <c r="H2907" s="552">
        <f t="shared" si="220"/>
        <v>-5.9999999999999995E-4</v>
      </c>
      <c r="I2907" s="552">
        <f t="shared" si="220"/>
        <v>-5.9999999999999995E-4</v>
      </c>
      <c r="J2907" t="s">
        <v>3003</v>
      </c>
    </row>
    <row r="2908" spans="1:14">
      <c r="E2908" s="552">
        <f t="shared" si="220"/>
        <v>-5.9999999999999995E-4</v>
      </c>
      <c r="F2908" s="552">
        <f t="shared" si="220"/>
        <v>-5.9999999999999995E-4</v>
      </c>
      <c r="G2908" s="552">
        <f t="shared" si="220"/>
        <v>-5.9999999999999995E-4</v>
      </c>
      <c r="H2908" s="552">
        <f t="shared" si="220"/>
        <v>-5.9999999999999995E-4</v>
      </c>
      <c r="I2908" s="552">
        <f t="shared" si="220"/>
        <v>-5.9999999999999995E-4</v>
      </c>
      <c r="J2908" t="s">
        <v>3004</v>
      </c>
    </row>
    <row r="2909" spans="1:14">
      <c r="E2909" s="552">
        <f t="shared" si="220"/>
        <v>-5.9999999999999995E-4</v>
      </c>
      <c r="F2909" s="552">
        <f t="shared" si="220"/>
        <v>-5.9999999999999995E-4</v>
      </c>
      <c r="G2909" s="552">
        <f t="shared" si="220"/>
        <v>-5.9999999999999995E-4</v>
      </c>
      <c r="H2909" s="552">
        <f t="shared" si="220"/>
        <v>-5.9999999999999995E-4</v>
      </c>
      <c r="I2909" s="552">
        <f t="shared" si="220"/>
        <v>-5.9999999999999995E-4</v>
      </c>
      <c r="J2909" t="s">
        <v>3005</v>
      </c>
    </row>
    <row r="2911" spans="1:14">
      <c r="A2911" t="str">
        <f>nmProd1Seg3</f>
        <v>Lordfrey City</v>
      </c>
      <c r="B2911" t="str">
        <f>nmProd1Seg3Rep1</f>
        <v>Rep Gregg</v>
      </c>
      <c r="C2911" t="s">
        <v>1551</v>
      </c>
      <c r="E2911" s="549">
        <f>calcProd1Seg3Rep1CapR2</f>
        <v>0.5</v>
      </c>
      <c r="F2911" s="549">
        <f>calcProd1Seg3Rep1CapR2</f>
        <v>0.5</v>
      </c>
      <c r="G2911" s="549">
        <f>calcProd1Seg3Rep1CapR2</f>
        <v>0.5</v>
      </c>
      <c r="H2911" s="549">
        <f>calcProd1Seg3Rep1CapR2</f>
        <v>0.5</v>
      </c>
      <c r="I2911" s="549">
        <f>calcProd1Seg3Rep1CapR2</f>
        <v>0.5</v>
      </c>
      <c r="M2911" s="551">
        <v>0.6</v>
      </c>
      <c r="N2911" t="s">
        <v>2943</v>
      </c>
    </row>
    <row r="2912" spans="1:14">
      <c r="C2912" t="s">
        <v>2944</v>
      </c>
      <c r="E2912" s="388">
        <f>MIN(IF(E2911-xxRepThreshold&lt;0,E2911-xxRepThreshold,(E2911-xxRepThreshold)*(1-calcProd1Seg3Rep1InternalTimeR2)),xxRepMaxImpact)+calcProd1Seg3Rep1BagWeightImpactR2</f>
        <v>-9.9999999999999978E-2</v>
      </c>
      <c r="F2912" s="388">
        <f>MIN(IF(F2911-xxRepThreshold&lt;0,F2911-xxRepThreshold,(F2911-xxRepThreshold)*(1-calcProd1Seg3Rep1InternalTimeR2)),xxRepMaxImpact)+calcProd1Seg3Rep1BagWeightImpactR2</f>
        <v>-9.9999999999999978E-2</v>
      </c>
      <c r="G2912" s="388">
        <f>MIN(IF(G2911-xxRepThreshold&lt;0,G2911-xxRepThreshold,(G2911-xxRepThreshold)*(1-calcProd1Seg3Rep1InternalTimeR2)),xxRepMaxImpact)+calcProd1Seg3Rep1BagWeightImpactR2</f>
        <v>-9.9999999999999978E-2</v>
      </c>
      <c r="H2912" s="388">
        <f>MIN(IF(H2911-xxRepThreshold&lt;0,H2911-xxRepThreshold,(H2911-xxRepThreshold)*(1-calcProd1Seg3Rep1InternalTimeR2)),xxRepMaxImpact)+calcProd1Seg3Rep1BagWeightImpactR2</f>
        <v>-9.9999999999999978E-2</v>
      </c>
      <c r="I2912" s="388">
        <f>MIN(IF(I2911-xxRepThreshold&lt;0,I2911-xxRepThreshold,(I2911-xxRepThreshold)*(1-calcProd1Seg3Rep1InternalTimeR2)),xxRepMaxImpact)+calcProd1Seg3Rep1BagWeightImpactR2</f>
        <v>-9.9999999999999978E-2</v>
      </c>
      <c r="J2912" t="s">
        <v>3006</v>
      </c>
    </row>
    <row r="2913" spans="1:14">
      <c r="B2913" t="s">
        <v>2945</v>
      </c>
      <c r="C2913" t="str">
        <f>nmPayer1</f>
        <v>Blue Sword/Blue Shield</v>
      </c>
      <c r="E2913" s="511">
        <f>INDEX(datatblProd1Seg3Payer1,4,)</f>
        <v>2E-3</v>
      </c>
      <c r="F2913" s="511">
        <f>INDEX(datatblProd1Seg3Payer1,4,)</f>
        <v>2E-3</v>
      </c>
      <c r="G2913" s="511">
        <f>INDEX(datatblProd1Seg3Payer1,4,)</f>
        <v>2E-3</v>
      </c>
      <c r="H2913" s="511">
        <f>INDEX(datatblProd1Seg3Payer1,4,)</f>
        <v>2E-3</v>
      </c>
      <c r="I2913" s="511">
        <f>INDEX(datatblProd1Seg3Payer1,4,)</f>
        <v>2E-3</v>
      </c>
    </row>
    <row r="2914" spans="1:14">
      <c r="B2914" t="s">
        <v>2945</v>
      </c>
      <c r="C2914" t="str">
        <f>nmPayer2</f>
        <v>WesterAid</v>
      </c>
      <c r="E2914" s="511">
        <f>INDEX(datatblProd1Seg3Payer2,4,)</f>
        <v>2E-3</v>
      </c>
      <c r="F2914" s="511">
        <f>INDEX(datatblProd1Seg3Payer2,4,)</f>
        <v>2E-3</v>
      </c>
      <c r="G2914" s="511">
        <f>INDEX(datatblProd1Seg3Payer2,4,)</f>
        <v>2E-3</v>
      </c>
      <c r="H2914" s="511">
        <f>INDEX(datatblProd1Seg3Payer2,4,)</f>
        <v>2E-3</v>
      </c>
      <c r="I2914" s="511">
        <f>INDEX(datatblProd1Seg3Payer2,4,)</f>
        <v>2E-3</v>
      </c>
    </row>
    <row r="2915" spans="1:14">
      <c r="B2915" t="s">
        <v>2945</v>
      </c>
      <c r="C2915" t="str">
        <f>nmPayer3</f>
        <v>Dragon Health</v>
      </c>
      <c r="E2915" s="511">
        <f>INDEX(datatblProd1Seg3Payer3,4,)</f>
        <v>2E-3</v>
      </c>
      <c r="F2915" s="511">
        <f>INDEX(datatblProd1Seg3Payer3,4,)</f>
        <v>2E-3</v>
      </c>
      <c r="G2915" s="511">
        <f>INDEX(datatblProd1Seg3Payer3,4,)</f>
        <v>2E-3</v>
      </c>
      <c r="H2915" s="511">
        <f>INDEX(datatblProd1Seg3Payer3,4,)</f>
        <v>2E-3</v>
      </c>
      <c r="I2915" s="511">
        <f>INDEX(datatblProd1Seg3Payer3,4,)</f>
        <v>2E-3</v>
      </c>
    </row>
    <row r="2916" spans="1:14">
      <c r="E2916" s="552">
        <f t="shared" ref="E2916:I2918" si="221">calcProd1Seg3Rep1ImpactR2*E2913</f>
        <v>-1.9999999999999996E-4</v>
      </c>
      <c r="F2916" s="552">
        <f t="shared" si="221"/>
        <v>-1.9999999999999996E-4</v>
      </c>
      <c r="G2916" s="552">
        <f t="shared" si="221"/>
        <v>-1.9999999999999996E-4</v>
      </c>
      <c r="H2916" s="552">
        <f t="shared" si="221"/>
        <v>-1.9999999999999996E-4</v>
      </c>
      <c r="I2916" s="552">
        <f t="shared" si="221"/>
        <v>-1.9999999999999996E-4</v>
      </c>
      <c r="J2916" t="s">
        <v>3007</v>
      </c>
    </row>
    <row r="2917" spans="1:14">
      <c r="E2917" s="552">
        <f t="shared" si="221"/>
        <v>-1.9999999999999996E-4</v>
      </c>
      <c r="F2917" s="552">
        <f t="shared" si="221"/>
        <v>-1.9999999999999996E-4</v>
      </c>
      <c r="G2917" s="552">
        <f t="shared" si="221"/>
        <v>-1.9999999999999996E-4</v>
      </c>
      <c r="H2917" s="552">
        <f t="shared" si="221"/>
        <v>-1.9999999999999996E-4</v>
      </c>
      <c r="I2917" s="552">
        <f t="shared" si="221"/>
        <v>-1.9999999999999996E-4</v>
      </c>
      <c r="J2917" t="s">
        <v>3008</v>
      </c>
    </row>
    <row r="2918" spans="1:14">
      <c r="E2918" s="552">
        <f t="shared" si="221"/>
        <v>-1.9999999999999996E-4</v>
      </c>
      <c r="F2918" s="552">
        <f t="shared" si="221"/>
        <v>-1.9999999999999996E-4</v>
      </c>
      <c r="G2918" s="552">
        <f t="shared" si="221"/>
        <v>-1.9999999999999996E-4</v>
      </c>
      <c r="H2918" s="552">
        <f t="shared" si="221"/>
        <v>-1.9999999999999996E-4</v>
      </c>
      <c r="I2918" s="552">
        <f t="shared" si="221"/>
        <v>-1.9999999999999996E-4</v>
      </c>
      <c r="J2918" t="s">
        <v>3009</v>
      </c>
    </row>
    <row r="2920" spans="1:14">
      <c r="A2920" t="str">
        <f>nmProd1Seg3</f>
        <v>Lordfrey City</v>
      </c>
      <c r="B2920" t="str">
        <f>nmProd1Seg3Rep2</f>
        <v>Rep Howard</v>
      </c>
      <c r="C2920" t="s">
        <v>1551</v>
      </c>
      <c r="E2920" s="549">
        <f>calcProd1Seg3Rep2CapR2</f>
        <v>0.5</v>
      </c>
      <c r="F2920" s="549">
        <f>calcProd1Seg3Rep2CapR2</f>
        <v>0.5</v>
      </c>
      <c r="G2920" s="549">
        <f>calcProd1Seg3Rep2CapR2</f>
        <v>0.5</v>
      </c>
      <c r="H2920" s="549">
        <f>calcProd1Seg3Rep2CapR2</f>
        <v>0.5</v>
      </c>
      <c r="I2920" s="549">
        <f>calcProd1Seg3Rep2CapR2</f>
        <v>0.5</v>
      </c>
      <c r="M2920" s="551">
        <v>0.6</v>
      </c>
      <c r="N2920" t="s">
        <v>2943</v>
      </c>
    </row>
    <row r="2921" spans="1:14">
      <c r="C2921" t="s">
        <v>2944</v>
      </c>
      <c r="E2921" s="388">
        <f>MIN(IF(E2920-xxRepThreshold&lt;0,E2920-xxRepThreshold,(E2920-xxRepThreshold)*(1-calcProd1Seg3Rep2InternalTimeR2)),xxRepMaxImpact)+calcProd1Seg3Rep2BagWeightImpactR2</f>
        <v>-9.9999999999999978E-2</v>
      </c>
      <c r="F2921" s="388">
        <f>MIN(IF(F2920-xxRepThreshold&lt;0,F2920-xxRepThreshold,(F2920-xxRepThreshold)*(1-calcProd1Seg3Rep2InternalTimeR2)),xxRepMaxImpact)+calcProd1Seg3Rep2BagWeightImpactR2</f>
        <v>-9.9999999999999978E-2</v>
      </c>
      <c r="G2921" s="388">
        <f>MIN(IF(G2920-xxRepThreshold&lt;0,G2920-xxRepThreshold,(G2920-xxRepThreshold)*(1-calcProd1Seg3Rep2InternalTimeR2)),xxRepMaxImpact)+calcProd1Seg3Rep2BagWeightImpactR2</f>
        <v>-9.9999999999999978E-2</v>
      </c>
      <c r="H2921" s="388">
        <f>MIN(IF(H2920-xxRepThreshold&lt;0,H2920-xxRepThreshold,(H2920-xxRepThreshold)*(1-calcProd1Seg3Rep2InternalTimeR2)),xxRepMaxImpact)+calcProd1Seg3Rep2BagWeightImpactR2</f>
        <v>-9.9999999999999978E-2</v>
      </c>
      <c r="I2921" s="388">
        <f>MIN(IF(I2920-xxRepThreshold&lt;0,I2920-xxRepThreshold,(I2920-xxRepThreshold)*(1-calcProd1Seg3Rep2InternalTimeR2)),xxRepMaxImpact)+calcProd1Seg3Rep2BagWeightImpactR2</f>
        <v>-9.9999999999999978E-2</v>
      </c>
      <c r="J2921" t="s">
        <v>3010</v>
      </c>
    </row>
    <row r="2922" spans="1:14">
      <c r="B2922" t="s">
        <v>2945</v>
      </c>
      <c r="C2922" t="str">
        <f>nmPayer1</f>
        <v>Blue Sword/Blue Shield</v>
      </c>
      <c r="E2922" s="511">
        <f>INDEX(datatblProd1Seg3Payer1,4,)</f>
        <v>2E-3</v>
      </c>
      <c r="F2922" s="511">
        <f>INDEX(datatblProd1Seg3Payer1,4,)</f>
        <v>2E-3</v>
      </c>
      <c r="G2922" s="511">
        <f>INDEX(datatblProd1Seg3Payer1,4,)</f>
        <v>2E-3</v>
      </c>
      <c r="H2922" s="511">
        <f>INDEX(datatblProd1Seg3Payer1,4,)</f>
        <v>2E-3</v>
      </c>
      <c r="I2922" s="511">
        <f>INDEX(datatblProd1Seg3Payer1,4,)</f>
        <v>2E-3</v>
      </c>
    </row>
    <row r="2923" spans="1:14">
      <c r="B2923" t="s">
        <v>2945</v>
      </c>
      <c r="C2923" t="str">
        <f>nmPayer2</f>
        <v>WesterAid</v>
      </c>
      <c r="E2923" s="511">
        <f>INDEX(datatblProd1Seg3Payer2,4,)</f>
        <v>2E-3</v>
      </c>
      <c r="F2923" s="511">
        <f>INDEX(datatblProd1Seg3Payer2,4,)</f>
        <v>2E-3</v>
      </c>
      <c r="G2923" s="511">
        <f>INDEX(datatblProd1Seg3Payer2,4,)</f>
        <v>2E-3</v>
      </c>
      <c r="H2923" s="511">
        <f>INDEX(datatblProd1Seg3Payer2,4,)</f>
        <v>2E-3</v>
      </c>
      <c r="I2923" s="511">
        <f>INDEX(datatblProd1Seg3Payer2,4,)</f>
        <v>2E-3</v>
      </c>
    </row>
    <row r="2924" spans="1:14">
      <c r="B2924" t="s">
        <v>2945</v>
      </c>
      <c r="C2924" t="str">
        <f>nmPayer3</f>
        <v>Dragon Health</v>
      </c>
      <c r="E2924" s="511">
        <f>INDEX(datatblProd1Seg3Payer3,4,)</f>
        <v>2E-3</v>
      </c>
      <c r="F2924" s="511">
        <f>INDEX(datatblProd1Seg3Payer3,4,)</f>
        <v>2E-3</v>
      </c>
      <c r="G2924" s="511">
        <f>INDEX(datatblProd1Seg3Payer3,4,)</f>
        <v>2E-3</v>
      </c>
      <c r="H2924" s="511">
        <f>INDEX(datatblProd1Seg3Payer3,4,)</f>
        <v>2E-3</v>
      </c>
      <c r="I2924" s="511">
        <f>INDEX(datatblProd1Seg3Payer3,4,)</f>
        <v>2E-3</v>
      </c>
    </row>
    <row r="2925" spans="1:14">
      <c r="E2925" s="552">
        <f t="shared" ref="E2925:I2927" si="222">calcProd1Seg3Rep2ImpactR2*E2922</f>
        <v>-1.9999999999999996E-4</v>
      </c>
      <c r="F2925" s="552">
        <f t="shared" si="222"/>
        <v>-1.9999999999999996E-4</v>
      </c>
      <c r="G2925" s="552">
        <f t="shared" si="222"/>
        <v>-1.9999999999999996E-4</v>
      </c>
      <c r="H2925" s="552">
        <f t="shared" si="222"/>
        <v>-1.9999999999999996E-4</v>
      </c>
      <c r="I2925" s="552">
        <f t="shared" si="222"/>
        <v>-1.9999999999999996E-4</v>
      </c>
      <c r="J2925" t="s">
        <v>3011</v>
      </c>
    </row>
    <row r="2926" spans="1:14">
      <c r="E2926" s="552">
        <f t="shared" si="222"/>
        <v>-1.9999999999999996E-4</v>
      </c>
      <c r="F2926" s="552">
        <f t="shared" si="222"/>
        <v>-1.9999999999999996E-4</v>
      </c>
      <c r="G2926" s="552">
        <f t="shared" si="222"/>
        <v>-1.9999999999999996E-4</v>
      </c>
      <c r="H2926" s="552">
        <f t="shared" si="222"/>
        <v>-1.9999999999999996E-4</v>
      </c>
      <c r="I2926" s="552">
        <f t="shared" si="222"/>
        <v>-1.9999999999999996E-4</v>
      </c>
      <c r="J2926" t="s">
        <v>3012</v>
      </c>
    </row>
    <row r="2927" spans="1:14">
      <c r="E2927" s="552">
        <f t="shared" si="222"/>
        <v>-1.9999999999999996E-4</v>
      </c>
      <c r="F2927" s="552">
        <f t="shared" si="222"/>
        <v>-1.9999999999999996E-4</v>
      </c>
      <c r="G2927" s="552">
        <f t="shared" si="222"/>
        <v>-1.9999999999999996E-4</v>
      </c>
      <c r="H2927" s="552">
        <f t="shared" si="222"/>
        <v>-1.9999999999999996E-4</v>
      </c>
      <c r="I2927" s="552">
        <f t="shared" si="222"/>
        <v>-1.9999999999999996E-4</v>
      </c>
      <c r="J2927" t="s">
        <v>3013</v>
      </c>
    </row>
    <row r="2929" spans="1:14">
      <c r="A2929" t="str">
        <f>nmProd1Seg3</f>
        <v>Lordfrey City</v>
      </c>
      <c r="B2929" t="str">
        <f>nmProd1Seg3Rep3</f>
        <v>Rep Isabelle</v>
      </c>
      <c r="C2929" t="s">
        <v>1551</v>
      </c>
      <c r="E2929" s="549">
        <f>calcProd1Seg3Rep3CapR2</f>
        <v>0.3</v>
      </c>
      <c r="F2929" s="549">
        <f>calcProd1Seg3Rep3CapR2</f>
        <v>0.3</v>
      </c>
      <c r="G2929" s="549">
        <f>calcProd1Seg3Rep3CapR2</f>
        <v>0.3</v>
      </c>
      <c r="H2929" s="549">
        <f>calcProd1Seg3Rep3CapR2</f>
        <v>0.3</v>
      </c>
      <c r="I2929" s="549">
        <f>calcProd1Seg3Rep3CapR2</f>
        <v>0.3</v>
      </c>
      <c r="M2929" s="551">
        <v>0.6</v>
      </c>
      <c r="N2929" t="s">
        <v>2943</v>
      </c>
    </row>
    <row r="2930" spans="1:14">
      <c r="C2930" t="s">
        <v>2944</v>
      </c>
      <c r="E2930" s="388">
        <f>MIN(IF(E2929-xxRepThreshold&lt;0,E2929-xxRepThreshold,(E2929-xxRepThreshold)*(1-calcProd1Seg3Rep3InternalTimeR2)),xxRepMaxImpact)+calcProd1Seg3Rep3BagWeightImpactR2</f>
        <v>-0.3</v>
      </c>
      <c r="F2930" s="388">
        <f>MIN(IF(F2929-xxRepThreshold&lt;0,F2929-xxRepThreshold,(F2929-xxRepThreshold)*(1-calcProd1Seg3Rep3InternalTimeR2)),xxRepMaxImpact)+calcProd1Seg3Rep3BagWeightImpactR2</f>
        <v>-0.3</v>
      </c>
      <c r="G2930" s="388">
        <f>MIN(IF(G2929-xxRepThreshold&lt;0,G2929-xxRepThreshold,(G2929-xxRepThreshold)*(1-calcProd1Seg3Rep3InternalTimeR2)),xxRepMaxImpact)+calcProd1Seg3Rep3BagWeightImpactR2</f>
        <v>-0.3</v>
      </c>
      <c r="H2930" s="388">
        <f>MIN(IF(H2929-xxRepThreshold&lt;0,H2929-xxRepThreshold,(H2929-xxRepThreshold)*(1-calcProd1Seg3Rep3InternalTimeR2)),xxRepMaxImpact)+calcProd1Seg3Rep3BagWeightImpactR2</f>
        <v>-0.3</v>
      </c>
      <c r="I2930" s="388">
        <f>MIN(IF(I2929-xxRepThreshold&lt;0,I2929-xxRepThreshold,(I2929-xxRepThreshold)*(1-calcProd1Seg3Rep3InternalTimeR2)),xxRepMaxImpact)+calcProd1Seg3Rep3BagWeightImpactR2</f>
        <v>-0.3</v>
      </c>
      <c r="J2930" t="s">
        <v>3014</v>
      </c>
    </row>
    <row r="2931" spans="1:14">
      <c r="B2931" t="s">
        <v>2945</v>
      </c>
      <c r="C2931" t="str">
        <f>nmPayer1</f>
        <v>Blue Sword/Blue Shield</v>
      </c>
      <c r="E2931" s="511">
        <f>INDEX(datatblProd1Seg3Payer1,4,)</f>
        <v>2E-3</v>
      </c>
      <c r="F2931" s="511">
        <f>INDEX(datatblProd1Seg3Payer1,4,)</f>
        <v>2E-3</v>
      </c>
      <c r="G2931" s="511">
        <f>INDEX(datatblProd1Seg3Payer1,4,)</f>
        <v>2E-3</v>
      </c>
      <c r="H2931" s="511">
        <f>INDEX(datatblProd1Seg3Payer1,4,)</f>
        <v>2E-3</v>
      </c>
      <c r="I2931" s="511">
        <f>INDEX(datatblProd1Seg3Payer1,4,)</f>
        <v>2E-3</v>
      </c>
    </row>
    <row r="2932" spans="1:14">
      <c r="B2932" t="s">
        <v>2945</v>
      </c>
      <c r="C2932" t="str">
        <f>nmPayer2</f>
        <v>WesterAid</v>
      </c>
      <c r="E2932" s="511">
        <f>INDEX(datatblProd1Seg3Payer2,4,)</f>
        <v>2E-3</v>
      </c>
      <c r="F2932" s="511">
        <f>INDEX(datatblProd1Seg3Payer2,4,)</f>
        <v>2E-3</v>
      </c>
      <c r="G2932" s="511">
        <f>INDEX(datatblProd1Seg3Payer2,4,)</f>
        <v>2E-3</v>
      </c>
      <c r="H2932" s="511">
        <f>INDEX(datatblProd1Seg3Payer2,4,)</f>
        <v>2E-3</v>
      </c>
      <c r="I2932" s="511">
        <f>INDEX(datatblProd1Seg3Payer2,4,)</f>
        <v>2E-3</v>
      </c>
    </row>
    <row r="2933" spans="1:14">
      <c r="B2933" t="s">
        <v>2945</v>
      </c>
      <c r="C2933" t="str">
        <f>nmPayer3</f>
        <v>Dragon Health</v>
      </c>
      <c r="E2933" s="511">
        <f>INDEX(datatblProd1Seg3Payer3,4,)</f>
        <v>2E-3</v>
      </c>
      <c r="F2933" s="511">
        <f>INDEX(datatblProd1Seg3Payer3,4,)</f>
        <v>2E-3</v>
      </c>
      <c r="G2933" s="511">
        <f>INDEX(datatblProd1Seg3Payer3,4,)</f>
        <v>2E-3</v>
      </c>
      <c r="H2933" s="511">
        <f>INDEX(datatblProd1Seg3Payer3,4,)</f>
        <v>2E-3</v>
      </c>
      <c r="I2933" s="511">
        <f>INDEX(datatblProd1Seg3Payer3,4,)</f>
        <v>2E-3</v>
      </c>
    </row>
    <row r="2934" spans="1:14">
      <c r="E2934" s="552">
        <f t="shared" ref="E2934:I2936" si="223">calcProd1Seg3Rep3ImpactR2*E2931</f>
        <v>-5.9999999999999995E-4</v>
      </c>
      <c r="F2934" s="552">
        <f t="shared" si="223"/>
        <v>-5.9999999999999995E-4</v>
      </c>
      <c r="G2934" s="552">
        <f t="shared" si="223"/>
        <v>-5.9999999999999995E-4</v>
      </c>
      <c r="H2934" s="552">
        <f t="shared" si="223"/>
        <v>-5.9999999999999995E-4</v>
      </c>
      <c r="I2934" s="552">
        <f t="shared" si="223"/>
        <v>-5.9999999999999995E-4</v>
      </c>
      <c r="J2934" t="s">
        <v>3015</v>
      </c>
    </row>
    <row r="2935" spans="1:14">
      <c r="E2935" s="552">
        <f t="shared" si="223"/>
        <v>-5.9999999999999995E-4</v>
      </c>
      <c r="F2935" s="552">
        <f t="shared" si="223"/>
        <v>-5.9999999999999995E-4</v>
      </c>
      <c r="G2935" s="552">
        <f t="shared" si="223"/>
        <v>-5.9999999999999995E-4</v>
      </c>
      <c r="H2935" s="552">
        <f t="shared" si="223"/>
        <v>-5.9999999999999995E-4</v>
      </c>
      <c r="I2935" s="552">
        <f t="shared" si="223"/>
        <v>-5.9999999999999995E-4</v>
      </c>
      <c r="J2935" t="s">
        <v>3016</v>
      </c>
    </row>
    <row r="2936" spans="1:14">
      <c r="E2936" s="552">
        <f t="shared" si="223"/>
        <v>-5.9999999999999995E-4</v>
      </c>
      <c r="F2936" s="552">
        <f t="shared" si="223"/>
        <v>-5.9999999999999995E-4</v>
      </c>
      <c r="G2936" s="552">
        <f t="shared" si="223"/>
        <v>-5.9999999999999995E-4</v>
      </c>
      <c r="H2936" s="552">
        <f t="shared" si="223"/>
        <v>-5.9999999999999995E-4</v>
      </c>
      <c r="I2936" s="552">
        <f t="shared" si="223"/>
        <v>-5.9999999999999995E-4</v>
      </c>
      <c r="J2936" t="s">
        <v>3017</v>
      </c>
    </row>
    <row r="2938" spans="1:14" s="377" customFormat="1">
      <c r="A2938" s="377" t="str">
        <f>nmReg1Seg1</f>
        <v>Riverrun</v>
      </c>
    </row>
    <row r="2941" spans="1:14">
      <c r="A2941" t="s">
        <v>3210</v>
      </c>
    </row>
    <row r="2942" spans="1:14">
      <c r="A2942" t="str">
        <f>nmProd1Seg1</f>
        <v>Riverrun Central</v>
      </c>
    </row>
    <row r="2943" spans="1:14">
      <c r="A2943" t="s">
        <v>622</v>
      </c>
      <c r="B2943" t="str">
        <f>nmProd1Seg1Rep1</f>
        <v>Rep Allen</v>
      </c>
      <c r="C2943" t="s">
        <v>1486</v>
      </c>
      <c r="E2943" s="387">
        <f>obalProd1Seg1Rep1InternalTime</f>
        <v>0.1</v>
      </c>
      <c r="F2943" s="387">
        <f>obalProd1Seg1Rep1InternalTime</f>
        <v>0.1</v>
      </c>
      <c r="G2943" s="387">
        <f>obalProd1Seg1Rep1InternalTime</f>
        <v>0.1</v>
      </c>
      <c r="H2943" s="387">
        <f>obalProd1Seg1Rep1InternalTime</f>
        <v>0.1</v>
      </c>
      <c r="I2943" s="387">
        <f>obalProd1Seg1Rep1InternalTime</f>
        <v>0.1</v>
      </c>
    </row>
    <row r="2944" spans="1:14">
      <c r="C2944" t="s">
        <v>585</v>
      </c>
      <c r="E2944" s="387">
        <f>decInputProd1Seg1Rep1Coaching_R1*$K2944</f>
        <v>0</v>
      </c>
      <c r="F2944" s="387">
        <f>decInputProd1Seg1Rep1Coaching_R1*$K2944</f>
        <v>0</v>
      </c>
      <c r="G2944" s="387">
        <f>decInputProd1Seg1Rep1Coaching_R1*$K2944</f>
        <v>0</v>
      </c>
      <c r="H2944" s="387">
        <f>decInputProd1Seg1Rep1Coaching_R1*$K2944</f>
        <v>0</v>
      </c>
      <c r="I2944" s="387">
        <f>decInputProd1Seg1Rep1Coaching_R1*$K2944</f>
        <v>0</v>
      </c>
      <c r="K2944" s="225">
        <v>5.0000000000000001E-3</v>
      </c>
    </row>
    <row r="2945" spans="1:11">
      <c r="C2945" t="s">
        <v>3211</v>
      </c>
      <c r="E2945" s="387">
        <f>decInputProd1Seg1RegTrainer_R1*$K2945</f>
        <v>0</v>
      </c>
      <c r="F2945" s="387">
        <f>decInputProd1Seg1RegTrainer_R1*$K2945</f>
        <v>0</v>
      </c>
      <c r="G2945" s="387">
        <f>decInputProd1Seg1RegTrainer_R1*$K2945</f>
        <v>0</v>
      </c>
      <c r="H2945" s="387">
        <f>decInputProd1Seg1RegTrainer_R1*$K2945</f>
        <v>0</v>
      </c>
      <c r="I2945" s="387">
        <f>decInputProd1Seg1RegTrainer_R1*$K2945</f>
        <v>0</v>
      </c>
      <c r="K2945" s="225">
        <v>0.01</v>
      </c>
    </row>
    <row r="2946" spans="1:11" s="4" customFormat="1">
      <c r="C2946" s="4" t="s">
        <v>1534</v>
      </c>
      <c r="E2946" s="458">
        <f>SUM(E2943:E2945)</f>
        <v>0.1</v>
      </c>
      <c r="F2946" s="458">
        <f t="shared" ref="F2946:I2946" si="224">SUM(F2943:F2945)</f>
        <v>0.1</v>
      </c>
      <c r="G2946" s="458">
        <f t="shared" si="224"/>
        <v>0.1</v>
      </c>
      <c r="H2946" s="458">
        <f t="shared" si="224"/>
        <v>0.1</v>
      </c>
      <c r="I2946" s="458">
        <f t="shared" si="224"/>
        <v>0.1</v>
      </c>
      <c r="J2946" s="4" t="s">
        <v>3212</v>
      </c>
      <c r="K2946" s="574"/>
    </row>
    <row r="2947" spans="1:11">
      <c r="A2947" t="s">
        <v>623</v>
      </c>
      <c r="B2947" t="str">
        <f>nmProd1Seg1Rep1</f>
        <v>Rep Allen</v>
      </c>
      <c r="C2947" t="s">
        <v>1486</v>
      </c>
      <c r="E2947" s="387">
        <f>obalProd1Seg1Rep1InternalTime</f>
        <v>0.1</v>
      </c>
      <c r="F2947" s="387">
        <f>obalProd1Seg1Rep1InternalTime</f>
        <v>0.1</v>
      </c>
      <c r="G2947" s="387">
        <f>obalProd1Seg1Rep1InternalTime</f>
        <v>0.1</v>
      </c>
      <c r="H2947" s="387">
        <f>obalProd1Seg1Rep1InternalTime</f>
        <v>0.1</v>
      </c>
      <c r="I2947" s="387">
        <f>obalProd1Seg1Rep1InternalTime</f>
        <v>0.1</v>
      </c>
      <c r="K2947" s="225"/>
    </row>
    <row r="2948" spans="1:11">
      <c r="C2948" t="s">
        <v>585</v>
      </c>
      <c r="E2948" s="387">
        <f>decInputProd1Seg1Rep1Coaching_R2*$K2948</f>
        <v>0</v>
      </c>
      <c r="F2948" s="387">
        <f>decInputProd1Seg1Rep1Coaching_R2*$K2948</f>
        <v>0</v>
      </c>
      <c r="G2948" s="387">
        <f>decInputProd1Seg1Rep1Coaching_R2*$K2948</f>
        <v>0</v>
      </c>
      <c r="H2948" s="387">
        <f>decInputProd1Seg1Rep1Coaching_R2*$K2948</f>
        <v>0</v>
      </c>
      <c r="I2948" s="387">
        <f>decInputProd1Seg1Rep1Coaching_R2*$K2948</f>
        <v>0</v>
      </c>
      <c r="K2948" s="225">
        <v>5.0000000000000001E-3</v>
      </c>
    </row>
    <row r="2949" spans="1:11">
      <c r="C2949" t="s">
        <v>3211</v>
      </c>
      <c r="E2949" s="387">
        <f>decInputProd1Seg1RegTrainer_R2*$K2949</f>
        <v>0</v>
      </c>
      <c r="F2949" s="387">
        <f>decInputProd1Seg1RegTrainer_R2*$K2949</f>
        <v>0</v>
      </c>
      <c r="G2949" s="387">
        <f>decInputProd1Seg1RegTrainer_R2*$K2949</f>
        <v>0</v>
      </c>
      <c r="H2949" s="387">
        <f>decInputProd1Seg1RegTrainer_R2*$K2949</f>
        <v>0</v>
      </c>
      <c r="I2949" s="387">
        <f>decInputProd1Seg1RegTrainer_R2*$K2949</f>
        <v>0</v>
      </c>
      <c r="K2949" s="225">
        <v>0.01</v>
      </c>
    </row>
    <row r="2950" spans="1:11" s="4" customFormat="1">
      <c r="C2950" s="4" t="s">
        <v>1534</v>
      </c>
      <c r="E2950" s="458">
        <f>SUM(E2947:E2949)</f>
        <v>0.1</v>
      </c>
      <c r="F2950" s="458">
        <f t="shared" ref="F2950" si="225">SUM(F2947:F2949)</f>
        <v>0.1</v>
      </c>
      <c r="G2950" s="458">
        <f t="shared" ref="G2950" si="226">SUM(G2947:G2949)</f>
        <v>0.1</v>
      </c>
      <c r="H2950" s="458">
        <f t="shared" ref="H2950" si="227">SUM(H2947:H2949)</f>
        <v>0.1</v>
      </c>
      <c r="I2950" s="458">
        <f t="shared" ref="I2950" si="228">SUM(I2947:I2949)</f>
        <v>0.1</v>
      </c>
      <c r="J2950" s="4" t="s">
        <v>3213</v>
      </c>
      <c r="K2950" s="574"/>
    </row>
    <row r="2951" spans="1:11">
      <c r="A2951" t="s">
        <v>622</v>
      </c>
      <c r="B2951" t="str">
        <f>nmProd1Seg1Rep2</f>
        <v>Rep Betty</v>
      </c>
      <c r="C2951" t="s">
        <v>1486</v>
      </c>
      <c r="E2951" s="387">
        <f>obalProd1Seg1Rep2InternalTime</f>
        <v>0.1</v>
      </c>
      <c r="F2951" s="387">
        <f>obalProd1Seg1Rep2InternalTime</f>
        <v>0.1</v>
      </c>
      <c r="G2951" s="387">
        <f>obalProd1Seg1Rep2InternalTime</f>
        <v>0.1</v>
      </c>
      <c r="H2951" s="387">
        <f>obalProd1Seg1Rep2InternalTime</f>
        <v>0.1</v>
      </c>
      <c r="I2951" s="387">
        <f>obalProd1Seg1Rep2InternalTime</f>
        <v>0.1</v>
      </c>
      <c r="K2951" s="225"/>
    </row>
    <row r="2952" spans="1:11">
      <c r="C2952" t="s">
        <v>585</v>
      </c>
      <c r="E2952" s="387">
        <f>decInputProd1Seg1Rep2Coaching_R1*$K2952</f>
        <v>0</v>
      </c>
      <c r="F2952" s="387">
        <f>decInputProd1Seg1Rep2Coaching_R1*$K2952</f>
        <v>0</v>
      </c>
      <c r="G2952" s="387">
        <f>decInputProd1Seg1Rep2Coaching_R1*$K2952</f>
        <v>0</v>
      </c>
      <c r="H2952" s="387">
        <f>decInputProd1Seg1Rep2Coaching_R1*$K2952</f>
        <v>0</v>
      </c>
      <c r="I2952" s="387">
        <f>decInputProd1Seg1Rep2Coaching_R1*$K2952</f>
        <v>0</v>
      </c>
      <c r="K2952" s="225">
        <v>5.0000000000000001E-3</v>
      </c>
    </row>
    <row r="2953" spans="1:11">
      <c r="C2953" t="s">
        <v>3211</v>
      </c>
      <c r="E2953" s="387">
        <f>decInputProd1Seg1RegTrainer_R1*$K2953</f>
        <v>0</v>
      </c>
      <c r="F2953" s="387">
        <f>decInputProd1Seg1RegTrainer_R1*$K2953</f>
        <v>0</v>
      </c>
      <c r="G2953" s="387">
        <f>decInputProd1Seg1RegTrainer_R1*$K2953</f>
        <v>0</v>
      </c>
      <c r="H2953" s="387">
        <f>decInputProd1Seg1RegTrainer_R1*$K2953</f>
        <v>0</v>
      </c>
      <c r="I2953" s="387">
        <f>decInputProd1Seg1RegTrainer_R1*$K2953</f>
        <v>0</v>
      </c>
      <c r="K2953" s="225">
        <v>0.01</v>
      </c>
    </row>
    <row r="2954" spans="1:11" s="4" customFormat="1">
      <c r="C2954" s="4" t="s">
        <v>1534</v>
      </c>
      <c r="E2954" s="458">
        <f>SUM(E2951:E2953)</f>
        <v>0.1</v>
      </c>
      <c r="F2954" s="458">
        <f t="shared" ref="F2954" si="229">SUM(F2951:F2953)</f>
        <v>0.1</v>
      </c>
      <c r="G2954" s="458">
        <f t="shared" ref="G2954" si="230">SUM(G2951:G2953)</f>
        <v>0.1</v>
      </c>
      <c r="H2954" s="458">
        <f t="shared" ref="H2954" si="231">SUM(H2951:H2953)</f>
        <v>0.1</v>
      </c>
      <c r="I2954" s="458">
        <f t="shared" ref="I2954" si="232">SUM(I2951:I2953)</f>
        <v>0.1</v>
      </c>
      <c r="J2954" s="4" t="s">
        <v>3214</v>
      </c>
      <c r="K2954" s="574"/>
    </row>
    <row r="2955" spans="1:11">
      <c r="A2955" t="s">
        <v>623</v>
      </c>
      <c r="B2955" t="str">
        <f>nmProd1Seg1Rep2</f>
        <v>Rep Betty</v>
      </c>
      <c r="C2955" t="s">
        <v>1486</v>
      </c>
      <c r="E2955" s="387">
        <f>obalProd1Seg1Rep2InternalTime</f>
        <v>0.1</v>
      </c>
      <c r="F2955" s="387">
        <f>obalProd1Seg1Rep2InternalTime</f>
        <v>0.1</v>
      </c>
      <c r="G2955" s="387">
        <f>obalProd1Seg1Rep2InternalTime</f>
        <v>0.1</v>
      </c>
      <c r="H2955" s="387">
        <f>obalProd1Seg1Rep2InternalTime</f>
        <v>0.1</v>
      </c>
      <c r="I2955" s="387">
        <f>obalProd1Seg1Rep2InternalTime</f>
        <v>0.1</v>
      </c>
      <c r="K2955" s="225"/>
    </row>
    <row r="2956" spans="1:11">
      <c r="C2956" t="s">
        <v>585</v>
      </c>
      <c r="E2956" s="387">
        <f>decInputProd1Seg1Rep2Coaching_R2*$K2956</f>
        <v>0</v>
      </c>
      <c r="F2956" s="387">
        <f>decInputProd1Seg1Rep2Coaching_R2*$K2956</f>
        <v>0</v>
      </c>
      <c r="G2956" s="387">
        <f>decInputProd1Seg1Rep2Coaching_R2*$K2956</f>
        <v>0</v>
      </c>
      <c r="H2956" s="387">
        <f>decInputProd1Seg1Rep2Coaching_R2*$K2956</f>
        <v>0</v>
      </c>
      <c r="I2956" s="387">
        <f>decInputProd1Seg1Rep2Coaching_R2*$K2956</f>
        <v>0</v>
      </c>
      <c r="K2956" s="225">
        <v>5.0000000000000001E-3</v>
      </c>
    </row>
    <row r="2957" spans="1:11">
      <c r="C2957" t="s">
        <v>3211</v>
      </c>
      <c r="E2957" s="387">
        <f>decInputProd1Seg1RegTrainer_R2*$K2957</f>
        <v>0</v>
      </c>
      <c r="F2957" s="387">
        <f>decInputProd1Seg1RegTrainer_R2*$K2957</f>
        <v>0</v>
      </c>
      <c r="G2957" s="387">
        <f>decInputProd1Seg1RegTrainer_R2*$K2957</f>
        <v>0</v>
      </c>
      <c r="H2957" s="387">
        <f>decInputProd1Seg1RegTrainer_R2*$K2957</f>
        <v>0</v>
      </c>
      <c r="I2957" s="387">
        <f>decInputProd1Seg1RegTrainer_R2*$K2957</f>
        <v>0</v>
      </c>
      <c r="K2957" s="225">
        <v>0.01</v>
      </c>
    </row>
    <row r="2958" spans="1:11" s="4" customFormat="1">
      <c r="C2958" s="4" t="s">
        <v>1534</v>
      </c>
      <c r="E2958" s="458">
        <f>SUM(E2955:E2957)</f>
        <v>0.1</v>
      </c>
      <c r="F2958" s="458">
        <f t="shared" ref="F2958" si="233">SUM(F2955:F2957)</f>
        <v>0.1</v>
      </c>
      <c r="G2958" s="458">
        <f t="shared" ref="G2958" si="234">SUM(G2955:G2957)</f>
        <v>0.1</v>
      </c>
      <c r="H2958" s="458">
        <f t="shared" ref="H2958" si="235">SUM(H2955:H2957)</f>
        <v>0.1</v>
      </c>
      <c r="I2958" s="458">
        <f t="shared" ref="I2958" si="236">SUM(I2955:I2957)</f>
        <v>0.1</v>
      </c>
      <c r="J2958" s="4" t="s">
        <v>3215</v>
      </c>
      <c r="K2958" s="574"/>
    </row>
    <row r="2959" spans="1:11">
      <c r="A2959" t="s">
        <v>622</v>
      </c>
      <c r="B2959" t="str">
        <f>nmProd1Seg1Rep3</f>
        <v>Rep Chris</v>
      </c>
      <c r="C2959" t="s">
        <v>1486</v>
      </c>
      <c r="E2959" s="387">
        <f>obalProd1Seg1Rep3InternalTime</f>
        <v>0.1</v>
      </c>
      <c r="F2959" s="387">
        <f>obalProd1Seg1Rep3InternalTime</f>
        <v>0.1</v>
      </c>
      <c r="G2959" s="387">
        <f>obalProd1Seg1Rep3InternalTime</f>
        <v>0.1</v>
      </c>
      <c r="H2959" s="387">
        <f>obalProd1Seg1Rep3InternalTime</f>
        <v>0.1</v>
      </c>
      <c r="I2959" s="387">
        <f>obalProd1Seg1Rep3InternalTime</f>
        <v>0.1</v>
      </c>
      <c r="K2959" s="225"/>
    </row>
    <row r="2960" spans="1:11">
      <c r="C2960" t="s">
        <v>585</v>
      </c>
      <c r="E2960" s="387">
        <f>decInputProd1Seg1Rep3Coaching_R1*$K2960</f>
        <v>0</v>
      </c>
      <c r="F2960" s="387">
        <f>decInputProd1Seg1Rep3Coaching_R1*$K2960</f>
        <v>0</v>
      </c>
      <c r="G2960" s="387">
        <f>decInputProd1Seg1Rep3Coaching_R1*$K2960</f>
        <v>0</v>
      </c>
      <c r="H2960" s="387">
        <f>decInputProd1Seg1Rep3Coaching_R1*$K2960</f>
        <v>0</v>
      </c>
      <c r="I2960" s="387">
        <f>decInputProd1Seg1Rep3Coaching_R1*$K2960</f>
        <v>0</v>
      </c>
      <c r="K2960" s="225">
        <v>5.0000000000000001E-3</v>
      </c>
    </row>
    <row r="2961" spans="1:11">
      <c r="C2961" t="s">
        <v>3211</v>
      </c>
      <c r="E2961" s="387">
        <f>decInputProd1Seg1RegTrainer_R1*$K2961</f>
        <v>0</v>
      </c>
      <c r="F2961" s="387">
        <f>decInputProd1Seg1RegTrainer_R1*$K2961</f>
        <v>0</v>
      </c>
      <c r="G2961" s="387">
        <f>decInputProd1Seg1RegTrainer_R1*$K2961</f>
        <v>0</v>
      </c>
      <c r="H2961" s="387">
        <f>decInputProd1Seg1RegTrainer_R1*$K2961</f>
        <v>0</v>
      </c>
      <c r="I2961" s="387">
        <f>decInputProd1Seg1RegTrainer_R1*$K2961</f>
        <v>0</v>
      </c>
      <c r="K2961" s="225">
        <v>0.01</v>
      </c>
    </row>
    <row r="2962" spans="1:11" s="4" customFormat="1">
      <c r="C2962" s="4" t="s">
        <v>1534</v>
      </c>
      <c r="E2962" s="458">
        <f>SUM(E2959:E2961)</f>
        <v>0.1</v>
      </c>
      <c r="F2962" s="458">
        <f t="shared" ref="F2962" si="237">SUM(F2959:F2961)</f>
        <v>0.1</v>
      </c>
      <c r="G2962" s="458">
        <f t="shared" ref="G2962" si="238">SUM(G2959:G2961)</f>
        <v>0.1</v>
      </c>
      <c r="H2962" s="458">
        <f t="shared" ref="H2962" si="239">SUM(H2959:H2961)</f>
        <v>0.1</v>
      </c>
      <c r="I2962" s="458">
        <f t="shared" ref="I2962" si="240">SUM(I2959:I2961)</f>
        <v>0.1</v>
      </c>
      <c r="J2962" s="4" t="s">
        <v>3216</v>
      </c>
      <c r="K2962" s="574"/>
    </row>
    <row r="2963" spans="1:11">
      <c r="A2963" t="s">
        <v>623</v>
      </c>
      <c r="B2963" t="str">
        <f>nmProd1Seg1Rep3</f>
        <v>Rep Chris</v>
      </c>
      <c r="C2963" t="s">
        <v>1486</v>
      </c>
      <c r="E2963" s="387">
        <f>obalProd1Seg1Rep3InternalTime</f>
        <v>0.1</v>
      </c>
      <c r="F2963" s="387">
        <f>obalProd1Seg1Rep3InternalTime</f>
        <v>0.1</v>
      </c>
      <c r="G2963" s="387">
        <f>obalProd1Seg1Rep3InternalTime</f>
        <v>0.1</v>
      </c>
      <c r="H2963" s="387">
        <f>obalProd1Seg1Rep3InternalTime</f>
        <v>0.1</v>
      </c>
      <c r="I2963" s="387">
        <f>obalProd1Seg1Rep3InternalTime</f>
        <v>0.1</v>
      </c>
      <c r="K2963" s="225"/>
    </row>
    <row r="2964" spans="1:11">
      <c r="C2964" t="s">
        <v>585</v>
      </c>
      <c r="E2964" s="387">
        <f>decInputProd1Seg1Rep3Coaching_R2*$K2964</f>
        <v>0</v>
      </c>
      <c r="F2964" s="387">
        <f>decInputProd1Seg1Rep3Coaching_R2*$K2964</f>
        <v>0</v>
      </c>
      <c r="G2964" s="387">
        <f>decInputProd1Seg1Rep3Coaching_R2*$K2964</f>
        <v>0</v>
      </c>
      <c r="H2964" s="387">
        <f>decInputProd1Seg1Rep3Coaching_R2*$K2964</f>
        <v>0</v>
      </c>
      <c r="I2964" s="387">
        <f>decInputProd1Seg1Rep3Coaching_R2*$K2964</f>
        <v>0</v>
      </c>
      <c r="K2964" s="225">
        <v>5.0000000000000001E-3</v>
      </c>
    </row>
    <row r="2965" spans="1:11">
      <c r="C2965" t="s">
        <v>3211</v>
      </c>
      <c r="E2965" s="387">
        <f>decInputProd1Seg1RegTrainer_R2*$K2965</f>
        <v>0</v>
      </c>
      <c r="F2965" s="387">
        <f>decInputProd1Seg1RegTrainer_R2*$K2965</f>
        <v>0</v>
      </c>
      <c r="G2965" s="387">
        <f>decInputProd1Seg1RegTrainer_R2*$K2965</f>
        <v>0</v>
      </c>
      <c r="H2965" s="387">
        <f>decInputProd1Seg1RegTrainer_R2*$K2965</f>
        <v>0</v>
      </c>
      <c r="I2965" s="387">
        <f>decInputProd1Seg1RegTrainer_R2*$K2965</f>
        <v>0</v>
      </c>
      <c r="K2965" s="225">
        <v>0.01</v>
      </c>
    </row>
    <row r="2966" spans="1:11" s="4" customFormat="1">
      <c r="C2966" s="4" t="s">
        <v>1534</v>
      </c>
      <c r="E2966" s="458">
        <f>SUM(E2963:E2965)</f>
        <v>0.1</v>
      </c>
      <c r="F2966" s="458">
        <f t="shared" ref="F2966" si="241">SUM(F2963:F2965)</f>
        <v>0.1</v>
      </c>
      <c r="G2966" s="458">
        <f t="shared" ref="G2966" si="242">SUM(G2963:G2965)</f>
        <v>0.1</v>
      </c>
      <c r="H2966" s="458">
        <f t="shared" ref="H2966" si="243">SUM(H2963:H2965)</f>
        <v>0.1</v>
      </c>
      <c r="I2966" s="458">
        <f t="shared" ref="I2966" si="244">SUM(I2963:I2965)</f>
        <v>0.1</v>
      </c>
      <c r="J2966" s="4" t="s">
        <v>3217</v>
      </c>
      <c r="K2966" s="574"/>
    </row>
    <row r="2967" spans="1:11">
      <c r="E2967" s="387"/>
      <c r="F2967" s="387"/>
      <c r="G2967" s="387"/>
      <c r="H2967" s="387"/>
      <c r="I2967" s="387"/>
      <c r="K2967" s="225"/>
    </row>
    <row r="2968" spans="1:11">
      <c r="A2968" t="str">
        <f>nmProd1Seg2</f>
        <v>Tullyville</v>
      </c>
      <c r="E2968" s="387"/>
      <c r="F2968" s="387"/>
      <c r="G2968" s="387"/>
      <c r="H2968" s="387"/>
      <c r="I2968" s="387"/>
      <c r="K2968" s="225"/>
    </row>
    <row r="2969" spans="1:11">
      <c r="A2969" t="s">
        <v>622</v>
      </c>
      <c r="B2969" t="str">
        <f>nmProd1Seg2Rep1</f>
        <v>Rep Danielle</v>
      </c>
      <c r="C2969" t="s">
        <v>1486</v>
      </c>
      <c r="E2969" s="387">
        <f>obalProd1Seg2Rep1InternalTime</f>
        <v>0.1</v>
      </c>
      <c r="F2969" s="387">
        <f>obalProd1Seg2Rep1InternalTime</f>
        <v>0.1</v>
      </c>
      <c r="G2969" s="387">
        <f>obalProd1Seg2Rep1InternalTime</f>
        <v>0.1</v>
      </c>
      <c r="H2969" s="387">
        <f>obalProd1Seg2Rep1InternalTime</f>
        <v>0.1</v>
      </c>
      <c r="I2969" s="387">
        <f>obalProd1Seg2Rep1InternalTime</f>
        <v>0.1</v>
      </c>
      <c r="K2969" s="225"/>
    </row>
    <row r="2970" spans="1:11">
      <c r="C2970" t="s">
        <v>585</v>
      </c>
      <c r="E2970" s="387">
        <f>decInputProd1Seg2Rep1Coaching_R1*$K2970</f>
        <v>0</v>
      </c>
      <c r="F2970" s="387">
        <f>decInputProd1Seg2Rep1Coaching_R1*$K2970</f>
        <v>0</v>
      </c>
      <c r="G2970" s="387">
        <f>decInputProd1Seg2Rep1Coaching_R1*$K2970</f>
        <v>0</v>
      </c>
      <c r="H2970" s="387">
        <f>decInputProd1Seg2Rep1Coaching_R1*$K2970</f>
        <v>0</v>
      </c>
      <c r="I2970" s="387">
        <f>decInputProd1Seg2Rep1Coaching_R1*$K2970</f>
        <v>0</v>
      </c>
      <c r="K2970" s="225">
        <v>5.0000000000000001E-3</v>
      </c>
    </row>
    <row r="2971" spans="1:11">
      <c r="C2971" t="s">
        <v>3211</v>
      </c>
      <c r="E2971" s="387">
        <f>decInputProd1Seg2RegTrainer_R1*$K2971</f>
        <v>0</v>
      </c>
      <c r="F2971" s="387">
        <f>decInputProd1Seg2RegTrainer_R1*$K2971</f>
        <v>0</v>
      </c>
      <c r="G2971" s="387">
        <f>decInputProd1Seg2RegTrainer_R1*$K2971</f>
        <v>0</v>
      </c>
      <c r="H2971" s="387">
        <f>decInputProd1Seg2RegTrainer_R1*$K2971</f>
        <v>0</v>
      </c>
      <c r="I2971" s="387">
        <f>decInputProd1Seg2RegTrainer_R1*$K2971</f>
        <v>0</v>
      </c>
      <c r="K2971" s="225">
        <v>0.01</v>
      </c>
    </row>
    <row r="2972" spans="1:11" s="4" customFormat="1">
      <c r="C2972" s="4" t="s">
        <v>1534</v>
      </c>
      <c r="E2972" s="458">
        <f>SUM(E2969:E2971)</f>
        <v>0.1</v>
      </c>
      <c r="F2972" s="458">
        <f t="shared" ref="F2972" si="245">SUM(F2969:F2971)</f>
        <v>0.1</v>
      </c>
      <c r="G2972" s="458">
        <f t="shared" ref="G2972" si="246">SUM(G2969:G2971)</f>
        <v>0.1</v>
      </c>
      <c r="H2972" s="458">
        <f t="shared" ref="H2972" si="247">SUM(H2969:H2971)</f>
        <v>0.1</v>
      </c>
      <c r="I2972" s="458">
        <f t="shared" ref="I2972" si="248">SUM(I2969:I2971)</f>
        <v>0.1</v>
      </c>
      <c r="J2972" s="4" t="s">
        <v>3218</v>
      </c>
      <c r="K2972" s="574"/>
    </row>
    <row r="2973" spans="1:11">
      <c r="A2973" t="s">
        <v>623</v>
      </c>
      <c r="B2973" t="str">
        <f>nmProd1Seg2Rep1</f>
        <v>Rep Danielle</v>
      </c>
      <c r="C2973" t="s">
        <v>1486</v>
      </c>
      <c r="E2973" s="387">
        <f>obalProd1Seg2Rep1InternalTime</f>
        <v>0.1</v>
      </c>
      <c r="F2973" s="387">
        <f>obalProd1Seg2Rep1InternalTime</f>
        <v>0.1</v>
      </c>
      <c r="G2973" s="387">
        <f>obalProd1Seg2Rep1InternalTime</f>
        <v>0.1</v>
      </c>
      <c r="H2973" s="387">
        <f>obalProd1Seg2Rep1InternalTime</f>
        <v>0.1</v>
      </c>
      <c r="I2973" s="387">
        <f>obalProd1Seg2Rep1InternalTime</f>
        <v>0.1</v>
      </c>
      <c r="K2973" s="225"/>
    </row>
    <row r="2974" spans="1:11">
      <c r="C2974" t="s">
        <v>585</v>
      </c>
      <c r="E2974" s="387">
        <f>decInputProd1Seg2Rep1Coaching_R2*$K2974</f>
        <v>0</v>
      </c>
      <c r="F2974" s="387">
        <f>decInputProd1Seg2Rep1Coaching_R2*$K2974</f>
        <v>0</v>
      </c>
      <c r="G2974" s="387">
        <f>decInputProd1Seg2Rep1Coaching_R2*$K2974</f>
        <v>0</v>
      </c>
      <c r="H2974" s="387">
        <f>decInputProd1Seg2Rep1Coaching_R2*$K2974</f>
        <v>0</v>
      </c>
      <c r="I2974" s="387">
        <f>decInputProd1Seg2Rep1Coaching_R2*$K2974</f>
        <v>0</v>
      </c>
      <c r="K2974" s="225">
        <v>5.0000000000000001E-3</v>
      </c>
    </row>
    <row r="2975" spans="1:11">
      <c r="C2975" t="s">
        <v>3211</v>
      </c>
      <c r="E2975" s="387">
        <f>decInputProd1Seg2RegTrainer_R2*$K2975</f>
        <v>0</v>
      </c>
      <c r="F2975" s="387">
        <f>decInputProd1Seg2RegTrainer_R2*$K2975</f>
        <v>0</v>
      </c>
      <c r="G2975" s="387">
        <f>decInputProd1Seg2RegTrainer_R2*$K2975</f>
        <v>0</v>
      </c>
      <c r="H2975" s="387">
        <f>decInputProd1Seg2RegTrainer_R2*$K2975</f>
        <v>0</v>
      </c>
      <c r="I2975" s="387">
        <f>decInputProd1Seg2RegTrainer_R2*$K2975</f>
        <v>0</v>
      </c>
      <c r="K2975" s="225">
        <v>0.01</v>
      </c>
    </row>
    <row r="2976" spans="1:11" s="4" customFormat="1">
      <c r="C2976" s="4" t="s">
        <v>1534</v>
      </c>
      <c r="E2976" s="458">
        <f>SUM(E2973:E2975)</f>
        <v>0.1</v>
      </c>
      <c r="F2976" s="458">
        <f t="shared" ref="F2976" si="249">SUM(F2973:F2975)</f>
        <v>0.1</v>
      </c>
      <c r="G2976" s="458">
        <f t="shared" ref="G2976" si="250">SUM(G2973:G2975)</f>
        <v>0.1</v>
      </c>
      <c r="H2976" s="458">
        <f t="shared" ref="H2976" si="251">SUM(H2973:H2975)</f>
        <v>0.1</v>
      </c>
      <c r="I2976" s="458">
        <f t="shared" ref="I2976" si="252">SUM(I2973:I2975)</f>
        <v>0.1</v>
      </c>
      <c r="J2976" s="4" t="s">
        <v>3219</v>
      </c>
      <c r="K2976" s="574"/>
    </row>
    <row r="2977" spans="1:11">
      <c r="A2977" t="s">
        <v>622</v>
      </c>
      <c r="B2977" t="str">
        <f>nmProd1Seg2Rep2</f>
        <v>Rep Elliot</v>
      </c>
      <c r="C2977" t="s">
        <v>1486</v>
      </c>
      <c r="E2977" s="387">
        <f>obalProd1Seg2Rep2InternalTime</f>
        <v>0.1</v>
      </c>
      <c r="F2977" s="387">
        <f>obalProd1Seg2Rep2InternalTime</f>
        <v>0.1</v>
      </c>
      <c r="G2977" s="387">
        <f>obalProd1Seg2Rep2InternalTime</f>
        <v>0.1</v>
      </c>
      <c r="H2977" s="387">
        <f>obalProd1Seg2Rep2InternalTime</f>
        <v>0.1</v>
      </c>
      <c r="I2977" s="387">
        <f>obalProd1Seg2Rep2InternalTime</f>
        <v>0.1</v>
      </c>
      <c r="K2977" s="225"/>
    </row>
    <row r="2978" spans="1:11">
      <c r="C2978" t="s">
        <v>585</v>
      </c>
      <c r="E2978" s="387">
        <f>decInputProd1Seg2Rep2Coaching_R1*$K2978</f>
        <v>0</v>
      </c>
      <c r="F2978" s="387">
        <f>decInputProd1Seg2Rep2Coaching_R1*$K2978</f>
        <v>0</v>
      </c>
      <c r="G2978" s="387">
        <f>decInputProd1Seg2Rep2Coaching_R1*$K2978</f>
        <v>0</v>
      </c>
      <c r="H2978" s="387">
        <f>decInputProd1Seg2Rep2Coaching_R1*$K2978</f>
        <v>0</v>
      </c>
      <c r="I2978" s="387">
        <f>decInputProd1Seg2Rep2Coaching_R1*$K2978</f>
        <v>0</v>
      </c>
      <c r="K2978" s="225">
        <v>5.0000000000000001E-3</v>
      </c>
    </row>
    <row r="2979" spans="1:11">
      <c r="C2979" t="s">
        <v>3211</v>
      </c>
      <c r="E2979" s="387">
        <f>decInputProd1Seg2RegTrainer_R1*$K2979</f>
        <v>0</v>
      </c>
      <c r="F2979" s="387">
        <f>decInputProd1Seg2RegTrainer_R1*$K2979</f>
        <v>0</v>
      </c>
      <c r="G2979" s="387">
        <f>decInputProd1Seg2RegTrainer_R1*$K2979</f>
        <v>0</v>
      </c>
      <c r="H2979" s="387">
        <f>decInputProd1Seg2RegTrainer_R1*$K2979</f>
        <v>0</v>
      </c>
      <c r="I2979" s="387">
        <f>decInputProd1Seg2RegTrainer_R1*$K2979</f>
        <v>0</v>
      </c>
      <c r="K2979" s="225">
        <v>0.01</v>
      </c>
    </row>
    <row r="2980" spans="1:11" s="4" customFormat="1">
      <c r="C2980" s="4" t="s">
        <v>1534</v>
      </c>
      <c r="E2980" s="458">
        <f>SUM(E2977:E2979)</f>
        <v>0.1</v>
      </c>
      <c r="F2980" s="458">
        <f t="shared" ref="F2980" si="253">SUM(F2977:F2979)</f>
        <v>0.1</v>
      </c>
      <c r="G2980" s="458">
        <f t="shared" ref="G2980" si="254">SUM(G2977:G2979)</f>
        <v>0.1</v>
      </c>
      <c r="H2980" s="458">
        <f t="shared" ref="H2980" si="255">SUM(H2977:H2979)</f>
        <v>0.1</v>
      </c>
      <c r="I2980" s="458">
        <f t="shared" ref="I2980" si="256">SUM(I2977:I2979)</f>
        <v>0.1</v>
      </c>
      <c r="J2980" s="4" t="s">
        <v>3220</v>
      </c>
      <c r="K2980" s="574"/>
    </row>
    <row r="2981" spans="1:11">
      <c r="A2981" t="s">
        <v>623</v>
      </c>
      <c r="B2981" t="str">
        <f>nmProd1Seg2Rep2</f>
        <v>Rep Elliot</v>
      </c>
      <c r="C2981" t="s">
        <v>1486</v>
      </c>
      <c r="E2981" s="387">
        <f>obalProd1Seg2Rep2InternalTime</f>
        <v>0.1</v>
      </c>
      <c r="F2981" s="387">
        <f>obalProd1Seg2Rep2InternalTime</f>
        <v>0.1</v>
      </c>
      <c r="G2981" s="387">
        <f>obalProd1Seg2Rep2InternalTime</f>
        <v>0.1</v>
      </c>
      <c r="H2981" s="387">
        <f>obalProd1Seg2Rep2InternalTime</f>
        <v>0.1</v>
      </c>
      <c r="I2981" s="387">
        <f>obalProd1Seg2Rep2InternalTime</f>
        <v>0.1</v>
      </c>
      <c r="K2981" s="225"/>
    </row>
    <row r="2982" spans="1:11">
      <c r="C2982" t="s">
        <v>585</v>
      </c>
      <c r="E2982" s="387">
        <f>decInputProd1Seg2Rep2Coaching_R2*$K2982</f>
        <v>0</v>
      </c>
      <c r="F2982" s="387">
        <f>decInputProd1Seg2Rep2Coaching_R2*$K2982</f>
        <v>0</v>
      </c>
      <c r="G2982" s="387">
        <f>decInputProd1Seg2Rep2Coaching_R2*$K2982</f>
        <v>0</v>
      </c>
      <c r="H2982" s="387">
        <f>decInputProd1Seg2Rep2Coaching_R2*$K2982</f>
        <v>0</v>
      </c>
      <c r="I2982" s="387">
        <f>decInputProd1Seg2Rep2Coaching_R2*$K2982</f>
        <v>0</v>
      </c>
      <c r="K2982" s="225">
        <v>5.0000000000000001E-3</v>
      </c>
    </row>
    <row r="2983" spans="1:11">
      <c r="C2983" t="s">
        <v>3211</v>
      </c>
      <c r="E2983" s="387">
        <f>decInputProd1Seg2RegTrainer_R2*$K2983</f>
        <v>0</v>
      </c>
      <c r="F2983" s="387">
        <f>decInputProd1Seg2RegTrainer_R2*$K2983</f>
        <v>0</v>
      </c>
      <c r="G2983" s="387">
        <f>decInputProd1Seg2RegTrainer_R2*$K2983</f>
        <v>0</v>
      </c>
      <c r="H2983" s="387">
        <f>decInputProd1Seg2RegTrainer_R2*$K2983</f>
        <v>0</v>
      </c>
      <c r="I2983" s="387">
        <f>decInputProd1Seg2RegTrainer_R2*$K2983</f>
        <v>0</v>
      </c>
      <c r="K2983" s="225">
        <v>0.01</v>
      </c>
    </row>
    <row r="2984" spans="1:11" s="4" customFormat="1">
      <c r="C2984" s="4" t="s">
        <v>1534</v>
      </c>
      <c r="E2984" s="458">
        <f>SUM(E2981:E2983)</f>
        <v>0.1</v>
      </c>
      <c r="F2984" s="458">
        <f t="shared" ref="F2984" si="257">SUM(F2981:F2983)</f>
        <v>0.1</v>
      </c>
      <c r="G2984" s="458">
        <f t="shared" ref="G2984" si="258">SUM(G2981:G2983)</f>
        <v>0.1</v>
      </c>
      <c r="H2984" s="458">
        <f t="shared" ref="H2984" si="259">SUM(H2981:H2983)</f>
        <v>0.1</v>
      </c>
      <c r="I2984" s="458">
        <f t="shared" ref="I2984" si="260">SUM(I2981:I2983)</f>
        <v>0.1</v>
      </c>
      <c r="J2984" s="4" t="s">
        <v>3221</v>
      </c>
      <c r="K2984" s="574"/>
    </row>
    <row r="2985" spans="1:11">
      <c r="A2985" t="s">
        <v>622</v>
      </c>
      <c r="B2985" t="str">
        <f>nmProd1Seg2Rep3</f>
        <v>Rep Fiona</v>
      </c>
      <c r="C2985" t="s">
        <v>1486</v>
      </c>
      <c r="E2985" s="387">
        <f>obalProd1Seg2Rep3InternalTime</f>
        <v>0.1</v>
      </c>
      <c r="F2985" s="387">
        <f>obalProd1Seg2Rep3InternalTime</f>
        <v>0.1</v>
      </c>
      <c r="G2985" s="387">
        <f>obalProd1Seg2Rep3InternalTime</f>
        <v>0.1</v>
      </c>
      <c r="H2985" s="387">
        <f>obalProd1Seg2Rep3InternalTime</f>
        <v>0.1</v>
      </c>
      <c r="I2985" s="387">
        <f>obalProd1Seg2Rep3InternalTime</f>
        <v>0.1</v>
      </c>
      <c r="K2985" s="225"/>
    </row>
    <row r="2986" spans="1:11">
      <c r="C2986" t="s">
        <v>585</v>
      </c>
      <c r="E2986" s="387">
        <f>decInputProd1Seg2Rep3Coaching_R1*$K2986</f>
        <v>0</v>
      </c>
      <c r="F2986" s="387">
        <f>decInputProd1Seg2Rep3Coaching_R1*$K2986</f>
        <v>0</v>
      </c>
      <c r="G2986" s="387">
        <f>decInputProd1Seg2Rep3Coaching_R1*$K2986</f>
        <v>0</v>
      </c>
      <c r="H2986" s="387">
        <f>decInputProd1Seg2Rep3Coaching_R1*$K2986</f>
        <v>0</v>
      </c>
      <c r="I2986" s="387">
        <f>decInputProd1Seg2Rep3Coaching_R1*$K2986</f>
        <v>0</v>
      </c>
      <c r="K2986" s="225">
        <v>5.0000000000000001E-3</v>
      </c>
    </row>
    <row r="2987" spans="1:11">
      <c r="C2987" t="s">
        <v>3211</v>
      </c>
      <c r="E2987" s="387">
        <f>decInputProd1Seg2RegTrainer_R1*$K2987</f>
        <v>0</v>
      </c>
      <c r="F2987" s="387">
        <f>decInputProd1Seg2RegTrainer_R1*$K2987</f>
        <v>0</v>
      </c>
      <c r="G2987" s="387">
        <f>decInputProd1Seg2RegTrainer_R1*$K2987</f>
        <v>0</v>
      </c>
      <c r="H2987" s="387">
        <f>decInputProd1Seg2RegTrainer_R1*$K2987</f>
        <v>0</v>
      </c>
      <c r="I2987" s="387">
        <f>decInputProd1Seg2RegTrainer_R1*$K2987</f>
        <v>0</v>
      </c>
      <c r="K2987" s="225">
        <v>0.01</v>
      </c>
    </row>
    <row r="2988" spans="1:11" s="4" customFormat="1">
      <c r="C2988" s="4" t="s">
        <v>1534</v>
      </c>
      <c r="E2988" s="458">
        <f>SUM(E2985:E2987)</f>
        <v>0.1</v>
      </c>
      <c r="F2988" s="458">
        <f t="shared" ref="F2988" si="261">SUM(F2985:F2987)</f>
        <v>0.1</v>
      </c>
      <c r="G2988" s="458">
        <f t="shared" ref="G2988" si="262">SUM(G2985:G2987)</f>
        <v>0.1</v>
      </c>
      <c r="H2988" s="458">
        <f t="shared" ref="H2988" si="263">SUM(H2985:H2987)</f>
        <v>0.1</v>
      </c>
      <c r="I2988" s="458">
        <f t="shared" ref="I2988" si="264">SUM(I2985:I2987)</f>
        <v>0.1</v>
      </c>
      <c r="J2988" s="4" t="s">
        <v>3222</v>
      </c>
      <c r="K2988" s="574"/>
    </row>
    <row r="2989" spans="1:11">
      <c r="A2989" t="s">
        <v>623</v>
      </c>
      <c r="B2989" t="str">
        <f>nmProd1Seg2Rep3</f>
        <v>Rep Fiona</v>
      </c>
      <c r="C2989" t="s">
        <v>1486</v>
      </c>
      <c r="E2989" s="387">
        <f>obalProd1Seg2Rep3InternalTime</f>
        <v>0.1</v>
      </c>
      <c r="F2989" s="387">
        <f>obalProd1Seg2Rep3InternalTime</f>
        <v>0.1</v>
      </c>
      <c r="G2989" s="387">
        <f>obalProd1Seg2Rep3InternalTime</f>
        <v>0.1</v>
      </c>
      <c r="H2989" s="387">
        <f>obalProd1Seg2Rep3InternalTime</f>
        <v>0.1</v>
      </c>
      <c r="I2989" s="387">
        <f>obalProd1Seg2Rep3InternalTime</f>
        <v>0.1</v>
      </c>
      <c r="K2989" s="225"/>
    </row>
    <row r="2990" spans="1:11">
      <c r="C2990" t="s">
        <v>585</v>
      </c>
      <c r="E2990" s="387">
        <f>decInputProd1Seg2Rep3Coaching_R2*$K2990</f>
        <v>0</v>
      </c>
      <c r="F2990" s="387">
        <f>decInputProd1Seg2Rep3Coaching_R2*$K2990</f>
        <v>0</v>
      </c>
      <c r="G2990" s="387">
        <f>decInputProd1Seg2Rep3Coaching_R2*$K2990</f>
        <v>0</v>
      </c>
      <c r="H2990" s="387">
        <f>decInputProd1Seg2Rep3Coaching_R2*$K2990</f>
        <v>0</v>
      </c>
      <c r="I2990" s="387">
        <f>decInputProd1Seg2Rep3Coaching_R2*$K2990</f>
        <v>0</v>
      </c>
      <c r="K2990" s="225">
        <v>5.0000000000000001E-3</v>
      </c>
    </row>
    <row r="2991" spans="1:11">
      <c r="C2991" t="s">
        <v>3211</v>
      </c>
      <c r="E2991" s="387">
        <f>decInputProd1Seg2RegTrainer_R2*$K2991</f>
        <v>0</v>
      </c>
      <c r="F2991" s="387">
        <f>decInputProd1Seg2RegTrainer_R2*$K2991</f>
        <v>0</v>
      </c>
      <c r="G2991" s="387">
        <f>decInputProd1Seg2RegTrainer_R2*$K2991</f>
        <v>0</v>
      </c>
      <c r="H2991" s="387">
        <f>decInputProd1Seg2RegTrainer_R2*$K2991</f>
        <v>0</v>
      </c>
      <c r="I2991" s="387">
        <f>decInputProd1Seg2RegTrainer_R2*$K2991</f>
        <v>0</v>
      </c>
      <c r="K2991" s="225">
        <v>0.01</v>
      </c>
    </row>
    <row r="2992" spans="1:11" s="4" customFormat="1">
      <c r="C2992" s="4" t="s">
        <v>1534</v>
      </c>
      <c r="E2992" s="458">
        <f>SUM(E2989:E2991)</f>
        <v>0.1</v>
      </c>
      <c r="F2992" s="458">
        <f t="shared" ref="F2992" si="265">SUM(F2989:F2991)</f>
        <v>0.1</v>
      </c>
      <c r="G2992" s="458">
        <f t="shared" ref="G2992" si="266">SUM(G2989:G2991)</f>
        <v>0.1</v>
      </c>
      <c r="H2992" s="458">
        <f t="shared" ref="H2992" si="267">SUM(H2989:H2991)</f>
        <v>0.1</v>
      </c>
      <c r="I2992" s="458">
        <f t="shared" ref="I2992" si="268">SUM(I2989:I2991)</f>
        <v>0.1</v>
      </c>
      <c r="J2992" s="4" t="s">
        <v>3223</v>
      </c>
      <c r="K2992" s="574"/>
    </row>
    <row r="2993" spans="1:11">
      <c r="E2993" s="387"/>
      <c r="F2993" s="387"/>
      <c r="G2993" s="387"/>
      <c r="H2993" s="387"/>
      <c r="I2993" s="387"/>
      <c r="K2993" s="225"/>
    </row>
    <row r="2994" spans="1:11">
      <c r="A2994" t="str">
        <f>nmProd1Seg3</f>
        <v>Lordfrey City</v>
      </c>
      <c r="E2994" s="387"/>
      <c r="F2994" s="387"/>
      <c r="G2994" s="387"/>
      <c r="H2994" s="387"/>
      <c r="I2994" s="387"/>
      <c r="K2994" s="225"/>
    </row>
    <row r="2995" spans="1:11">
      <c r="A2995" t="s">
        <v>622</v>
      </c>
      <c r="B2995" t="str">
        <f>nmProd1Seg3Rep1</f>
        <v>Rep Gregg</v>
      </c>
      <c r="C2995" t="s">
        <v>1486</v>
      </c>
      <c r="E2995" s="387">
        <f>obalProd1Seg3Rep1InternalTime</f>
        <v>0.1</v>
      </c>
      <c r="F2995" s="387">
        <f>obalProd1Seg3Rep1InternalTime</f>
        <v>0.1</v>
      </c>
      <c r="G2995" s="387">
        <f>obalProd1Seg3Rep1InternalTime</f>
        <v>0.1</v>
      </c>
      <c r="H2995" s="387">
        <f>obalProd1Seg3Rep1InternalTime</f>
        <v>0.1</v>
      </c>
      <c r="I2995" s="387">
        <f>obalProd1Seg3Rep1InternalTime</f>
        <v>0.1</v>
      </c>
      <c r="K2995" s="225"/>
    </row>
    <row r="2996" spans="1:11">
      <c r="C2996" t="s">
        <v>585</v>
      </c>
      <c r="E2996" s="387">
        <f>decInputProd1Seg3Rep1Coaching_R1*$K2996</f>
        <v>0</v>
      </c>
      <c r="F2996" s="387">
        <f>decInputProd1Seg3Rep1Coaching_R1*$K2996</f>
        <v>0</v>
      </c>
      <c r="G2996" s="387">
        <f>decInputProd1Seg3Rep1Coaching_R1*$K2996</f>
        <v>0</v>
      </c>
      <c r="H2996" s="387">
        <f>decInputProd1Seg3Rep1Coaching_R1*$K2996</f>
        <v>0</v>
      </c>
      <c r="I2996" s="387">
        <f>decInputProd1Seg3Rep1Coaching_R1*$K2996</f>
        <v>0</v>
      </c>
      <c r="K2996" s="225">
        <v>5.0000000000000001E-3</v>
      </c>
    </row>
    <row r="2997" spans="1:11">
      <c r="C2997" t="s">
        <v>3211</v>
      </c>
      <c r="E2997" s="387">
        <f>decInputProd1Seg3RegTrainer_R1*$K2997</f>
        <v>0</v>
      </c>
      <c r="F2997" s="387">
        <f>decInputProd1Seg3RegTrainer_R1*$K2997</f>
        <v>0</v>
      </c>
      <c r="G2997" s="387">
        <f>decInputProd1Seg3RegTrainer_R1*$K2997</f>
        <v>0</v>
      </c>
      <c r="H2997" s="387">
        <f>decInputProd1Seg3RegTrainer_R1*$K2997</f>
        <v>0</v>
      </c>
      <c r="I2997" s="387">
        <f>decInputProd1Seg3RegTrainer_R1*$K2997</f>
        <v>0</v>
      </c>
      <c r="K2997" s="225">
        <v>0.01</v>
      </c>
    </row>
    <row r="2998" spans="1:11" s="4" customFormat="1">
      <c r="C2998" s="4" t="s">
        <v>1534</v>
      </c>
      <c r="E2998" s="458">
        <f>SUM(E2995:E2997)</f>
        <v>0.1</v>
      </c>
      <c r="F2998" s="458">
        <f t="shared" ref="F2998:I2998" si="269">SUM(F2995:F2997)</f>
        <v>0.1</v>
      </c>
      <c r="G2998" s="458">
        <f t="shared" si="269"/>
        <v>0.1</v>
      </c>
      <c r="H2998" s="458">
        <f t="shared" si="269"/>
        <v>0.1</v>
      </c>
      <c r="I2998" s="458">
        <f t="shared" si="269"/>
        <v>0.1</v>
      </c>
      <c r="J2998" s="4" t="s">
        <v>3224</v>
      </c>
      <c r="K2998" s="574"/>
    </row>
    <row r="2999" spans="1:11">
      <c r="A2999" t="s">
        <v>623</v>
      </c>
      <c r="B2999" t="str">
        <f>nmProd1Seg3Rep1</f>
        <v>Rep Gregg</v>
      </c>
      <c r="C2999" t="s">
        <v>1486</v>
      </c>
      <c r="E2999" s="387">
        <f>obalProd1Seg3Rep1InternalTime</f>
        <v>0.1</v>
      </c>
      <c r="F2999" s="387">
        <f>obalProd1Seg3Rep1InternalTime</f>
        <v>0.1</v>
      </c>
      <c r="G2999" s="387">
        <f>obalProd1Seg3Rep1InternalTime</f>
        <v>0.1</v>
      </c>
      <c r="H2999" s="387">
        <f>obalProd1Seg3Rep1InternalTime</f>
        <v>0.1</v>
      </c>
      <c r="I2999" s="387">
        <f>obalProd1Seg3Rep1InternalTime</f>
        <v>0.1</v>
      </c>
      <c r="K2999" s="225"/>
    </row>
    <row r="3000" spans="1:11">
      <c r="C3000" t="s">
        <v>585</v>
      </c>
      <c r="E3000" s="387">
        <f>decInputProd1Seg3Rep1Coaching_R2*$K3000</f>
        <v>0</v>
      </c>
      <c r="F3000" s="387">
        <f>decInputProd1Seg3Rep1Coaching_R2*$K3000</f>
        <v>0</v>
      </c>
      <c r="G3000" s="387">
        <f>decInputProd1Seg3Rep1Coaching_R2*$K3000</f>
        <v>0</v>
      </c>
      <c r="H3000" s="387">
        <f>decInputProd1Seg3Rep1Coaching_R2*$K3000</f>
        <v>0</v>
      </c>
      <c r="I3000" s="387">
        <f>decInputProd1Seg3Rep1Coaching_R2*$K3000</f>
        <v>0</v>
      </c>
      <c r="K3000" s="225">
        <v>5.0000000000000001E-3</v>
      </c>
    </row>
    <row r="3001" spans="1:11">
      <c r="C3001" t="s">
        <v>3211</v>
      </c>
      <c r="E3001" s="387">
        <f>decInputProd1Seg3RegTrainer_R2*$K3001</f>
        <v>0</v>
      </c>
      <c r="F3001" s="387">
        <f>decInputProd1Seg3RegTrainer_R2*$K3001</f>
        <v>0</v>
      </c>
      <c r="G3001" s="387">
        <f>decInputProd1Seg3RegTrainer_R2*$K3001</f>
        <v>0</v>
      </c>
      <c r="H3001" s="387">
        <f>decInputProd1Seg3RegTrainer_R2*$K3001</f>
        <v>0</v>
      </c>
      <c r="I3001" s="387">
        <f>decInputProd1Seg3RegTrainer_R2*$K3001</f>
        <v>0</v>
      </c>
      <c r="K3001" s="225">
        <v>0.01</v>
      </c>
    </row>
    <row r="3002" spans="1:11" s="4" customFormat="1">
      <c r="C3002" s="4" t="s">
        <v>1534</v>
      </c>
      <c r="E3002" s="458">
        <f>SUM(E2999:E3001)</f>
        <v>0.1</v>
      </c>
      <c r="F3002" s="458">
        <f t="shared" ref="F3002:I3002" si="270">SUM(F2999:F3001)</f>
        <v>0.1</v>
      </c>
      <c r="G3002" s="458">
        <f t="shared" si="270"/>
        <v>0.1</v>
      </c>
      <c r="H3002" s="458">
        <f t="shared" si="270"/>
        <v>0.1</v>
      </c>
      <c r="I3002" s="458">
        <f t="shared" si="270"/>
        <v>0.1</v>
      </c>
      <c r="J3002" s="4" t="s">
        <v>3225</v>
      </c>
      <c r="K3002" s="574"/>
    </row>
    <row r="3003" spans="1:11">
      <c r="A3003" t="s">
        <v>622</v>
      </c>
      <c r="B3003" t="str">
        <f>nmProd1Seg3Rep2</f>
        <v>Rep Howard</v>
      </c>
      <c r="C3003" t="s">
        <v>1486</v>
      </c>
      <c r="E3003" s="387">
        <f>obalProd1Seg3Rep2InternalTime</f>
        <v>0.1</v>
      </c>
      <c r="F3003" s="387">
        <f>obalProd1Seg3Rep2InternalTime</f>
        <v>0.1</v>
      </c>
      <c r="G3003" s="387">
        <f>obalProd1Seg3Rep2InternalTime</f>
        <v>0.1</v>
      </c>
      <c r="H3003" s="387">
        <f>obalProd1Seg3Rep2InternalTime</f>
        <v>0.1</v>
      </c>
      <c r="I3003" s="387">
        <f>obalProd1Seg3Rep2InternalTime</f>
        <v>0.1</v>
      </c>
      <c r="K3003" s="225"/>
    </row>
    <row r="3004" spans="1:11">
      <c r="C3004" t="s">
        <v>585</v>
      </c>
      <c r="E3004" s="387">
        <f>decInputProd1Seg3Rep2Coaching_R1*$K3004</f>
        <v>0</v>
      </c>
      <c r="F3004" s="387">
        <f>decInputProd1Seg3Rep2Coaching_R1*$K3004</f>
        <v>0</v>
      </c>
      <c r="G3004" s="387">
        <f>decInputProd1Seg3Rep2Coaching_R1*$K3004</f>
        <v>0</v>
      </c>
      <c r="H3004" s="387">
        <f>decInputProd1Seg3Rep2Coaching_R1*$K3004</f>
        <v>0</v>
      </c>
      <c r="I3004" s="387">
        <f>decInputProd1Seg3Rep2Coaching_R1*$K3004</f>
        <v>0</v>
      </c>
      <c r="K3004" s="225">
        <v>5.0000000000000001E-3</v>
      </c>
    </row>
    <row r="3005" spans="1:11">
      <c r="C3005" t="s">
        <v>3211</v>
      </c>
      <c r="E3005" s="387">
        <f>decInputProd1Seg3RegTrainer_R1*$K3005</f>
        <v>0</v>
      </c>
      <c r="F3005" s="387">
        <f>decInputProd1Seg3RegTrainer_R1*$K3005</f>
        <v>0</v>
      </c>
      <c r="G3005" s="387">
        <f>decInputProd1Seg3RegTrainer_R1*$K3005</f>
        <v>0</v>
      </c>
      <c r="H3005" s="387">
        <f>decInputProd1Seg3RegTrainer_R1*$K3005</f>
        <v>0</v>
      </c>
      <c r="I3005" s="387">
        <f>decInputProd1Seg3RegTrainer_R1*$K3005</f>
        <v>0</v>
      </c>
      <c r="K3005" s="225">
        <v>0.01</v>
      </c>
    </row>
    <row r="3006" spans="1:11" s="4" customFormat="1">
      <c r="C3006" s="4" t="s">
        <v>1534</v>
      </c>
      <c r="E3006" s="458">
        <f>SUM(E3003:E3005)</f>
        <v>0.1</v>
      </c>
      <c r="F3006" s="458">
        <f t="shared" ref="F3006:I3006" si="271">SUM(F3003:F3005)</f>
        <v>0.1</v>
      </c>
      <c r="G3006" s="458">
        <f t="shared" si="271"/>
        <v>0.1</v>
      </c>
      <c r="H3006" s="458">
        <f t="shared" si="271"/>
        <v>0.1</v>
      </c>
      <c r="I3006" s="458">
        <f t="shared" si="271"/>
        <v>0.1</v>
      </c>
      <c r="J3006" s="4" t="s">
        <v>3226</v>
      </c>
      <c r="K3006" s="574"/>
    </row>
    <row r="3007" spans="1:11">
      <c r="A3007" t="s">
        <v>623</v>
      </c>
      <c r="B3007" t="str">
        <f>nmProd1Seg3Rep2</f>
        <v>Rep Howard</v>
      </c>
      <c r="C3007" t="s">
        <v>1486</v>
      </c>
      <c r="E3007" s="387">
        <f>obalProd1Seg3Rep2InternalTime</f>
        <v>0.1</v>
      </c>
      <c r="F3007" s="387">
        <f>obalProd1Seg3Rep2InternalTime</f>
        <v>0.1</v>
      </c>
      <c r="G3007" s="387">
        <f>obalProd1Seg3Rep2InternalTime</f>
        <v>0.1</v>
      </c>
      <c r="H3007" s="387">
        <f>obalProd1Seg3Rep2InternalTime</f>
        <v>0.1</v>
      </c>
      <c r="I3007" s="387">
        <f>obalProd1Seg3Rep2InternalTime</f>
        <v>0.1</v>
      </c>
      <c r="K3007" s="225"/>
    </row>
    <row r="3008" spans="1:11">
      <c r="C3008" t="s">
        <v>585</v>
      </c>
      <c r="E3008" s="387">
        <f>decInputProd1Seg3Rep2Coaching_R2*$K3008</f>
        <v>0</v>
      </c>
      <c r="F3008" s="387">
        <f>decInputProd1Seg3Rep2Coaching_R2*$K3008</f>
        <v>0</v>
      </c>
      <c r="G3008" s="387">
        <f>decInputProd1Seg3Rep2Coaching_R2*$K3008</f>
        <v>0</v>
      </c>
      <c r="H3008" s="387">
        <f>decInputProd1Seg3Rep2Coaching_R2*$K3008</f>
        <v>0</v>
      </c>
      <c r="I3008" s="387">
        <f>decInputProd1Seg3Rep2Coaching_R2*$K3008</f>
        <v>0</v>
      </c>
      <c r="K3008" s="225">
        <v>5.0000000000000001E-3</v>
      </c>
    </row>
    <row r="3009" spans="1:11">
      <c r="C3009" t="s">
        <v>3211</v>
      </c>
      <c r="E3009" s="387">
        <f>decInputProd1Seg3RegTrainer_R2*$K3009</f>
        <v>0</v>
      </c>
      <c r="F3009" s="387">
        <f>decInputProd1Seg3RegTrainer_R2*$K3009</f>
        <v>0</v>
      </c>
      <c r="G3009" s="387">
        <f>decInputProd1Seg3RegTrainer_R2*$K3009</f>
        <v>0</v>
      </c>
      <c r="H3009" s="387">
        <f>decInputProd1Seg3RegTrainer_R2*$K3009</f>
        <v>0</v>
      </c>
      <c r="I3009" s="387">
        <f>decInputProd1Seg3RegTrainer_R2*$K3009</f>
        <v>0</v>
      </c>
      <c r="K3009" s="225">
        <v>0.01</v>
      </c>
    </row>
    <row r="3010" spans="1:11" s="4" customFormat="1">
      <c r="C3010" s="4" t="s">
        <v>1534</v>
      </c>
      <c r="E3010" s="458">
        <f>SUM(E3007:E3009)</f>
        <v>0.1</v>
      </c>
      <c r="F3010" s="458">
        <f t="shared" ref="F3010:I3010" si="272">SUM(F3007:F3009)</f>
        <v>0.1</v>
      </c>
      <c r="G3010" s="458">
        <f t="shared" si="272"/>
        <v>0.1</v>
      </c>
      <c r="H3010" s="458">
        <f t="shared" si="272"/>
        <v>0.1</v>
      </c>
      <c r="I3010" s="458">
        <f t="shared" si="272"/>
        <v>0.1</v>
      </c>
      <c r="J3010" s="4" t="s">
        <v>3227</v>
      </c>
      <c r="K3010" s="574"/>
    </row>
    <row r="3011" spans="1:11">
      <c r="A3011" t="s">
        <v>622</v>
      </c>
      <c r="B3011" t="str">
        <f>nmProd1Seg3Rep3</f>
        <v>Rep Isabelle</v>
      </c>
      <c r="C3011" t="s">
        <v>1486</v>
      </c>
      <c r="E3011" s="387">
        <f>obalProd1Seg3Rep3InternalTime</f>
        <v>0.1</v>
      </c>
      <c r="F3011" s="387">
        <f>obalProd1Seg3Rep3InternalTime</f>
        <v>0.1</v>
      </c>
      <c r="G3011" s="387">
        <f>obalProd1Seg3Rep3InternalTime</f>
        <v>0.1</v>
      </c>
      <c r="H3011" s="387">
        <f>obalProd1Seg3Rep3InternalTime</f>
        <v>0.1</v>
      </c>
      <c r="I3011" s="387">
        <f>obalProd1Seg3Rep3InternalTime</f>
        <v>0.1</v>
      </c>
      <c r="K3011" s="225"/>
    </row>
    <row r="3012" spans="1:11">
      <c r="C3012" t="s">
        <v>585</v>
      </c>
      <c r="E3012" s="387">
        <f>decInputProd1Seg3Rep3Coaching_R1*$K3012</f>
        <v>0</v>
      </c>
      <c r="F3012" s="387">
        <f>decInputProd1Seg3Rep3Coaching_R1*$K3012</f>
        <v>0</v>
      </c>
      <c r="G3012" s="387">
        <f>decInputProd1Seg3Rep3Coaching_R1*$K3012</f>
        <v>0</v>
      </c>
      <c r="H3012" s="387">
        <f>decInputProd1Seg3Rep3Coaching_R1*$K3012</f>
        <v>0</v>
      </c>
      <c r="I3012" s="387">
        <f>decInputProd1Seg3Rep3Coaching_R1*$K3012</f>
        <v>0</v>
      </c>
      <c r="K3012" s="225">
        <v>5.0000000000000001E-3</v>
      </c>
    </row>
    <row r="3013" spans="1:11">
      <c r="C3013" t="s">
        <v>3211</v>
      </c>
      <c r="E3013" s="387">
        <f>decInputProd1Seg3RegTrainer_R1*$K3013</f>
        <v>0</v>
      </c>
      <c r="F3013" s="387">
        <f>decInputProd1Seg3RegTrainer_R1*$K3013</f>
        <v>0</v>
      </c>
      <c r="G3013" s="387">
        <f>decInputProd1Seg3RegTrainer_R1*$K3013</f>
        <v>0</v>
      </c>
      <c r="H3013" s="387">
        <f>decInputProd1Seg3RegTrainer_R1*$K3013</f>
        <v>0</v>
      </c>
      <c r="I3013" s="387">
        <f>decInputProd1Seg3RegTrainer_R1*$K3013</f>
        <v>0</v>
      </c>
      <c r="K3013" s="225">
        <v>0.01</v>
      </c>
    </row>
    <row r="3014" spans="1:11" s="4" customFormat="1">
      <c r="C3014" s="4" t="s">
        <v>1534</v>
      </c>
      <c r="E3014" s="458">
        <f>SUM(E3011:E3013)</f>
        <v>0.1</v>
      </c>
      <c r="F3014" s="458">
        <f t="shared" ref="F3014:I3014" si="273">SUM(F3011:F3013)</f>
        <v>0.1</v>
      </c>
      <c r="G3014" s="458">
        <f t="shared" si="273"/>
        <v>0.1</v>
      </c>
      <c r="H3014" s="458">
        <f t="shared" si="273"/>
        <v>0.1</v>
      </c>
      <c r="I3014" s="458">
        <f t="shared" si="273"/>
        <v>0.1</v>
      </c>
      <c r="J3014" s="4" t="s">
        <v>3228</v>
      </c>
      <c r="K3014" s="574"/>
    </row>
    <row r="3015" spans="1:11">
      <c r="A3015" t="s">
        <v>623</v>
      </c>
      <c r="B3015" t="str">
        <f>nmProd1Seg3Rep3</f>
        <v>Rep Isabelle</v>
      </c>
      <c r="C3015" t="s">
        <v>1486</v>
      </c>
      <c r="E3015" s="387">
        <f>obalProd1Seg3Rep3InternalTime</f>
        <v>0.1</v>
      </c>
      <c r="F3015" s="387">
        <f>obalProd1Seg3Rep3InternalTime</f>
        <v>0.1</v>
      </c>
      <c r="G3015" s="387">
        <f>obalProd1Seg3Rep3InternalTime</f>
        <v>0.1</v>
      </c>
      <c r="H3015" s="387">
        <f>obalProd1Seg3Rep3InternalTime</f>
        <v>0.1</v>
      </c>
      <c r="I3015" s="387">
        <f>obalProd1Seg3Rep3InternalTime</f>
        <v>0.1</v>
      </c>
      <c r="K3015" s="225"/>
    </row>
    <row r="3016" spans="1:11">
      <c r="C3016" t="s">
        <v>585</v>
      </c>
      <c r="E3016" s="387">
        <f>decInputProd1Seg3Rep3Coaching_R2*$K3016</f>
        <v>0</v>
      </c>
      <c r="F3016" s="387">
        <f>decInputProd1Seg3Rep3Coaching_R2*$K3016</f>
        <v>0</v>
      </c>
      <c r="G3016" s="387">
        <f>decInputProd1Seg3Rep3Coaching_R2*$K3016</f>
        <v>0</v>
      </c>
      <c r="H3016" s="387">
        <f>decInputProd1Seg3Rep3Coaching_R2*$K3016</f>
        <v>0</v>
      </c>
      <c r="I3016" s="387">
        <f>decInputProd1Seg3Rep3Coaching_R2*$K3016</f>
        <v>0</v>
      </c>
      <c r="K3016" s="225">
        <v>5.0000000000000001E-3</v>
      </c>
    </row>
    <row r="3017" spans="1:11">
      <c r="C3017" t="s">
        <v>3211</v>
      </c>
      <c r="E3017" s="387">
        <f>decInputProd1Seg3RegTrainer_R2*$K3017</f>
        <v>0</v>
      </c>
      <c r="F3017" s="387">
        <f>decInputProd1Seg3RegTrainer_R2*$K3017</f>
        <v>0</v>
      </c>
      <c r="G3017" s="387">
        <f>decInputProd1Seg3RegTrainer_R2*$K3017</f>
        <v>0</v>
      </c>
      <c r="H3017" s="387">
        <f>decInputProd1Seg3RegTrainer_R2*$K3017</f>
        <v>0</v>
      </c>
      <c r="I3017" s="387">
        <f>decInputProd1Seg3RegTrainer_R2*$K3017</f>
        <v>0</v>
      </c>
      <c r="K3017" s="225">
        <v>0.01</v>
      </c>
    </row>
    <row r="3018" spans="1:11" s="4" customFormat="1">
      <c r="C3018" s="4" t="s">
        <v>1534</v>
      </c>
      <c r="E3018" s="458">
        <f>SUM(E3015:E3017)</f>
        <v>0.1</v>
      </c>
      <c r="F3018" s="458">
        <f t="shared" ref="F3018:I3018" si="274">SUM(F3015:F3017)</f>
        <v>0.1</v>
      </c>
      <c r="G3018" s="458">
        <f t="shared" si="274"/>
        <v>0.1</v>
      </c>
      <c r="H3018" s="458">
        <f t="shared" si="274"/>
        <v>0.1</v>
      </c>
      <c r="I3018" s="458">
        <f t="shared" si="274"/>
        <v>0.1</v>
      </c>
      <c r="J3018" s="4" t="s">
        <v>3229</v>
      </c>
      <c r="K3018" s="574"/>
    </row>
    <row r="3019" spans="1:11">
      <c r="E3019" s="387"/>
      <c r="F3019" s="387"/>
      <c r="G3019" s="387"/>
      <c r="H3019" s="387"/>
      <c r="I3019" s="387"/>
      <c r="K3019" s="225"/>
    </row>
    <row r="3020" spans="1:11">
      <c r="A3020" t="s">
        <v>3200</v>
      </c>
      <c r="E3020" s="387"/>
      <c r="F3020" s="387"/>
      <c r="G3020" s="387"/>
      <c r="H3020" s="387"/>
      <c r="I3020" s="387"/>
      <c r="K3020" s="225"/>
    </row>
    <row r="3021" spans="1:11">
      <c r="A3021" t="str">
        <f>nmReg1</f>
        <v>The Region</v>
      </c>
      <c r="E3021" s="387"/>
      <c r="F3021" s="387"/>
      <c r="G3021" s="387"/>
      <c r="H3021" s="387"/>
      <c r="I3021" s="387"/>
      <c r="K3021" s="225"/>
    </row>
    <row r="3022" spans="1:11">
      <c r="B3022" t="str">
        <f>nmReg1Seg1</f>
        <v>Riverrun</v>
      </c>
      <c r="C3022" t="s">
        <v>1486</v>
      </c>
      <c r="E3022" s="387">
        <f>obalReg1Seg1RepInternalTime</f>
        <v>0.1</v>
      </c>
      <c r="F3022" s="387">
        <f>obalReg1Seg1RepInternalTime</f>
        <v>0.1</v>
      </c>
      <c r="G3022" s="387">
        <f>obalReg1Seg1RepInternalTime</f>
        <v>0.1</v>
      </c>
      <c r="H3022" s="387">
        <f>obalReg1Seg1RepInternalTime</f>
        <v>0.1</v>
      </c>
      <c r="I3022" s="387">
        <f>obalReg1Seg1RepInternalTime</f>
        <v>0.1</v>
      </c>
      <c r="K3022" s="225"/>
    </row>
    <row r="3023" spans="1:11">
      <c r="C3023" t="s">
        <v>585</v>
      </c>
      <c r="E3023" s="387">
        <f>decInputReg1Seg1Rep1Coaching_R1*$K3023</f>
        <v>0</v>
      </c>
      <c r="F3023" s="387">
        <f>decInputReg1Seg1Rep1Coaching_R1*$K3023</f>
        <v>0</v>
      </c>
      <c r="G3023" s="387">
        <f>decInputReg1Seg1Rep1Coaching_R1*$K3023</f>
        <v>0</v>
      </c>
      <c r="H3023" s="387">
        <f>decInputReg1Seg1Rep1Coaching_R1*$K3023</f>
        <v>0</v>
      </c>
      <c r="I3023" s="387">
        <f>decInputReg1Seg1Rep1Coaching_R1*$K3023</f>
        <v>0</v>
      </c>
      <c r="K3023" s="225">
        <v>5.0000000000000001E-3</v>
      </c>
    </row>
    <row r="3024" spans="1:11">
      <c r="C3024" t="s">
        <v>3211</v>
      </c>
      <c r="E3024" s="387">
        <f>decInputReg1Seg1RegTrainer_R1*$K3024</f>
        <v>0</v>
      </c>
      <c r="F3024" s="387">
        <f>decInputReg1Seg1RegTrainer_R1*$K3024</f>
        <v>0</v>
      </c>
      <c r="G3024" s="387">
        <f>decInputReg1Seg1RegTrainer_R1*$K3024</f>
        <v>0</v>
      </c>
      <c r="H3024" s="387">
        <f>decInputReg1Seg1RegTrainer_R1*$K3024</f>
        <v>0</v>
      </c>
      <c r="I3024" s="387">
        <f>decInputReg1Seg1RegTrainer_R1*$K3024</f>
        <v>0</v>
      </c>
      <c r="K3024" s="225">
        <v>0.01</v>
      </c>
    </row>
    <row r="3025" spans="2:11" s="4" customFormat="1">
      <c r="C3025" s="4" t="s">
        <v>1534</v>
      </c>
      <c r="E3025" s="458">
        <f>SUM(E3022:E3024)</f>
        <v>0.1</v>
      </c>
      <c r="F3025" s="458">
        <f t="shared" ref="F3025" si="275">SUM(F3022:F3024)</f>
        <v>0.1</v>
      </c>
      <c r="G3025" s="458">
        <f t="shared" ref="G3025" si="276">SUM(G3022:G3024)</f>
        <v>0.1</v>
      </c>
      <c r="H3025" s="458">
        <f t="shared" ref="H3025" si="277">SUM(H3022:H3024)</f>
        <v>0.1</v>
      </c>
      <c r="I3025" s="458">
        <f t="shared" ref="I3025" si="278">SUM(I3022:I3024)</f>
        <v>0.1</v>
      </c>
      <c r="J3025" s="4" t="s">
        <v>3245</v>
      </c>
      <c r="K3025" s="574"/>
    </row>
    <row r="3026" spans="2:11">
      <c r="E3026" s="387"/>
      <c r="F3026" s="387"/>
      <c r="G3026" s="387"/>
      <c r="H3026" s="387"/>
      <c r="I3026" s="387"/>
      <c r="K3026" s="225"/>
    </row>
    <row r="3027" spans="2:11">
      <c r="B3027" t="str">
        <f>nmReg1Seg1</f>
        <v>Riverrun</v>
      </c>
      <c r="C3027" t="s">
        <v>1486</v>
      </c>
      <c r="E3027" s="387">
        <f>obalReg1Seg1RepInternalTime</f>
        <v>0.1</v>
      </c>
      <c r="F3027" s="387">
        <f>obalReg1Seg1RepInternalTime</f>
        <v>0.1</v>
      </c>
      <c r="G3027" s="387">
        <f>obalReg1Seg1RepInternalTime</f>
        <v>0.1</v>
      </c>
      <c r="H3027" s="387">
        <f>obalReg1Seg1RepInternalTime</f>
        <v>0.1</v>
      </c>
      <c r="I3027" s="387">
        <f>obalReg1Seg1RepInternalTime</f>
        <v>0.1</v>
      </c>
      <c r="K3027" s="225"/>
    </row>
    <row r="3028" spans="2:11">
      <c r="C3028" t="s">
        <v>585</v>
      </c>
      <c r="E3028" s="387">
        <f>decInputReg1Seg1Rep1Coaching_R2*$K3028</f>
        <v>0</v>
      </c>
      <c r="F3028" s="387">
        <f>decInputReg1Seg1Rep1Coaching_R2*$K3028</f>
        <v>0</v>
      </c>
      <c r="G3028" s="387">
        <f>decInputReg1Seg1Rep1Coaching_R2*$K3028</f>
        <v>0</v>
      </c>
      <c r="H3028" s="387">
        <f>decInputReg1Seg1Rep1Coaching_R2*$K3028</f>
        <v>0</v>
      </c>
      <c r="I3028" s="387">
        <f>decInputReg1Seg1Rep1Coaching_R2*$K3028</f>
        <v>0</v>
      </c>
      <c r="K3028" s="225">
        <v>5.0000000000000001E-3</v>
      </c>
    </row>
    <row r="3029" spans="2:11">
      <c r="C3029" t="s">
        <v>3211</v>
      </c>
      <c r="E3029" s="387">
        <f>decInputReg1Seg1RegTrainer_R2*$K3029</f>
        <v>0</v>
      </c>
      <c r="F3029" s="387">
        <f>decInputReg1Seg1RegTrainer_R2*$K3029</f>
        <v>0</v>
      </c>
      <c r="G3029" s="387">
        <f>decInputReg1Seg1RegTrainer_R2*$K3029</f>
        <v>0</v>
      </c>
      <c r="H3029" s="387">
        <f>decInputReg1Seg1RegTrainer_R2*$K3029</f>
        <v>0</v>
      </c>
      <c r="I3029" s="387">
        <f>decInputReg1Seg1RegTrainer_R2*$K3029</f>
        <v>0</v>
      </c>
      <c r="K3029" s="225">
        <v>0.01</v>
      </c>
    </row>
    <row r="3030" spans="2:11" s="4" customFormat="1">
      <c r="C3030" s="4" t="s">
        <v>1534</v>
      </c>
      <c r="E3030" s="458">
        <f>SUM(E3027:E3029)</f>
        <v>0.1</v>
      </c>
      <c r="F3030" s="458">
        <f t="shared" ref="F3030" si="279">SUM(F3027:F3029)</f>
        <v>0.1</v>
      </c>
      <c r="G3030" s="458">
        <f t="shared" ref="G3030" si="280">SUM(G3027:G3029)</f>
        <v>0.1</v>
      </c>
      <c r="H3030" s="458">
        <f t="shared" ref="H3030" si="281">SUM(H3027:H3029)</f>
        <v>0.1</v>
      </c>
      <c r="I3030" s="458">
        <f t="shared" ref="I3030" si="282">SUM(I3027:I3029)</f>
        <v>0.1</v>
      </c>
      <c r="J3030" s="4" t="s">
        <v>3246</v>
      </c>
      <c r="K3030" s="574"/>
    </row>
    <row r="3031" spans="2:11">
      <c r="E3031" s="387"/>
      <c r="F3031" s="387"/>
      <c r="G3031" s="387"/>
      <c r="H3031" s="387"/>
      <c r="I3031" s="387"/>
      <c r="K3031" s="225"/>
    </row>
    <row r="3032" spans="2:11">
      <c r="B3032" t="str">
        <f>nmReg1Seg2</f>
        <v>Winterfell</v>
      </c>
      <c r="C3032" t="s">
        <v>1486</v>
      </c>
      <c r="E3032" s="387">
        <f>obalReg1Seg2RepInternalTime</f>
        <v>0.1</v>
      </c>
      <c r="F3032" s="387">
        <f>obalReg1Seg2RepInternalTime</f>
        <v>0.1</v>
      </c>
      <c r="G3032" s="387">
        <f>obalReg1Seg2RepInternalTime</f>
        <v>0.1</v>
      </c>
      <c r="H3032" s="387">
        <f>obalReg1Seg2RepInternalTime</f>
        <v>0.1</v>
      </c>
      <c r="I3032" s="387">
        <f>obalReg1Seg2RepInternalTime</f>
        <v>0.1</v>
      </c>
      <c r="K3032" s="225"/>
    </row>
    <row r="3033" spans="2:11">
      <c r="C3033" t="s">
        <v>585</v>
      </c>
      <c r="E3033" s="387">
        <f>decInputReg1Seg2Rep1Coaching_R1*$K3033</f>
        <v>0</v>
      </c>
      <c r="F3033" s="387">
        <f>decInputReg1Seg2Rep1Coaching_R1*$K3033</f>
        <v>0</v>
      </c>
      <c r="G3033" s="387">
        <f>decInputReg1Seg2Rep1Coaching_R1*$K3033</f>
        <v>0</v>
      </c>
      <c r="H3033" s="387">
        <f>decInputReg1Seg2Rep1Coaching_R1*$K3033</f>
        <v>0</v>
      </c>
      <c r="I3033" s="387">
        <f>decInputReg1Seg2Rep1Coaching_R1*$K3033</f>
        <v>0</v>
      </c>
      <c r="K3033" s="225">
        <v>5.0000000000000001E-3</v>
      </c>
    </row>
    <row r="3034" spans="2:11">
      <c r="C3034" t="s">
        <v>3211</v>
      </c>
      <c r="E3034" s="387">
        <f>decInputReg1Seg2RegTrainer_R1*$K3034</f>
        <v>0</v>
      </c>
      <c r="F3034" s="387">
        <f>decInputReg1Seg2RegTrainer_R1*$K3034</f>
        <v>0</v>
      </c>
      <c r="G3034" s="387">
        <f>decInputReg1Seg2RegTrainer_R1*$K3034</f>
        <v>0</v>
      </c>
      <c r="H3034" s="387">
        <f>decInputReg1Seg2RegTrainer_R1*$K3034</f>
        <v>0</v>
      </c>
      <c r="I3034" s="387">
        <f>decInputReg1Seg2RegTrainer_R1*$K3034</f>
        <v>0</v>
      </c>
      <c r="K3034" s="225">
        <v>0.01</v>
      </c>
    </row>
    <row r="3035" spans="2:11" s="4" customFormat="1">
      <c r="C3035" s="4" t="s">
        <v>1534</v>
      </c>
      <c r="E3035" s="458">
        <f>SUM(E3032:E3034)</f>
        <v>0.1</v>
      </c>
      <c r="F3035" s="458">
        <f t="shared" ref="F3035" si="283">SUM(F3032:F3034)</f>
        <v>0.1</v>
      </c>
      <c r="G3035" s="458">
        <f t="shared" ref="G3035" si="284">SUM(G3032:G3034)</f>
        <v>0.1</v>
      </c>
      <c r="H3035" s="458">
        <f t="shared" ref="H3035" si="285">SUM(H3032:H3034)</f>
        <v>0.1</v>
      </c>
      <c r="I3035" s="458">
        <f t="shared" ref="I3035" si="286">SUM(I3032:I3034)</f>
        <v>0.1</v>
      </c>
      <c r="J3035" s="4" t="s">
        <v>3247</v>
      </c>
      <c r="K3035" s="574"/>
    </row>
    <row r="3036" spans="2:11">
      <c r="E3036" s="387"/>
      <c r="F3036" s="387"/>
      <c r="G3036" s="387"/>
      <c r="H3036" s="387"/>
      <c r="I3036" s="387"/>
      <c r="K3036" s="225"/>
    </row>
    <row r="3037" spans="2:11">
      <c r="B3037" t="str">
        <f>nmReg1Seg2</f>
        <v>Winterfell</v>
      </c>
      <c r="C3037" t="s">
        <v>1486</v>
      </c>
      <c r="E3037" s="387">
        <f>obalReg1Seg2RepInternalTime</f>
        <v>0.1</v>
      </c>
      <c r="F3037" s="387">
        <f>obalReg1Seg2RepInternalTime</f>
        <v>0.1</v>
      </c>
      <c r="G3037" s="387">
        <f>obalReg1Seg2RepInternalTime</f>
        <v>0.1</v>
      </c>
      <c r="H3037" s="387">
        <f>obalReg1Seg2RepInternalTime</f>
        <v>0.1</v>
      </c>
      <c r="I3037" s="387">
        <f>obalReg1Seg2RepInternalTime</f>
        <v>0.1</v>
      </c>
      <c r="K3037" s="225"/>
    </row>
    <row r="3038" spans="2:11">
      <c r="C3038" t="s">
        <v>585</v>
      </c>
      <c r="E3038" s="387">
        <f>decInputReg1Seg2Rep1Coaching_R2*$K3038</f>
        <v>0</v>
      </c>
      <c r="F3038" s="387">
        <f>decInputReg1Seg2Rep1Coaching_R2*$K3038</f>
        <v>0</v>
      </c>
      <c r="G3038" s="387">
        <f>decInputReg1Seg2Rep1Coaching_R2*$K3038</f>
        <v>0</v>
      </c>
      <c r="H3038" s="387">
        <f>decInputReg1Seg2Rep1Coaching_R2*$K3038</f>
        <v>0</v>
      </c>
      <c r="I3038" s="387">
        <f>decInputReg1Seg2Rep1Coaching_R2*$K3038</f>
        <v>0</v>
      </c>
      <c r="K3038" s="225">
        <v>5.0000000000000001E-3</v>
      </c>
    </row>
    <row r="3039" spans="2:11">
      <c r="C3039" t="s">
        <v>3211</v>
      </c>
      <c r="E3039" s="387">
        <f>decInputReg1Seg2RegTrainer_R2*$K3039</f>
        <v>0</v>
      </c>
      <c r="F3039" s="387">
        <f>decInputReg1Seg2RegTrainer_R2*$K3039</f>
        <v>0</v>
      </c>
      <c r="G3039" s="387">
        <f>decInputReg1Seg2RegTrainer_R2*$K3039</f>
        <v>0</v>
      </c>
      <c r="H3039" s="387">
        <f>decInputReg1Seg2RegTrainer_R2*$K3039</f>
        <v>0</v>
      </c>
      <c r="I3039" s="387">
        <f>decInputReg1Seg2RegTrainer_R2*$K3039</f>
        <v>0</v>
      </c>
      <c r="K3039" s="225">
        <v>0.01</v>
      </c>
    </row>
    <row r="3040" spans="2:11" s="4" customFormat="1">
      <c r="C3040" s="4" t="s">
        <v>1534</v>
      </c>
      <c r="E3040" s="458">
        <f>SUM(E3037:E3039)</f>
        <v>0.1</v>
      </c>
      <c r="F3040" s="458">
        <f t="shared" ref="F3040" si="287">SUM(F3037:F3039)</f>
        <v>0.1</v>
      </c>
      <c r="G3040" s="458">
        <f t="shared" ref="G3040" si="288">SUM(G3037:G3039)</f>
        <v>0.1</v>
      </c>
      <c r="H3040" s="458">
        <f t="shared" ref="H3040" si="289">SUM(H3037:H3039)</f>
        <v>0.1</v>
      </c>
      <c r="I3040" s="458">
        <f t="shared" ref="I3040" si="290">SUM(I3037:I3039)</f>
        <v>0.1</v>
      </c>
      <c r="J3040" s="4" t="s">
        <v>3248</v>
      </c>
      <c r="K3040" s="574"/>
    </row>
    <row r="3041" spans="1:14">
      <c r="E3041" s="387"/>
      <c r="F3041" s="387"/>
      <c r="G3041" s="387"/>
      <c r="H3041" s="387"/>
      <c r="I3041" s="387"/>
      <c r="K3041" s="225"/>
    </row>
    <row r="3042" spans="1:14">
      <c r="B3042" t="str">
        <f>nmReg1Seg3</f>
        <v>Harrenhal</v>
      </c>
      <c r="C3042" t="s">
        <v>1486</v>
      </c>
      <c r="E3042" s="387">
        <f>obalReg1Seg3RepInternalTime</f>
        <v>0.1</v>
      </c>
      <c r="F3042" s="387">
        <f>obalReg1Seg3RepInternalTime</f>
        <v>0.1</v>
      </c>
      <c r="G3042" s="387">
        <f>obalReg1Seg3RepInternalTime</f>
        <v>0.1</v>
      </c>
      <c r="H3042" s="387">
        <f>obalReg1Seg3RepInternalTime</f>
        <v>0.1</v>
      </c>
      <c r="I3042" s="387">
        <f>obalReg1Seg3RepInternalTime</f>
        <v>0.1</v>
      </c>
      <c r="K3042" s="225"/>
    </row>
    <row r="3043" spans="1:14">
      <c r="C3043" t="s">
        <v>585</v>
      </c>
      <c r="E3043" s="387">
        <f>decInputReg1Seg3Rep1Coaching_R1*$K3043</f>
        <v>0</v>
      </c>
      <c r="F3043" s="387">
        <f>decInputReg1Seg3Rep1Coaching_R1*$K3043</f>
        <v>0</v>
      </c>
      <c r="G3043" s="387">
        <f>decInputReg1Seg3Rep1Coaching_R1*$K3043</f>
        <v>0</v>
      </c>
      <c r="H3043" s="387">
        <f>decInputReg1Seg3Rep1Coaching_R1*$K3043</f>
        <v>0</v>
      </c>
      <c r="I3043" s="387">
        <f>decInputReg1Seg3Rep1Coaching_R1*$K3043</f>
        <v>0</v>
      </c>
      <c r="K3043" s="225">
        <v>5.0000000000000001E-3</v>
      </c>
    </row>
    <row r="3044" spans="1:14">
      <c r="C3044" t="s">
        <v>3211</v>
      </c>
      <c r="E3044" s="387">
        <f>decInputReg1Seg3RegTrainer_R1*$K3044</f>
        <v>0</v>
      </c>
      <c r="F3044" s="387">
        <f>decInputReg1Seg3RegTrainer_R1*$K3044</f>
        <v>0</v>
      </c>
      <c r="G3044" s="387">
        <f>decInputReg1Seg3RegTrainer_R1*$K3044</f>
        <v>0</v>
      </c>
      <c r="H3044" s="387">
        <f>decInputReg1Seg3RegTrainer_R1*$K3044</f>
        <v>0</v>
      </c>
      <c r="I3044" s="387">
        <f>decInputReg1Seg3RegTrainer_R1*$K3044</f>
        <v>0</v>
      </c>
      <c r="K3044" s="225">
        <v>0.01</v>
      </c>
    </row>
    <row r="3045" spans="1:14" s="4" customFormat="1">
      <c r="C3045" s="4" t="s">
        <v>1534</v>
      </c>
      <c r="E3045" s="458">
        <f>SUM(E3042:E3044)</f>
        <v>0.1</v>
      </c>
      <c r="F3045" s="458">
        <f t="shared" ref="F3045" si="291">SUM(F3042:F3044)</f>
        <v>0.1</v>
      </c>
      <c r="G3045" s="458">
        <f t="shared" ref="G3045" si="292">SUM(G3042:G3044)</f>
        <v>0.1</v>
      </c>
      <c r="H3045" s="458">
        <f t="shared" ref="H3045" si="293">SUM(H3042:H3044)</f>
        <v>0.1</v>
      </c>
      <c r="I3045" s="458">
        <f t="shared" ref="I3045" si="294">SUM(I3042:I3044)</f>
        <v>0.1</v>
      </c>
      <c r="J3045" s="4" t="s">
        <v>3249</v>
      </c>
      <c r="K3045" s="574"/>
    </row>
    <row r="3046" spans="1:14">
      <c r="E3046" s="387"/>
      <c r="F3046" s="387"/>
      <c r="G3046" s="387"/>
      <c r="H3046" s="387"/>
      <c r="I3046" s="387"/>
      <c r="K3046" s="225"/>
    </row>
    <row r="3047" spans="1:14">
      <c r="B3047" t="str">
        <f>nmReg1Seg3</f>
        <v>Harrenhal</v>
      </c>
      <c r="C3047" t="s">
        <v>1486</v>
      </c>
      <c r="E3047" s="387">
        <f>obalReg1Seg3RepInternalTime</f>
        <v>0.1</v>
      </c>
      <c r="F3047" s="387">
        <f>obalReg1Seg3RepInternalTime</f>
        <v>0.1</v>
      </c>
      <c r="G3047" s="387">
        <f>obalReg1Seg3RepInternalTime</f>
        <v>0.1</v>
      </c>
      <c r="H3047" s="387">
        <f>obalReg1Seg3RepInternalTime</f>
        <v>0.1</v>
      </c>
      <c r="I3047" s="387">
        <f>obalReg1Seg3RepInternalTime</f>
        <v>0.1</v>
      </c>
      <c r="K3047" s="225"/>
    </row>
    <row r="3048" spans="1:14">
      <c r="C3048" t="s">
        <v>585</v>
      </c>
      <c r="E3048" s="387">
        <f>decInputReg1Seg3Rep1Coaching_R2*$K3048</f>
        <v>0</v>
      </c>
      <c r="F3048" s="387">
        <f>decInputReg1Seg3Rep1Coaching_R2*$K3048</f>
        <v>0</v>
      </c>
      <c r="G3048" s="387">
        <f>decInputReg1Seg3Rep1Coaching_R2*$K3048</f>
        <v>0</v>
      </c>
      <c r="H3048" s="387">
        <f>decInputReg1Seg3Rep1Coaching_R2*$K3048</f>
        <v>0</v>
      </c>
      <c r="I3048" s="387">
        <f>decInputReg1Seg3Rep1Coaching_R2*$K3048</f>
        <v>0</v>
      </c>
      <c r="K3048" s="225">
        <v>5.0000000000000001E-3</v>
      </c>
    </row>
    <row r="3049" spans="1:14">
      <c r="C3049" t="s">
        <v>3211</v>
      </c>
      <c r="E3049" s="387">
        <f>decInputReg1Seg3RegTrainer_R2*$K3049</f>
        <v>0</v>
      </c>
      <c r="F3049" s="387">
        <f>decInputReg1Seg3RegTrainer_R2*$K3049</f>
        <v>0</v>
      </c>
      <c r="G3049" s="387">
        <f>decInputReg1Seg3RegTrainer_R2*$K3049</f>
        <v>0</v>
      </c>
      <c r="H3049" s="387">
        <f>decInputReg1Seg3RegTrainer_R2*$K3049</f>
        <v>0</v>
      </c>
      <c r="I3049" s="387">
        <f>decInputReg1Seg3RegTrainer_R2*$K3049</f>
        <v>0</v>
      </c>
      <c r="K3049" s="225">
        <v>0.01</v>
      </c>
    </row>
    <row r="3050" spans="1:14" s="4" customFormat="1">
      <c r="C3050" s="4" t="s">
        <v>1534</v>
      </c>
      <c r="E3050" s="458">
        <f>SUM(E3047:E3049)</f>
        <v>0.1</v>
      </c>
      <c r="F3050" s="458">
        <f t="shared" ref="F3050" si="295">SUM(F3047:F3049)</f>
        <v>0.1</v>
      </c>
      <c r="G3050" s="458">
        <f t="shared" ref="G3050" si="296">SUM(G3047:G3049)</f>
        <v>0.1</v>
      </c>
      <c r="H3050" s="458">
        <f t="shared" ref="H3050" si="297">SUM(H3047:H3049)</f>
        <v>0.1</v>
      </c>
      <c r="I3050" s="458">
        <f t="shared" ref="I3050" si="298">SUM(I3047:I3049)</f>
        <v>0.1</v>
      </c>
      <c r="J3050" s="4" t="s">
        <v>3250</v>
      </c>
      <c r="K3050" s="574"/>
    </row>
    <row r="3051" spans="1:14">
      <c r="K3051" s="225"/>
    </row>
    <row r="3052" spans="1:14">
      <c r="A3052" t="s">
        <v>3414</v>
      </c>
      <c r="C3052" t="s">
        <v>1488</v>
      </c>
      <c r="E3052" s="549">
        <f>calcReg1Seg1Rep1CapR1</f>
        <v>0.55000000000000004</v>
      </c>
      <c r="F3052" s="549">
        <f>calcReg1Seg1Rep1CapR1</f>
        <v>0.55000000000000004</v>
      </c>
      <c r="G3052" s="549">
        <f>calcReg1Seg1Rep1CapR1</f>
        <v>0.55000000000000004</v>
      </c>
      <c r="H3052" s="549">
        <f>calcReg1Seg1Rep1CapR1</f>
        <v>0.55000000000000004</v>
      </c>
      <c r="I3052" s="549">
        <f>calcReg1Seg1Rep1CapR1</f>
        <v>0.55000000000000004</v>
      </c>
      <c r="M3052" s="551">
        <v>0.6</v>
      </c>
      <c r="N3052" t="s">
        <v>2943</v>
      </c>
    </row>
    <row r="3053" spans="1:14">
      <c r="C3053" t="s">
        <v>2944</v>
      </c>
      <c r="E3053" s="381">
        <f>MIN(IF(E3052-xxRepThreshold&lt;0,E3052-xxRepThreshold,(E3052-xxRepThreshold)*(1-calcReg1Seg1Rep1InternalTimeR1)),xxRepMaxImpact)</f>
        <v>-4.9999999999999933E-2</v>
      </c>
      <c r="F3053" s="381">
        <f>MIN(IF(F3052-xxRepThreshold&lt;0,F3052-xxRepThreshold,(F3052-xxRepThreshold)*(1-calcReg1Seg1Rep1InternalTimeR1)),xxRepMaxImpact)</f>
        <v>-4.9999999999999933E-2</v>
      </c>
      <c r="G3053" s="381">
        <f>MIN(IF(G3052-xxRepThreshold&lt;0,G3052-xxRepThreshold,(G3052-xxRepThreshold)*(1-calcReg1Seg1Rep1InternalTimeR1)),xxRepMaxImpact)</f>
        <v>-4.9999999999999933E-2</v>
      </c>
      <c r="H3053" s="381">
        <f>MIN(IF(H3052-xxRepThreshold&lt;0,H3052-xxRepThreshold,(H3052-xxRepThreshold)*(1-calcReg1Seg1Rep1InternalTimeR1)),xxRepMaxImpact)</f>
        <v>-4.9999999999999933E-2</v>
      </c>
      <c r="I3053" s="381">
        <f>MIN(IF(I3052-xxRepThreshold&lt;0,I3052-xxRepThreshold,(I3052-xxRepThreshold)*(1-calcReg1Seg1Rep1InternalTimeR1)),xxRepMaxImpact)</f>
        <v>-4.9999999999999933E-2</v>
      </c>
      <c r="J3053" t="s">
        <v>3410</v>
      </c>
    </row>
    <row r="3054" spans="1:14">
      <c r="B3054" t="s">
        <v>2945</v>
      </c>
      <c r="C3054" t="str">
        <f>nmPayer1</f>
        <v>Blue Sword/Blue Shield</v>
      </c>
      <c r="E3054" s="511">
        <f>INDEX(datatblReg1Seg1Payer1,4,)</f>
        <v>1.5E-3</v>
      </c>
      <c r="F3054" s="511">
        <f>INDEX(datatblReg1Seg1Payer1,4,)</f>
        <v>1.5E-3</v>
      </c>
      <c r="G3054" s="511">
        <f>INDEX(datatblReg1Seg1Payer1,4,)</f>
        <v>1.5E-3</v>
      </c>
      <c r="H3054" s="511">
        <f>INDEX(datatblReg1Seg1Payer1,4,)</f>
        <v>1.5E-3</v>
      </c>
      <c r="I3054" s="511">
        <f>INDEX(datatblReg1Seg1Payer1,4,)</f>
        <v>1.5E-3</v>
      </c>
    </row>
    <row r="3055" spans="1:14">
      <c r="B3055" t="s">
        <v>2945</v>
      </c>
      <c r="C3055" t="str">
        <f>nmPayer2</f>
        <v>WesterAid</v>
      </c>
      <c r="E3055" s="511">
        <f>INDEX(datatblReg1Seg1Payer2,4,)</f>
        <v>2E-3</v>
      </c>
      <c r="F3055" s="511">
        <f>INDEX(datatblReg1Seg1Payer2,4,)</f>
        <v>2E-3</v>
      </c>
      <c r="G3055" s="511">
        <f>INDEX(datatblReg1Seg1Payer2,4,)</f>
        <v>2E-3</v>
      </c>
      <c r="H3055" s="511">
        <f>INDEX(datatblReg1Seg1Payer2,4,)</f>
        <v>2E-3</v>
      </c>
      <c r="I3055" s="511">
        <f>INDEX(datatblReg1Seg1Payer2,4,)</f>
        <v>2E-3</v>
      </c>
    </row>
    <row r="3056" spans="1:14">
      <c r="B3056" t="s">
        <v>2945</v>
      </c>
      <c r="C3056" t="str">
        <f>nmPayer3</f>
        <v>Dragon Health</v>
      </c>
      <c r="E3056" s="511">
        <f>INDEX(datatblReg1Seg1Payer3,4,)</f>
        <v>1.5E-3</v>
      </c>
      <c r="F3056" s="511">
        <f>INDEX(datatblReg1Seg1Payer3,4,)</f>
        <v>1.5E-3</v>
      </c>
      <c r="G3056" s="511">
        <f>INDEX(datatblReg1Seg1Payer3,4,)</f>
        <v>1.5E-3</v>
      </c>
      <c r="H3056" s="511">
        <f>INDEX(datatblReg1Seg1Payer3,4,)</f>
        <v>1.5E-3</v>
      </c>
      <c r="I3056" s="511">
        <f>INDEX(datatblReg1Seg1Payer3,4,)</f>
        <v>1.5E-3</v>
      </c>
    </row>
    <row r="3057" spans="1:14">
      <c r="E3057" s="552">
        <f t="shared" ref="E3057:I3059" si="299">calcReg1Seg1Rep1ImpactR1*E3054</f>
        <v>-7.4999999999999899E-5</v>
      </c>
      <c r="F3057" s="552">
        <f t="shared" si="299"/>
        <v>-7.4999999999999899E-5</v>
      </c>
      <c r="G3057" s="552">
        <f t="shared" si="299"/>
        <v>-7.4999999999999899E-5</v>
      </c>
      <c r="H3057" s="552">
        <f t="shared" si="299"/>
        <v>-7.4999999999999899E-5</v>
      </c>
      <c r="I3057" s="552">
        <f t="shared" si="299"/>
        <v>-7.4999999999999899E-5</v>
      </c>
      <c r="J3057" t="s">
        <v>3411</v>
      </c>
    </row>
    <row r="3058" spans="1:14">
      <c r="E3058" s="552">
        <f t="shared" si="299"/>
        <v>-9.9999999999999869E-5</v>
      </c>
      <c r="F3058" s="552">
        <f t="shared" si="299"/>
        <v>-9.9999999999999869E-5</v>
      </c>
      <c r="G3058" s="552">
        <f t="shared" si="299"/>
        <v>-9.9999999999999869E-5</v>
      </c>
      <c r="H3058" s="552">
        <f t="shared" si="299"/>
        <v>-9.9999999999999869E-5</v>
      </c>
      <c r="I3058" s="552">
        <f t="shared" si="299"/>
        <v>-9.9999999999999869E-5</v>
      </c>
      <c r="J3058" t="s">
        <v>3412</v>
      </c>
    </row>
    <row r="3059" spans="1:14">
      <c r="E3059" s="552">
        <f t="shared" si="299"/>
        <v>-7.4999999999999899E-5</v>
      </c>
      <c r="F3059" s="552">
        <f t="shared" si="299"/>
        <v>-7.4999999999999899E-5</v>
      </c>
      <c r="G3059" s="552">
        <f t="shared" si="299"/>
        <v>-7.4999999999999899E-5</v>
      </c>
      <c r="H3059" s="552">
        <f t="shared" si="299"/>
        <v>-7.4999999999999899E-5</v>
      </c>
      <c r="I3059" s="552">
        <f t="shared" si="299"/>
        <v>-7.4999999999999899E-5</v>
      </c>
      <c r="J3059" t="s">
        <v>3413</v>
      </c>
    </row>
    <row r="3060" spans="1:14">
      <c r="E3060" s="552"/>
      <c r="F3060" s="552"/>
      <c r="G3060" s="552"/>
      <c r="H3060" s="552"/>
      <c r="I3060" s="552"/>
    </row>
    <row r="3061" spans="1:14">
      <c r="A3061" t="s">
        <v>3414</v>
      </c>
      <c r="C3061" t="s">
        <v>1551</v>
      </c>
      <c r="E3061" s="549">
        <f>calcReg1Seg1Rep1CapR2</f>
        <v>0.55000000000000004</v>
      </c>
      <c r="F3061" s="549">
        <f>calcReg1Seg1Rep1CapR2</f>
        <v>0.55000000000000004</v>
      </c>
      <c r="G3061" s="549">
        <f>calcReg1Seg1Rep1CapR2</f>
        <v>0.55000000000000004</v>
      </c>
      <c r="H3061" s="549">
        <f>calcReg1Seg1Rep1CapR2</f>
        <v>0.55000000000000004</v>
      </c>
      <c r="I3061" s="549">
        <f>calcReg1Seg1Rep1CapR2</f>
        <v>0.55000000000000004</v>
      </c>
      <c r="M3061" s="551">
        <v>0.6</v>
      </c>
      <c r="N3061" t="s">
        <v>2943</v>
      </c>
    </row>
    <row r="3062" spans="1:14">
      <c r="C3062" t="s">
        <v>2944</v>
      </c>
      <c r="E3062" s="381">
        <f>IF(E3061-xxRepThreshold&lt;0,E3061-xxRepThreshold,(E3061-xxRepThreshold)*(1-calcReg1Seg1Rep1InternalTimeR1))</f>
        <v>-4.9999999999999933E-2</v>
      </c>
      <c r="F3062" s="381">
        <f>IF(F3061-xxRepThreshold&lt;0,F3061-xxRepThreshold,(F3061-xxRepThreshold)*(1-calcReg1Seg1Rep1InternalTimeR1))</f>
        <v>-4.9999999999999933E-2</v>
      </c>
      <c r="G3062" s="381">
        <f>IF(G3061-xxRepThreshold&lt;0,G3061-xxRepThreshold,(G3061-xxRepThreshold)*(1-calcReg1Seg1Rep1InternalTimeR1))</f>
        <v>-4.9999999999999933E-2</v>
      </c>
      <c r="H3062" s="381">
        <f>IF(H3061-xxRepThreshold&lt;0,H3061-xxRepThreshold,(H3061-xxRepThreshold)*(1-calcReg1Seg1Rep1InternalTimeR1))</f>
        <v>-4.9999999999999933E-2</v>
      </c>
      <c r="I3062" s="381">
        <f>IF(I3061-xxRepThreshold&lt;0,I3061-xxRepThreshold,(I3061-xxRepThreshold)*(1-calcReg1Seg1Rep1InternalTimeR1))</f>
        <v>-4.9999999999999933E-2</v>
      </c>
      <c r="J3062" t="s">
        <v>3415</v>
      </c>
    </row>
    <row r="3063" spans="1:14">
      <c r="B3063" t="s">
        <v>2945</v>
      </c>
      <c r="C3063" t="str">
        <f>nmPayer1</f>
        <v>Blue Sword/Blue Shield</v>
      </c>
      <c r="E3063" s="511">
        <f>INDEX(datatblReg1Seg1Payer1,4,)</f>
        <v>1.5E-3</v>
      </c>
      <c r="F3063" s="511">
        <f>INDEX(datatblReg1Seg1Payer1,4,)</f>
        <v>1.5E-3</v>
      </c>
      <c r="G3063" s="511">
        <f>INDEX(datatblReg1Seg1Payer1,4,)</f>
        <v>1.5E-3</v>
      </c>
      <c r="H3063" s="511">
        <f>INDEX(datatblReg1Seg1Payer1,4,)</f>
        <v>1.5E-3</v>
      </c>
      <c r="I3063" s="511">
        <f>INDEX(datatblReg1Seg1Payer1,4,)</f>
        <v>1.5E-3</v>
      </c>
    </row>
    <row r="3064" spans="1:14">
      <c r="B3064" t="s">
        <v>2945</v>
      </c>
      <c r="C3064" t="str">
        <f>nmPayer2</f>
        <v>WesterAid</v>
      </c>
      <c r="E3064" s="511">
        <f>INDEX(datatblReg1Seg1Payer2,4,)</f>
        <v>2E-3</v>
      </c>
      <c r="F3064" s="511">
        <f>INDEX(datatblReg1Seg1Payer2,4,)</f>
        <v>2E-3</v>
      </c>
      <c r="G3064" s="511">
        <f>INDEX(datatblReg1Seg1Payer2,4,)</f>
        <v>2E-3</v>
      </c>
      <c r="H3064" s="511">
        <f>INDEX(datatblReg1Seg1Payer2,4,)</f>
        <v>2E-3</v>
      </c>
      <c r="I3064" s="511">
        <f>INDEX(datatblReg1Seg1Payer2,4,)</f>
        <v>2E-3</v>
      </c>
    </row>
    <row r="3065" spans="1:14">
      <c r="B3065" t="s">
        <v>2945</v>
      </c>
      <c r="C3065" t="str">
        <f>nmPayer3</f>
        <v>Dragon Health</v>
      </c>
      <c r="E3065" s="511">
        <f>INDEX(datatblReg1Seg1Payer3,4,)</f>
        <v>1.5E-3</v>
      </c>
      <c r="F3065" s="511">
        <f>INDEX(datatblReg1Seg1Payer3,4,)</f>
        <v>1.5E-3</v>
      </c>
      <c r="G3065" s="511">
        <f>INDEX(datatblReg1Seg1Payer3,4,)</f>
        <v>1.5E-3</v>
      </c>
      <c r="H3065" s="511">
        <f>INDEX(datatblReg1Seg1Payer3,4,)</f>
        <v>1.5E-3</v>
      </c>
      <c r="I3065" s="511">
        <f>INDEX(datatblReg1Seg1Payer3,4,)</f>
        <v>1.5E-3</v>
      </c>
    </row>
    <row r="3066" spans="1:14">
      <c r="E3066" s="552">
        <f t="shared" ref="E3066:I3068" si="300">calcReg1Seg1Rep1ImpactR2*E3063</f>
        <v>-7.4999999999999899E-5</v>
      </c>
      <c r="F3066" s="552">
        <f t="shared" si="300"/>
        <v>-7.4999999999999899E-5</v>
      </c>
      <c r="G3066" s="552">
        <f t="shared" si="300"/>
        <v>-7.4999999999999899E-5</v>
      </c>
      <c r="H3066" s="552">
        <f t="shared" si="300"/>
        <v>-7.4999999999999899E-5</v>
      </c>
      <c r="I3066" s="552">
        <f t="shared" si="300"/>
        <v>-7.4999999999999899E-5</v>
      </c>
      <c r="J3066" t="s">
        <v>3432</v>
      </c>
    </row>
    <row r="3067" spans="1:14">
      <c r="E3067" s="552">
        <f t="shared" si="300"/>
        <v>-9.9999999999999869E-5</v>
      </c>
      <c r="F3067" s="552">
        <f t="shared" si="300"/>
        <v>-9.9999999999999869E-5</v>
      </c>
      <c r="G3067" s="552">
        <f t="shared" si="300"/>
        <v>-9.9999999999999869E-5</v>
      </c>
      <c r="H3067" s="552">
        <f t="shared" si="300"/>
        <v>-9.9999999999999869E-5</v>
      </c>
      <c r="I3067" s="552">
        <f t="shared" si="300"/>
        <v>-9.9999999999999869E-5</v>
      </c>
      <c r="J3067" t="s">
        <v>3416</v>
      </c>
    </row>
    <row r="3068" spans="1:14">
      <c r="E3068" s="552">
        <f t="shared" si="300"/>
        <v>-7.4999999999999899E-5</v>
      </c>
      <c r="F3068" s="552">
        <f t="shared" si="300"/>
        <v>-7.4999999999999899E-5</v>
      </c>
      <c r="G3068" s="552">
        <f t="shared" si="300"/>
        <v>-7.4999999999999899E-5</v>
      </c>
      <c r="H3068" s="552">
        <f t="shared" si="300"/>
        <v>-7.4999999999999899E-5</v>
      </c>
      <c r="I3068" s="552">
        <f t="shared" si="300"/>
        <v>-7.4999999999999899E-5</v>
      </c>
      <c r="J3068" t="s">
        <v>3417</v>
      </c>
    </row>
    <row r="3069" spans="1:14">
      <c r="E3069" s="552"/>
      <c r="F3069" s="552"/>
      <c r="G3069" s="552"/>
      <c r="H3069" s="552"/>
      <c r="I3069" s="552"/>
    </row>
    <row r="3070" spans="1:14">
      <c r="A3070" t="s">
        <v>3414</v>
      </c>
      <c r="C3070" t="s">
        <v>1488</v>
      </c>
      <c r="E3070" s="549">
        <f>calcReg1Seg2Rep1CapR1</f>
        <v>0.5</v>
      </c>
      <c r="F3070" s="549">
        <f>calcReg1Seg2Rep1CapR1</f>
        <v>0.5</v>
      </c>
      <c r="G3070" s="549">
        <f>calcReg1Seg2Rep1CapR1</f>
        <v>0.5</v>
      </c>
      <c r="H3070" s="549">
        <f>calcReg1Seg2Rep1CapR1</f>
        <v>0.5</v>
      </c>
      <c r="I3070" s="549">
        <f>calcReg1Seg2Rep1CapR1</f>
        <v>0.5</v>
      </c>
      <c r="M3070" s="551">
        <v>0.6</v>
      </c>
      <c r="N3070" t="s">
        <v>2943</v>
      </c>
    </row>
    <row r="3071" spans="1:14">
      <c r="C3071" t="s">
        <v>2944</v>
      </c>
      <c r="E3071" s="381">
        <f>IF(E3070-xxRepThreshold&lt;0,E3070-xxRepThreshold,(E3070-xxRepThreshold)*(1-calcReg1Seg2Rep1InternalTimeR1))</f>
        <v>-9.9999999999999978E-2</v>
      </c>
      <c r="F3071" s="381">
        <f>IF(F3070-xxRepThreshold&lt;0,F3070-xxRepThreshold,(F3070-xxRepThreshold)*(1-calcReg1Seg2Rep1InternalTimeR1))</f>
        <v>-9.9999999999999978E-2</v>
      </c>
      <c r="G3071" s="381">
        <f>IF(G3070-xxRepThreshold&lt;0,G3070-xxRepThreshold,(G3070-xxRepThreshold)*(1-calcReg1Seg2Rep1InternalTimeR1))</f>
        <v>-9.9999999999999978E-2</v>
      </c>
      <c r="H3071" s="381">
        <f>IF(H3070-xxRepThreshold&lt;0,H3070-xxRepThreshold,(H3070-xxRepThreshold)*(1-calcReg1Seg2Rep1InternalTimeR1))</f>
        <v>-9.9999999999999978E-2</v>
      </c>
      <c r="I3071" s="381">
        <f>IF(I3070-xxRepThreshold&lt;0,I3070-xxRepThreshold,(I3070-xxRepThreshold)*(1-calcReg1Seg2Rep1InternalTimeR1))</f>
        <v>-9.9999999999999978E-2</v>
      </c>
      <c r="J3071" t="s">
        <v>3418</v>
      </c>
    </row>
    <row r="3072" spans="1:14">
      <c r="B3072" t="s">
        <v>2945</v>
      </c>
      <c r="C3072" t="str">
        <f>nmPayer1</f>
        <v>Blue Sword/Blue Shield</v>
      </c>
      <c r="E3072" s="511">
        <f>INDEX(datatblReg1Seg2Payer1,4,)</f>
        <v>2E-3</v>
      </c>
      <c r="F3072" s="511">
        <f>INDEX(datatblReg1Seg2Payer1,4,)</f>
        <v>2E-3</v>
      </c>
      <c r="G3072" s="511">
        <f>INDEX(datatblReg1Seg2Payer1,4,)</f>
        <v>2E-3</v>
      </c>
      <c r="H3072" s="511">
        <f>INDEX(datatblReg1Seg2Payer1,4,)</f>
        <v>2E-3</v>
      </c>
      <c r="I3072" s="511">
        <f>INDEX(datatblReg1Seg2Payer1,4,)</f>
        <v>2E-3</v>
      </c>
    </row>
    <row r="3073" spans="1:14">
      <c r="B3073" t="s">
        <v>2945</v>
      </c>
      <c r="C3073" t="str">
        <f>nmPayer2</f>
        <v>WesterAid</v>
      </c>
      <c r="E3073" s="511">
        <f>INDEX(datatblReg1Seg2Payer2,4,)</f>
        <v>5.0000000000000001E-4</v>
      </c>
      <c r="F3073" s="511">
        <f>INDEX(datatblReg1Seg2Payer2,4,)</f>
        <v>5.0000000000000001E-4</v>
      </c>
      <c r="G3073" s="511">
        <f>INDEX(datatblReg1Seg2Payer2,4,)</f>
        <v>5.0000000000000001E-4</v>
      </c>
      <c r="H3073" s="511">
        <f>INDEX(datatblReg1Seg2Payer2,4,)</f>
        <v>5.0000000000000001E-4</v>
      </c>
      <c r="I3073" s="511">
        <f>INDEX(datatblReg1Seg2Payer2,4,)</f>
        <v>5.0000000000000001E-4</v>
      </c>
    </row>
    <row r="3074" spans="1:14">
      <c r="B3074" t="s">
        <v>2945</v>
      </c>
      <c r="C3074" t="str">
        <f>nmPayer3</f>
        <v>Dragon Health</v>
      </c>
      <c r="E3074" s="511">
        <f>INDEX(datatblReg1Seg2Payer3,4,)</f>
        <v>1.5E-3</v>
      </c>
      <c r="F3074" s="511">
        <f>INDEX(datatblReg1Seg2Payer3,4,)</f>
        <v>1.5E-3</v>
      </c>
      <c r="G3074" s="511">
        <f>INDEX(datatblReg1Seg2Payer3,4,)</f>
        <v>1.5E-3</v>
      </c>
      <c r="H3074" s="511">
        <f>INDEX(datatblReg1Seg2Payer3,4,)</f>
        <v>1.5E-3</v>
      </c>
      <c r="I3074" s="511">
        <f>INDEX(datatblReg1Seg2Payer3,4,)</f>
        <v>1.5E-3</v>
      </c>
    </row>
    <row r="3075" spans="1:14">
      <c r="E3075" s="552">
        <f t="shared" ref="E3075:I3077" si="301">calcReg1Seg2Rep1ImpactR1*E3072</f>
        <v>-1.9999999999999996E-4</v>
      </c>
      <c r="F3075" s="552">
        <f t="shared" si="301"/>
        <v>-1.9999999999999996E-4</v>
      </c>
      <c r="G3075" s="552">
        <f t="shared" si="301"/>
        <v>-1.9999999999999996E-4</v>
      </c>
      <c r="H3075" s="552">
        <f t="shared" si="301"/>
        <v>-1.9999999999999996E-4</v>
      </c>
      <c r="I3075" s="552">
        <f t="shared" si="301"/>
        <v>-1.9999999999999996E-4</v>
      </c>
      <c r="J3075" t="s">
        <v>3419</v>
      </c>
    </row>
    <row r="3076" spans="1:14">
      <c r="E3076" s="552">
        <f t="shared" si="301"/>
        <v>-4.9999999999999989E-5</v>
      </c>
      <c r="F3076" s="552">
        <f t="shared" si="301"/>
        <v>-4.9999999999999989E-5</v>
      </c>
      <c r="G3076" s="552">
        <f t="shared" si="301"/>
        <v>-4.9999999999999989E-5</v>
      </c>
      <c r="H3076" s="552">
        <f t="shared" si="301"/>
        <v>-4.9999999999999989E-5</v>
      </c>
      <c r="I3076" s="552">
        <f t="shared" si="301"/>
        <v>-4.9999999999999989E-5</v>
      </c>
      <c r="J3076" t="s">
        <v>3420</v>
      </c>
    </row>
    <row r="3077" spans="1:14">
      <c r="E3077" s="552">
        <f t="shared" si="301"/>
        <v>-1.4999999999999996E-4</v>
      </c>
      <c r="F3077" s="552">
        <f t="shared" si="301"/>
        <v>-1.4999999999999996E-4</v>
      </c>
      <c r="G3077" s="552">
        <f t="shared" si="301"/>
        <v>-1.4999999999999996E-4</v>
      </c>
      <c r="H3077" s="552">
        <f t="shared" si="301"/>
        <v>-1.4999999999999996E-4</v>
      </c>
      <c r="I3077" s="552">
        <f t="shared" si="301"/>
        <v>-1.4999999999999996E-4</v>
      </c>
      <c r="J3077" t="s">
        <v>3421</v>
      </c>
    </row>
    <row r="3079" spans="1:14">
      <c r="A3079" t="s">
        <v>3414</v>
      </c>
      <c r="C3079" t="s">
        <v>1551</v>
      </c>
      <c r="E3079" s="549">
        <f>calcReg1Seg2Rep1CapR2</f>
        <v>0.5</v>
      </c>
      <c r="F3079" s="549">
        <f>calcReg1Seg2Rep1CapR2</f>
        <v>0.5</v>
      </c>
      <c r="G3079" s="549">
        <f>calcReg1Seg2Rep1CapR2</f>
        <v>0.5</v>
      </c>
      <c r="H3079" s="549">
        <f>calcReg1Seg2Rep1CapR2</f>
        <v>0.5</v>
      </c>
      <c r="I3079" s="549">
        <f>calcReg1Seg2Rep1CapR2</f>
        <v>0.5</v>
      </c>
      <c r="M3079" s="551">
        <v>0.6</v>
      </c>
      <c r="N3079" t="s">
        <v>2943</v>
      </c>
    </row>
    <row r="3080" spans="1:14">
      <c r="C3080" t="s">
        <v>2944</v>
      </c>
      <c r="E3080" s="381">
        <f>IF(E3079-xxRepThreshold&lt;0,E3079-xxRepThreshold,(E3079-xxRepThreshold)*(1-calcReg1Seg2Rep1InternalTimeR1))</f>
        <v>-9.9999999999999978E-2</v>
      </c>
      <c r="F3080" s="381">
        <f>IF(F3079-xxRepThreshold&lt;0,F3079-xxRepThreshold,(F3079-xxRepThreshold)*(1-calcReg1Seg2Rep1InternalTimeR1))</f>
        <v>-9.9999999999999978E-2</v>
      </c>
      <c r="G3080" s="381">
        <f>IF(G3079-xxRepThreshold&lt;0,G3079-xxRepThreshold,(G3079-xxRepThreshold)*(1-calcReg1Seg2Rep1InternalTimeR1))</f>
        <v>-9.9999999999999978E-2</v>
      </c>
      <c r="H3080" s="381">
        <f>IF(H3079-xxRepThreshold&lt;0,H3079-xxRepThreshold,(H3079-xxRepThreshold)*(1-calcReg1Seg2Rep1InternalTimeR1))</f>
        <v>-9.9999999999999978E-2</v>
      </c>
      <c r="I3080" s="381">
        <f>IF(I3079-xxRepThreshold&lt;0,I3079-xxRepThreshold,(I3079-xxRepThreshold)*(1-calcReg1Seg2Rep1InternalTimeR1))</f>
        <v>-9.9999999999999978E-2</v>
      </c>
      <c r="J3080" t="s">
        <v>3422</v>
      </c>
    </row>
    <row r="3081" spans="1:14">
      <c r="B3081" t="s">
        <v>2945</v>
      </c>
      <c r="C3081" t="str">
        <f>nmPayer1</f>
        <v>Blue Sword/Blue Shield</v>
      </c>
      <c r="E3081" s="511">
        <f>INDEX(datatblReg1Seg2Payer1,4,)</f>
        <v>2E-3</v>
      </c>
      <c r="F3081" s="511">
        <f>INDEX(datatblReg1Seg2Payer1,4,)</f>
        <v>2E-3</v>
      </c>
      <c r="G3081" s="511">
        <f>INDEX(datatblReg1Seg2Payer1,4,)</f>
        <v>2E-3</v>
      </c>
      <c r="H3081" s="511">
        <f>INDEX(datatblReg1Seg2Payer1,4,)</f>
        <v>2E-3</v>
      </c>
      <c r="I3081" s="511">
        <f>INDEX(datatblReg1Seg2Payer1,4,)</f>
        <v>2E-3</v>
      </c>
    </row>
    <row r="3082" spans="1:14">
      <c r="B3082" t="s">
        <v>2945</v>
      </c>
      <c r="C3082" t="str">
        <f>nmPayer2</f>
        <v>WesterAid</v>
      </c>
      <c r="E3082" s="511">
        <f>INDEX(datatblReg1Seg2Payer2,4,)</f>
        <v>5.0000000000000001E-4</v>
      </c>
      <c r="F3082" s="511">
        <f>INDEX(datatblReg1Seg2Payer2,4,)</f>
        <v>5.0000000000000001E-4</v>
      </c>
      <c r="G3082" s="511">
        <f>INDEX(datatblReg1Seg2Payer2,4,)</f>
        <v>5.0000000000000001E-4</v>
      </c>
      <c r="H3082" s="511">
        <f>INDEX(datatblReg1Seg2Payer2,4,)</f>
        <v>5.0000000000000001E-4</v>
      </c>
      <c r="I3082" s="511">
        <f>INDEX(datatblReg1Seg2Payer2,4,)</f>
        <v>5.0000000000000001E-4</v>
      </c>
    </row>
    <row r="3083" spans="1:14">
      <c r="B3083" t="s">
        <v>2945</v>
      </c>
      <c r="C3083" t="str">
        <f>nmPayer3</f>
        <v>Dragon Health</v>
      </c>
      <c r="E3083" s="511">
        <f>INDEX(datatblReg1Seg2Payer3,4,)</f>
        <v>1.5E-3</v>
      </c>
      <c r="F3083" s="511">
        <f>INDEX(datatblReg1Seg2Payer3,4,)</f>
        <v>1.5E-3</v>
      </c>
      <c r="G3083" s="511">
        <f>INDEX(datatblReg1Seg2Payer3,4,)</f>
        <v>1.5E-3</v>
      </c>
      <c r="H3083" s="511">
        <f>INDEX(datatblReg1Seg2Payer3,4,)</f>
        <v>1.5E-3</v>
      </c>
      <c r="I3083" s="511">
        <f>INDEX(datatblReg1Seg2Payer3,4,)</f>
        <v>1.5E-3</v>
      </c>
    </row>
    <row r="3084" spans="1:14">
      <c r="E3084" s="552">
        <f t="shared" ref="E3084:I3086" si="302">calcReg1Seg2Rep1ImpactR2*E3081</f>
        <v>-1.9999999999999996E-4</v>
      </c>
      <c r="F3084" s="552">
        <f t="shared" si="302"/>
        <v>-1.9999999999999996E-4</v>
      </c>
      <c r="G3084" s="552">
        <f t="shared" si="302"/>
        <v>-1.9999999999999996E-4</v>
      </c>
      <c r="H3084" s="552">
        <f t="shared" si="302"/>
        <v>-1.9999999999999996E-4</v>
      </c>
      <c r="I3084" s="552">
        <f t="shared" si="302"/>
        <v>-1.9999999999999996E-4</v>
      </c>
      <c r="J3084" t="s">
        <v>3433</v>
      </c>
    </row>
    <row r="3085" spans="1:14">
      <c r="E3085" s="552">
        <f t="shared" si="302"/>
        <v>-4.9999999999999989E-5</v>
      </c>
      <c r="F3085" s="552">
        <f t="shared" si="302"/>
        <v>-4.9999999999999989E-5</v>
      </c>
      <c r="G3085" s="552">
        <f t="shared" si="302"/>
        <v>-4.9999999999999989E-5</v>
      </c>
      <c r="H3085" s="552">
        <f t="shared" si="302"/>
        <v>-4.9999999999999989E-5</v>
      </c>
      <c r="I3085" s="552">
        <f t="shared" si="302"/>
        <v>-4.9999999999999989E-5</v>
      </c>
      <c r="J3085" t="s">
        <v>3423</v>
      </c>
    </row>
    <row r="3086" spans="1:14">
      <c r="E3086" s="552">
        <f t="shared" si="302"/>
        <v>-1.4999999999999996E-4</v>
      </c>
      <c r="F3086" s="552">
        <f t="shared" si="302"/>
        <v>-1.4999999999999996E-4</v>
      </c>
      <c r="G3086" s="552">
        <f t="shared" si="302"/>
        <v>-1.4999999999999996E-4</v>
      </c>
      <c r="H3086" s="552">
        <f t="shared" si="302"/>
        <v>-1.4999999999999996E-4</v>
      </c>
      <c r="I3086" s="552">
        <f t="shared" si="302"/>
        <v>-1.4999999999999996E-4</v>
      </c>
      <c r="J3086" t="s">
        <v>3424</v>
      </c>
    </row>
    <row r="3087" spans="1:14">
      <c r="A3087" t="s">
        <v>3414</v>
      </c>
      <c r="C3087" t="s">
        <v>1488</v>
      </c>
      <c r="E3087" s="549">
        <f>calcReg1Seg3Rep1CapR1</f>
        <v>0.55000000000000004</v>
      </c>
      <c r="F3087" s="549">
        <f>calcReg1Seg3Rep1CapR1</f>
        <v>0.55000000000000004</v>
      </c>
      <c r="G3087" s="549">
        <f>calcReg1Seg3Rep1CapR1</f>
        <v>0.55000000000000004</v>
      </c>
      <c r="H3087" s="549">
        <f>calcReg1Seg3Rep1CapR1</f>
        <v>0.55000000000000004</v>
      </c>
      <c r="I3087" s="549">
        <f>calcReg1Seg3Rep1CapR1</f>
        <v>0.55000000000000004</v>
      </c>
      <c r="M3087" s="551">
        <v>0.6</v>
      </c>
      <c r="N3087" t="s">
        <v>2943</v>
      </c>
    </row>
    <row r="3088" spans="1:14">
      <c r="C3088" t="s">
        <v>2944</v>
      </c>
      <c r="E3088" s="381">
        <f>IF(E3087-xxRepThreshold&lt;0,E3087-xxRepThreshold,(E3087-xxRepThreshold)*(1-calcReg1Seg3Rep1InternalTimeR1))</f>
        <v>-4.9999999999999933E-2</v>
      </c>
      <c r="F3088" s="381">
        <f>IF(F3087-xxRepThreshold&lt;0,F3087-xxRepThreshold,(F3087-xxRepThreshold)*(1-calcReg1Seg3Rep1InternalTimeR1))</f>
        <v>-4.9999999999999933E-2</v>
      </c>
      <c r="G3088" s="381">
        <f>IF(G3087-xxRepThreshold&lt;0,G3087-xxRepThreshold,(G3087-xxRepThreshold)*(1-calcReg1Seg3Rep1InternalTimeR1))</f>
        <v>-4.9999999999999933E-2</v>
      </c>
      <c r="H3088" s="381">
        <f>IF(H3087-xxRepThreshold&lt;0,H3087-xxRepThreshold,(H3087-xxRepThreshold)*(1-calcReg1Seg3Rep1InternalTimeR1))</f>
        <v>-4.9999999999999933E-2</v>
      </c>
      <c r="I3088" s="381">
        <f>IF(I3087-xxRepThreshold&lt;0,I3087-xxRepThreshold,(I3087-xxRepThreshold)*(1-calcReg1Seg3Rep1InternalTimeR1))</f>
        <v>-4.9999999999999933E-2</v>
      </c>
      <c r="J3088" t="s">
        <v>3425</v>
      </c>
    </row>
    <row r="3089" spans="1:14">
      <c r="B3089" t="s">
        <v>2945</v>
      </c>
      <c r="C3089" t="str">
        <f>nmPayer1</f>
        <v>Blue Sword/Blue Shield</v>
      </c>
      <c r="E3089" s="511">
        <f>INDEX(datatblReg1Seg3Payer1,4,)</f>
        <v>1E-3</v>
      </c>
      <c r="F3089" s="511">
        <f>INDEX(datatblReg1Seg3Payer1,4,)</f>
        <v>1E-3</v>
      </c>
      <c r="G3089" s="511">
        <f>INDEX(datatblReg1Seg3Payer1,4,)</f>
        <v>1E-3</v>
      </c>
      <c r="H3089" s="511">
        <f>INDEX(datatblReg1Seg3Payer1,4,)</f>
        <v>1E-3</v>
      </c>
      <c r="I3089" s="511">
        <f>INDEX(datatblReg1Seg3Payer1,4,)</f>
        <v>1E-3</v>
      </c>
    </row>
    <row r="3090" spans="1:14">
      <c r="B3090" t="s">
        <v>2945</v>
      </c>
      <c r="C3090" t="str">
        <f>nmPayer2</f>
        <v>WesterAid</v>
      </c>
      <c r="E3090" s="511">
        <f>INDEX(datatblReg1Seg3Payer2,4,)</f>
        <v>1E-3</v>
      </c>
      <c r="F3090" s="511">
        <f>INDEX(datatblReg1Seg3Payer2,4,)</f>
        <v>1E-3</v>
      </c>
      <c r="G3090" s="511">
        <f>INDEX(datatblReg1Seg3Payer2,4,)</f>
        <v>1E-3</v>
      </c>
      <c r="H3090" s="511">
        <f>INDEX(datatblReg1Seg3Payer2,4,)</f>
        <v>1E-3</v>
      </c>
      <c r="I3090" s="511">
        <f>INDEX(datatblReg1Seg3Payer2,4,)</f>
        <v>1E-3</v>
      </c>
    </row>
    <row r="3091" spans="1:14">
      <c r="B3091" t="s">
        <v>2945</v>
      </c>
      <c r="C3091" t="str">
        <f>nmPayer3</f>
        <v>Dragon Health</v>
      </c>
      <c r="E3091" s="511">
        <f>INDEX(datatblReg1Seg3Payer3,4,)</f>
        <v>1E-3</v>
      </c>
      <c r="F3091" s="511">
        <f>INDEX(datatblReg1Seg3Payer3,4,)</f>
        <v>1E-3</v>
      </c>
      <c r="G3091" s="511">
        <f>INDEX(datatblReg1Seg3Payer3,4,)</f>
        <v>1E-3</v>
      </c>
      <c r="H3091" s="511">
        <f>INDEX(datatblReg1Seg3Payer3,4,)</f>
        <v>1E-3</v>
      </c>
      <c r="I3091" s="511">
        <f>INDEX(datatblReg1Seg3Payer3,4,)</f>
        <v>1E-3</v>
      </c>
    </row>
    <row r="3092" spans="1:14">
      <c r="E3092" s="552">
        <f t="shared" ref="E3092:I3094" si="303">calcReg1Seg3Rep1ImpactR1*E3089</f>
        <v>-4.9999999999999935E-5</v>
      </c>
      <c r="F3092" s="552">
        <f t="shared" si="303"/>
        <v>-4.9999999999999935E-5</v>
      </c>
      <c r="G3092" s="552">
        <f t="shared" si="303"/>
        <v>-4.9999999999999935E-5</v>
      </c>
      <c r="H3092" s="552">
        <f t="shared" si="303"/>
        <v>-4.9999999999999935E-5</v>
      </c>
      <c r="I3092" s="552">
        <f t="shared" si="303"/>
        <v>-4.9999999999999935E-5</v>
      </c>
      <c r="J3092" t="s">
        <v>3426</v>
      </c>
    </row>
    <row r="3093" spans="1:14">
      <c r="E3093" s="552">
        <f t="shared" si="303"/>
        <v>-4.9999999999999935E-5</v>
      </c>
      <c r="F3093" s="552">
        <f t="shared" si="303"/>
        <v>-4.9999999999999935E-5</v>
      </c>
      <c r="G3093" s="552">
        <f t="shared" si="303"/>
        <v>-4.9999999999999935E-5</v>
      </c>
      <c r="H3093" s="552">
        <f t="shared" si="303"/>
        <v>-4.9999999999999935E-5</v>
      </c>
      <c r="I3093" s="552">
        <f t="shared" si="303"/>
        <v>-4.9999999999999935E-5</v>
      </c>
      <c r="J3093" t="s">
        <v>3427</v>
      </c>
    </row>
    <row r="3094" spans="1:14">
      <c r="E3094" s="552">
        <f t="shared" si="303"/>
        <v>-4.9999999999999935E-5</v>
      </c>
      <c r="F3094" s="552">
        <f t="shared" si="303"/>
        <v>-4.9999999999999935E-5</v>
      </c>
      <c r="G3094" s="552">
        <f t="shared" si="303"/>
        <v>-4.9999999999999935E-5</v>
      </c>
      <c r="H3094" s="552">
        <f t="shared" si="303"/>
        <v>-4.9999999999999935E-5</v>
      </c>
      <c r="I3094" s="552">
        <f t="shared" si="303"/>
        <v>-4.9999999999999935E-5</v>
      </c>
      <c r="J3094" t="s">
        <v>3428</v>
      </c>
    </row>
    <row r="3096" spans="1:14">
      <c r="A3096" t="s">
        <v>3414</v>
      </c>
      <c r="C3096" t="s">
        <v>1551</v>
      </c>
      <c r="E3096" s="549">
        <f>calcReg1Seg3Rep1CapR2</f>
        <v>0.55000000000000004</v>
      </c>
      <c r="F3096" s="549">
        <f>calcReg1Seg3Rep1CapR2</f>
        <v>0.55000000000000004</v>
      </c>
      <c r="G3096" s="549">
        <f>calcReg1Seg3Rep1CapR2</f>
        <v>0.55000000000000004</v>
      </c>
      <c r="H3096" s="549">
        <f>calcReg1Seg3Rep1CapR2</f>
        <v>0.55000000000000004</v>
      </c>
      <c r="I3096" s="549">
        <f>calcReg1Seg3Rep1CapR2</f>
        <v>0.55000000000000004</v>
      </c>
      <c r="M3096" s="551">
        <v>0.6</v>
      </c>
      <c r="N3096" t="s">
        <v>2943</v>
      </c>
    </row>
    <row r="3097" spans="1:14">
      <c r="C3097" t="s">
        <v>2944</v>
      </c>
      <c r="E3097" s="381">
        <f>IF(E3096-xxRepThreshold&lt;0,E3096-xxRepThreshold,(E3096-xxRepThreshold)*(1-calcReg1Seg3Rep1InternalTimeR1))</f>
        <v>-4.9999999999999933E-2</v>
      </c>
      <c r="F3097" s="381">
        <f>IF(F3096-xxRepThreshold&lt;0,F3096-xxRepThreshold,(F3096-xxRepThreshold)*(1-calcReg1Seg3Rep1InternalTimeR1))</f>
        <v>-4.9999999999999933E-2</v>
      </c>
      <c r="G3097" s="381">
        <f>IF(G3096-xxRepThreshold&lt;0,G3096-xxRepThreshold,(G3096-xxRepThreshold)*(1-calcReg1Seg3Rep1InternalTimeR1))</f>
        <v>-4.9999999999999933E-2</v>
      </c>
      <c r="H3097" s="381">
        <f>IF(H3096-xxRepThreshold&lt;0,H3096-xxRepThreshold,(H3096-xxRepThreshold)*(1-calcReg1Seg3Rep1InternalTimeR1))</f>
        <v>-4.9999999999999933E-2</v>
      </c>
      <c r="I3097" s="381">
        <f>IF(I3096-xxRepThreshold&lt;0,I3096-xxRepThreshold,(I3096-xxRepThreshold)*(1-calcReg1Seg3Rep1InternalTimeR1))</f>
        <v>-4.9999999999999933E-2</v>
      </c>
      <c r="J3097" t="s">
        <v>3429</v>
      </c>
    </row>
    <row r="3098" spans="1:14">
      <c r="B3098" t="s">
        <v>2945</v>
      </c>
      <c r="C3098" t="str">
        <f>nmPayer1</f>
        <v>Blue Sword/Blue Shield</v>
      </c>
      <c r="E3098" s="511">
        <f>INDEX(datatblReg1Seg3Payer1,4,)</f>
        <v>1E-3</v>
      </c>
      <c r="F3098" s="511">
        <f>INDEX(datatblReg1Seg3Payer1,4,)</f>
        <v>1E-3</v>
      </c>
      <c r="G3098" s="511">
        <f>INDEX(datatblReg1Seg3Payer1,4,)</f>
        <v>1E-3</v>
      </c>
      <c r="H3098" s="511">
        <f>INDEX(datatblReg1Seg3Payer1,4,)</f>
        <v>1E-3</v>
      </c>
      <c r="I3098" s="511">
        <f>INDEX(datatblReg1Seg3Payer1,4,)</f>
        <v>1E-3</v>
      </c>
    </row>
    <row r="3099" spans="1:14">
      <c r="B3099" t="s">
        <v>2945</v>
      </c>
      <c r="C3099" t="str">
        <f>nmPayer2</f>
        <v>WesterAid</v>
      </c>
      <c r="E3099" s="511">
        <f>INDEX(datatblReg1Seg3Payer2,4,)</f>
        <v>1E-3</v>
      </c>
      <c r="F3099" s="511">
        <f>INDEX(datatblReg1Seg3Payer2,4,)</f>
        <v>1E-3</v>
      </c>
      <c r="G3099" s="511">
        <f>INDEX(datatblReg1Seg3Payer2,4,)</f>
        <v>1E-3</v>
      </c>
      <c r="H3099" s="511">
        <f>INDEX(datatblReg1Seg3Payer2,4,)</f>
        <v>1E-3</v>
      </c>
      <c r="I3099" s="511">
        <f>INDEX(datatblReg1Seg3Payer2,4,)</f>
        <v>1E-3</v>
      </c>
    </row>
    <row r="3100" spans="1:14">
      <c r="B3100" t="s">
        <v>2945</v>
      </c>
      <c r="C3100" t="str">
        <f>nmPayer3</f>
        <v>Dragon Health</v>
      </c>
      <c r="E3100" s="511">
        <f>INDEX(datatblReg1Seg3Payer3,4,)</f>
        <v>1E-3</v>
      </c>
      <c r="F3100" s="511">
        <f>INDEX(datatblReg1Seg3Payer3,4,)</f>
        <v>1E-3</v>
      </c>
      <c r="G3100" s="511">
        <f>INDEX(datatblReg1Seg3Payer3,4,)</f>
        <v>1E-3</v>
      </c>
      <c r="H3100" s="511">
        <f>INDEX(datatblReg1Seg3Payer3,4,)</f>
        <v>1E-3</v>
      </c>
      <c r="I3100" s="511">
        <f>INDEX(datatblReg1Seg3Payer3,4,)</f>
        <v>1E-3</v>
      </c>
    </row>
    <row r="3101" spans="1:14">
      <c r="E3101" s="552">
        <f t="shared" ref="E3101:I3103" si="304">calcReg1Seg3Rep1ImpactR2*E3098</f>
        <v>-4.9999999999999935E-5</v>
      </c>
      <c r="F3101" s="552">
        <f t="shared" si="304"/>
        <v>-4.9999999999999935E-5</v>
      </c>
      <c r="G3101" s="552">
        <f t="shared" si="304"/>
        <v>-4.9999999999999935E-5</v>
      </c>
      <c r="H3101" s="552">
        <f t="shared" si="304"/>
        <v>-4.9999999999999935E-5</v>
      </c>
      <c r="I3101" s="552">
        <f t="shared" si="304"/>
        <v>-4.9999999999999935E-5</v>
      </c>
      <c r="J3101" t="s">
        <v>3434</v>
      </c>
    </row>
    <row r="3102" spans="1:14">
      <c r="E3102" s="552">
        <f t="shared" si="304"/>
        <v>-4.9999999999999935E-5</v>
      </c>
      <c r="F3102" s="552">
        <f t="shared" si="304"/>
        <v>-4.9999999999999935E-5</v>
      </c>
      <c r="G3102" s="552">
        <f t="shared" si="304"/>
        <v>-4.9999999999999935E-5</v>
      </c>
      <c r="H3102" s="552">
        <f t="shared" si="304"/>
        <v>-4.9999999999999935E-5</v>
      </c>
      <c r="I3102" s="552">
        <f t="shared" si="304"/>
        <v>-4.9999999999999935E-5</v>
      </c>
      <c r="J3102" t="s">
        <v>3430</v>
      </c>
    </row>
    <row r="3103" spans="1:14">
      <c r="E3103" s="552">
        <f t="shared" si="304"/>
        <v>-4.9999999999999935E-5</v>
      </c>
      <c r="F3103" s="552">
        <f t="shared" si="304"/>
        <v>-4.9999999999999935E-5</v>
      </c>
      <c r="G3103" s="552">
        <f t="shared" si="304"/>
        <v>-4.9999999999999935E-5</v>
      </c>
      <c r="H3103" s="552">
        <f t="shared" si="304"/>
        <v>-4.9999999999999935E-5</v>
      </c>
      <c r="I3103" s="552">
        <f t="shared" si="304"/>
        <v>-4.9999999999999935E-5</v>
      </c>
      <c r="J3103" t="s">
        <v>3431</v>
      </c>
    </row>
    <row r="3106" spans="1:10">
      <c r="A3106" s="4" t="s">
        <v>3799</v>
      </c>
    </row>
    <row r="3107" spans="1:10">
      <c r="A3107" t="str">
        <f>nmProd1</f>
        <v>Riverrun</v>
      </c>
      <c r="C3107" t="str">
        <f>nmProd1Seg1</f>
        <v>Riverrun Central</v>
      </c>
      <c r="D3107" t="s">
        <v>585</v>
      </c>
      <c r="E3107">
        <f>(decInputProd1Seg1Rep1Coaching_R1+decInputProd1Seg1Rep2Coaching_R1+decInputProd1Seg1Rep3Coaching_R1)*dataProd1CoachingCost</f>
        <v>0</v>
      </c>
      <c r="F3107">
        <f>(decInputProd1Seg1Rep1Coaching_R1+decInputProd1Seg1Rep2Coaching_R1+decInputProd1Seg1Rep3Coaching_R1)*dataProd1CoachingCost</f>
        <v>0</v>
      </c>
      <c r="G3107">
        <f>(decInputProd1Seg1Rep1Coaching_R1+decInputProd1Seg1Rep2Coaching_R1+decInputProd1Seg1Rep3Coaching_R1)*dataProd1CoachingCost</f>
        <v>0</v>
      </c>
      <c r="H3107">
        <f>(decInputProd1Seg1Rep1Coaching_R1+decInputProd1Seg1Rep2Coaching_R1+decInputProd1Seg1Rep3Coaching_R1)*dataProd1CoachingCost</f>
        <v>0</v>
      </c>
      <c r="I3107">
        <f>(decInputProd1Seg1Rep1Coaching_R1+decInputProd1Seg1Rep2Coaching_R1+decInputProd1Seg1Rep3Coaching_R1)*dataProd1CoachingCost</f>
        <v>0</v>
      </c>
      <c r="J3107" t="s">
        <v>3800</v>
      </c>
    </row>
    <row r="3108" spans="1:10">
      <c r="C3108" t="str">
        <f>nmProd1Seg2</f>
        <v>Tullyville</v>
      </c>
      <c r="D3108" t="s">
        <v>585</v>
      </c>
      <c r="E3108">
        <f>(decInputProd1Seg2Rep1Coaching_R1+decInputProd1Seg2Rep2Coaching_R1+decInputProd1Seg2Rep3Coaching_R1)*dataProd1CoachingCost</f>
        <v>0</v>
      </c>
      <c r="F3108">
        <f>(decInputProd1Seg2Rep1Coaching_R1+decInputProd1Seg2Rep2Coaching_R1+decInputProd1Seg2Rep3Coaching_R1)*dataProd1CoachingCost</f>
        <v>0</v>
      </c>
      <c r="G3108">
        <f>(decInputProd1Seg2Rep1Coaching_R1+decInputProd1Seg2Rep2Coaching_R1+decInputProd1Seg2Rep3Coaching_R1)*dataProd1CoachingCost</f>
        <v>0</v>
      </c>
      <c r="H3108">
        <f>(decInputProd1Seg2Rep1Coaching_R1+decInputProd1Seg2Rep2Coaching_R1+decInputProd1Seg2Rep3Coaching_R1)*dataProd1CoachingCost</f>
        <v>0</v>
      </c>
      <c r="I3108">
        <f>(decInputProd1Seg2Rep1Coaching_R1+decInputProd1Seg2Rep2Coaching_R1+decInputProd1Seg2Rep3Coaching_R1)*dataProd1CoachingCost</f>
        <v>0</v>
      </c>
      <c r="J3108" t="s">
        <v>3801</v>
      </c>
    </row>
    <row r="3109" spans="1:10">
      <c r="C3109" t="str">
        <f>nmProd1Seg3</f>
        <v>Lordfrey City</v>
      </c>
      <c r="D3109" t="s">
        <v>585</v>
      </c>
      <c r="E3109">
        <f>(decInputProd1Seg3Rep1Coaching_R1+decInputProd1Seg3Rep2Coaching_R1+decInputProd1Seg3Rep3Coaching_R1)*dataProd1CoachingCost</f>
        <v>0</v>
      </c>
      <c r="F3109">
        <f>(decInputProd1Seg3Rep1Coaching_R1+decInputProd1Seg3Rep2Coaching_R1+decInputProd1Seg3Rep3Coaching_R1)*dataProd1CoachingCost</f>
        <v>0</v>
      </c>
      <c r="G3109">
        <f>(decInputProd1Seg3Rep1Coaching_R1+decInputProd1Seg3Rep2Coaching_R1+decInputProd1Seg3Rep3Coaching_R1)*dataProd1CoachingCost</f>
        <v>0</v>
      </c>
      <c r="H3109">
        <f>(decInputProd1Seg3Rep1Coaching_R1+decInputProd1Seg3Rep2Coaching_R1+decInputProd1Seg3Rep3Coaching_R1)*dataProd1CoachingCost</f>
        <v>0</v>
      </c>
      <c r="I3109">
        <f>(decInputProd1Seg3Rep1Coaching_R1+decInputProd1Seg3Rep2Coaching_R1+decInputProd1Seg3Rep3Coaching_R1)*dataProd1CoachingCost</f>
        <v>0</v>
      </c>
      <c r="J3109" t="s">
        <v>3802</v>
      </c>
    </row>
    <row r="3111" spans="1:10">
      <c r="C3111" t="str">
        <f>nmProd1Seg1</f>
        <v>Riverrun Central</v>
      </c>
      <c r="D3111" t="s">
        <v>585</v>
      </c>
      <c r="E3111">
        <f>(decInputProd1Seg1Rep1Coaching_R2+decInputProd1Seg1Rep2Coaching_R2+decInputProd1Seg1Rep3Coaching_R2)*dataProd1CoachingCost</f>
        <v>0</v>
      </c>
      <c r="F3111">
        <f>(decInputProd1Seg1Rep1Coaching_R2+decInputProd1Seg1Rep2Coaching_R2+decInputProd1Seg1Rep3Coaching_R2)*dataProd1CoachingCost</f>
        <v>0</v>
      </c>
      <c r="G3111">
        <f>(decInputProd1Seg1Rep1Coaching_R2+decInputProd1Seg1Rep2Coaching_R2+decInputProd1Seg1Rep3Coaching_R2)*dataProd1CoachingCost</f>
        <v>0</v>
      </c>
      <c r="H3111">
        <f>(decInputProd1Seg1Rep1Coaching_R2+decInputProd1Seg1Rep2Coaching_R2+decInputProd1Seg1Rep3Coaching_R2)*dataProd1CoachingCost</f>
        <v>0</v>
      </c>
      <c r="I3111">
        <f>(decInputProd1Seg1Rep1Coaching_R2+decInputProd1Seg1Rep2Coaching_R2+decInputProd1Seg1Rep3Coaching_R2)*dataProd1CoachingCost</f>
        <v>0</v>
      </c>
      <c r="J3111" t="s">
        <v>3803</v>
      </c>
    </row>
    <row r="3112" spans="1:10">
      <c r="C3112" t="str">
        <f>nmProd1Seg2</f>
        <v>Tullyville</v>
      </c>
      <c r="D3112" t="s">
        <v>585</v>
      </c>
      <c r="E3112">
        <f>(decInputProd1Seg2Rep1Coaching_R2+decInputProd1Seg2Rep2Coaching_R2+decInputProd1Seg2Rep3Coaching_R2)*dataProd1CoachingCost</f>
        <v>0</v>
      </c>
      <c r="F3112">
        <f>(decInputProd1Seg2Rep1Coaching_R2+decInputProd1Seg2Rep2Coaching_R2+decInputProd1Seg2Rep3Coaching_R2)*dataProd1CoachingCost</f>
        <v>0</v>
      </c>
      <c r="G3112">
        <f>(decInputProd1Seg2Rep1Coaching_R2+decInputProd1Seg2Rep2Coaching_R2+decInputProd1Seg2Rep3Coaching_R2)*dataProd1CoachingCost</f>
        <v>0</v>
      </c>
      <c r="H3112">
        <f>(decInputProd1Seg2Rep1Coaching_R2+decInputProd1Seg2Rep2Coaching_R2+decInputProd1Seg2Rep3Coaching_R2)*dataProd1CoachingCost</f>
        <v>0</v>
      </c>
      <c r="I3112">
        <f>(decInputProd1Seg2Rep1Coaching_R2+decInputProd1Seg2Rep2Coaching_R2+decInputProd1Seg2Rep3Coaching_R2)*dataProd1CoachingCost</f>
        <v>0</v>
      </c>
      <c r="J3112" t="s">
        <v>3804</v>
      </c>
    </row>
    <row r="3113" spans="1:10">
      <c r="C3113" t="str">
        <f>nmProd1Seg3</f>
        <v>Lordfrey City</v>
      </c>
      <c r="D3113" t="s">
        <v>585</v>
      </c>
      <c r="E3113">
        <f>(decInputProd1Seg3Rep1Coaching_R2+decInputProd1Seg3Rep2Coaching_R2+decInputProd1Seg3Rep3Coaching_R2)*dataProd1CoachingCost</f>
        <v>0</v>
      </c>
      <c r="F3113">
        <f>(decInputProd1Seg3Rep1Coaching_R2+decInputProd1Seg3Rep2Coaching_R2+decInputProd1Seg3Rep3Coaching_R2)*dataProd1CoachingCost</f>
        <v>0</v>
      </c>
      <c r="G3113">
        <f>(decInputProd1Seg3Rep1Coaching_R2+decInputProd1Seg3Rep2Coaching_R2+decInputProd1Seg3Rep3Coaching_R2)*dataProd1CoachingCost</f>
        <v>0</v>
      </c>
      <c r="H3113">
        <f>(decInputProd1Seg3Rep1Coaching_R2+decInputProd1Seg3Rep2Coaching_R2+decInputProd1Seg3Rep3Coaching_R2)*dataProd1CoachingCost</f>
        <v>0</v>
      </c>
      <c r="I3113">
        <f>(decInputProd1Seg3Rep1Coaching_R2+decInputProd1Seg3Rep2Coaching_R2+decInputProd1Seg3Rep3Coaching_R2)*dataProd1CoachingCost</f>
        <v>0</v>
      </c>
      <c r="J3113" t="s">
        <v>3805</v>
      </c>
    </row>
    <row r="3115" spans="1:10">
      <c r="A3115" s="4" t="str">
        <f>nmReg1</f>
        <v>The Region</v>
      </c>
      <c r="C3115" t="str">
        <f>nmReg1Seg1</f>
        <v>Riverrun</v>
      </c>
      <c r="D3115" t="s">
        <v>585</v>
      </c>
      <c r="E3115">
        <f>(decInputReg1Seg1Rep1Coaching_R1)*dataReg1CoachingCost</f>
        <v>0</v>
      </c>
      <c r="F3115">
        <f>(decInputReg1Seg1Rep1Coaching_R1)*dataReg1CoachingCost</f>
        <v>0</v>
      </c>
      <c r="G3115">
        <f>(decInputReg1Seg1Rep1Coaching_R1)*dataReg1CoachingCost</f>
        <v>0</v>
      </c>
      <c r="H3115">
        <f>(decInputReg1Seg1Rep1Coaching_R1)*dataReg1CoachingCost</f>
        <v>0</v>
      </c>
      <c r="I3115">
        <f>(decInputReg1Seg1Rep1Coaching_R1)*dataReg1CoachingCost</f>
        <v>0</v>
      </c>
      <c r="J3115" t="s">
        <v>3806</v>
      </c>
    </row>
    <row r="3116" spans="1:10">
      <c r="C3116" t="str">
        <f>nmReg1Seg2</f>
        <v>Winterfell</v>
      </c>
      <c r="D3116" t="s">
        <v>585</v>
      </c>
      <c r="E3116">
        <f>(decInputReg1Seg2Rep1Coaching_R1)*dataReg1CoachingCost</f>
        <v>0</v>
      </c>
      <c r="F3116">
        <f>(decInputReg1Seg2Rep1Coaching_R1)*dataReg1CoachingCost</f>
        <v>0</v>
      </c>
      <c r="G3116">
        <f>(decInputReg1Seg2Rep1Coaching_R1)*dataReg1CoachingCost</f>
        <v>0</v>
      </c>
      <c r="H3116">
        <f>(decInputReg1Seg2Rep1Coaching_R1)*dataReg1CoachingCost</f>
        <v>0</v>
      </c>
      <c r="I3116">
        <f>(decInputReg1Seg2Rep1Coaching_R1)*dataReg1CoachingCost</f>
        <v>0</v>
      </c>
      <c r="J3116" t="s">
        <v>3807</v>
      </c>
    </row>
    <row r="3117" spans="1:10">
      <c r="C3117" t="str">
        <f>nmReg1Seg3</f>
        <v>Harrenhal</v>
      </c>
      <c r="D3117" t="s">
        <v>585</v>
      </c>
      <c r="E3117">
        <f>(decInputReg1Seg3Rep1Coaching_R1)*dataReg1CoachingCost</f>
        <v>0</v>
      </c>
      <c r="F3117">
        <f>(decInputReg1Seg3Rep1Coaching_R1)*dataReg1CoachingCost</f>
        <v>0</v>
      </c>
      <c r="G3117">
        <f>(decInputReg1Seg3Rep1Coaching_R1)*dataReg1CoachingCost</f>
        <v>0</v>
      </c>
      <c r="H3117">
        <f>(decInputReg1Seg3Rep1Coaching_R1)*dataReg1CoachingCost</f>
        <v>0</v>
      </c>
      <c r="I3117">
        <f>(decInputReg1Seg3Rep1Coaching_R1)*dataReg1CoachingCost</f>
        <v>0</v>
      </c>
      <c r="J3117" t="s">
        <v>3808</v>
      </c>
    </row>
    <row r="3119" spans="1:10">
      <c r="C3119" t="str">
        <f>nmReg1Seg1</f>
        <v>Riverrun</v>
      </c>
      <c r="D3119" t="s">
        <v>585</v>
      </c>
      <c r="E3119">
        <f>(decInputReg1Seg1Rep1Coaching_R2)*dataReg1CoachingCost</f>
        <v>0</v>
      </c>
      <c r="F3119">
        <f>(decInputReg1Seg1Rep1Coaching_R2)*dataReg1CoachingCost</f>
        <v>0</v>
      </c>
      <c r="G3119">
        <f>(decInputReg1Seg1Rep1Coaching_R2)*dataReg1CoachingCost</f>
        <v>0</v>
      </c>
      <c r="H3119">
        <f>(decInputReg1Seg1Rep1Coaching_R2)*dataReg1CoachingCost</f>
        <v>0</v>
      </c>
      <c r="I3119">
        <f>(decInputReg1Seg1Rep1Coaching_R2)*dataReg1CoachingCost</f>
        <v>0</v>
      </c>
      <c r="J3119" t="s">
        <v>3809</v>
      </c>
    </row>
    <row r="3120" spans="1:10">
      <c r="C3120" t="str">
        <f>nmReg1Seg2</f>
        <v>Winterfell</v>
      </c>
      <c r="D3120" t="s">
        <v>585</v>
      </c>
      <c r="E3120">
        <f>(decInputReg1Seg2Rep1Coaching_R2)*dataReg1CoachingCost</f>
        <v>0</v>
      </c>
      <c r="F3120">
        <f>(decInputReg1Seg2Rep1Coaching_R2)*dataReg1CoachingCost</f>
        <v>0</v>
      </c>
      <c r="G3120">
        <f>(decInputReg1Seg2Rep1Coaching_R2)*dataReg1CoachingCost</f>
        <v>0</v>
      </c>
      <c r="H3120">
        <f>(decInputReg1Seg2Rep1Coaching_R2)*dataReg1CoachingCost</f>
        <v>0</v>
      </c>
      <c r="I3120">
        <f>(decInputReg1Seg2Rep1Coaching_R2)*dataReg1CoachingCost</f>
        <v>0</v>
      </c>
      <c r="J3120" t="s">
        <v>3810</v>
      </c>
    </row>
    <row r="3121" spans="1:10">
      <c r="C3121" t="str">
        <f>nmReg1Seg3</f>
        <v>Harrenhal</v>
      </c>
      <c r="D3121" t="s">
        <v>585</v>
      </c>
      <c r="E3121">
        <f>(decInputReg1Seg3Rep1Coaching_R2)*dataReg1CoachingCost</f>
        <v>0</v>
      </c>
      <c r="F3121">
        <f>(decInputReg1Seg3Rep1Coaching_R2)*dataReg1CoachingCost</f>
        <v>0</v>
      </c>
      <c r="G3121">
        <f>(decInputReg1Seg3Rep1Coaching_R2)*dataReg1CoachingCost</f>
        <v>0</v>
      </c>
      <c r="H3121">
        <f>(decInputReg1Seg3Rep1Coaching_R2)*dataReg1CoachingCost</f>
        <v>0</v>
      </c>
      <c r="I3121">
        <f>(decInputReg1Seg3Rep1Coaching_R2)*dataReg1CoachingCost</f>
        <v>0</v>
      </c>
      <c r="J3121" t="s">
        <v>3811</v>
      </c>
    </row>
    <row r="3122" spans="1:10">
      <c r="A3122" s="4" t="s">
        <v>3546</v>
      </c>
    </row>
    <row r="3123" spans="1:10">
      <c r="A3123" s="4" t="str">
        <f>nmProd1</f>
        <v>Riverrun</v>
      </c>
    </row>
    <row r="3124" spans="1:10">
      <c r="C3124" t="str">
        <f>nmProd1Seg1</f>
        <v>Riverrun Central</v>
      </c>
      <c r="D3124" t="s">
        <v>3547</v>
      </c>
      <c r="E3124">
        <f>decInputProd1Seg1RegTrainer_R1*dataProd1RegTrainCost</f>
        <v>0</v>
      </c>
      <c r="F3124">
        <f>decInputProd1Seg1RegTrainer_R1*dataProd1RegTrainCost</f>
        <v>0</v>
      </c>
      <c r="G3124">
        <f>decInputProd1Seg1RegTrainer_R1*dataProd1RegTrainCost</f>
        <v>0</v>
      </c>
      <c r="H3124">
        <f>decInputProd1Seg1RegTrainer_R1*dataProd1RegTrainCost</f>
        <v>0</v>
      </c>
      <c r="I3124">
        <f>decInputProd1Seg1RegTrainer_R1*dataProd1RegTrainCost</f>
        <v>0</v>
      </c>
      <c r="J3124" t="s">
        <v>3548</v>
      </c>
    </row>
    <row r="3125" spans="1:10">
      <c r="C3125" t="str">
        <f>nmProd1Seg2</f>
        <v>Tullyville</v>
      </c>
      <c r="D3125" t="s">
        <v>3547</v>
      </c>
      <c r="E3125">
        <f>decInputProd1Seg2RegTrainer_R1*dataProd1RegTrainCost</f>
        <v>0</v>
      </c>
      <c r="F3125">
        <f>decInputProd1Seg2RegTrainer_R1*dataProd1RegTrainCost</f>
        <v>0</v>
      </c>
      <c r="G3125">
        <f>decInputProd1Seg2RegTrainer_R1*dataProd1RegTrainCost</f>
        <v>0</v>
      </c>
      <c r="H3125">
        <f>decInputProd1Seg2RegTrainer_R1*dataProd1RegTrainCost</f>
        <v>0</v>
      </c>
      <c r="I3125">
        <f>decInputProd1Seg2RegTrainer_R1*dataProd1RegTrainCost</f>
        <v>0</v>
      </c>
      <c r="J3125" t="s">
        <v>3549</v>
      </c>
    </row>
    <row r="3126" spans="1:10">
      <c r="C3126" t="str">
        <f>nmProd1Seg3</f>
        <v>Lordfrey City</v>
      </c>
      <c r="D3126" t="s">
        <v>3547</v>
      </c>
      <c r="E3126">
        <f>decInputProd1Seg3RegTrainer_R1*dataProd1RegTrainCost</f>
        <v>0</v>
      </c>
      <c r="F3126">
        <f>decInputProd1Seg3RegTrainer_R1*dataProd1RegTrainCost</f>
        <v>0</v>
      </c>
      <c r="G3126">
        <f>decInputProd1Seg3RegTrainer_R1*dataProd1RegTrainCost</f>
        <v>0</v>
      </c>
      <c r="H3126">
        <f>decInputProd1Seg3RegTrainer_R1*dataProd1RegTrainCost</f>
        <v>0</v>
      </c>
      <c r="I3126">
        <f>decInputProd1Seg3RegTrainer_R1*dataProd1RegTrainCost</f>
        <v>0</v>
      </c>
      <c r="J3126" t="s">
        <v>3550</v>
      </c>
    </row>
    <row r="3128" spans="1:10">
      <c r="C3128" t="str">
        <f>nmProd1Seg1</f>
        <v>Riverrun Central</v>
      </c>
      <c r="D3128" t="s">
        <v>3547</v>
      </c>
      <c r="E3128">
        <f>decInputReg1Seg1RegTrainer_R2*dataProd1RegTrainCost</f>
        <v>0</v>
      </c>
      <c r="F3128">
        <f>decInputReg1Seg1RegTrainer_R2*dataProd1RegTrainCost</f>
        <v>0</v>
      </c>
      <c r="G3128">
        <f>decInputReg1Seg1RegTrainer_R2*dataProd1RegTrainCost</f>
        <v>0</v>
      </c>
      <c r="H3128">
        <f>decInputReg1Seg1RegTrainer_R2*dataProd1RegTrainCost</f>
        <v>0</v>
      </c>
      <c r="I3128">
        <f>decInputReg1Seg1RegTrainer_R2*dataProd1RegTrainCost</f>
        <v>0</v>
      </c>
      <c r="J3128" t="s">
        <v>3551</v>
      </c>
    </row>
    <row r="3129" spans="1:10">
      <c r="C3129" t="str">
        <f>nmProd1Seg2</f>
        <v>Tullyville</v>
      </c>
      <c r="D3129" t="s">
        <v>3547</v>
      </c>
      <c r="E3129">
        <f>decInputReg1Seg2RegTrainer_R2*dataProd1RegTrainCost</f>
        <v>0</v>
      </c>
      <c r="F3129">
        <f>decInputReg1Seg2RegTrainer_R2*dataProd1RegTrainCost</f>
        <v>0</v>
      </c>
      <c r="G3129">
        <f>decInputReg1Seg2RegTrainer_R2*dataProd1RegTrainCost</f>
        <v>0</v>
      </c>
      <c r="H3129">
        <f>decInputReg1Seg2RegTrainer_R2*dataProd1RegTrainCost</f>
        <v>0</v>
      </c>
      <c r="I3129">
        <f>decInputReg1Seg2RegTrainer_R2*dataProd1RegTrainCost</f>
        <v>0</v>
      </c>
      <c r="J3129" t="s">
        <v>3552</v>
      </c>
    </row>
    <row r="3130" spans="1:10">
      <c r="C3130" t="str">
        <f>nmProd1Seg3</f>
        <v>Lordfrey City</v>
      </c>
      <c r="D3130" t="s">
        <v>3547</v>
      </c>
      <c r="E3130">
        <f>decInputReg1Seg3RegTrainer_R2*dataProd1RegTrainCost</f>
        <v>0</v>
      </c>
      <c r="F3130">
        <f>decInputReg1Seg3RegTrainer_R2*dataProd1RegTrainCost</f>
        <v>0</v>
      </c>
      <c r="G3130">
        <f>decInputReg1Seg3RegTrainer_R2*dataProd1RegTrainCost</f>
        <v>0</v>
      </c>
      <c r="H3130">
        <f>decInputReg1Seg3RegTrainer_R2*dataProd1RegTrainCost</f>
        <v>0</v>
      </c>
      <c r="I3130">
        <f>decInputReg1Seg3RegTrainer_R2*dataProd1RegTrainCost</f>
        <v>0</v>
      </c>
      <c r="J3130" t="s">
        <v>3553</v>
      </c>
    </row>
    <row r="3132" spans="1:10">
      <c r="A3132" s="4" t="str">
        <f>nmReg1</f>
        <v>The Region</v>
      </c>
    </row>
    <row r="3133" spans="1:10">
      <c r="C3133" t="str">
        <f>nmReg1Seg1</f>
        <v>Riverrun</v>
      </c>
      <c r="D3133" t="s">
        <v>3547</v>
      </c>
      <c r="E3133">
        <f>decInputReg1Seg1RegTrainer_R1*dataReg1RegTrainCost</f>
        <v>0</v>
      </c>
      <c r="F3133">
        <f>decInputReg1Seg1RegTrainer_R1*dataReg1RegTrainCost</f>
        <v>0</v>
      </c>
      <c r="G3133">
        <f>decInputReg1Seg1RegTrainer_R1*dataReg1RegTrainCost</f>
        <v>0</v>
      </c>
      <c r="H3133">
        <f>decInputReg1Seg1RegTrainer_R1*dataReg1RegTrainCost</f>
        <v>0</v>
      </c>
      <c r="I3133">
        <f>decInputReg1Seg1RegTrainer_R1*dataReg1RegTrainCost</f>
        <v>0</v>
      </c>
      <c r="J3133" t="s">
        <v>3554</v>
      </c>
    </row>
    <row r="3134" spans="1:10">
      <c r="C3134" t="str">
        <f>nmReg1Seg2</f>
        <v>Winterfell</v>
      </c>
      <c r="D3134" t="s">
        <v>3547</v>
      </c>
      <c r="E3134">
        <f>decInputReg1Seg2RegTrainer_R1*dataReg1RegTrainCost</f>
        <v>0</v>
      </c>
      <c r="F3134">
        <f>decInputReg1Seg2RegTrainer_R1*dataReg1RegTrainCost</f>
        <v>0</v>
      </c>
      <c r="G3134">
        <f>decInputReg1Seg2RegTrainer_R1*dataReg1RegTrainCost</f>
        <v>0</v>
      </c>
      <c r="H3134">
        <f>decInputReg1Seg2RegTrainer_R1*dataReg1RegTrainCost</f>
        <v>0</v>
      </c>
      <c r="I3134">
        <f>decInputReg1Seg2RegTrainer_R1*dataReg1RegTrainCost</f>
        <v>0</v>
      </c>
      <c r="J3134" t="s">
        <v>3555</v>
      </c>
    </row>
    <row r="3135" spans="1:10">
      <c r="C3135" t="str">
        <f>nmReg1Seg3</f>
        <v>Harrenhal</v>
      </c>
      <c r="D3135" t="s">
        <v>3547</v>
      </c>
      <c r="E3135">
        <f>decInputReg1Seg3RegTrainer_R1*dataReg1RegTrainCost</f>
        <v>0</v>
      </c>
      <c r="F3135">
        <f>decInputReg1Seg3RegTrainer_R1*dataReg1RegTrainCost</f>
        <v>0</v>
      </c>
      <c r="G3135">
        <f>decInputReg1Seg3RegTrainer_R1*dataReg1RegTrainCost</f>
        <v>0</v>
      </c>
      <c r="H3135">
        <f>decInputReg1Seg3RegTrainer_R1*dataReg1RegTrainCost</f>
        <v>0</v>
      </c>
      <c r="I3135">
        <f>decInputReg1Seg3RegTrainer_R1*dataReg1RegTrainCost</f>
        <v>0</v>
      </c>
      <c r="J3135" t="s">
        <v>3556</v>
      </c>
    </row>
    <row r="3137" spans="1:10">
      <c r="C3137" t="str">
        <f>nmReg1Seg1</f>
        <v>Riverrun</v>
      </c>
      <c r="D3137" t="s">
        <v>3547</v>
      </c>
      <c r="E3137">
        <f>decInputReg1Seg1RegTrainer_R2*dataReg1RegTrainCost</f>
        <v>0</v>
      </c>
      <c r="F3137">
        <f>decInputReg1Seg1RegTrainer_R2*dataReg1RegTrainCost</f>
        <v>0</v>
      </c>
      <c r="G3137">
        <f>decInputReg1Seg1RegTrainer_R2*dataReg1RegTrainCost</f>
        <v>0</v>
      </c>
      <c r="H3137">
        <f>decInputReg1Seg1RegTrainer_R2*dataReg1RegTrainCost</f>
        <v>0</v>
      </c>
      <c r="I3137">
        <f>decInputReg1Seg1RegTrainer_R2*dataReg1RegTrainCost</f>
        <v>0</v>
      </c>
      <c r="J3137" t="s">
        <v>3557</v>
      </c>
    </row>
    <row r="3138" spans="1:10">
      <c r="C3138" t="str">
        <f>nmReg1Seg2</f>
        <v>Winterfell</v>
      </c>
      <c r="D3138" t="s">
        <v>3547</v>
      </c>
      <c r="E3138">
        <f>decInputReg1Seg2RegTrainer_R2*dataReg1RegTrainCost</f>
        <v>0</v>
      </c>
      <c r="F3138">
        <f>decInputReg1Seg2RegTrainer_R2*dataReg1RegTrainCost</f>
        <v>0</v>
      </c>
      <c r="G3138">
        <f>decInputReg1Seg2RegTrainer_R2*dataReg1RegTrainCost</f>
        <v>0</v>
      </c>
      <c r="H3138">
        <f>decInputReg1Seg2RegTrainer_R2*dataReg1RegTrainCost</f>
        <v>0</v>
      </c>
      <c r="I3138">
        <f>decInputReg1Seg2RegTrainer_R2*dataReg1RegTrainCost</f>
        <v>0</v>
      </c>
      <c r="J3138" t="s">
        <v>3558</v>
      </c>
    </row>
    <row r="3139" spans="1:10">
      <c r="C3139" t="str">
        <f>nmReg1Seg3</f>
        <v>Harrenhal</v>
      </c>
      <c r="D3139" t="s">
        <v>3547</v>
      </c>
      <c r="E3139">
        <f>decInputReg1Seg3RegTrainer_R2*dataReg1RegTrainCost</f>
        <v>0</v>
      </c>
      <c r="F3139">
        <f>decInputReg1Seg3RegTrainer_R2*dataReg1RegTrainCost</f>
        <v>0</v>
      </c>
      <c r="G3139">
        <f>decInputReg1Seg3RegTrainer_R2*dataReg1RegTrainCost</f>
        <v>0</v>
      </c>
      <c r="H3139">
        <f>decInputReg1Seg3RegTrainer_R2*dataReg1RegTrainCost</f>
        <v>0</v>
      </c>
      <c r="I3139">
        <f>decInputReg1Seg3RegTrainer_R2*dataReg1RegTrainCost</f>
        <v>0</v>
      </c>
      <c r="J3139" t="s">
        <v>3559</v>
      </c>
    </row>
    <row r="3141" spans="1:10">
      <c r="A3141" s="4" t="s">
        <v>3812</v>
      </c>
    </row>
    <row r="3142" spans="1:10">
      <c r="A3142" s="4" t="str">
        <f>nmProd1</f>
        <v>Riverrun</v>
      </c>
      <c r="C3142" t="str">
        <f>nmProd1Seg1</f>
        <v>Riverrun Central</v>
      </c>
      <c r="E3142">
        <f>calcProd1Seg1CoachingCostR1+calcProd1Seg1RegTrainCostR1</f>
        <v>0</v>
      </c>
      <c r="F3142">
        <f>calcProd1Seg1CoachingCostR1+calcProd1Seg1RegTrainCostR1</f>
        <v>0</v>
      </c>
      <c r="G3142">
        <f>calcProd1Seg1CoachingCostR1+calcProd1Seg1RegTrainCostR1</f>
        <v>0</v>
      </c>
      <c r="H3142">
        <f>calcProd1Seg1CoachingCostR1+calcProd1Seg1RegTrainCostR1</f>
        <v>0</v>
      </c>
      <c r="I3142">
        <f>calcProd1Seg1CoachingCostR1+calcProd1Seg1RegTrainCostR1</f>
        <v>0</v>
      </c>
      <c r="J3142" t="s">
        <v>3813</v>
      </c>
    </row>
    <row r="3143" spans="1:10">
      <c r="C3143" t="str">
        <f>nmProd1Seg2</f>
        <v>Tullyville</v>
      </c>
      <c r="E3143">
        <f>calcProd1Seg2CoachingCostR1+calcProd1Seg2RegTrainCostR1</f>
        <v>0</v>
      </c>
      <c r="F3143">
        <f>calcProd1Seg2CoachingCostR1+calcProd1Seg2RegTrainCostR1</f>
        <v>0</v>
      </c>
      <c r="G3143">
        <f>calcProd1Seg2CoachingCostR1+calcProd1Seg2RegTrainCostR1</f>
        <v>0</v>
      </c>
      <c r="H3143">
        <f>calcProd1Seg2CoachingCostR1+calcProd1Seg2RegTrainCostR1</f>
        <v>0</v>
      </c>
      <c r="I3143">
        <f>calcProd1Seg2CoachingCostR1+calcProd1Seg2RegTrainCostR1</f>
        <v>0</v>
      </c>
      <c r="J3143" t="s">
        <v>3814</v>
      </c>
    </row>
    <row r="3144" spans="1:10">
      <c r="C3144" t="str">
        <f>nmProd1Seg3</f>
        <v>Lordfrey City</v>
      </c>
      <c r="E3144">
        <f>calcProd1Seg3CoachingCostR1+calcProd1Seg3RegTrainCostR1</f>
        <v>0</v>
      </c>
      <c r="F3144">
        <f>calcProd1Seg3CoachingCostR1+calcProd1Seg3RegTrainCostR1</f>
        <v>0</v>
      </c>
      <c r="G3144">
        <f>calcProd1Seg3CoachingCostR1+calcProd1Seg3RegTrainCostR1</f>
        <v>0</v>
      </c>
      <c r="H3144">
        <f>calcProd1Seg3CoachingCostR1+calcProd1Seg3RegTrainCostR1</f>
        <v>0</v>
      </c>
      <c r="I3144">
        <f>calcProd1Seg3CoachingCostR1+calcProd1Seg3RegTrainCostR1</f>
        <v>0</v>
      </c>
      <c r="J3144" t="s">
        <v>3815</v>
      </c>
    </row>
    <row r="3146" spans="1:10">
      <c r="A3146" s="4" t="str">
        <f>nmProd1</f>
        <v>Riverrun</v>
      </c>
      <c r="C3146" t="str">
        <f>nmProd1Seg1</f>
        <v>Riverrun Central</v>
      </c>
      <c r="E3146">
        <f>calcProd1Seg1CoachingCostR2+calcProd1Seg1RegTrainCostR2</f>
        <v>0</v>
      </c>
      <c r="F3146">
        <f>calcProd1Seg1CoachingCostR2+calcProd1Seg1RegTrainCostR2</f>
        <v>0</v>
      </c>
      <c r="G3146">
        <f>calcProd1Seg1CoachingCostR2+calcProd1Seg1RegTrainCostR2</f>
        <v>0</v>
      </c>
      <c r="H3146">
        <f>calcProd1Seg1CoachingCostR2+calcProd1Seg1RegTrainCostR2</f>
        <v>0</v>
      </c>
      <c r="I3146">
        <f>calcProd1Seg1CoachingCostR2+calcProd1Seg1RegTrainCostR2</f>
        <v>0</v>
      </c>
      <c r="J3146" t="s">
        <v>3816</v>
      </c>
    </row>
    <row r="3147" spans="1:10">
      <c r="C3147" t="str">
        <f>nmProd1Seg2</f>
        <v>Tullyville</v>
      </c>
      <c r="E3147">
        <f>calcProd1Seg2CoachingCostR2+calcProd1Seg2RegTrainCostR2</f>
        <v>0</v>
      </c>
      <c r="F3147">
        <f>calcProd1Seg2CoachingCostR2+calcProd1Seg2RegTrainCostR2</f>
        <v>0</v>
      </c>
      <c r="G3147">
        <f>calcProd1Seg2CoachingCostR2+calcProd1Seg2RegTrainCostR2</f>
        <v>0</v>
      </c>
      <c r="H3147">
        <f>calcProd1Seg2CoachingCostR2+calcProd1Seg2RegTrainCostR2</f>
        <v>0</v>
      </c>
      <c r="I3147">
        <f>calcProd1Seg2CoachingCostR2+calcProd1Seg2RegTrainCostR2</f>
        <v>0</v>
      </c>
      <c r="J3147" t="s">
        <v>3817</v>
      </c>
    </row>
    <row r="3148" spans="1:10">
      <c r="C3148" t="str">
        <f>nmProd1Seg3</f>
        <v>Lordfrey City</v>
      </c>
      <c r="E3148">
        <f>calcProd1Seg3CoachingCostR2+calcProd1Seg3RegTrainCostR2</f>
        <v>0</v>
      </c>
      <c r="F3148">
        <f>calcProd1Seg3CoachingCostR2+calcProd1Seg3RegTrainCostR2</f>
        <v>0</v>
      </c>
      <c r="G3148">
        <f>calcProd1Seg3CoachingCostR2+calcProd1Seg3RegTrainCostR2</f>
        <v>0</v>
      </c>
      <c r="H3148">
        <f>calcProd1Seg3CoachingCostR2+calcProd1Seg3RegTrainCostR2</f>
        <v>0</v>
      </c>
      <c r="I3148">
        <f>calcProd1Seg3CoachingCostR2+calcProd1Seg3RegTrainCostR2</f>
        <v>0</v>
      </c>
      <c r="J3148" t="s">
        <v>3818</v>
      </c>
    </row>
    <row r="3150" spans="1:10">
      <c r="A3150" s="4" t="str">
        <f>nmReg1</f>
        <v>The Region</v>
      </c>
      <c r="C3150" t="str">
        <f>nmReg1Seg1</f>
        <v>Riverrun</v>
      </c>
      <c r="E3150">
        <f>calcReg1Seg1CoachingCostR1+calcReg1Seg1RegTrainCostR1</f>
        <v>0</v>
      </c>
      <c r="F3150">
        <f>calcReg1Seg1CoachingCostR1+calcReg1Seg1RegTrainCostR1</f>
        <v>0</v>
      </c>
      <c r="G3150">
        <f>calcReg1Seg1CoachingCostR1+calcReg1Seg1RegTrainCostR1</f>
        <v>0</v>
      </c>
      <c r="H3150">
        <f>calcReg1Seg1CoachingCostR1+calcReg1Seg1RegTrainCostR1</f>
        <v>0</v>
      </c>
      <c r="I3150">
        <f>calcReg1Seg1CoachingCostR1+calcReg1Seg1RegTrainCostR1</f>
        <v>0</v>
      </c>
      <c r="J3150" t="s">
        <v>3819</v>
      </c>
    </row>
    <row r="3151" spans="1:10">
      <c r="C3151" t="str">
        <f>nmReg1Seg2</f>
        <v>Winterfell</v>
      </c>
      <c r="E3151">
        <f>calcReg1Seg2CoachingCostR1+calcReg1Seg2RegTrainCostR1</f>
        <v>0</v>
      </c>
      <c r="F3151">
        <f>calcReg1Seg2CoachingCostR1+calcReg1Seg2RegTrainCostR1</f>
        <v>0</v>
      </c>
      <c r="G3151">
        <f>calcReg1Seg2CoachingCostR1+calcReg1Seg2RegTrainCostR1</f>
        <v>0</v>
      </c>
      <c r="H3151">
        <f>calcReg1Seg2CoachingCostR1+calcReg1Seg2RegTrainCostR1</f>
        <v>0</v>
      </c>
      <c r="I3151">
        <f>calcReg1Seg2CoachingCostR1+calcReg1Seg2RegTrainCostR1</f>
        <v>0</v>
      </c>
      <c r="J3151" t="s">
        <v>3820</v>
      </c>
    </row>
    <row r="3152" spans="1:10">
      <c r="C3152" t="str">
        <f>nmReg1Seg3</f>
        <v>Harrenhal</v>
      </c>
      <c r="E3152">
        <f>calcReg1Seg3CoachingCostR1+calcReg1Seg3RegTrainCostR1</f>
        <v>0</v>
      </c>
      <c r="F3152">
        <f>calcReg1Seg3CoachingCostR1+calcReg1Seg3RegTrainCostR1</f>
        <v>0</v>
      </c>
      <c r="G3152">
        <f>calcReg1Seg3CoachingCostR1+calcReg1Seg3RegTrainCostR1</f>
        <v>0</v>
      </c>
      <c r="H3152">
        <f>calcReg1Seg3CoachingCostR1+calcReg1Seg3RegTrainCostR1</f>
        <v>0</v>
      </c>
      <c r="I3152">
        <f>calcReg1Seg3CoachingCostR1+calcReg1Seg3RegTrainCostR1</f>
        <v>0</v>
      </c>
      <c r="J3152" t="s">
        <v>3821</v>
      </c>
    </row>
    <row r="3154" spans="1:10">
      <c r="A3154" s="4" t="str">
        <f>nmReg1</f>
        <v>The Region</v>
      </c>
      <c r="C3154" t="str">
        <f>nmReg1Seg1</f>
        <v>Riverrun</v>
      </c>
      <c r="E3154">
        <f>calcReg1Seg1CoachingCostR2+calcReg1Seg1RegTrainCostR2</f>
        <v>0</v>
      </c>
      <c r="F3154">
        <f>calcReg1Seg1CoachingCostR2+calcReg1Seg1RegTrainCostR2</f>
        <v>0</v>
      </c>
      <c r="G3154">
        <f>calcReg1Seg1CoachingCostR2+calcReg1Seg1RegTrainCostR2</f>
        <v>0</v>
      </c>
      <c r="H3154">
        <f>calcReg1Seg1CoachingCostR2+calcReg1Seg1RegTrainCostR2</f>
        <v>0</v>
      </c>
      <c r="I3154">
        <f>calcReg1Seg1CoachingCostR2+calcReg1Seg1RegTrainCostR2</f>
        <v>0</v>
      </c>
      <c r="J3154" t="s">
        <v>3822</v>
      </c>
    </row>
    <row r="3155" spans="1:10">
      <c r="C3155" t="str">
        <f>nmReg1Seg2</f>
        <v>Winterfell</v>
      </c>
      <c r="E3155">
        <f>calcReg1Seg2CoachingCostR2+calcReg1Seg2RegTrainCostR2</f>
        <v>0</v>
      </c>
      <c r="F3155">
        <f>calcReg1Seg2CoachingCostR2+calcReg1Seg2RegTrainCostR2</f>
        <v>0</v>
      </c>
      <c r="G3155">
        <f>calcReg1Seg2CoachingCostR2+calcReg1Seg2RegTrainCostR2</f>
        <v>0</v>
      </c>
      <c r="H3155">
        <f>calcReg1Seg2CoachingCostR2+calcReg1Seg2RegTrainCostR2</f>
        <v>0</v>
      </c>
      <c r="I3155">
        <f>calcReg1Seg2CoachingCostR2+calcReg1Seg2RegTrainCostR2</f>
        <v>0</v>
      </c>
      <c r="J3155" t="s">
        <v>3823</v>
      </c>
    </row>
    <row r="3156" spans="1:10">
      <c r="C3156" t="str">
        <f>nmReg1Seg3</f>
        <v>Harrenhal</v>
      </c>
      <c r="E3156">
        <f>calcReg1Seg3CoachingCostR2+calcReg1Seg3RegTrainCostR2</f>
        <v>0</v>
      </c>
      <c r="F3156">
        <f>calcReg1Seg3CoachingCostR2+calcReg1Seg3RegTrainCostR2</f>
        <v>0</v>
      </c>
      <c r="G3156">
        <f>calcReg1Seg3CoachingCostR2+calcReg1Seg3RegTrainCostR2</f>
        <v>0</v>
      </c>
      <c r="H3156">
        <f>calcReg1Seg3CoachingCostR2+calcReg1Seg3RegTrainCostR2</f>
        <v>0</v>
      </c>
      <c r="I3156">
        <f>calcReg1Seg3CoachingCostR2+calcReg1Seg3RegTrainCostR2</f>
        <v>0</v>
      </c>
      <c r="J3156" t="s">
        <v>3824</v>
      </c>
    </row>
    <row r="3159" spans="1:10">
      <c r="A3159" s="4" t="s">
        <v>3562</v>
      </c>
    </row>
    <row r="3160" spans="1:10">
      <c r="A3160" t="str">
        <f>nmProd1</f>
        <v>Riverrun</v>
      </c>
    </row>
    <row r="3161" spans="1:10">
      <c r="A3161" s="4" t="str">
        <f>nmProd1Seg1</f>
        <v>Riverrun Central</v>
      </c>
      <c r="C3161" s="4" t="str">
        <f>nmPayer1</f>
        <v>Blue Sword/Blue Shield</v>
      </c>
      <c r="E3161" s="511">
        <f>calcProd1Seg1Payer1ShareTotalCustR1-obalProd1Seg1Payer1Share</f>
        <v>1.5400000000000049E-4</v>
      </c>
      <c r="F3161" s="511">
        <f>calcProd1Seg1Payer1ShareTotalCustR1-obalProd1Seg1Payer1Share</f>
        <v>1.5400000000000049E-4</v>
      </c>
      <c r="G3161" s="511">
        <f>calcProd1Seg1Payer1ShareTotalCustR1-obalProd1Seg1Payer1Share</f>
        <v>1.5400000000000049E-4</v>
      </c>
      <c r="H3161" s="511">
        <f>calcProd1Seg1Payer1ShareTotalCustR1-obalProd1Seg1Payer1Share</f>
        <v>1.5400000000000049E-4</v>
      </c>
      <c r="I3161" s="511">
        <f>calcProd1Seg1Payer1ShareTotalCustR1-obalProd1Seg1Payer1Share</f>
        <v>1.5400000000000049E-4</v>
      </c>
      <c r="J3161" t="s">
        <v>3565</v>
      </c>
    </row>
    <row r="3162" spans="1:10">
      <c r="B3162" t="str">
        <f>nmComp1</f>
        <v>Vibrant</v>
      </c>
      <c r="C3162" t="s">
        <v>3563</v>
      </c>
      <c r="E3162" s="511">
        <f>(calcProd1Seg1Payer1TotalShareChangeR1&lt;0)*-(calcProd1Seg1Payer1TotalShareChangeR1*(dataComp1Impact))</f>
        <v>0</v>
      </c>
      <c r="F3162" s="511">
        <f>(calcProd1Seg1Payer1TotalShareChangeR1&lt;0)*-(calcProd1Seg1Payer1TotalShareChangeR1*(dataComp1Impact))</f>
        <v>0</v>
      </c>
      <c r="G3162" s="511">
        <f>(calcProd1Seg1Payer1TotalShareChangeR1&lt;0)*-(calcProd1Seg1Payer1TotalShareChangeR1*(dataComp1Impact))</f>
        <v>0</v>
      </c>
      <c r="H3162" s="511">
        <f>(calcProd1Seg1Payer1TotalShareChangeR1&lt;0)*-(calcProd1Seg1Payer1TotalShareChangeR1*(dataComp1Impact))</f>
        <v>0</v>
      </c>
      <c r="I3162" s="511">
        <f>(calcProd1Seg1Payer1TotalShareChangeR1&lt;0)*-(calcProd1Seg1Payer1TotalShareChangeR1*(dataComp1Impact))</f>
        <v>0</v>
      </c>
      <c r="J3162" t="s">
        <v>3566</v>
      </c>
    </row>
    <row r="3163" spans="1:10">
      <c r="C3163" t="s">
        <v>3564</v>
      </c>
      <c r="E3163" s="511">
        <f>(calcProd1Seg1Payer1TotalShareChangeR1&gt;0)*-(calcProd1Seg1Payer1TotalShareChangeR1*(1-dataComp1Impact))</f>
        <v>-1.2320000000000039E-4</v>
      </c>
      <c r="F3163" s="511">
        <f>(calcProd1Seg1Payer1TotalShareChangeR1&gt;0)*-(calcProd1Seg1Payer1TotalShareChangeR1*(1-dataComp1Impact))</f>
        <v>-1.2320000000000039E-4</v>
      </c>
      <c r="G3163" s="511">
        <f>(calcProd1Seg1Payer1TotalShareChangeR1&gt;0)*-(calcProd1Seg1Payer1TotalShareChangeR1*(1-dataComp1Impact))</f>
        <v>-1.2320000000000039E-4</v>
      </c>
      <c r="H3163" s="511">
        <f>(calcProd1Seg1Payer1TotalShareChangeR1&gt;0)*-(calcProd1Seg1Payer1TotalShareChangeR1*(1-dataComp1Impact))</f>
        <v>-1.2320000000000039E-4</v>
      </c>
      <c r="I3163" s="511">
        <f>(calcProd1Seg1Payer1TotalShareChangeR1&gt;0)*-(calcProd1Seg1Payer1TotalShareChangeR1*(1-dataComp1Impact))</f>
        <v>-1.2320000000000039E-4</v>
      </c>
      <c r="J3163" t="s">
        <v>3567</v>
      </c>
    </row>
    <row r="3164" spans="1:10">
      <c r="B3164" t="str">
        <f>nmComp2</f>
        <v>Pristine</v>
      </c>
      <c r="C3164" t="s">
        <v>3563</v>
      </c>
      <c r="E3164" s="511">
        <f>(calcProd1Seg1Payer1TotalShareChangeR1&lt;0)*-(calcProd1Seg1Payer1TotalShareChangeR1*(dataComp2Impact))</f>
        <v>0</v>
      </c>
      <c r="F3164" s="511">
        <f>(calcProd1Seg1Payer1TotalShareChangeR1&lt;0)*-(calcProd1Seg1Payer1TotalShareChangeR1*(dataComp2Impact))</f>
        <v>0</v>
      </c>
      <c r="G3164" s="511">
        <f>(calcProd1Seg1Payer1TotalShareChangeR1&lt;0)*-(calcProd1Seg1Payer1TotalShareChangeR1*(dataComp2Impact))</f>
        <v>0</v>
      </c>
      <c r="H3164" s="511">
        <f>(calcProd1Seg1Payer1TotalShareChangeR1&lt;0)*-(calcProd1Seg1Payer1TotalShareChangeR1*(dataComp2Impact))</f>
        <v>0</v>
      </c>
      <c r="I3164" s="511">
        <f>(calcProd1Seg1Payer1TotalShareChangeR1&lt;0)*-(calcProd1Seg1Payer1TotalShareChangeR1*(dataComp2Impact))</f>
        <v>0</v>
      </c>
      <c r="J3164" t="s">
        <v>3568</v>
      </c>
    </row>
    <row r="3165" spans="1:10">
      <c r="C3165" t="s">
        <v>3564</v>
      </c>
      <c r="E3165" s="511">
        <f>(calcProd1Seg1Payer1TotalShareChangeR1&gt;0)*-(calcProd1Seg1Payer1TotalShareChangeR1*(1-dataComp2Impact))</f>
        <v>-3.0800000000000091E-5</v>
      </c>
      <c r="F3165" s="511">
        <f>(calcProd1Seg1Payer1TotalShareChangeR1&gt;0)*-(calcProd1Seg1Payer1TotalShareChangeR1*(1-dataComp2Impact))</f>
        <v>-3.0800000000000091E-5</v>
      </c>
      <c r="G3165" s="511">
        <f>(calcProd1Seg1Payer1TotalShareChangeR1&gt;0)*-(calcProd1Seg1Payer1TotalShareChangeR1*(1-dataComp2Impact))</f>
        <v>-3.0800000000000091E-5</v>
      </c>
      <c r="H3165" s="511">
        <f>(calcProd1Seg1Payer1TotalShareChangeR1&gt;0)*-(calcProd1Seg1Payer1TotalShareChangeR1*(1-dataComp2Impact))</f>
        <v>-3.0800000000000091E-5</v>
      </c>
      <c r="I3165" s="511">
        <f>(calcProd1Seg1Payer1TotalShareChangeR1&gt;0)*-(calcProd1Seg1Payer1TotalShareChangeR1*(1-dataComp2Impact))</f>
        <v>-3.0800000000000091E-5</v>
      </c>
      <c r="J3165" t="s">
        <v>3569</v>
      </c>
    </row>
    <row r="3167" spans="1:10">
      <c r="A3167" s="4"/>
      <c r="C3167" s="4" t="str">
        <f>nmPayer1</f>
        <v>Blue Sword/Blue Shield</v>
      </c>
      <c r="E3167" s="511">
        <f>calcProd1Seg1Payer1ShareTotalCustR2-calcProd1Seg1Payer1ShareTotalCustR1</f>
        <v>0</v>
      </c>
      <c r="F3167" s="511">
        <f>calcProd1Seg1Payer1ShareTotalCustR2-calcProd1Seg1Payer1ShareTotalCustR1</f>
        <v>0</v>
      </c>
      <c r="G3167" s="511">
        <f>calcProd1Seg1Payer1ShareTotalCustR2-calcProd1Seg1Payer1ShareTotalCustR1</f>
        <v>0</v>
      </c>
      <c r="H3167" s="511">
        <f>calcProd1Seg1Payer1ShareTotalCustR2-calcProd1Seg1Payer1ShareTotalCustR1</f>
        <v>0</v>
      </c>
      <c r="I3167" s="511">
        <f>calcProd1Seg1Payer1ShareTotalCustR2-calcProd1Seg1Payer1ShareTotalCustR1</f>
        <v>0</v>
      </c>
      <c r="J3167" t="s">
        <v>3570</v>
      </c>
    </row>
    <row r="3168" spans="1:10">
      <c r="B3168" t="str">
        <f>nmComp1</f>
        <v>Vibrant</v>
      </c>
      <c r="C3168" t="s">
        <v>3563</v>
      </c>
      <c r="E3168" s="511">
        <f>(calcProd1Seg1Payer1TotalShareChangeR2&lt;0)*-(calcProd1Seg1Payer1TotalShareChangeR2*(dataComp1Impact))</f>
        <v>0</v>
      </c>
      <c r="F3168" s="511">
        <f>(calcProd1Seg1Payer1TotalShareChangeR2&lt;0)*-(calcProd1Seg1Payer1TotalShareChangeR2*(dataComp1Impact))</f>
        <v>0</v>
      </c>
      <c r="G3168" s="511">
        <f>(calcProd1Seg1Payer1TotalShareChangeR2&lt;0)*-(calcProd1Seg1Payer1TotalShareChangeR2*(dataComp1Impact))</f>
        <v>0</v>
      </c>
      <c r="H3168" s="511">
        <f>(calcProd1Seg1Payer1TotalShareChangeR2&lt;0)*-(calcProd1Seg1Payer1TotalShareChangeR2*(dataComp1Impact))</f>
        <v>0</v>
      </c>
      <c r="I3168" s="511">
        <f>(calcProd1Seg1Payer1TotalShareChangeR2&lt;0)*-(calcProd1Seg1Payer1TotalShareChangeR2*(dataComp1Impact))</f>
        <v>0</v>
      </c>
      <c r="J3168" t="s">
        <v>3571</v>
      </c>
    </row>
    <row r="3169" spans="1:10">
      <c r="C3169" t="s">
        <v>3564</v>
      </c>
      <c r="E3169" s="511">
        <f>(calcProd1Seg1Payer1TotalShareChangeR2&gt;0)*-(calcProd1Seg1Payer1TotalShareChangeR2*(1-dataComp1Impact))</f>
        <v>0</v>
      </c>
      <c r="F3169" s="511">
        <f>(calcProd1Seg1Payer1TotalShareChangeR2&gt;0)*-(calcProd1Seg1Payer1TotalShareChangeR2*(1-dataComp1Impact))</f>
        <v>0</v>
      </c>
      <c r="G3169" s="511">
        <f>(calcProd1Seg1Payer1TotalShareChangeR2&gt;0)*-(calcProd1Seg1Payer1TotalShareChangeR2*(1-dataComp1Impact))</f>
        <v>0</v>
      </c>
      <c r="H3169" s="511">
        <f>(calcProd1Seg1Payer1TotalShareChangeR2&gt;0)*-(calcProd1Seg1Payer1TotalShareChangeR2*(1-dataComp1Impact))</f>
        <v>0</v>
      </c>
      <c r="I3169" s="511">
        <f>(calcProd1Seg1Payer1TotalShareChangeR2&gt;0)*-(calcProd1Seg1Payer1TotalShareChangeR2*(1-dataComp1Impact))</f>
        <v>0</v>
      </c>
      <c r="J3169" t="s">
        <v>3572</v>
      </c>
    </row>
    <row r="3170" spans="1:10">
      <c r="B3170" t="str">
        <f>nmComp2</f>
        <v>Pristine</v>
      </c>
      <c r="C3170" t="s">
        <v>3563</v>
      </c>
      <c r="E3170" s="511">
        <f>(calcProd1Seg1Payer1TotalShareChangeR2&lt;0)*-(calcProd1Seg1Payer1TotalShareChangeR2*(dataComp2Impact))</f>
        <v>0</v>
      </c>
      <c r="F3170" s="511">
        <f>(calcProd1Seg1Payer1TotalShareChangeR2&lt;0)*-(calcProd1Seg1Payer1TotalShareChangeR2*(dataComp2Impact))</f>
        <v>0</v>
      </c>
      <c r="G3170" s="511">
        <f>(calcProd1Seg1Payer1TotalShareChangeR2&lt;0)*-(calcProd1Seg1Payer1TotalShareChangeR2*(dataComp2Impact))</f>
        <v>0</v>
      </c>
      <c r="H3170" s="511">
        <f>(calcProd1Seg1Payer1TotalShareChangeR2&lt;0)*-(calcProd1Seg1Payer1TotalShareChangeR2*(dataComp2Impact))</f>
        <v>0</v>
      </c>
      <c r="I3170" s="511">
        <f>(calcProd1Seg1Payer1TotalShareChangeR2&lt;0)*-(calcProd1Seg1Payer1TotalShareChangeR2*(dataComp2Impact))</f>
        <v>0</v>
      </c>
      <c r="J3170" t="s">
        <v>3573</v>
      </c>
    </row>
    <row r="3171" spans="1:10">
      <c r="C3171" t="s">
        <v>3564</v>
      </c>
      <c r="E3171" s="511">
        <f>(calcProd1Seg1Payer1TotalShareChangeR2&gt;0)*-(calcProd1Seg1Payer1TotalShareChangeR2*(1-dataComp2Impact))</f>
        <v>0</v>
      </c>
      <c r="F3171" s="511">
        <f>(calcProd1Seg1Payer1TotalShareChangeR2&gt;0)*-(calcProd1Seg1Payer1TotalShareChangeR2*(1-dataComp2Impact))</f>
        <v>0</v>
      </c>
      <c r="G3171" s="511">
        <f>(calcProd1Seg1Payer1TotalShareChangeR2&gt;0)*-(calcProd1Seg1Payer1TotalShareChangeR2*(1-dataComp2Impact))</f>
        <v>0</v>
      </c>
      <c r="H3171" s="511">
        <f>(calcProd1Seg1Payer1TotalShareChangeR2&gt;0)*-(calcProd1Seg1Payer1TotalShareChangeR2*(1-dataComp2Impact))</f>
        <v>0</v>
      </c>
      <c r="I3171" s="511">
        <f>(calcProd1Seg1Payer1TotalShareChangeR2&gt;0)*-(calcProd1Seg1Payer1TotalShareChangeR2*(1-dataComp2Impact))</f>
        <v>0</v>
      </c>
      <c r="J3171" t="s">
        <v>3574</v>
      </c>
    </row>
    <row r="3173" spans="1:10">
      <c r="A3173" s="4"/>
      <c r="C3173" s="4" t="str">
        <f>nmPayer2</f>
        <v>WesterAid</v>
      </c>
      <c r="E3173" s="511">
        <f>calcProd1Seg1Payer2ShareTotalCustR1-obalProd1Seg1Payer2Share</f>
        <v>1.2075000000000025E-4</v>
      </c>
      <c r="F3173" s="511">
        <f>calcProd1Seg1Payer2ShareTotalCustR1-obalProd1Seg1Payer2Share</f>
        <v>1.2075000000000025E-4</v>
      </c>
      <c r="G3173" s="511">
        <f>calcProd1Seg1Payer2ShareTotalCustR1-obalProd1Seg1Payer2Share</f>
        <v>1.2075000000000025E-4</v>
      </c>
      <c r="H3173" s="511">
        <f>calcProd1Seg1Payer2ShareTotalCustR1-obalProd1Seg1Payer2Share</f>
        <v>1.2075000000000025E-4</v>
      </c>
      <c r="I3173" s="511">
        <f>calcProd1Seg1Payer2ShareTotalCustR1-obalProd1Seg1Payer2Share</f>
        <v>1.2075000000000025E-4</v>
      </c>
      <c r="J3173" t="s">
        <v>3575</v>
      </c>
    </row>
    <row r="3174" spans="1:10">
      <c r="B3174" t="str">
        <f>nmComp1</f>
        <v>Vibrant</v>
      </c>
      <c r="C3174" t="s">
        <v>3563</v>
      </c>
      <c r="E3174" s="511">
        <f>(calcProd1Seg1Payer2TotalShareChangeR1&lt;0)*-(calcProd1Seg1Payer2TotalShareChangeR1*(dataComp1Impact))</f>
        <v>0</v>
      </c>
      <c r="F3174" s="511">
        <f>(calcProd1Seg1Payer2TotalShareChangeR1&lt;0)*-(calcProd1Seg1Payer2TotalShareChangeR1*(dataComp1Impact))</f>
        <v>0</v>
      </c>
      <c r="G3174" s="511">
        <f>(calcProd1Seg1Payer2TotalShareChangeR1&lt;0)*-(calcProd1Seg1Payer2TotalShareChangeR1*(dataComp1Impact))</f>
        <v>0</v>
      </c>
      <c r="H3174" s="511">
        <f>(calcProd1Seg1Payer2TotalShareChangeR1&lt;0)*-(calcProd1Seg1Payer2TotalShareChangeR1*(dataComp1Impact))</f>
        <v>0</v>
      </c>
      <c r="I3174" s="511">
        <f>(calcProd1Seg1Payer2TotalShareChangeR1&lt;0)*-(calcProd1Seg1Payer2TotalShareChangeR1*(dataComp1Impact))</f>
        <v>0</v>
      </c>
      <c r="J3174" t="s">
        <v>3576</v>
      </c>
    </row>
    <row r="3175" spans="1:10">
      <c r="C3175" t="s">
        <v>3564</v>
      </c>
      <c r="E3175" s="511">
        <f>(calcProd1Seg1Payer2TotalShareChangeR1&gt;0)*-(calcProd1Seg1Payer2TotalShareChangeR1*(1-dataComp1Impact))</f>
        <v>-9.6600000000000207E-5</v>
      </c>
      <c r="F3175" s="511">
        <f>(calcProd1Seg1Payer2TotalShareChangeR1&gt;0)*-(calcProd1Seg1Payer2TotalShareChangeR1*(1-dataComp1Impact))</f>
        <v>-9.6600000000000207E-5</v>
      </c>
      <c r="G3175" s="511">
        <f>(calcProd1Seg1Payer2TotalShareChangeR1&gt;0)*-(calcProd1Seg1Payer2TotalShareChangeR1*(1-dataComp1Impact))</f>
        <v>-9.6600000000000207E-5</v>
      </c>
      <c r="H3175" s="511">
        <f>(calcProd1Seg1Payer2TotalShareChangeR1&gt;0)*-(calcProd1Seg1Payer2TotalShareChangeR1*(1-dataComp1Impact))</f>
        <v>-9.6600000000000207E-5</v>
      </c>
      <c r="I3175" s="511">
        <f>(calcProd1Seg1Payer2TotalShareChangeR1&gt;0)*-(calcProd1Seg1Payer2TotalShareChangeR1*(1-dataComp1Impact))</f>
        <v>-9.6600000000000207E-5</v>
      </c>
      <c r="J3175" t="s">
        <v>3577</v>
      </c>
    </row>
    <row r="3176" spans="1:10">
      <c r="B3176" t="str">
        <f>nmComp2</f>
        <v>Pristine</v>
      </c>
      <c r="C3176" t="s">
        <v>3563</v>
      </c>
      <c r="E3176" s="511">
        <f>(calcProd1Seg1Payer2TotalShareChangeR1&lt;0)*-(calcProd1Seg1Payer2TotalShareChangeR1*(dataComp2Impact))</f>
        <v>0</v>
      </c>
      <c r="F3176" s="511">
        <f>(calcProd1Seg1Payer2TotalShareChangeR1&lt;0)*-(calcProd1Seg1Payer2TotalShareChangeR1*(dataComp2Impact))</f>
        <v>0</v>
      </c>
      <c r="G3176" s="511">
        <f>(calcProd1Seg1Payer2TotalShareChangeR1&lt;0)*-(calcProd1Seg1Payer2TotalShareChangeR1*(dataComp2Impact))</f>
        <v>0</v>
      </c>
      <c r="H3176" s="511">
        <f>(calcProd1Seg1Payer2TotalShareChangeR1&lt;0)*-(calcProd1Seg1Payer2TotalShareChangeR1*(dataComp2Impact))</f>
        <v>0</v>
      </c>
      <c r="I3176" s="511">
        <f>(calcProd1Seg1Payer2TotalShareChangeR1&lt;0)*-(calcProd1Seg1Payer2TotalShareChangeR1*(dataComp2Impact))</f>
        <v>0</v>
      </c>
      <c r="J3176" t="s">
        <v>3578</v>
      </c>
    </row>
    <row r="3177" spans="1:10">
      <c r="C3177" t="s">
        <v>3564</v>
      </c>
      <c r="E3177" s="511">
        <f>(calcProd1Seg1Payer2TotalShareChangeR1&gt;0)*-(calcProd1Seg1Payer2TotalShareChangeR1*(1-dataComp2Impact))</f>
        <v>-2.4150000000000045E-5</v>
      </c>
      <c r="F3177" s="511">
        <f>(calcProd1Seg1Payer2TotalShareChangeR1&gt;0)*-(calcProd1Seg1Payer2TotalShareChangeR1*(1-dataComp2Impact))</f>
        <v>-2.4150000000000045E-5</v>
      </c>
      <c r="G3177" s="511">
        <f>(calcProd1Seg1Payer2TotalShareChangeR1&gt;0)*-(calcProd1Seg1Payer2TotalShareChangeR1*(1-dataComp2Impact))</f>
        <v>-2.4150000000000045E-5</v>
      </c>
      <c r="H3177" s="511">
        <f>(calcProd1Seg1Payer2TotalShareChangeR1&gt;0)*-(calcProd1Seg1Payer2TotalShareChangeR1*(1-dataComp2Impact))</f>
        <v>-2.4150000000000045E-5</v>
      </c>
      <c r="I3177" s="511">
        <f>(calcProd1Seg1Payer2TotalShareChangeR1&gt;0)*-(calcProd1Seg1Payer2TotalShareChangeR1*(1-dataComp2Impact))</f>
        <v>-2.4150000000000045E-5</v>
      </c>
      <c r="J3177" t="s">
        <v>3579</v>
      </c>
    </row>
    <row r="3179" spans="1:10">
      <c r="A3179" s="4"/>
      <c r="C3179" s="4" t="str">
        <f>nmPayer2</f>
        <v>WesterAid</v>
      </c>
      <c r="E3179" s="511">
        <f>calcProd1Seg1Payer2ShareTotalCustR2-calcProd1Seg1Payer2ShareTotalCustR1</f>
        <v>0</v>
      </c>
      <c r="F3179" s="511">
        <f>calcProd1Seg1Payer2ShareTotalCustR2-calcProd1Seg1Payer2ShareTotalCustR1</f>
        <v>0</v>
      </c>
      <c r="G3179" s="511">
        <f>calcProd1Seg1Payer2ShareTotalCustR2-calcProd1Seg1Payer2ShareTotalCustR1</f>
        <v>0</v>
      </c>
      <c r="H3179" s="511">
        <f>calcProd1Seg1Payer2ShareTotalCustR2-calcProd1Seg1Payer2ShareTotalCustR1</f>
        <v>0</v>
      </c>
      <c r="I3179" s="511">
        <f>calcProd1Seg1Payer2ShareTotalCustR2-calcProd1Seg1Payer2ShareTotalCustR1</f>
        <v>0</v>
      </c>
      <c r="J3179" t="s">
        <v>3580</v>
      </c>
    </row>
    <row r="3180" spans="1:10">
      <c r="B3180" t="str">
        <f>nmComp1</f>
        <v>Vibrant</v>
      </c>
      <c r="C3180" t="s">
        <v>3563</v>
      </c>
      <c r="E3180" s="511">
        <f>(calcProd1Seg1Payer2TotalShareChangeR2&lt;0)*-(calcProd1Seg1Payer2TotalShareChangeR2*(dataComp1Impact))</f>
        <v>0</v>
      </c>
      <c r="F3180" s="511">
        <f>(calcProd1Seg1Payer2TotalShareChangeR2&lt;0)*-(calcProd1Seg1Payer2TotalShareChangeR2*(dataComp1Impact))</f>
        <v>0</v>
      </c>
      <c r="G3180" s="511">
        <f>(calcProd1Seg1Payer2TotalShareChangeR2&lt;0)*-(calcProd1Seg1Payer2TotalShareChangeR2*(dataComp1Impact))</f>
        <v>0</v>
      </c>
      <c r="H3180" s="511">
        <f>(calcProd1Seg1Payer2TotalShareChangeR2&lt;0)*-(calcProd1Seg1Payer2TotalShareChangeR2*(dataComp1Impact))</f>
        <v>0</v>
      </c>
      <c r="I3180" s="511">
        <f>(calcProd1Seg1Payer2TotalShareChangeR2&lt;0)*-(calcProd1Seg1Payer2TotalShareChangeR2*(dataComp1Impact))</f>
        <v>0</v>
      </c>
      <c r="J3180" t="s">
        <v>3581</v>
      </c>
    </row>
    <row r="3181" spans="1:10">
      <c r="C3181" t="s">
        <v>3564</v>
      </c>
      <c r="E3181" s="511">
        <f>(calcProd1Seg1Payer2TotalShareChangeR2&gt;0)*-(calcProd1Seg1Payer2TotalShareChangeR2*(1-dataComp1Impact))</f>
        <v>0</v>
      </c>
      <c r="F3181" s="511">
        <f>(calcProd1Seg1Payer2TotalShareChangeR2&gt;0)*-(calcProd1Seg1Payer2TotalShareChangeR2*(1-dataComp1Impact))</f>
        <v>0</v>
      </c>
      <c r="G3181" s="511">
        <f>(calcProd1Seg1Payer2TotalShareChangeR2&gt;0)*-(calcProd1Seg1Payer2TotalShareChangeR2*(1-dataComp1Impact))</f>
        <v>0</v>
      </c>
      <c r="H3181" s="511">
        <f>(calcProd1Seg1Payer2TotalShareChangeR2&gt;0)*-(calcProd1Seg1Payer2TotalShareChangeR2*(1-dataComp1Impact))</f>
        <v>0</v>
      </c>
      <c r="I3181" s="511">
        <f>(calcProd1Seg1Payer2TotalShareChangeR2&gt;0)*-(calcProd1Seg1Payer2TotalShareChangeR2*(1-dataComp1Impact))</f>
        <v>0</v>
      </c>
      <c r="J3181" t="s">
        <v>3582</v>
      </c>
    </row>
    <row r="3182" spans="1:10">
      <c r="B3182" t="str">
        <f>nmComp2</f>
        <v>Pristine</v>
      </c>
      <c r="C3182" t="s">
        <v>3563</v>
      </c>
      <c r="E3182" s="511">
        <f>(calcProd1Seg1Payer2TotalShareChangeR2&lt;0)*-(calcProd1Seg1Payer2TotalShareChangeR2*(dataComp2Impact))</f>
        <v>0</v>
      </c>
      <c r="F3182" s="511">
        <f>(calcProd1Seg1Payer2TotalShareChangeR2&lt;0)*-(calcProd1Seg1Payer2TotalShareChangeR2*(dataComp2Impact))</f>
        <v>0</v>
      </c>
      <c r="G3182" s="511">
        <f>(calcProd1Seg1Payer2TotalShareChangeR2&lt;0)*-(calcProd1Seg1Payer2TotalShareChangeR2*(dataComp2Impact))</f>
        <v>0</v>
      </c>
      <c r="H3182" s="511">
        <f>(calcProd1Seg1Payer2TotalShareChangeR2&lt;0)*-(calcProd1Seg1Payer2TotalShareChangeR2*(dataComp2Impact))</f>
        <v>0</v>
      </c>
      <c r="I3182" s="511">
        <f>(calcProd1Seg1Payer2TotalShareChangeR2&lt;0)*-(calcProd1Seg1Payer2TotalShareChangeR2*(dataComp2Impact))</f>
        <v>0</v>
      </c>
      <c r="J3182" t="s">
        <v>3583</v>
      </c>
    </row>
    <row r="3183" spans="1:10">
      <c r="C3183" t="s">
        <v>3564</v>
      </c>
      <c r="E3183" s="511">
        <f>(calcProd1Seg1Payer2TotalShareChangeR2&gt;0)*-(calcProd1Seg1Payer2TotalShareChangeR2*(1-dataComp2Impact))</f>
        <v>0</v>
      </c>
      <c r="F3183" s="511">
        <f>(calcProd1Seg1Payer2TotalShareChangeR2&gt;0)*-(calcProd1Seg1Payer2TotalShareChangeR2*(1-dataComp2Impact))</f>
        <v>0</v>
      </c>
      <c r="G3183" s="511">
        <f>(calcProd1Seg1Payer2TotalShareChangeR2&gt;0)*-(calcProd1Seg1Payer2TotalShareChangeR2*(1-dataComp2Impact))</f>
        <v>0</v>
      </c>
      <c r="H3183" s="511">
        <f>(calcProd1Seg1Payer2TotalShareChangeR2&gt;0)*-(calcProd1Seg1Payer2TotalShareChangeR2*(1-dataComp2Impact))</f>
        <v>0</v>
      </c>
      <c r="I3183" s="511">
        <f>(calcProd1Seg1Payer2TotalShareChangeR2&gt;0)*-(calcProd1Seg1Payer2TotalShareChangeR2*(1-dataComp2Impact))</f>
        <v>0</v>
      </c>
      <c r="J3183" t="s">
        <v>3584</v>
      </c>
    </row>
    <row r="3185" spans="1:10">
      <c r="A3185" s="4"/>
      <c r="C3185" s="4" t="str">
        <f>nmPayer3</f>
        <v>Dragon Health</v>
      </c>
      <c r="E3185" s="511">
        <f>calcProd1Seg1Payer3ShareTotalCustR1-obalProd1Seg1Payer3Share</f>
        <v>9.4500000000000833E-5</v>
      </c>
      <c r="F3185" s="511">
        <f>calcProd1Seg1Payer3ShareTotalCustR1-obalProd1Seg1Payer3Share</f>
        <v>9.4500000000000833E-5</v>
      </c>
      <c r="G3185" s="511">
        <f>calcProd1Seg1Payer3ShareTotalCustR1-obalProd1Seg1Payer3Share</f>
        <v>9.4500000000000833E-5</v>
      </c>
      <c r="H3185" s="511">
        <f>calcProd1Seg1Payer3ShareTotalCustR1-obalProd1Seg1Payer3Share</f>
        <v>9.4500000000000833E-5</v>
      </c>
      <c r="I3185" s="511">
        <f>calcProd1Seg1Payer3ShareTotalCustR1-obalProd1Seg1Payer3Share</f>
        <v>9.4500000000000833E-5</v>
      </c>
      <c r="J3185" t="s">
        <v>3585</v>
      </c>
    </row>
    <row r="3186" spans="1:10">
      <c r="B3186" t="str">
        <f>nmComp1</f>
        <v>Vibrant</v>
      </c>
      <c r="C3186" t="s">
        <v>3563</v>
      </c>
      <c r="E3186" s="511">
        <f>(calcProd1Seg1Payer3TotalShareChangeR1&lt;0)*-(calcProd1Seg1Payer3TotalShareChangeR1*(dataComp1Impact))</f>
        <v>0</v>
      </c>
      <c r="F3186" s="511">
        <f>(calcProd1Seg1Payer3TotalShareChangeR1&lt;0)*-(calcProd1Seg1Payer3TotalShareChangeR1*(dataComp1Impact))</f>
        <v>0</v>
      </c>
      <c r="G3186" s="511">
        <f>(calcProd1Seg1Payer3TotalShareChangeR1&lt;0)*-(calcProd1Seg1Payer3TotalShareChangeR1*(dataComp1Impact))</f>
        <v>0</v>
      </c>
      <c r="H3186" s="511">
        <f>(calcProd1Seg1Payer3TotalShareChangeR1&lt;0)*-(calcProd1Seg1Payer3TotalShareChangeR1*(dataComp1Impact))</f>
        <v>0</v>
      </c>
      <c r="I3186" s="511">
        <f>(calcProd1Seg1Payer3TotalShareChangeR1&lt;0)*-(calcProd1Seg1Payer3TotalShareChangeR1*(dataComp1Impact))</f>
        <v>0</v>
      </c>
      <c r="J3186" t="s">
        <v>3586</v>
      </c>
    </row>
    <row r="3187" spans="1:10">
      <c r="C3187" t="s">
        <v>3564</v>
      </c>
      <c r="E3187" s="511">
        <f>(calcProd1Seg1Payer3TotalShareChangeR1&gt;0)*-(calcProd1Seg1Payer3TotalShareChangeR1*(1-dataComp1Impact))</f>
        <v>-7.5600000000000672E-5</v>
      </c>
      <c r="F3187" s="511">
        <f>(calcProd1Seg1Payer3TotalShareChangeR1&gt;0)*-(calcProd1Seg1Payer3TotalShareChangeR1*(1-dataComp1Impact))</f>
        <v>-7.5600000000000672E-5</v>
      </c>
      <c r="G3187" s="511">
        <f>(calcProd1Seg1Payer3TotalShareChangeR1&gt;0)*-(calcProd1Seg1Payer3TotalShareChangeR1*(1-dataComp1Impact))</f>
        <v>-7.5600000000000672E-5</v>
      </c>
      <c r="H3187" s="511">
        <f>(calcProd1Seg1Payer3TotalShareChangeR1&gt;0)*-(calcProd1Seg1Payer3TotalShareChangeR1*(1-dataComp1Impact))</f>
        <v>-7.5600000000000672E-5</v>
      </c>
      <c r="I3187" s="511">
        <f>(calcProd1Seg1Payer3TotalShareChangeR1&gt;0)*-(calcProd1Seg1Payer3TotalShareChangeR1*(1-dataComp1Impact))</f>
        <v>-7.5600000000000672E-5</v>
      </c>
      <c r="J3187" t="s">
        <v>3587</v>
      </c>
    </row>
    <row r="3188" spans="1:10">
      <c r="B3188" t="str">
        <f>nmComp2</f>
        <v>Pristine</v>
      </c>
      <c r="C3188" t="s">
        <v>3563</v>
      </c>
      <c r="E3188" s="511">
        <f>(calcProd1Seg1Payer3TotalShareChangeR1&lt;0)*-(calcProd1Seg1Payer3TotalShareChangeR1*(dataComp2Impact))</f>
        <v>0</v>
      </c>
      <c r="F3188" s="511">
        <f>(calcProd1Seg1Payer3TotalShareChangeR1&lt;0)*-(calcProd1Seg1Payer3TotalShareChangeR1*(dataComp2Impact))</f>
        <v>0</v>
      </c>
      <c r="G3188" s="511">
        <f>(calcProd1Seg1Payer3TotalShareChangeR1&lt;0)*-(calcProd1Seg1Payer3TotalShareChangeR1*(dataComp2Impact))</f>
        <v>0</v>
      </c>
      <c r="H3188" s="511">
        <f>(calcProd1Seg1Payer3TotalShareChangeR1&lt;0)*-(calcProd1Seg1Payer3TotalShareChangeR1*(dataComp2Impact))</f>
        <v>0</v>
      </c>
      <c r="I3188" s="511">
        <f>(calcProd1Seg1Payer3TotalShareChangeR1&lt;0)*-(calcProd1Seg1Payer3TotalShareChangeR1*(dataComp2Impact))</f>
        <v>0</v>
      </c>
      <c r="J3188" t="s">
        <v>3588</v>
      </c>
    </row>
    <row r="3189" spans="1:10">
      <c r="C3189" t="s">
        <v>3564</v>
      </c>
      <c r="E3189" s="511">
        <f>(calcProd1Seg1Payer3TotalShareChangeR1&gt;0)*-(calcProd1Seg1Payer3TotalShareChangeR1*(1-dataComp2Impact))</f>
        <v>-1.8900000000000161E-5</v>
      </c>
      <c r="F3189" s="511">
        <f>(calcProd1Seg1Payer3TotalShareChangeR1&gt;0)*-(calcProd1Seg1Payer3TotalShareChangeR1*(1-dataComp2Impact))</f>
        <v>-1.8900000000000161E-5</v>
      </c>
      <c r="G3189" s="511">
        <f>(calcProd1Seg1Payer3TotalShareChangeR1&gt;0)*-(calcProd1Seg1Payer3TotalShareChangeR1*(1-dataComp2Impact))</f>
        <v>-1.8900000000000161E-5</v>
      </c>
      <c r="H3189" s="511">
        <f>(calcProd1Seg1Payer3TotalShareChangeR1&gt;0)*-(calcProd1Seg1Payer3TotalShareChangeR1*(1-dataComp2Impact))</f>
        <v>-1.8900000000000161E-5</v>
      </c>
      <c r="I3189" s="511">
        <f>(calcProd1Seg1Payer3TotalShareChangeR1&gt;0)*-(calcProd1Seg1Payer3TotalShareChangeR1*(1-dataComp2Impact))</f>
        <v>-1.8900000000000161E-5</v>
      </c>
      <c r="J3189" t="s">
        <v>3589</v>
      </c>
    </row>
    <row r="3191" spans="1:10">
      <c r="A3191" s="4"/>
      <c r="C3191" s="4" t="str">
        <f>nmPayer3</f>
        <v>Dragon Health</v>
      </c>
      <c r="E3191" s="511">
        <f>calcProd1Seg1Payer3ShareTotalCustR2-calcProd1Seg1Payer3ShareTotalCustR1</f>
        <v>0</v>
      </c>
      <c r="F3191" s="511">
        <f>calcProd1Seg1Payer3ShareTotalCustR2-calcProd1Seg1Payer3ShareTotalCustR1</f>
        <v>0</v>
      </c>
      <c r="G3191" s="511">
        <f>calcProd1Seg1Payer3ShareTotalCustR2-calcProd1Seg1Payer3ShareTotalCustR1</f>
        <v>0</v>
      </c>
      <c r="H3191" s="511">
        <f>calcProd1Seg1Payer3ShareTotalCustR2-calcProd1Seg1Payer3ShareTotalCustR1</f>
        <v>0</v>
      </c>
      <c r="I3191" s="511">
        <f>calcProd1Seg1Payer3ShareTotalCustR2-calcProd1Seg1Payer3ShareTotalCustR1</f>
        <v>0</v>
      </c>
      <c r="J3191" t="s">
        <v>3590</v>
      </c>
    </row>
    <row r="3192" spans="1:10">
      <c r="B3192" t="str">
        <f>nmComp1</f>
        <v>Vibrant</v>
      </c>
      <c r="C3192" t="s">
        <v>3563</v>
      </c>
      <c r="E3192" s="511">
        <f>(calcProd1Seg1Payer3TotalShareChangeR2&lt;0)*-(calcProd1Seg1Payer3TotalShareChangeR2*(dataComp1Impact))</f>
        <v>0</v>
      </c>
      <c r="F3192" s="511">
        <f>(calcProd1Seg1Payer3TotalShareChangeR2&lt;0)*-(calcProd1Seg1Payer3TotalShareChangeR2*(dataComp1Impact))</f>
        <v>0</v>
      </c>
      <c r="G3192" s="511">
        <f>(calcProd1Seg1Payer3TotalShareChangeR2&lt;0)*-(calcProd1Seg1Payer3TotalShareChangeR2*(dataComp1Impact))</f>
        <v>0</v>
      </c>
      <c r="H3192" s="511">
        <f>(calcProd1Seg1Payer3TotalShareChangeR2&lt;0)*-(calcProd1Seg1Payer3TotalShareChangeR2*(dataComp1Impact))</f>
        <v>0</v>
      </c>
      <c r="I3192" s="511">
        <f>(calcProd1Seg1Payer3TotalShareChangeR2&lt;0)*-(calcProd1Seg1Payer3TotalShareChangeR2*(dataComp1Impact))</f>
        <v>0</v>
      </c>
      <c r="J3192" t="s">
        <v>3591</v>
      </c>
    </row>
    <row r="3193" spans="1:10">
      <c r="C3193" t="s">
        <v>3564</v>
      </c>
      <c r="E3193" s="511">
        <f>(calcProd1Seg1Payer3TotalShareChangeR2&gt;0)*-(calcProd1Seg1Payer3TotalShareChangeR2*(1-dataComp1Impact))</f>
        <v>0</v>
      </c>
      <c r="F3193" s="511">
        <f>(calcProd1Seg1Payer3TotalShareChangeR2&gt;0)*-(calcProd1Seg1Payer3TotalShareChangeR2*(1-dataComp1Impact))</f>
        <v>0</v>
      </c>
      <c r="G3193" s="511">
        <f>(calcProd1Seg1Payer3TotalShareChangeR2&gt;0)*-(calcProd1Seg1Payer3TotalShareChangeR2*(1-dataComp1Impact))</f>
        <v>0</v>
      </c>
      <c r="H3193" s="511">
        <f>(calcProd1Seg1Payer3TotalShareChangeR2&gt;0)*-(calcProd1Seg1Payer3TotalShareChangeR2*(1-dataComp1Impact))</f>
        <v>0</v>
      </c>
      <c r="I3193" s="511">
        <f>(calcProd1Seg1Payer3TotalShareChangeR2&gt;0)*-(calcProd1Seg1Payer3TotalShareChangeR2*(1-dataComp1Impact))</f>
        <v>0</v>
      </c>
      <c r="J3193" t="s">
        <v>3592</v>
      </c>
    </row>
    <row r="3194" spans="1:10">
      <c r="B3194" t="str">
        <f>nmComp2</f>
        <v>Pristine</v>
      </c>
      <c r="C3194" t="s">
        <v>3563</v>
      </c>
      <c r="E3194" s="511">
        <f>(calcProd1Seg1Payer3TotalShareChangeR2&lt;0)*-(calcProd1Seg1Payer3TotalShareChangeR2*(dataComp2Impact))</f>
        <v>0</v>
      </c>
      <c r="F3194" s="511">
        <f>(calcProd1Seg1Payer3TotalShareChangeR2&lt;0)*-(calcProd1Seg1Payer3TotalShareChangeR2*(dataComp2Impact))</f>
        <v>0</v>
      </c>
      <c r="G3194" s="511">
        <f>(calcProd1Seg1Payer3TotalShareChangeR2&lt;0)*-(calcProd1Seg1Payer3TotalShareChangeR2*(dataComp2Impact))</f>
        <v>0</v>
      </c>
      <c r="H3194" s="511">
        <f>(calcProd1Seg1Payer3TotalShareChangeR2&lt;0)*-(calcProd1Seg1Payer3TotalShareChangeR2*(dataComp2Impact))</f>
        <v>0</v>
      </c>
      <c r="I3194" s="511">
        <f>(calcProd1Seg1Payer3TotalShareChangeR2&lt;0)*-(calcProd1Seg1Payer3TotalShareChangeR2*(dataComp2Impact))</f>
        <v>0</v>
      </c>
      <c r="J3194" t="s">
        <v>3593</v>
      </c>
    </row>
    <row r="3195" spans="1:10">
      <c r="C3195" t="s">
        <v>3564</v>
      </c>
      <c r="E3195" s="511">
        <f>(calcProd1Seg1Payer3TotalShareChangeR2&gt;0)*-(calcProd1Seg1Payer3TotalShareChangeR2*(1-dataComp2Impact))</f>
        <v>0</v>
      </c>
      <c r="F3195" s="511">
        <f>(calcProd1Seg1Payer3TotalShareChangeR2&gt;0)*-(calcProd1Seg1Payer3TotalShareChangeR2*(1-dataComp2Impact))</f>
        <v>0</v>
      </c>
      <c r="G3195" s="511">
        <f>(calcProd1Seg1Payer3TotalShareChangeR2&gt;0)*-(calcProd1Seg1Payer3TotalShareChangeR2*(1-dataComp2Impact))</f>
        <v>0</v>
      </c>
      <c r="H3195" s="511">
        <f>(calcProd1Seg1Payer3TotalShareChangeR2&gt;0)*-(calcProd1Seg1Payer3TotalShareChangeR2*(1-dataComp2Impact))</f>
        <v>0</v>
      </c>
      <c r="I3195" s="511">
        <f>(calcProd1Seg1Payer3TotalShareChangeR2&gt;0)*-(calcProd1Seg1Payer3TotalShareChangeR2*(1-dataComp2Impact))</f>
        <v>0</v>
      </c>
      <c r="J3195" t="s">
        <v>3594</v>
      </c>
    </row>
    <row r="3197" spans="1:10">
      <c r="A3197" s="4" t="str">
        <f>nmProd1Seg2</f>
        <v>Tullyville</v>
      </c>
      <c r="C3197" s="4" t="str">
        <f>nmPayer1</f>
        <v>Blue Sword/Blue Shield</v>
      </c>
      <c r="E3197" s="511">
        <f>calcProd1Seg2Payer1ShareTotalCustR1-obalProd1Seg2Payer1Share</f>
        <v>4.2899999999999969E-4</v>
      </c>
      <c r="F3197" s="511">
        <f>calcProd1Seg2Payer1ShareTotalCustR1-obalProd1Seg2Payer1Share</f>
        <v>4.2899999999999969E-4</v>
      </c>
      <c r="G3197" s="511">
        <f>calcProd1Seg2Payer1ShareTotalCustR1-obalProd1Seg2Payer1Share</f>
        <v>4.2899999999999969E-4</v>
      </c>
      <c r="H3197" s="511">
        <f>calcProd1Seg2Payer1ShareTotalCustR1-obalProd1Seg2Payer1Share</f>
        <v>4.2899999999999969E-4</v>
      </c>
      <c r="I3197" s="511">
        <f>calcProd1Seg2Payer1ShareTotalCustR1-obalProd1Seg2Payer1Share</f>
        <v>4.2899999999999969E-4</v>
      </c>
      <c r="J3197" t="s">
        <v>3595</v>
      </c>
    </row>
    <row r="3198" spans="1:10">
      <c r="B3198" t="str">
        <f>nmComp1</f>
        <v>Vibrant</v>
      </c>
      <c r="C3198" t="s">
        <v>3563</v>
      </c>
      <c r="E3198" s="511">
        <f>(calcProd1Seg2Payer1TotalShareChangeR1&lt;0)*-(calcProd1Seg2Payer1TotalShareChangeR1*(dataComp1Impact))</f>
        <v>0</v>
      </c>
      <c r="F3198" s="511">
        <f>(calcProd1Seg2Payer1TotalShareChangeR1&lt;0)*-(calcProd1Seg2Payer1TotalShareChangeR1*(dataComp1Impact))</f>
        <v>0</v>
      </c>
      <c r="G3198" s="511">
        <f>(calcProd1Seg2Payer1TotalShareChangeR1&lt;0)*-(calcProd1Seg2Payer1TotalShareChangeR1*(dataComp1Impact))</f>
        <v>0</v>
      </c>
      <c r="H3198" s="511">
        <f>(calcProd1Seg2Payer1TotalShareChangeR1&lt;0)*-(calcProd1Seg2Payer1TotalShareChangeR1*(dataComp1Impact))</f>
        <v>0</v>
      </c>
      <c r="I3198" s="511">
        <f>(calcProd1Seg2Payer1TotalShareChangeR1&lt;0)*-(calcProd1Seg2Payer1TotalShareChangeR1*(dataComp1Impact))</f>
        <v>0</v>
      </c>
      <c r="J3198" t="s">
        <v>3596</v>
      </c>
    </row>
    <row r="3199" spans="1:10">
      <c r="C3199" t="s">
        <v>3564</v>
      </c>
      <c r="E3199" s="511">
        <f>(calcProd1Seg2Payer1TotalShareChangeR1&gt;0)*-(calcProd1Seg2Payer1TotalShareChangeR1*(1-dataComp1Impact))</f>
        <v>-3.4319999999999978E-4</v>
      </c>
      <c r="F3199" s="511">
        <f>(calcProd1Seg2Payer1TotalShareChangeR1&gt;0)*-(calcProd1Seg2Payer1TotalShareChangeR1*(1-dataComp1Impact))</f>
        <v>-3.4319999999999978E-4</v>
      </c>
      <c r="G3199" s="511">
        <f>(calcProd1Seg2Payer1TotalShareChangeR1&gt;0)*-(calcProd1Seg2Payer1TotalShareChangeR1*(1-dataComp1Impact))</f>
        <v>-3.4319999999999978E-4</v>
      </c>
      <c r="H3199" s="511">
        <f>(calcProd1Seg2Payer1TotalShareChangeR1&gt;0)*-(calcProd1Seg2Payer1TotalShareChangeR1*(1-dataComp1Impact))</f>
        <v>-3.4319999999999978E-4</v>
      </c>
      <c r="I3199" s="511">
        <f>(calcProd1Seg2Payer1TotalShareChangeR1&gt;0)*-(calcProd1Seg2Payer1TotalShareChangeR1*(1-dataComp1Impact))</f>
        <v>-3.4319999999999978E-4</v>
      </c>
      <c r="J3199" t="s">
        <v>3597</v>
      </c>
    </row>
    <row r="3200" spans="1:10">
      <c r="B3200" t="str">
        <f>nmComp2</f>
        <v>Pristine</v>
      </c>
      <c r="C3200" t="s">
        <v>3563</v>
      </c>
      <c r="E3200" s="511">
        <f>(calcProd1Seg2Payer1TotalShareChangeR1&lt;0)*-(calcProd1Seg2Payer1TotalShareChangeR1*(dataComp2Impact))</f>
        <v>0</v>
      </c>
      <c r="F3200" s="511">
        <f>(calcProd1Seg2Payer1TotalShareChangeR1&lt;0)*-(calcProd1Seg2Payer1TotalShareChangeR1*(dataComp2Impact))</f>
        <v>0</v>
      </c>
      <c r="G3200" s="511">
        <f>(calcProd1Seg2Payer1TotalShareChangeR1&lt;0)*-(calcProd1Seg2Payer1TotalShareChangeR1*(dataComp2Impact))</f>
        <v>0</v>
      </c>
      <c r="H3200" s="511">
        <f>(calcProd1Seg2Payer1TotalShareChangeR1&lt;0)*-(calcProd1Seg2Payer1TotalShareChangeR1*(dataComp2Impact))</f>
        <v>0</v>
      </c>
      <c r="I3200" s="511">
        <f>(calcProd1Seg2Payer1TotalShareChangeR1&lt;0)*-(calcProd1Seg2Payer1TotalShareChangeR1*(dataComp2Impact))</f>
        <v>0</v>
      </c>
      <c r="J3200" t="s">
        <v>3598</v>
      </c>
    </row>
    <row r="3201" spans="1:10">
      <c r="C3201" t="s">
        <v>3564</v>
      </c>
      <c r="E3201" s="511">
        <f>(calcProd1Seg2Payer1TotalShareChangeR1&gt;0)*-(calcProd1Seg2Payer1TotalShareChangeR1*(1-dataComp2Impact))</f>
        <v>-8.5799999999999917E-5</v>
      </c>
      <c r="F3201" s="511">
        <f>(calcProd1Seg2Payer1TotalShareChangeR1&gt;0)*-(calcProd1Seg2Payer1TotalShareChangeR1*(1-dataComp2Impact))</f>
        <v>-8.5799999999999917E-5</v>
      </c>
      <c r="G3201" s="511">
        <f>(calcProd1Seg2Payer1TotalShareChangeR1&gt;0)*-(calcProd1Seg2Payer1TotalShareChangeR1*(1-dataComp2Impact))</f>
        <v>-8.5799999999999917E-5</v>
      </c>
      <c r="H3201" s="511">
        <f>(calcProd1Seg2Payer1TotalShareChangeR1&gt;0)*-(calcProd1Seg2Payer1TotalShareChangeR1*(1-dataComp2Impact))</f>
        <v>-8.5799999999999917E-5</v>
      </c>
      <c r="I3201" s="511">
        <f>(calcProd1Seg2Payer1TotalShareChangeR1&gt;0)*-(calcProd1Seg2Payer1TotalShareChangeR1*(1-dataComp2Impact))</f>
        <v>-8.5799999999999917E-5</v>
      </c>
      <c r="J3201" t="s">
        <v>3599</v>
      </c>
    </row>
    <row r="3203" spans="1:10">
      <c r="A3203" s="4"/>
      <c r="C3203" s="4" t="str">
        <f>nmPayer1</f>
        <v>Blue Sword/Blue Shield</v>
      </c>
      <c r="E3203" s="511">
        <f>calcProd1Seg2Payer1ShareTotalCustR2-calcProd1Seg2Payer1ShareTotalCustR1</f>
        <v>0</v>
      </c>
      <c r="F3203" s="511">
        <f>calcProd1Seg2Payer1ShareTotalCustR2-calcProd1Seg2Payer1ShareTotalCustR1</f>
        <v>0</v>
      </c>
      <c r="G3203" s="511">
        <f>calcProd1Seg2Payer1ShareTotalCustR2-calcProd1Seg2Payer1ShareTotalCustR1</f>
        <v>0</v>
      </c>
      <c r="H3203" s="511">
        <f>calcProd1Seg2Payer1ShareTotalCustR2-calcProd1Seg2Payer1ShareTotalCustR1</f>
        <v>0</v>
      </c>
      <c r="I3203" s="511">
        <f>calcProd1Seg2Payer1ShareTotalCustR2-calcProd1Seg2Payer1ShareTotalCustR1</f>
        <v>0</v>
      </c>
      <c r="J3203" t="s">
        <v>3600</v>
      </c>
    </row>
    <row r="3204" spans="1:10">
      <c r="B3204" t="str">
        <f>nmComp1</f>
        <v>Vibrant</v>
      </c>
      <c r="C3204" t="s">
        <v>3563</v>
      </c>
      <c r="E3204" s="511">
        <f>(calcProd1Seg2Payer1TotalShareChangeR2&lt;0)*-(calcProd1Seg2Payer1TotalShareChangeR2*(dataComp1Impact))</f>
        <v>0</v>
      </c>
      <c r="F3204" s="511">
        <f>(calcProd1Seg2Payer1TotalShareChangeR2&lt;0)*-(calcProd1Seg2Payer1TotalShareChangeR2*(dataComp1Impact))</f>
        <v>0</v>
      </c>
      <c r="G3204" s="511">
        <f>(calcProd1Seg2Payer1TotalShareChangeR2&lt;0)*-(calcProd1Seg2Payer1TotalShareChangeR2*(dataComp1Impact))</f>
        <v>0</v>
      </c>
      <c r="H3204" s="511">
        <f>(calcProd1Seg2Payer1TotalShareChangeR2&lt;0)*-(calcProd1Seg2Payer1TotalShareChangeR2*(dataComp1Impact))</f>
        <v>0</v>
      </c>
      <c r="I3204" s="511">
        <f>(calcProd1Seg2Payer1TotalShareChangeR2&lt;0)*-(calcProd1Seg2Payer1TotalShareChangeR2*(dataComp1Impact))</f>
        <v>0</v>
      </c>
      <c r="J3204" t="s">
        <v>3601</v>
      </c>
    </row>
    <row r="3205" spans="1:10">
      <c r="C3205" t="s">
        <v>3564</v>
      </c>
      <c r="E3205" s="511">
        <f>(calcProd1Seg2Payer1TotalShareChangeR2&gt;0)*-(calcProd1Seg2Payer1TotalShareChangeR2*(1-dataComp1Impact))</f>
        <v>0</v>
      </c>
      <c r="F3205" s="511">
        <f>(calcProd1Seg2Payer1TotalShareChangeR2&gt;0)*-(calcProd1Seg2Payer1TotalShareChangeR2*(1-dataComp1Impact))</f>
        <v>0</v>
      </c>
      <c r="G3205" s="511">
        <f>(calcProd1Seg2Payer1TotalShareChangeR2&gt;0)*-(calcProd1Seg2Payer1TotalShareChangeR2*(1-dataComp1Impact))</f>
        <v>0</v>
      </c>
      <c r="H3205" s="511">
        <f>(calcProd1Seg2Payer1TotalShareChangeR2&gt;0)*-(calcProd1Seg2Payer1TotalShareChangeR2*(1-dataComp1Impact))</f>
        <v>0</v>
      </c>
      <c r="I3205" s="511">
        <f>(calcProd1Seg2Payer1TotalShareChangeR2&gt;0)*-(calcProd1Seg2Payer1TotalShareChangeR2*(1-dataComp1Impact))</f>
        <v>0</v>
      </c>
      <c r="J3205" t="s">
        <v>3602</v>
      </c>
    </row>
    <row r="3206" spans="1:10">
      <c r="B3206" t="str">
        <f>nmComp2</f>
        <v>Pristine</v>
      </c>
      <c r="C3206" t="s">
        <v>3563</v>
      </c>
      <c r="E3206" s="511">
        <f>(calcProd1Seg2Payer1TotalShareChangeR2&lt;0)*-(calcProd1Seg2Payer1TotalShareChangeR2*(dataComp2Impact))</f>
        <v>0</v>
      </c>
      <c r="F3206" s="511">
        <f>(calcProd1Seg2Payer1TotalShareChangeR2&lt;0)*-(calcProd1Seg2Payer1TotalShareChangeR2*(dataComp2Impact))</f>
        <v>0</v>
      </c>
      <c r="G3206" s="511">
        <f>(calcProd1Seg2Payer1TotalShareChangeR2&lt;0)*-(calcProd1Seg2Payer1TotalShareChangeR2*(dataComp2Impact))</f>
        <v>0</v>
      </c>
      <c r="H3206" s="511">
        <f>(calcProd1Seg2Payer1TotalShareChangeR2&lt;0)*-(calcProd1Seg2Payer1TotalShareChangeR2*(dataComp2Impact))</f>
        <v>0</v>
      </c>
      <c r="I3206" s="511">
        <f>(calcProd1Seg2Payer1TotalShareChangeR2&lt;0)*-(calcProd1Seg2Payer1TotalShareChangeR2*(dataComp2Impact))</f>
        <v>0</v>
      </c>
      <c r="J3206" t="s">
        <v>3603</v>
      </c>
    </row>
    <row r="3207" spans="1:10">
      <c r="C3207" t="s">
        <v>3564</v>
      </c>
      <c r="E3207" s="511">
        <f>(calcProd1Seg2Payer1TotalShareChangeR2&gt;0)*-(calcProd1Seg2Payer1TotalShareChangeR2*(1-dataComp2Impact))</f>
        <v>0</v>
      </c>
      <c r="F3207" s="511">
        <f>(calcProd1Seg2Payer1TotalShareChangeR2&gt;0)*-(calcProd1Seg2Payer1TotalShareChangeR2*(1-dataComp2Impact))</f>
        <v>0</v>
      </c>
      <c r="G3207" s="511">
        <f>(calcProd1Seg2Payer1TotalShareChangeR2&gt;0)*-(calcProd1Seg2Payer1TotalShareChangeR2*(1-dataComp2Impact))</f>
        <v>0</v>
      </c>
      <c r="H3207" s="511">
        <f>(calcProd1Seg2Payer1TotalShareChangeR2&gt;0)*-(calcProd1Seg2Payer1TotalShareChangeR2*(1-dataComp2Impact))</f>
        <v>0</v>
      </c>
      <c r="I3207" s="511">
        <f>(calcProd1Seg2Payer1TotalShareChangeR2&gt;0)*-(calcProd1Seg2Payer1TotalShareChangeR2*(1-dataComp2Impact))</f>
        <v>0</v>
      </c>
      <c r="J3207" t="s">
        <v>3604</v>
      </c>
    </row>
    <row r="3209" spans="1:10">
      <c r="A3209" s="4"/>
      <c r="C3209" s="4" t="str">
        <f>nmPayer2</f>
        <v>WesterAid</v>
      </c>
      <c r="E3209" s="511">
        <f>calcProd1Seg2Payer2ShareTotalCustR1-obalProd1Seg2Payer2Share</f>
        <v>5.9800000000000055E-4</v>
      </c>
      <c r="F3209" s="511">
        <f>calcProd1Seg2Payer2ShareTotalCustR1-obalProd1Seg2Payer2Share</f>
        <v>5.9800000000000055E-4</v>
      </c>
      <c r="G3209" s="511">
        <f>calcProd1Seg2Payer2ShareTotalCustR1-obalProd1Seg2Payer2Share</f>
        <v>5.9800000000000055E-4</v>
      </c>
      <c r="H3209" s="511">
        <f>calcProd1Seg2Payer2ShareTotalCustR1-obalProd1Seg2Payer2Share</f>
        <v>5.9800000000000055E-4</v>
      </c>
      <c r="I3209" s="511">
        <f>calcProd1Seg2Payer2ShareTotalCustR1-obalProd1Seg2Payer2Share</f>
        <v>5.9800000000000055E-4</v>
      </c>
      <c r="J3209" t="s">
        <v>3605</v>
      </c>
    </row>
    <row r="3210" spans="1:10">
      <c r="B3210" t="str">
        <f>nmComp1</f>
        <v>Vibrant</v>
      </c>
      <c r="C3210" t="s">
        <v>3563</v>
      </c>
      <c r="E3210" s="511">
        <f>(calcProd1Seg2Payer2TotalShareChangeR1&lt;0)*-(calcProd1Seg2Payer2TotalShareChangeR1*(dataComp1Impact))</f>
        <v>0</v>
      </c>
      <c r="F3210" s="511">
        <f>(calcProd1Seg2Payer2TotalShareChangeR1&lt;0)*-(calcProd1Seg2Payer2TotalShareChangeR1*(dataComp1Impact))</f>
        <v>0</v>
      </c>
      <c r="G3210" s="511">
        <f>(calcProd1Seg2Payer2TotalShareChangeR1&lt;0)*-(calcProd1Seg2Payer2TotalShareChangeR1*(dataComp1Impact))</f>
        <v>0</v>
      </c>
      <c r="H3210" s="511">
        <f>(calcProd1Seg2Payer2TotalShareChangeR1&lt;0)*-(calcProd1Seg2Payer2TotalShareChangeR1*(dataComp1Impact))</f>
        <v>0</v>
      </c>
      <c r="I3210" s="511">
        <f>(calcProd1Seg2Payer2TotalShareChangeR1&lt;0)*-(calcProd1Seg2Payer2TotalShareChangeR1*(dataComp1Impact))</f>
        <v>0</v>
      </c>
      <c r="J3210" t="s">
        <v>3606</v>
      </c>
    </row>
    <row r="3211" spans="1:10">
      <c r="C3211" t="s">
        <v>3564</v>
      </c>
      <c r="E3211" s="511">
        <f>(calcProd1Seg2Payer2TotalShareChangeR1&gt;0)*-(calcProd1Seg2Payer2TotalShareChangeR1*(1-dataComp1Impact))</f>
        <v>-4.7840000000000046E-4</v>
      </c>
      <c r="F3211" s="511">
        <f>(calcProd1Seg2Payer2TotalShareChangeR1&gt;0)*-(calcProd1Seg2Payer2TotalShareChangeR1*(1-dataComp1Impact))</f>
        <v>-4.7840000000000046E-4</v>
      </c>
      <c r="G3211" s="511">
        <f>(calcProd1Seg2Payer2TotalShareChangeR1&gt;0)*-(calcProd1Seg2Payer2TotalShareChangeR1*(1-dataComp1Impact))</f>
        <v>-4.7840000000000046E-4</v>
      </c>
      <c r="H3211" s="511">
        <f>(calcProd1Seg2Payer2TotalShareChangeR1&gt;0)*-(calcProd1Seg2Payer2TotalShareChangeR1*(1-dataComp1Impact))</f>
        <v>-4.7840000000000046E-4</v>
      </c>
      <c r="I3211" s="511">
        <f>(calcProd1Seg2Payer2TotalShareChangeR1&gt;0)*-(calcProd1Seg2Payer2TotalShareChangeR1*(1-dataComp1Impact))</f>
        <v>-4.7840000000000046E-4</v>
      </c>
      <c r="J3211" t="s">
        <v>3607</v>
      </c>
    </row>
    <row r="3212" spans="1:10">
      <c r="B3212" t="str">
        <f>nmComp2</f>
        <v>Pristine</v>
      </c>
      <c r="C3212" t="s">
        <v>3563</v>
      </c>
      <c r="E3212" s="511">
        <f>(calcProd1Seg2Payer2TotalShareChangeR1&lt;0)*-(calcProd1Seg2Payer2TotalShareChangeR1*(dataComp2Impact))</f>
        <v>0</v>
      </c>
      <c r="F3212" s="511">
        <f>(calcProd1Seg2Payer2TotalShareChangeR1&lt;0)*-(calcProd1Seg2Payer2TotalShareChangeR1*(dataComp2Impact))</f>
        <v>0</v>
      </c>
      <c r="G3212" s="511">
        <f>(calcProd1Seg2Payer2TotalShareChangeR1&lt;0)*-(calcProd1Seg2Payer2TotalShareChangeR1*(dataComp2Impact))</f>
        <v>0</v>
      </c>
      <c r="H3212" s="511">
        <f>(calcProd1Seg2Payer2TotalShareChangeR1&lt;0)*-(calcProd1Seg2Payer2TotalShareChangeR1*(dataComp2Impact))</f>
        <v>0</v>
      </c>
      <c r="I3212" s="511">
        <f>(calcProd1Seg2Payer2TotalShareChangeR1&lt;0)*-(calcProd1Seg2Payer2TotalShareChangeR1*(dataComp2Impact))</f>
        <v>0</v>
      </c>
      <c r="J3212" t="s">
        <v>3608</v>
      </c>
    </row>
    <row r="3213" spans="1:10">
      <c r="C3213" t="s">
        <v>3564</v>
      </c>
      <c r="E3213" s="511">
        <f>(calcProd1Seg2Payer2TotalShareChangeR1&gt;0)*-(calcProd1Seg2Payer2TotalShareChangeR1*(1-dataComp2Impact))</f>
        <v>-1.1960000000000009E-4</v>
      </c>
      <c r="F3213" s="511">
        <f>(calcProd1Seg2Payer2TotalShareChangeR1&gt;0)*-(calcProd1Seg2Payer2TotalShareChangeR1*(1-dataComp2Impact))</f>
        <v>-1.1960000000000009E-4</v>
      </c>
      <c r="G3213" s="511">
        <f>(calcProd1Seg2Payer2TotalShareChangeR1&gt;0)*-(calcProd1Seg2Payer2TotalShareChangeR1*(1-dataComp2Impact))</f>
        <v>-1.1960000000000009E-4</v>
      </c>
      <c r="H3213" s="511">
        <f>(calcProd1Seg2Payer2TotalShareChangeR1&gt;0)*-(calcProd1Seg2Payer2TotalShareChangeR1*(1-dataComp2Impact))</f>
        <v>-1.1960000000000009E-4</v>
      </c>
      <c r="I3213" s="511">
        <f>(calcProd1Seg2Payer2TotalShareChangeR1&gt;0)*-(calcProd1Seg2Payer2TotalShareChangeR1*(1-dataComp2Impact))</f>
        <v>-1.1960000000000009E-4</v>
      </c>
      <c r="J3213" t="s">
        <v>3609</v>
      </c>
    </row>
    <row r="3215" spans="1:10">
      <c r="A3215" s="4"/>
      <c r="C3215" s="4" t="str">
        <f>nmPayer2</f>
        <v>WesterAid</v>
      </c>
      <c r="E3215" s="511">
        <f>calcProd1Seg2Payer2ShareTotalCustR2-calcProd1Seg2Payer2ShareTotalCustR1</f>
        <v>0</v>
      </c>
      <c r="F3215" s="511">
        <f>calcProd1Seg2Payer2ShareTotalCustR2-calcProd1Seg2Payer2ShareTotalCustR1</f>
        <v>0</v>
      </c>
      <c r="G3215" s="511">
        <f>calcProd1Seg2Payer2ShareTotalCustR2-calcProd1Seg2Payer2ShareTotalCustR1</f>
        <v>0</v>
      </c>
      <c r="H3215" s="511">
        <f>calcProd1Seg2Payer2ShareTotalCustR2-calcProd1Seg2Payer2ShareTotalCustR1</f>
        <v>0</v>
      </c>
      <c r="I3215" s="511">
        <f>calcProd1Seg2Payer2ShareTotalCustR2-calcProd1Seg2Payer2ShareTotalCustR1</f>
        <v>0</v>
      </c>
      <c r="J3215" t="s">
        <v>3610</v>
      </c>
    </row>
    <row r="3216" spans="1:10">
      <c r="B3216" t="str">
        <f>nmComp1</f>
        <v>Vibrant</v>
      </c>
      <c r="C3216" t="s">
        <v>3563</v>
      </c>
      <c r="E3216" s="511">
        <f>(calcProd1Seg2Payer2TotalShareChangeR2&lt;0)*-(calcProd1Seg2Payer2TotalShareChangeR2*(dataComp1Impact))</f>
        <v>0</v>
      </c>
      <c r="F3216" s="511">
        <f>(calcProd1Seg2Payer2TotalShareChangeR2&lt;0)*-(calcProd1Seg2Payer2TotalShareChangeR2*(dataComp1Impact))</f>
        <v>0</v>
      </c>
      <c r="G3216" s="511">
        <f>(calcProd1Seg2Payer2TotalShareChangeR2&lt;0)*-(calcProd1Seg2Payer2TotalShareChangeR2*(dataComp1Impact))</f>
        <v>0</v>
      </c>
      <c r="H3216" s="511">
        <f>(calcProd1Seg2Payer2TotalShareChangeR2&lt;0)*-(calcProd1Seg2Payer2TotalShareChangeR2*(dataComp1Impact))</f>
        <v>0</v>
      </c>
      <c r="I3216" s="511">
        <f>(calcProd1Seg2Payer2TotalShareChangeR2&lt;0)*-(calcProd1Seg2Payer2TotalShareChangeR2*(dataComp1Impact))</f>
        <v>0</v>
      </c>
      <c r="J3216" t="s">
        <v>3611</v>
      </c>
    </row>
    <row r="3217" spans="1:10">
      <c r="C3217" t="s">
        <v>3564</v>
      </c>
      <c r="E3217" s="511">
        <f>(calcProd1Seg2Payer2TotalShareChangeR2&gt;0)*-(calcProd1Seg2Payer2TotalShareChangeR2*(1-dataComp1Impact))</f>
        <v>0</v>
      </c>
      <c r="F3217" s="511">
        <f>(calcProd1Seg2Payer2TotalShareChangeR2&gt;0)*-(calcProd1Seg2Payer2TotalShareChangeR2*(1-dataComp1Impact))</f>
        <v>0</v>
      </c>
      <c r="G3217" s="511">
        <f>(calcProd1Seg2Payer2TotalShareChangeR2&gt;0)*-(calcProd1Seg2Payer2TotalShareChangeR2*(1-dataComp1Impact))</f>
        <v>0</v>
      </c>
      <c r="H3217" s="511">
        <f>(calcProd1Seg2Payer2TotalShareChangeR2&gt;0)*-(calcProd1Seg2Payer2TotalShareChangeR2*(1-dataComp1Impact))</f>
        <v>0</v>
      </c>
      <c r="I3217" s="511">
        <f>(calcProd1Seg2Payer2TotalShareChangeR2&gt;0)*-(calcProd1Seg2Payer2TotalShareChangeR2*(1-dataComp1Impact))</f>
        <v>0</v>
      </c>
      <c r="J3217" t="s">
        <v>3612</v>
      </c>
    </row>
    <row r="3218" spans="1:10">
      <c r="B3218" t="str">
        <f>nmComp2</f>
        <v>Pristine</v>
      </c>
      <c r="C3218" t="s">
        <v>3563</v>
      </c>
      <c r="E3218" s="511">
        <f>(calcProd1Seg2Payer2TotalShareChangeR2&lt;0)*-(calcProd1Seg2Payer2TotalShareChangeR2*(dataComp2Impact))</f>
        <v>0</v>
      </c>
      <c r="F3218" s="511">
        <f>(calcProd1Seg2Payer2TotalShareChangeR2&lt;0)*-(calcProd1Seg2Payer2TotalShareChangeR2*(dataComp2Impact))</f>
        <v>0</v>
      </c>
      <c r="G3218" s="511">
        <f>(calcProd1Seg2Payer2TotalShareChangeR2&lt;0)*-(calcProd1Seg2Payer2TotalShareChangeR2*(dataComp2Impact))</f>
        <v>0</v>
      </c>
      <c r="H3218" s="511">
        <f>(calcProd1Seg2Payer2TotalShareChangeR2&lt;0)*-(calcProd1Seg2Payer2TotalShareChangeR2*(dataComp2Impact))</f>
        <v>0</v>
      </c>
      <c r="I3218" s="511">
        <f>(calcProd1Seg2Payer2TotalShareChangeR2&lt;0)*-(calcProd1Seg2Payer2TotalShareChangeR2*(dataComp2Impact))</f>
        <v>0</v>
      </c>
      <c r="J3218" t="s">
        <v>3613</v>
      </c>
    </row>
    <row r="3219" spans="1:10">
      <c r="C3219" t="s">
        <v>3564</v>
      </c>
      <c r="E3219" s="511">
        <f>(calcProd1Seg2Payer2TotalShareChangeR2&gt;0)*-(calcProd1Seg2Payer2TotalShareChangeR2*(1-dataComp2Impact))</f>
        <v>0</v>
      </c>
      <c r="F3219" s="511">
        <f>(calcProd1Seg2Payer2TotalShareChangeR2&gt;0)*-(calcProd1Seg2Payer2TotalShareChangeR2*(1-dataComp2Impact))</f>
        <v>0</v>
      </c>
      <c r="G3219" s="511">
        <f>(calcProd1Seg2Payer2TotalShareChangeR2&gt;0)*-(calcProd1Seg2Payer2TotalShareChangeR2*(1-dataComp2Impact))</f>
        <v>0</v>
      </c>
      <c r="H3219" s="511">
        <f>(calcProd1Seg2Payer2TotalShareChangeR2&gt;0)*-(calcProd1Seg2Payer2TotalShareChangeR2*(1-dataComp2Impact))</f>
        <v>0</v>
      </c>
      <c r="I3219" s="511">
        <f>(calcProd1Seg2Payer2TotalShareChangeR2&gt;0)*-(calcProd1Seg2Payer2TotalShareChangeR2*(1-dataComp2Impact))</f>
        <v>0</v>
      </c>
      <c r="J3219" t="s">
        <v>3614</v>
      </c>
    </row>
    <row r="3221" spans="1:10">
      <c r="A3221" s="4"/>
      <c r="C3221" s="4" t="str">
        <f>nmPayer3</f>
        <v>Dragon Health</v>
      </c>
      <c r="E3221" s="511">
        <f>calcProd1Seg2Payer3ShareTotalCustR1-obalProd1Seg2Payer3Share</f>
        <v>2.3400000000000027E-4</v>
      </c>
      <c r="F3221" s="511">
        <f>calcProd1Seg2Payer3ShareTotalCustR1-obalProd1Seg2Payer3Share</f>
        <v>2.3400000000000027E-4</v>
      </c>
      <c r="G3221" s="511">
        <f>calcProd1Seg2Payer3ShareTotalCustR1-obalProd1Seg2Payer3Share</f>
        <v>2.3400000000000027E-4</v>
      </c>
      <c r="H3221" s="511">
        <f>calcProd1Seg2Payer3ShareTotalCustR1-obalProd1Seg2Payer3Share</f>
        <v>2.3400000000000027E-4</v>
      </c>
      <c r="I3221" s="511">
        <f>calcProd1Seg2Payer3ShareTotalCustR1-obalProd1Seg2Payer3Share</f>
        <v>2.3400000000000027E-4</v>
      </c>
      <c r="J3221" t="s">
        <v>3615</v>
      </c>
    </row>
    <row r="3222" spans="1:10">
      <c r="B3222" t="str">
        <f>nmComp1</f>
        <v>Vibrant</v>
      </c>
      <c r="C3222" t="s">
        <v>3563</v>
      </c>
      <c r="E3222" s="511">
        <f>(calcProd1Seg2Payer3TotalShareChangeR1&lt;0)*-(calcProd1Seg2Payer3TotalShareChangeR1*(dataComp1Impact))</f>
        <v>0</v>
      </c>
      <c r="F3222" s="511">
        <f>(calcProd1Seg2Payer3TotalShareChangeR1&lt;0)*-(calcProd1Seg2Payer3TotalShareChangeR1*(dataComp1Impact))</f>
        <v>0</v>
      </c>
      <c r="G3222" s="511">
        <f>(calcProd1Seg2Payer3TotalShareChangeR1&lt;0)*-(calcProd1Seg2Payer3TotalShareChangeR1*(dataComp1Impact))</f>
        <v>0</v>
      </c>
      <c r="H3222" s="511">
        <f>(calcProd1Seg2Payer3TotalShareChangeR1&lt;0)*-(calcProd1Seg2Payer3TotalShareChangeR1*(dataComp1Impact))</f>
        <v>0</v>
      </c>
      <c r="I3222" s="511">
        <f>(calcProd1Seg2Payer3TotalShareChangeR1&lt;0)*-(calcProd1Seg2Payer3TotalShareChangeR1*(dataComp1Impact))</f>
        <v>0</v>
      </c>
      <c r="J3222" t="s">
        <v>3616</v>
      </c>
    </row>
    <row r="3223" spans="1:10">
      <c r="C3223" t="s">
        <v>3564</v>
      </c>
      <c r="E3223" s="511">
        <f>(calcProd1Seg2Payer3TotalShareChangeR1&gt;0)*-(calcProd1Seg2Payer3TotalShareChangeR1*(1-dataComp1Impact))</f>
        <v>-1.8720000000000021E-4</v>
      </c>
      <c r="F3223" s="511">
        <f>(calcProd1Seg2Payer3TotalShareChangeR1&gt;0)*-(calcProd1Seg2Payer3TotalShareChangeR1*(1-dataComp1Impact))</f>
        <v>-1.8720000000000021E-4</v>
      </c>
      <c r="G3223" s="511">
        <f>(calcProd1Seg2Payer3TotalShareChangeR1&gt;0)*-(calcProd1Seg2Payer3TotalShareChangeR1*(1-dataComp1Impact))</f>
        <v>-1.8720000000000021E-4</v>
      </c>
      <c r="H3223" s="511">
        <f>(calcProd1Seg2Payer3TotalShareChangeR1&gt;0)*-(calcProd1Seg2Payer3TotalShareChangeR1*(1-dataComp1Impact))</f>
        <v>-1.8720000000000021E-4</v>
      </c>
      <c r="I3223" s="511">
        <f>(calcProd1Seg2Payer3TotalShareChangeR1&gt;0)*-(calcProd1Seg2Payer3TotalShareChangeR1*(1-dataComp1Impact))</f>
        <v>-1.8720000000000021E-4</v>
      </c>
      <c r="J3223" t="s">
        <v>3617</v>
      </c>
    </row>
    <row r="3224" spans="1:10">
      <c r="B3224" t="str">
        <f>nmComp2</f>
        <v>Pristine</v>
      </c>
      <c r="C3224" t="s">
        <v>3563</v>
      </c>
      <c r="E3224" s="511">
        <f>(calcProd1Seg2Payer3TotalShareChangeR1&lt;0)*-(calcProd1Seg2Payer3TotalShareChangeR1*(dataComp2Impact))</f>
        <v>0</v>
      </c>
      <c r="F3224" s="511">
        <f>(calcProd1Seg2Payer3TotalShareChangeR1&lt;0)*-(calcProd1Seg2Payer3TotalShareChangeR1*(dataComp2Impact))</f>
        <v>0</v>
      </c>
      <c r="G3224" s="511">
        <f>(calcProd1Seg2Payer3TotalShareChangeR1&lt;0)*-(calcProd1Seg2Payer3TotalShareChangeR1*(dataComp2Impact))</f>
        <v>0</v>
      </c>
      <c r="H3224" s="511">
        <f>(calcProd1Seg2Payer3TotalShareChangeR1&lt;0)*-(calcProd1Seg2Payer3TotalShareChangeR1*(dataComp2Impact))</f>
        <v>0</v>
      </c>
      <c r="I3224" s="511">
        <f>(calcProd1Seg2Payer3TotalShareChangeR1&lt;0)*-(calcProd1Seg2Payer3TotalShareChangeR1*(dataComp2Impact))</f>
        <v>0</v>
      </c>
      <c r="J3224" t="s">
        <v>3618</v>
      </c>
    </row>
    <row r="3225" spans="1:10">
      <c r="C3225" t="s">
        <v>3564</v>
      </c>
      <c r="E3225" s="511">
        <f>(calcProd1Seg2Payer3TotalShareChangeR1&gt;0)*-(calcProd1Seg2Payer3TotalShareChangeR1*(1-dataComp2Impact))</f>
        <v>-4.680000000000004E-5</v>
      </c>
      <c r="F3225" s="511">
        <f>(calcProd1Seg2Payer3TotalShareChangeR1&gt;0)*-(calcProd1Seg2Payer3TotalShareChangeR1*(1-dataComp2Impact))</f>
        <v>-4.680000000000004E-5</v>
      </c>
      <c r="G3225" s="511">
        <f>(calcProd1Seg2Payer3TotalShareChangeR1&gt;0)*-(calcProd1Seg2Payer3TotalShareChangeR1*(1-dataComp2Impact))</f>
        <v>-4.680000000000004E-5</v>
      </c>
      <c r="H3225" s="511">
        <f>(calcProd1Seg2Payer3TotalShareChangeR1&gt;0)*-(calcProd1Seg2Payer3TotalShareChangeR1*(1-dataComp2Impact))</f>
        <v>-4.680000000000004E-5</v>
      </c>
      <c r="I3225" s="511">
        <f>(calcProd1Seg2Payer3TotalShareChangeR1&gt;0)*-(calcProd1Seg2Payer3TotalShareChangeR1*(1-dataComp2Impact))</f>
        <v>-4.680000000000004E-5</v>
      </c>
      <c r="J3225" t="s">
        <v>3619</v>
      </c>
    </row>
    <row r="3227" spans="1:10">
      <c r="A3227" s="4"/>
      <c r="C3227" s="4" t="str">
        <f>nmPayer3</f>
        <v>Dragon Health</v>
      </c>
      <c r="E3227" s="511">
        <f>calcProd1Seg2Payer3ShareTotalCustR2-calcProd1Seg2Payer3ShareTotalCustR1</f>
        <v>0</v>
      </c>
      <c r="F3227" s="511">
        <f>calcProd1Seg2Payer3ShareTotalCustR2-calcProd1Seg2Payer3ShareTotalCustR1</f>
        <v>0</v>
      </c>
      <c r="G3227" s="511">
        <f>calcProd1Seg2Payer3ShareTotalCustR2-calcProd1Seg2Payer3ShareTotalCustR1</f>
        <v>0</v>
      </c>
      <c r="H3227" s="511">
        <f>calcProd1Seg2Payer3ShareTotalCustR2-calcProd1Seg2Payer3ShareTotalCustR1</f>
        <v>0</v>
      </c>
      <c r="I3227" s="511">
        <f>calcProd1Seg2Payer3ShareTotalCustR2-calcProd1Seg2Payer3ShareTotalCustR1</f>
        <v>0</v>
      </c>
      <c r="J3227" t="s">
        <v>3620</v>
      </c>
    </row>
    <row r="3228" spans="1:10">
      <c r="B3228" t="str">
        <f>nmComp1</f>
        <v>Vibrant</v>
      </c>
      <c r="C3228" t="s">
        <v>3563</v>
      </c>
      <c r="E3228" s="511">
        <f>(calcProd1Seg2Payer3TotalShareChangeR2&lt;0)*-(calcProd1Seg2Payer3TotalShareChangeR2*(dataComp1Impact))</f>
        <v>0</v>
      </c>
      <c r="F3228" s="511">
        <f>(calcProd1Seg2Payer3TotalShareChangeR2&lt;0)*-(calcProd1Seg2Payer3TotalShareChangeR2*(dataComp1Impact))</f>
        <v>0</v>
      </c>
      <c r="G3228" s="511">
        <f>(calcProd1Seg2Payer3TotalShareChangeR2&lt;0)*-(calcProd1Seg2Payer3TotalShareChangeR2*(dataComp1Impact))</f>
        <v>0</v>
      </c>
      <c r="H3228" s="511">
        <f>(calcProd1Seg2Payer3TotalShareChangeR2&lt;0)*-(calcProd1Seg2Payer3TotalShareChangeR2*(dataComp1Impact))</f>
        <v>0</v>
      </c>
      <c r="I3228" s="511">
        <f>(calcProd1Seg2Payer3TotalShareChangeR2&lt;0)*-(calcProd1Seg2Payer3TotalShareChangeR2*(dataComp1Impact))</f>
        <v>0</v>
      </c>
      <c r="J3228" t="s">
        <v>3621</v>
      </c>
    </row>
    <row r="3229" spans="1:10">
      <c r="C3229" t="s">
        <v>3564</v>
      </c>
      <c r="E3229" s="511">
        <f>(calcProd1Seg2Payer3TotalShareChangeR2&gt;0)*-(calcProd1Seg2Payer3TotalShareChangeR2*(1-dataComp1Impact))</f>
        <v>0</v>
      </c>
      <c r="F3229" s="511">
        <f>(calcProd1Seg2Payer3TotalShareChangeR2&gt;0)*-(calcProd1Seg2Payer3TotalShareChangeR2*(1-dataComp1Impact))</f>
        <v>0</v>
      </c>
      <c r="G3229" s="511">
        <f>(calcProd1Seg2Payer3TotalShareChangeR2&gt;0)*-(calcProd1Seg2Payer3TotalShareChangeR2*(1-dataComp1Impact))</f>
        <v>0</v>
      </c>
      <c r="H3229" s="511">
        <f>(calcProd1Seg2Payer3TotalShareChangeR2&gt;0)*-(calcProd1Seg2Payer3TotalShareChangeR2*(1-dataComp1Impact))</f>
        <v>0</v>
      </c>
      <c r="I3229" s="511">
        <f>(calcProd1Seg2Payer3TotalShareChangeR2&gt;0)*-(calcProd1Seg2Payer3TotalShareChangeR2*(1-dataComp1Impact))</f>
        <v>0</v>
      </c>
      <c r="J3229" t="s">
        <v>3622</v>
      </c>
    </row>
    <row r="3230" spans="1:10">
      <c r="B3230" t="str">
        <f>nmComp2</f>
        <v>Pristine</v>
      </c>
      <c r="C3230" t="s">
        <v>3563</v>
      </c>
      <c r="E3230" s="511">
        <f>(calcProd1Seg2Payer3TotalShareChangeR2&lt;0)*-(calcProd1Seg2Payer3TotalShareChangeR2*(dataComp2Impact))</f>
        <v>0</v>
      </c>
      <c r="F3230" s="511">
        <f>(calcProd1Seg2Payer3TotalShareChangeR2&lt;0)*-(calcProd1Seg2Payer3TotalShareChangeR2*(dataComp2Impact))</f>
        <v>0</v>
      </c>
      <c r="G3230" s="511">
        <f>(calcProd1Seg2Payer3TotalShareChangeR2&lt;0)*-(calcProd1Seg2Payer3TotalShareChangeR2*(dataComp2Impact))</f>
        <v>0</v>
      </c>
      <c r="H3230" s="511">
        <f>(calcProd1Seg2Payer3TotalShareChangeR2&lt;0)*-(calcProd1Seg2Payer3TotalShareChangeR2*(dataComp2Impact))</f>
        <v>0</v>
      </c>
      <c r="I3230" s="511">
        <f>(calcProd1Seg2Payer3TotalShareChangeR2&lt;0)*-(calcProd1Seg2Payer3TotalShareChangeR2*(dataComp2Impact))</f>
        <v>0</v>
      </c>
      <c r="J3230" t="s">
        <v>3623</v>
      </c>
    </row>
    <row r="3231" spans="1:10">
      <c r="C3231" t="s">
        <v>3564</v>
      </c>
      <c r="E3231" s="511">
        <f>(calcProd1Seg2Payer3TotalShareChangeR2&gt;0)*-(calcProd1Seg2Payer3TotalShareChangeR2*(1-dataComp2Impact))</f>
        <v>0</v>
      </c>
      <c r="F3231" s="511">
        <f>(calcProd1Seg2Payer3TotalShareChangeR2&gt;0)*-(calcProd1Seg2Payer3TotalShareChangeR2*(1-dataComp2Impact))</f>
        <v>0</v>
      </c>
      <c r="G3231" s="511">
        <f>(calcProd1Seg2Payer3TotalShareChangeR2&gt;0)*-(calcProd1Seg2Payer3TotalShareChangeR2*(1-dataComp2Impact))</f>
        <v>0</v>
      </c>
      <c r="H3231" s="511">
        <f>(calcProd1Seg2Payer3TotalShareChangeR2&gt;0)*-(calcProd1Seg2Payer3TotalShareChangeR2*(1-dataComp2Impact))</f>
        <v>0</v>
      </c>
      <c r="I3231" s="511">
        <f>(calcProd1Seg2Payer3TotalShareChangeR2&gt;0)*-(calcProd1Seg2Payer3TotalShareChangeR2*(1-dataComp2Impact))</f>
        <v>0</v>
      </c>
      <c r="J3231" t="s">
        <v>3624</v>
      </c>
    </row>
    <row r="3233" spans="1:10">
      <c r="A3233" s="4" t="str">
        <f>nmProd1Seg3</f>
        <v>Lordfrey City</v>
      </c>
      <c r="C3233" s="4" t="str">
        <f>nmPayer1</f>
        <v>Blue Sword/Blue Shield</v>
      </c>
      <c r="E3233" s="511">
        <f>calcProd1Seg3Payer1ShareTotalCustR1-obalProd1Seg3Payer1Share</f>
        <v>-1.1000000000000003E-3</v>
      </c>
      <c r="F3233" s="511">
        <f>calcProd1Seg3Payer1ShareTotalCustR1-obalProd1Seg3Payer1Share</f>
        <v>-1.1000000000000003E-3</v>
      </c>
      <c r="G3233" s="511">
        <f>calcProd1Seg3Payer1ShareTotalCustR1-obalProd1Seg3Payer1Share</f>
        <v>-1.1000000000000003E-3</v>
      </c>
      <c r="H3233" s="511">
        <f>calcProd1Seg3Payer1ShareTotalCustR1-obalProd1Seg3Payer1Share</f>
        <v>-1.1000000000000003E-3</v>
      </c>
      <c r="I3233" s="511">
        <f>calcProd1Seg3Payer1ShareTotalCustR1-obalProd1Seg3Payer1Share</f>
        <v>-1.1000000000000003E-3</v>
      </c>
      <c r="J3233" t="s">
        <v>3625</v>
      </c>
    </row>
    <row r="3234" spans="1:10">
      <c r="B3234" t="str">
        <f>nmComp1</f>
        <v>Vibrant</v>
      </c>
      <c r="C3234" t="s">
        <v>3563</v>
      </c>
      <c r="E3234" s="511">
        <f>(calcProd1Seg3Payer1TotalShareChangeR1&lt;0)*-(calcProd1Seg3Payer1TotalShareChangeR1*(dataComp1Impact))</f>
        <v>2.2000000000000006E-4</v>
      </c>
      <c r="F3234" s="511">
        <f>(calcProd1Seg3Payer1TotalShareChangeR1&lt;0)*-(calcProd1Seg3Payer1TotalShareChangeR1*(dataComp1Impact))</f>
        <v>2.2000000000000006E-4</v>
      </c>
      <c r="G3234" s="511">
        <f>(calcProd1Seg3Payer1TotalShareChangeR1&lt;0)*-(calcProd1Seg3Payer1TotalShareChangeR1*(dataComp1Impact))</f>
        <v>2.2000000000000006E-4</v>
      </c>
      <c r="H3234" s="511">
        <f>(calcProd1Seg3Payer1TotalShareChangeR1&lt;0)*-(calcProd1Seg3Payer1TotalShareChangeR1*(dataComp1Impact))</f>
        <v>2.2000000000000006E-4</v>
      </c>
      <c r="I3234" s="511">
        <f>(calcProd1Seg3Payer1TotalShareChangeR1&lt;0)*-(calcProd1Seg3Payer1TotalShareChangeR1*(dataComp1Impact))</f>
        <v>2.2000000000000006E-4</v>
      </c>
      <c r="J3234" t="s">
        <v>3626</v>
      </c>
    </row>
    <row r="3235" spans="1:10">
      <c r="C3235" t="s">
        <v>3564</v>
      </c>
      <c r="E3235" s="511">
        <f>(calcProd1Seg3Payer1TotalShareChangeR1&gt;0)*-(calcProd1Seg3Payer1TotalShareChangeR1*(1-dataComp1Impact))</f>
        <v>0</v>
      </c>
      <c r="F3235" s="511">
        <f>(calcProd1Seg3Payer1TotalShareChangeR1&gt;0)*-(calcProd1Seg3Payer1TotalShareChangeR1*(1-dataComp1Impact))</f>
        <v>0</v>
      </c>
      <c r="G3235" s="511">
        <f>(calcProd1Seg3Payer1TotalShareChangeR1&gt;0)*-(calcProd1Seg3Payer1TotalShareChangeR1*(1-dataComp1Impact))</f>
        <v>0</v>
      </c>
      <c r="H3235" s="511">
        <f>(calcProd1Seg3Payer1TotalShareChangeR1&gt;0)*-(calcProd1Seg3Payer1TotalShareChangeR1*(1-dataComp1Impact))</f>
        <v>0</v>
      </c>
      <c r="I3235" s="511">
        <f>(calcProd1Seg3Payer1TotalShareChangeR1&gt;0)*-(calcProd1Seg3Payer1TotalShareChangeR1*(1-dataComp1Impact))</f>
        <v>0</v>
      </c>
      <c r="J3235" t="s">
        <v>3627</v>
      </c>
    </row>
    <row r="3236" spans="1:10">
      <c r="B3236" t="str">
        <f>nmComp2</f>
        <v>Pristine</v>
      </c>
      <c r="C3236" t="s">
        <v>3563</v>
      </c>
      <c r="E3236" s="511">
        <f>(calcProd1Seg3Payer1TotalShareChangeR1&lt;0)*-(calcProd1Seg3Payer1TotalShareChangeR1*(dataComp2Impact))</f>
        <v>8.8000000000000025E-4</v>
      </c>
      <c r="F3236" s="511">
        <f>(calcProd1Seg3Payer1TotalShareChangeR1&lt;0)*-(calcProd1Seg3Payer1TotalShareChangeR1*(dataComp2Impact))</f>
        <v>8.8000000000000025E-4</v>
      </c>
      <c r="G3236" s="511">
        <f>(calcProd1Seg3Payer1TotalShareChangeR1&lt;0)*-(calcProd1Seg3Payer1TotalShareChangeR1*(dataComp2Impact))</f>
        <v>8.8000000000000025E-4</v>
      </c>
      <c r="H3236" s="511">
        <f>(calcProd1Seg3Payer1TotalShareChangeR1&lt;0)*-(calcProd1Seg3Payer1TotalShareChangeR1*(dataComp2Impact))</f>
        <v>8.8000000000000025E-4</v>
      </c>
      <c r="I3236" s="511">
        <f>(calcProd1Seg3Payer1TotalShareChangeR1&lt;0)*-(calcProd1Seg3Payer1TotalShareChangeR1*(dataComp2Impact))</f>
        <v>8.8000000000000025E-4</v>
      </c>
      <c r="J3236" t="s">
        <v>3628</v>
      </c>
    </row>
    <row r="3237" spans="1:10">
      <c r="C3237" t="s">
        <v>3564</v>
      </c>
      <c r="E3237" s="511">
        <f>(calcProd1Seg3Payer1TotalShareChangeR1&gt;0)*-(calcProd1Seg3Payer1TotalShareChangeR1*(1-dataComp2Impact))</f>
        <v>0</v>
      </c>
      <c r="F3237" s="511">
        <f>(calcProd1Seg3Payer1TotalShareChangeR1&gt;0)*-(calcProd1Seg3Payer1TotalShareChangeR1*(1-dataComp2Impact))</f>
        <v>0</v>
      </c>
      <c r="G3237" s="511">
        <f>(calcProd1Seg3Payer1TotalShareChangeR1&gt;0)*-(calcProd1Seg3Payer1TotalShareChangeR1*(1-dataComp2Impact))</f>
        <v>0</v>
      </c>
      <c r="H3237" s="511">
        <f>(calcProd1Seg3Payer1TotalShareChangeR1&gt;0)*-(calcProd1Seg3Payer1TotalShareChangeR1*(1-dataComp2Impact))</f>
        <v>0</v>
      </c>
      <c r="I3237" s="511">
        <f>(calcProd1Seg3Payer1TotalShareChangeR1&gt;0)*-(calcProd1Seg3Payer1TotalShareChangeR1*(1-dataComp2Impact))</f>
        <v>0</v>
      </c>
      <c r="J3237" t="s">
        <v>3629</v>
      </c>
    </row>
    <row r="3239" spans="1:10">
      <c r="A3239" s="4"/>
      <c r="C3239" s="4" t="str">
        <f>nmPayer1</f>
        <v>Blue Sword/Blue Shield</v>
      </c>
      <c r="E3239" s="511">
        <f>calcProd1Seg3Payer1ShareTotalCustR2-calcProd1Seg3Payer1ShareTotalCustR1</f>
        <v>0</v>
      </c>
      <c r="F3239" s="511">
        <f>calcProd1Seg3Payer1ShareTotalCustR2-calcProd1Seg3Payer1ShareTotalCustR1</f>
        <v>0</v>
      </c>
      <c r="G3239" s="511">
        <f>calcProd1Seg3Payer1ShareTotalCustR2-calcProd1Seg3Payer1ShareTotalCustR1</f>
        <v>0</v>
      </c>
      <c r="H3239" s="511">
        <f>calcProd1Seg3Payer1ShareTotalCustR2-calcProd1Seg3Payer1ShareTotalCustR1</f>
        <v>0</v>
      </c>
      <c r="I3239" s="511">
        <f>calcProd1Seg3Payer1ShareTotalCustR2-calcProd1Seg3Payer1ShareTotalCustR1</f>
        <v>0</v>
      </c>
      <c r="J3239" t="s">
        <v>3630</v>
      </c>
    </row>
    <row r="3240" spans="1:10">
      <c r="B3240" t="str">
        <f>nmComp1</f>
        <v>Vibrant</v>
      </c>
      <c r="C3240" t="s">
        <v>3563</v>
      </c>
      <c r="E3240" s="511">
        <f>(calcProd1Seg3Payer1TotalShareChangeR2&lt;0)*-(calcProd1Seg3Payer1TotalShareChangeR2*(dataComp1Impact))</f>
        <v>0</v>
      </c>
      <c r="F3240" s="511">
        <f>(calcProd1Seg3Payer1TotalShareChangeR2&lt;0)*-(calcProd1Seg3Payer1TotalShareChangeR2*(dataComp1Impact))</f>
        <v>0</v>
      </c>
      <c r="G3240" s="511">
        <f>(calcProd1Seg3Payer1TotalShareChangeR2&lt;0)*-(calcProd1Seg3Payer1TotalShareChangeR2*(dataComp1Impact))</f>
        <v>0</v>
      </c>
      <c r="H3240" s="511">
        <f>(calcProd1Seg3Payer1TotalShareChangeR2&lt;0)*-(calcProd1Seg3Payer1TotalShareChangeR2*(dataComp1Impact))</f>
        <v>0</v>
      </c>
      <c r="I3240" s="511">
        <f>(calcProd1Seg3Payer1TotalShareChangeR2&lt;0)*-(calcProd1Seg3Payer1TotalShareChangeR2*(dataComp1Impact))</f>
        <v>0</v>
      </c>
      <c r="J3240" t="s">
        <v>3631</v>
      </c>
    </row>
    <row r="3241" spans="1:10">
      <c r="C3241" t="s">
        <v>3564</v>
      </c>
      <c r="E3241" s="511">
        <f>(calcProd1Seg3Payer1TotalShareChangeR2&gt;0)*-(calcProd1Seg3Payer1TotalShareChangeR2*(1-dataComp1Impact))</f>
        <v>0</v>
      </c>
      <c r="F3241" s="511">
        <f>(calcProd1Seg3Payer1TotalShareChangeR2&gt;0)*-(calcProd1Seg3Payer1TotalShareChangeR2*(1-dataComp1Impact))</f>
        <v>0</v>
      </c>
      <c r="G3241" s="511">
        <f>(calcProd1Seg3Payer1TotalShareChangeR2&gt;0)*-(calcProd1Seg3Payer1TotalShareChangeR2*(1-dataComp1Impact))</f>
        <v>0</v>
      </c>
      <c r="H3241" s="511">
        <f>(calcProd1Seg3Payer1TotalShareChangeR2&gt;0)*-(calcProd1Seg3Payer1TotalShareChangeR2*(1-dataComp1Impact))</f>
        <v>0</v>
      </c>
      <c r="I3241" s="511">
        <f>(calcProd1Seg3Payer1TotalShareChangeR2&gt;0)*-(calcProd1Seg3Payer1TotalShareChangeR2*(1-dataComp1Impact))</f>
        <v>0</v>
      </c>
      <c r="J3241" t="s">
        <v>3632</v>
      </c>
    </row>
    <row r="3242" spans="1:10">
      <c r="B3242" t="str">
        <f>nmComp2</f>
        <v>Pristine</v>
      </c>
      <c r="C3242" t="s">
        <v>3563</v>
      </c>
      <c r="E3242" s="511">
        <f>(calcProd1Seg3Payer1TotalShareChangeR2&lt;0)*-(calcProd1Seg3Payer1TotalShareChangeR2*(dataComp2Impact))</f>
        <v>0</v>
      </c>
      <c r="F3242" s="511">
        <f>(calcProd1Seg3Payer1TotalShareChangeR2&lt;0)*-(calcProd1Seg3Payer1TotalShareChangeR2*(dataComp2Impact))</f>
        <v>0</v>
      </c>
      <c r="G3242" s="511">
        <f>(calcProd1Seg3Payer1TotalShareChangeR2&lt;0)*-(calcProd1Seg3Payer1TotalShareChangeR2*(dataComp2Impact))</f>
        <v>0</v>
      </c>
      <c r="H3242" s="511">
        <f>(calcProd1Seg3Payer1TotalShareChangeR2&lt;0)*-(calcProd1Seg3Payer1TotalShareChangeR2*(dataComp2Impact))</f>
        <v>0</v>
      </c>
      <c r="I3242" s="511">
        <f>(calcProd1Seg3Payer1TotalShareChangeR2&lt;0)*-(calcProd1Seg3Payer1TotalShareChangeR2*(dataComp2Impact))</f>
        <v>0</v>
      </c>
      <c r="J3242" t="s">
        <v>3633</v>
      </c>
    </row>
    <row r="3243" spans="1:10">
      <c r="C3243" t="s">
        <v>3564</v>
      </c>
      <c r="E3243" s="511">
        <f>(calcProd1Seg3Payer1TotalShareChangeR2&gt;0)*-(calcProd1Seg3Payer1TotalShareChangeR2*(1-dataComp2Impact))</f>
        <v>0</v>
      </c>
      <c r="F3243" s="511">
        <f>(calcProd1Seg3Payer1TotalShareChangeR2&gt;0)*-(calcProd1Seg3Payer1TotalShareChangeR2*(1-dataComp2Impact))</f>
        <v>0</v>
      </c>
      <c r="G3243" s="511">
        <f>(calcProd1Seg3Payer1TotalShareChangeR2&gt;0)*-(calcProd1Seg3Payer1TotalShareChangeR2*(1-dataComp2Impact))</f>
        <v>0</v>
      </c>
      <c r="H3243" s="511">
        <f>(calcProd1Seg3Payer1TotalShareChangeR2&gt;0)*-(calcProd1Seg3Payer1TotalShareChangeR2*(1-dataComp2Impact))</f>
        <v>0</v>
      </c>
      <c r="I3243" s="511">
        <f>(calcProd1Seg3Payer1TotalShareChangeR2&gt;0)*-(calcProd1Seg3Payer1TotalShareChangeR2*(1-dataComp2Impact))</f>
        <v>0</v>
      </c>
      <c r="J3243" t="s">
        <v>3634</v>
      </c>
    </row>
    <row r="3245" spans="1:10">
      <c r="A3245" s="4"/>
      <c r="C3245" s="4" t="str">
        <f>nmPayer2</f>
        <v>WesterAid</v>
      </c>
      <c r="E3245" s="511">
        <f>calcProd1Seg3Payer2ShareTotalCustR1-obalProd1Seg3Payer2Share</f>
        <v>0</v>
      </c>
      <c r="F3245" s="511">
        <f>calcProd1Seg3Payer2ShareTotalCustR1-obalProd1Seg3Payer2Share</f>
        <v>0</v>
      </c>
      <c r="G3245" s="511">
        <f>calcProd1Seg3Payer2ShareTotalCustR1-obalProd1Seg3Payer2Share</f>
        <v>0</v>
      </c>
      <c r="H3245" s="511">
        <f>calcProd1Seg3Payer2ShareTotalCustR1-obalProd1Seg3Payer2Share</f>
        <v>0</v>
      </c>
      <c r="I3245" s="511">
        <f>calcProd1Seg3Payer2ShareTotalCustR1-obalProd1Seg3Payer2Share</f>
        <v>0</v>
      </c>
      <c r="J3245" t="s">
        <v>3635</v>
      </c>
    </row>
    <row r="3246" spans="1:10">
      <c r="B3246" t="str">
        <f>nmComp1</f>
        <v>Vibrant</v>
      </c>
      <c r="C3246" t="s">
        <v>3563</v>
      </c>
      <c r="E3246" s="511">
        <f>(calcProd1Seg3Payer2TotalShareChangeR1&lt;0)*-(calcProd1Seg3Payer2TotalShareChangeR1*(dataComp1Impact))</f>
        <v>0</v>
      </c>
      <c r="F3246" s="511">
        <f>(calcProd1Seg3Payer2TotalShareChangeR1&lt;0)*-(calcProd1Seg3Payer2TotalShareChangeR1*(dataComp1Impact))</f>
        <v>0</v>
      </c>
      <c r="G3246" s="511">
        <f>(calcProd1Seg3Payer2TotalShareChangeR1&lt;0)*-(calcProd1Seg3Payer2TotalShareChangeR1*(dataComp1Impact))</f>
        <v>0</v>
      </c>
      <c r="H3246" s="511">
        <f>(calcProd1Seg3Payer2TotalShareChangeR1&lt;0)*-(calcProd1Seg3Payer2TotalShareChangeR1*(dataComp1Impact))</f>
        <v>0</v>
      </c>
      <c r="I3246" s="511">
        <f>(calcProd1Seg3Payer2TotalShareChangeR1&lt;0)*-(calcProd1Seg3Payer2TotalShareChangeR1*(dataComp1Impact))</f>
        <v>0</v>
      </c>
      <c r="J3246" t="s">
        <v>3636</v>
      </c>
    </row>
    <row r="3247" spans="1:10">
      <c r="C3247" t="s">
        <v>3564</v>
      </c>
      <c r="E3247" s="511">
        <f>(calcProd1Seg3Payer2TotalShareChangeR1&gt;0)*-(calcProd1Seg3Payer2TotalShareChangeR1*(1-dataComp1Impact))</f>
        <v>0</v>
      </c>
      <c r="F3247" s="511">
        <f>(calcProd1Seg3Payer2TotalShareChangeR1&gt;0)*-(calcProd1Seg3Payer2TotalShareChangeR1*(1-dataComp1Impact))</f>
        <v>0</v>
      </c>
      <c r="G3247" s="511">
        <f>(calcProd1Seg3Payer2TotalShareChangeR1&gt;0)*-(calcProd1Seg3Payer2TotalShareChangeR1*(1-dataComp1Impact))</f>
        <v>0</v>
      </c>
      <c r="H3247" s="511">
        <f>(calcProd1Seg3Payer2TotalShareChangeR1&gt;0)*-(calcProd1Seg3Payer2TotalShareChangeR1*(1-dataComp1Impact))</f>
        <v>0</v>
      </c>
      <c r="I3247" s="511">
        <f>(calcProd1Seg3Payer2TotalShareChangeR1&gt;0)*-(calcProd1Seg3Payer2TotalShareChangeR1*(1-dataComp1Impact))</f>
        <v>0</v>
      </c>
      <c r="J3247" t="s">
        <v>3637</v>
      </c>
    </row>
    <row r="3248" spans="1:10">
      <c r="B3248" t="str">
        <f>nmComp2</f>
        <v>Pristine</v>
      </c>
      <c r="C3248" t="s">
        <v>3563</v>
      </c>
      <c r="E3248" s="511">
        <f>(calcProd1Seg3Payer2TotalShareChangeR1&lt;0)*-(calcProd1Seg3Payer2TotalShareChangeR1*(dataComp2Impact))</f>
        <v>0</v>
      </c>
      <c r="F3248" s="511">
        <f>(calcProd1Seg3Payer2TotalShareChangeR1&lt;0)*-(calcProd1Seg3Payer2TotalShareChangeR1*(dataComp2Impact))</f>
        <v>0</v>
      </c>
      <c r="G3248" s="511">
        <f>(calcProd1Seg3Payer2TotalShareChangeR1&lt;0)*-(calcProd1Seg3Payer2TotalShareChangeR1*(dataComp2Impact))</f>
        <v>0</v>
      </c>
      <c r="H3248" s="511">
        <f>(calcProd1Seg3Payer2TotalShareChangeR1&lt;0)*-(calcProd1Seg3Payer2TotalShareChangeR1*(dataComp2Impact))</f>
        <v>0</v>
      </c>
      <c r="I3248" s="511">
        <f>(calcProd1Seg3Payer2TotalShareChangeR1&lt;0)*-(calcProd1Seg3Payer2TotalShareChangeR1*(dataComp2Impact))</f>
        <v>0</v>
      </c>
      <c r="J3248" t="s">
        <v>3638</v>
      </c>
    </row>
    <row r="3249" spans="1:10">
      <c r="C3249" t="s">
        <v>3564</v>
      </c>
      <c r="E3249" s="511">
        <f>(calcProd1Seg3Payer2TotalShareChangeR1&gt;0)*-(calcProd1Seg3Payer2TotalShareChangeR1*(1-dataComp2Impact))</f>
        <v>0</v>
      </c>
      <c r="F3249" s="511">
        <f>(calcProd1Seg3Payer2TotalShareChangeR1&gt;0)*-(calcProd1Seg3Payer2TotalShareChangeR1*(1-dataComp2Impact))</f>
        <v>0</v>
      </c>
      <c r="G3249" s="511">
        <f>(calcProd1Seg3Payer2TotalShareChangeR1&gt;0)*-(calcProd1Seg3Payer2TotalShareChangeR1*(1-dataComp2Impact))</f>
        <v>0</v>
      </c>
      <c r="H3249" s="511">
        <f>(calcProd1Seg3Payer2TotalShareChangeR1&gt;0)*-(calcProd1Seg3Payer2TotalShareChangeR1*(1-dataComp2Impact))</f>
        <v>0</v>
      </c>
      <c r="I3249" s="511">
        <f>(calcProd1Seg3Payer2TotalShareChangeR1&gt;0)*-(calcProd1Seg3Payer2TotalShareChangeR1*(1-dataComp2Impact))</f>
        <v>0</v>
      </c>
      <c r="J3249" t="s">
        <v>3639</v>
      </c>
    </row>
    <row r="3251" spans="1:10">
      <c r="A3251" s="4"/>
      <c r="C3251" s="4" t="str">
        <f>nmPayer2</f>
        <v>WesterAid</v>
      </c>
      <c r="E3251" s="511">
        <f>calcProd1Seg3Payer2ShareTotalCustR2-calcProd1Seg3Payer2ShareTotalCustR1</f>
        <v>0</v>
      </c>
      <c r="F3251" s="511">
        <f>calcProd1Seg3Payer2ShareTotalCustR2-calcProd1Seg3Payer2ShareTotalCustR1</f>
        <v>0</v>
      </c>
      <c r="G3251" s="511">
        <f>calcProd1Seg3Payer2ShareTotalCustR2-calcProd1Seg3Payer2ShareTotalCustR1</f>
        <v>0</v>
      </c>
      <c r="H3251" s="511">
        <f>calcProd1Seg3Payer2ShareTotalCustR2-calcProd1Seg3Payer2ShareTotalCustR1</f>
        <v>0</v>
      </c>
      <c r="I3251" s="511">
        <f>calcProd1Seg3Payer2ShareTotalCustR2-calcProd1Seg3Payer2ShareTotalCustR1</f>
        <v>0</v>
      </c>
      <c r="J3251" t="s">
        <v>3640</v>
      </c>
    </row>
    <row r="3252" spans="1:10">
      <c r="B3252" t="str">
        <f>nmComp1</f>
        <v>Vibrant</v>
      </c>
      <c r="C3252" t="s">
        <v>3563</v>
      </c>
      <c r="E3252" s="511">
        <f>(calcProd1Seg3Payer2TotalShareChangeR2&lt;0)*-(calcProd1Seg3Payer2TotalShareChangeR2*(dataComp1Impact))</f>
        <v>0</v>
      </c>
      <c r="F3252" s="511">
        <f>(calcProd1Seg3Payer2TotalShareChangeR2&lt;0)*-(calcProd1Seg3Payer2TotalShareChangeR2*(dataComp1Impact))</f>
        <v>0</v>
      </c>
      <c r="G3252" s="511">
        <f>(calcProd1Seg3Payer2TotalShareChangeR2&lt;0)*-(calcProd1Seg3Payer2TotalShareChangeR2*(dataComp1Impact))</f>
        <v>0</v>
      </c>
      <c r="H3252" s="511">
        <f>(calcProd1Seg3Payer2TotalShareChangeR2&lt;0)*-(calcProd1Seg3Payer2TotalShareChangeR2*(dataComp1Impact))</f>
        <v>0</v>
      </c>
      <c r="I3252" s="511">
        <f>(calcProd1Seg3Payer2TotalShareChangeR2&lt;0)*-(calcProd1Seg3Payer2TotalShareChangeR2*(dataComp1Impact))</f>
        <v>0</v>
      </c>
      <c r="J3252" t="s">
        <v>3641</v>
      </c>
    </row>
    <row r="3253" spans="1:10">
      <c r="C3253" t="s">
        <v>3564</v>
      </c>
      <c r="E3253" s="511">
        <f>(calcProd1Seg3Payer2TotalShareChangeR2&gt;0)*-(calcProd1Seg3Payer2TotalShareChangeR2*(1-dataComp1Impact))</f>
        <v>0</v>
      </c>
      <c r="F3253" s="511">
        <f>(calcProd1Seg3Payer2TotalShareChangeR2&gt;0)*-(calcProd1Seg3Payer2TotalShareChangeR2*(1-dataComp1Impact))</f>
        <v>0</v>
      </c>
      <c r="G3253" s="511">
        <f>(calcProd1Seg3Payer2TotalShareChangeR2&gt;0)*-(calcProd1Seg3Payer2TotalShareChangeR2*(1-dataComp1Impact))</f>
        <v>0</v>
      </c>
      <c r="H3253" s="511">
        <f>(calcProd1Seg3Payer2TotalShareChangeR2&gt;0)*-(calcProd1Seg3Payer2TotalShareChangeR2*(1-dataComp1Impact))</f>
        <v>0</v>
      </c>
      <c r="I3253" s="511">
        <f>(calcProd1Seg3Payer2TotalShareChangeR2&gt;0)*-(calcProd1Seg3Payer2TotalShareChangeR2*(1-dataComp1Impact))</f>
        <v>0</v>
      </c>
      <c r="J3253" t="s">
        <v>3642</v>
      </c>
    </row>
    <row r="3254" spans="1:10">
      <c r="B3254" t="str">
        <f>nmComp2</f>
        <v>Pristine</v>
      </c>
      <c r="C3254" t="s">
        <v>3563</v>
      </c>
      <c r="E3254" s="511">
        <f>(calcProd1Seg3Payer2TotalShareChangeR2&lt;0)*-(calcProd1Seg3Payer2TotalShareChangeR2*(dataComp2Impact))</f>
        <v>0</v>
      </c>
      <c r="F3254" s="511">
        <f>(calcProd1Seg3Payer2TotalShareChangeR2&lt;0)*-(calcProd1Seg3Payer2TotalShareChangeR2*(dataComp2Impact))</f>
        <v>0</v>
      </c>
      <c r="G3254" s="511">
        <f>(calcProd1Seg3Payer2TotalShareChangeR2&lt;0)*-(calcProd1Seg3Payer2TotalShareChangeR2*(dataComp2Impact))</f>
        <v>0</v>
      </c>
      <c r="H3254" s="511">
        <f>(calcProd1Seg3Payer2TotalShareChangeR2&lt;0)*-(calcProd1Seg3Payer2TotalShareChangeR2*(dataComp2Impact))</f>
        <v>0</v>
      </c>
      <c r="I3254" s="511">
        <f>(calcProd1Seg3Payer2TotalShareChangeR2&lt;0)*-(calcProd1Seg3Payer2TotalShareChangeR2*(dataComp2Impact))</f>
        <v>0</v>
      </c>
      <c r="J3254" t="s">
        <v>3643</v>
      </c>
    </row>
    <row r="3255" spans="1:10">
      <c r="C3255" t="s">
        <v>3564</v>
      </c>
      <c r="E3255" s="511">
        <f>(calcProd1Seg3Payer2TotalShareChangeR2&gt;0)*-(calcProd1Seg3Payer2TotalShareChangeR2*(1-dataComp2Impact))</f>
        <v>0</v>
      </c>
      <c r="F3255" s="511">
        <f>(calcProd1Seg3Payer2TotalShareChangeR2&gt;0)*-(calcProd1Seg3Payer2TotalShareChangeR2*(1-dataComp2Impact))</f>
        <v>0</v>
      </c>
      <c r="G3255" s="511">
        <f>(calcProd1Seg3Payer2TotalShareChangeR2&gt;0)*-(calcProd1Seg3Payer2TotalShareChangeR2*(1-dataComp2Impact))</f>
        <v>0</v>
      </c>
      <c r="H3255" s="511">
        <f>(calcProd1Seg3Payer2TotalShareChangeR2&gt;0)*-(calcProd1Seg3Payer2TotalShareChangeR2*(1-dataComp2Impact))</f>
        <v>0</v>
      </c>
      <c r="I3255" s="511">
        <f>(calcProd1Seg3Payer2TotalShareChangeR2&gt;0)*-(calcProd1Seg3Payer2TotalShareChangeR2*(1-dataComp2Impact))</f>
        <v>0</v>
      </c>
      <c r="J3255" t="s">
        <v>3644</v>
      </c>
    </row>
    <row r="3257" spans="1:10">
      <c r="A3257" s="4"/>
      <c r="C3257" s="4" t="str">
        <f>nmPayer3</f>
        <v>Dragon Health</v>
      </c>
      <c r="E3257" s="511">
        <f>calcProd1Seg3Payer3ShareTotalCustR1-obalProd1Seg3Payer3Share</f>
        <v>-8.9999999999999976E-4</v>
      </c>
      <c r="F3257" s="511">
        <f>calcProd1Seg3Payer3ShareTotalCustR1-obalProd1Seg3Payer3Share</f>
        <v>-8.9999999999999976E-4</v>
      </c>
      <c r="G3257" s="511">
        <f>calcProd1Seg3Payer3ShareTotalCustR1-obalProd1Seg3Payer3Share</f>
        <v>-8.9999999999999976E-4</v>
      </c>
      <c r="H3257" s="511">
        <f>calcProd1Seg3Payer3ShareTotalCustR1-obalProd1Seg3Payer3Share</f>
        <v>-8.9999999999999976E-4</v>
      </c>
      <c r="I3257" s="511">
        <f>calcProd1Seg3Payer3ShareTotalCustR1-obalProd1Seg3Payer3Share</f>
        <v>-8.9999999999999976E-4</v>
      </c>
      <c r="J3257" t="s">
        <v>3645</v>
      </c>
    </row>
    <row r="3258" spans="1:10">
      <c r="B3258" t="str">
        <f>nmComp1</f>
        <v>Vibrant</v>
      </c>
      <c r="C3258" t="s">
        <v>3563</v>
      </c>
      <c r="E3258" s="511">
        <f>(calcProd1Seg3Payer3TotalShareChangeR1&lt;0)*-(calcProd1Seg3Payer3TotalShareChangeR1*(dataComp1Impact))</f>
        <v>1.7999999999999996E-4</v>
      </c>
      <c r="F3258" s="511">
        <f>(calcProd1Seg3Payer3TotalShareChangeR1&lt;0)*-(calcProd1Seg3Payer3TotalShareChangeR1*(dataComp1Impact))</f>
        <v>1.7999999999999996E-4</v>
      </c>
      <c r="G3258" s="511">
        <f>(calcProd1Seg3Payer3TotalShareChangeR1&lt;0)*-(calcProd1Seg3Payer3TotalShareChangeR1*(dataComp1Impact))</f>
        <v>1.7999999999999996E-4</v>
      </c>
      <c r="H3258" s="511">
        <f>(calcProd1Seg3Payer3TotalShareChangeR1&lt;0)*-(calcProd1Seg3Payer3TotalShareChangeR1*(dataComp1Impact))</f>
        <v>1.7999999999999996E-4</v>
      </c>
      <c r="I3258" s="511">
        <f>(calcProd1Seg3Payer3TotalShareChangeR1&lt;0)*-(calcProd1Seg3Payer3TotalShareChangeR1*(dataComp1Impact))</f>
        <v>1.7999999999999996E-4</v>
      </c>
      <c r="J3258" t="s">
        <v>3646</v>
      </c>
    </row>
    <row r="3259" spans="1:10">
      <c r="C3259" t="s">
        <v>3564</v>
      </c>
      <c r="E3259" s="511">
        <f>(calcProd1Seg3Payer3TotalShareChangeR1&gt;0)*-(calcProd1Seg3Payer3TotalShareChangeR1*(1-dataComp1Impact))</f>
        <v>0</v>
      </c>
      <c r="F3259" s="511">
        <f>(calcProd1Seg3Payer3TotalShareChangeR1&gt;0)*-(calcProd1Seg3Payer3TotalShareChangeR1*(1-dataComp1Impact))</f>
        <v>0</v>
      </c>
      <c r="G3259" s="511">
        <f>(calcProd1Seg3Payer3TotalShareChangeR1&gt;0)*-(calcProd1Seg3Payer3TotalShareChangeR1*(1-dataComp1Impact))</f>
        <v>0</v>
      </c>
      <c r="H3259" s="511">
        <f>(calcProd1Seg3Payer3TotalShareChangeR1&gt;0)*-(calcProd1Seg3Payer3TotalShareChangeR1*(1-dataComp1Impact))</f>
        <v>0</v>
      </c>
      <c r="I3259" s="511">
        <f>(calcProd1Seg3Payer3TotalShareChangeR1&gt;0)*-(calcProd1Seg3Payer3TotalShareChangeR1*(1-dataComp1Impact))</f>
        <v>0</v>
      </c>
      <c r="J3259" t="s">
        <v>3647</v>
      </c>
    </row>
    <row r="3260" spans="1:10">
      <c r="B3260" t="str">
        <f>nmComp2</f>
        <v>Pristine</v>
      </c>
      <c r="C3260" t="s">
        <v>3563</v>
      </c>
      <c r="E3260" s="511">
        <f>(calcProd1Seg3Payer3TotalShareChangeR1&lt;0)*-(calcProd1Seg3Payer3TotalShareChangeR1*(dataComp2Impact))</f>
        <v>7.1999999999999983E-4</v>
      </c>
      <c r="F3260" s="511">
        <f>(calcProd1Seg3Payer3TotalShareChangeR1&lt;0)*-(calcProd1Seg3Payer3TotalShareChangeR1*(dataComp2Impact))</f>
        <v>7.1999999999999983E-4</v>
      </c>
      <c r="G3260" s="511">
        <f>(calcProd1Seg3Payer3TotalShareChangeR1&lt;0)*-(calcProd1Seg3Payer3TotalShareChangeR1*(dataComp2Impact))</f>
        <v>7.1999999999999983E-4</v>
      </c>
      <c r="H3260" s="511">
        <f>(calcProd1Seg3Payer3TotalShareChangeR1&lt;0)*-(calcProd1Seg3Payer3TotalShareChangeR1*(dataComp2Impact))</f>
        <v>7.1999999999999983E-4</v>
      </c>
      <c r="I3260" s="511">
        <f>(calcProd1Seg3Payer3TotalShareChangeR1&lt;0)*-(calcProd1Seg3Payer3TotalShareChangeR1*(dataComp2Impact))</f>
        <v>7.1999999999999983E-4</v>
      </c>
      <c r="J3260" t="s">
        <v>3648</v>
      </c>
    </row>
    <row r="3261" spans="1:10">
      <c r="C3261" t="s">
        <v>3564</v>
      </c>
      <c r="E3261" s="511">
        <f>(calcProd1Seg3Payer3TotalShareChangeR1&gt;0)*-(calcProd1Seg3Payer3TotalShareChangeR1*(1-dataComp2Impact))</f>
        <v>0</v>
      </c>
      <c r="F3261" s="511">
        <f>(calcProd1Seg3Payer3TotalShareChangeR1&gt;0)*-(calcProd1Seg3Payer3TotalShareChangeR1*(1-dataComp2Impact))</f>
        <v>0</v>
      </c>
      <c r="G3261" s="511">
        <f>(calcProd1Seg3Payer3TotalShareChangeR1&gt;0)*-(calcProd1Seg3Payer3TotalShareChangeR1*(1-dataComp2Impact))</f>
        <v>0</v>
      </c>
      <c r="H3261" s="511">
        <f>(calcProd1Seg3Payer3TotalShareChangeR1&gt;0)*-(calcProd1Seg3Payer3TotalShareChangeR1*(1-dataComp2Impact))</f>
        <v>0</v>
      </c>
      <c r="I3261" s="511">
        <f>(calcProd1Seg3Payer3TotalShareChangeR1&gt;0)*-(calcProd1Seg3Payer3TotalShareChangeR1*(1-dataComp2Impact))</f>
        <v>0</v>
      </c>
      <c r="J3261" t="s">
        <v>3649</v>
      </c>
    </row>
    <row r="3263" spans="1:10">
      <c r="A3263" s="4"/>
      <c r="C3263" s="4" t="str">
        <f>nmPayer3</f>
        <v>Dragon Health</v>
      </c>
      <c r="E3263" s="511">
        <f>calcProd1Seg3Payer3ShareTotalCustR2-calcProd1Seg3Payer3ShareTotalCustR1</f>
        <v>0</v>
      </c>
      <c r="F3263" s="511">
        <f>calcProd1Seg3Payer3ShareTotalCustR2-calcProd1Seg3Payer3ShareTotalCustR1</f>
        <v>0</v>
      </c>
      <c r="G3263" s="511">
        <f>calcProd1Seg3Payer3ShareTotalCustR2-calcProd1Seg3Payer3ShareTotalCustR1</f>
        <v>0</v>
      </c>
      <c r="H3263" s="511">
        <f>calcProd1Seg3Payer3ShareTotalCustR2-calcProd1Seg3Payer3ShareTotalCustR1</f>
        <v>0</v>
      </c>
      <c r="I3263" s="511">
        <f>calcProd1Seg3Payer3ShareTotalCustR2-calcProd1Seg3Payer3ShareTotalCustR1</f>
        <v>0</v>
      </c>
      <c r="J3263" t="s">
        <v>3650</v>
      </c>
    </row>
    <row r="3264" spans="1:10">
      <c r="B3264" t="str">
        <f>nmComp1</f>
        <v>Vibrant</v>
      </c>
      <c r="C3264" t="s">
        <v>3563</v>
      </c>
      <c r="E3264" s="511">
        <f>(calcProd1Seg3Payer3TotalShareChangeR2&lt;0)*-(calcProd1Seg3Payer3TotalShareChangeR2*(dataComp1Impact))</f>
        <v>0</v>
      </c>
      <c r="F3264" s="511">
        <f>(calcProd1Seg3Payer3TotalShareChangeR2&lt;0)*-(calcProd1Seg3Payer3TotalShareChangeR2*(dataComp1Impact))</f>
        <v>0</v>
      </c>
      <c r="G3264" s="511">
        <f>(calcProd1Seg3Payer3TotalShareChangeR2&lt;0)*-(calcProd1Seg3Payer3TotalShareChangeR2*(dataComp1Impact))</f>
        <v>0</v>
      </c>
      <c r="H3264" s="511">
        <f>(calcProd1Seg3Payer3TotalShareChangeR2&lt;0)*-(calcProd1Seg3Payer3TotalShareChangeR2*(dataComp1Impact))</f>
        <v>0</v>
      </c>
      <c r="I3264" s="511">
        <f>(calcProd1Seg3Payer3TotalShareChangeR2&lt;0)*-(calcProd1Seg3Payer3TotalShareChangeR2*(dataComp1Impact))</f>
        <v>0</v>
      </c>
      <c r="J3264" t="s">
        <v>3651</v>
      </c>
    </row>
    <row r="3265" spans="1:10">
      <c r="C3265" t="s">
        <v>3564</v>
      </c>
      <c r="E3265" s="511">
        <f>(calcProd1Seg3Payer3TotalShareChangeR2&gt;0)*-(calcProd1Seg3Payer3TotalShareChangeR2*(1-dataComp1Impact))</f>
        <v>0</v>
      </c>
      <c r="F3265" s="511">
        <f>(calcProd1Seg3Payer3TotalShareChangeR2&gt;0)*-(calcProd1Seg3Payer3TotalShareChangeR2*(1-dataComp1Impact))</f>
        <v>0</v>
      </c>
      <c r="G3265" s="511">
        <f>(calcProd1Seg3Payer3TotalShareChangeR2&gt;0)*-(calcProd1Seg3Payer3TotalShareChangeR2*(1-dataComp1Impact))</f>
        <v>0</v>
      </c>
      <c r="H3265" s="511">
        <f>(calcProd1Seg3Payer3TotalShareChangeR2&gt;0)*-(calcProd1Seg3Payer3TotalShareChangeR2*(1-dataComp1Impact))</f>
        <v>0</v>
      </c>
      <c r="I3265" s="511">
        <f>(calcProd1Seg3Payer3TotalShareChangeR2&gt;0)*-(calcProd1Seg3Payer3TotalShareChangeR2*(1-dataComp1Impact))</f>
        <v>0</v>
      </c>
      <c r="J3265" t="s">
        <v>3652</v>
      </c>
    </row>
    <row r="3266" spans="1:10">
      <c r="B3266" t="str">
        <f>nmComp2</f>
        <v>Pristine</v>
      </c>
      <c r="C3266" t="s">
        <v>3563</v>
      </c>
      <c r="E3266" s="511">
        <f>(calcProd1Seg3Payer3TotalShareChangeR2&lt;0)*-(calcProd1Seg3Payer3TotalShareChangeR2*(dataComp2Impact))</f>
        <v>0</v>
      </c>
      <c r="F3266" s="511">
        <f>(calcProd1Seg3Payer3TotalShareChangeR2&lt;0)*-(calcProd1Seg3Payer3TotalShareChangeR2*(dataComp2Impact))</f>
        <v>0</v>
      </c>
      <c r="G3266" s="511">
        <f>(calcProd1Seg3Payer3TotalShareChangeR2&lt;0)*-(calcProd1Seg3Payer3TotalShareChangeR2*(dataComp2Impact))</f>
        <v>0</v>
      </c>
      <c r="H3266" s="511">
        <f>(calcProd1Seg3Payer3TotalShareChangeR2&lt;0)*-(calcProd1Seg3Payer3TotalShareChangeR2*(dataComp2Impact))</f>
        <v>0</v>
      </c>
      <c r="I3266" s="511">
        <f>(calcProd1Seg3Payer3TotalShareChangeR2&lt;0)*-(calcProd1Seg3Payer3TotalShareChangeR2*(dataComp2Impact))</f>
        <v>0</v>
      </c>
      <c r="J3266" t="s">
        <v>3653</v>
      </c>
    </row>
    <row r="3267" spans="1:10">
      <c r="C3267" t="s">
        <v>3564</v>
      </c>
      <c r="E3267" s="511">
        <f>(calcProd1Seg3Payer3TotalShareChangeR2&gt;0)*-(calcProd1Seg3Payer3TotalShareChangeR2*(1-dataComp2Impact))</f>
        <v>0</v>
      </c>
      <c r="F3267" s="511">
        <f>(calcProd1Seg3Payer3TotalShareChangeR2&gt;0)*-(calcProd1Seg3Payer3TotalShareChangeR2*(1-dataComp2Impact))</f>
        <v>0</v>
      </c>
      <c r="G3267" s="511">
        <f>(calcProd1Seg3Payer3TotalShareChangeR2&gt;0)*-(calcProd1Seg3Payer3TotalShareChangeR2*(1-dataComp2Impact))</f>
        <v>0</v>
      </c>
      <c r="H3267" s="511">
        <f>(calcProd1Seg3Payer3TotalShareChangeR2&gt;0)*-(calcProd1Seg3Payer3TotalShareChangeR2*(1-dataComp2Impact))</f>
        <v>0</v>
      </c>
      <c r="I3267" s="511">
        <f>(calcProd1Seg3Payer3TotalShareChangeR2&gt;0)*-(calcProd1Seg3Payer3TotalShareChangeR2*(1-dataComp2Impact))</f>
        <v>0</v>
      </c>
      <c r="J3267" t="s">
        <v>3654</v>
      </c>
    </row>
    <row r="3269" spans="1:10">
      <c r="A3269" t="str">
        <f>nmReg1</f>
        <v>The Region</v>
      </c>
    </row>
    <row r="3270" spans="1:10">
      <c r="A3270" s="4" t="str">
        <f>nmReg1Seg1</f>
        <v>Riverrun</v>
      </c>
      <c r="C3270" s="4" t="str">
        <f>nmPayer1</f>
        <v>Blue Sword/Blue Shield</v>
      </c>
      <c r="E3270" s="511">
        <f>calcReg1Seg1Payer1ShareTotalCustR1-obalReg1Seg1Payer1Share</f>
        <v>-8.2499999999999674E-5</v>
      </c>
      <c r="F3270" s="511">
        <f>calcReg1Seg1Payer1ShareTotalCustR1-obalReg1Seg1Payer1Share</f>
        <v>-8.2499999999999674E-5</v>
      </c>
      <c r="G3270" s="511">
        <f>calcReg1Seg1Payer1ShareTotalCustR1-obalReg1Seg1Payer1Share</f>
        <v>-8.2499999999999674E-5</v>
      </c>
      <c r="H3270" s="511">
        <f>calcReg1Seg1Payer1ShareTotalCustR1-obalReg1Seg1Payer1Share</f>
        <v>-8.2499999999999674E-5</v>
      </c>
      <c r="I3270" s="511">
        <f>calcReg1Seg1Payer1ShareTotalCustR1-obalReg1Seg1Payer1Share</f>
        <v>-8.2499999999999674E-5</v>
      </c>
      <c r="J3270" t="s">
        <v>3655</v>
      </c>
    </row>
    <row r="3271" spans="1:10">
      <c r="B3271" t="str">
        <f>nmComp1</f>
        <v>Vibrant</v>
      </c>
      <c r="C3271" t="s">
        <v>3563</v>
      </c>
      <c r="E3271" s="511">
        <f>(calcReg1Seg1Payer1TotalShareChangeR1&lt;0)*-(calcReg1Seg1Payer1TotalShareChangeR1*(dataComp1Impact))</f>
        <v>1.6499999999999937E-5</v>
      </c>
      <c r="F3271" s="511">
        <f>(calcReg1Seg1Payer1TotalShareChangeR1&lt;0)*-(calcReg1Seg1Payer1TotalShareChangeR1*(dataComp1Impact))</f>
        <v>1.6499999999999937E-5</v>
      </c>
      <c r="G3271" s="511">
        <f>(calcReg1Seg1Payer1TotalShareChangeR1&lt;0)*-(calcReg1Seg1Payer1TotalShareChangeR1*(dataComp1Impact))</f>
        <v>1.6499999999999937E-5</v>
      </c>
      <c r="H3271" s="511">
        <f>(calcReg1Seg1Payer1TotalShareChangeR1&lt;0)*-(calcReg1Seg1Payer1TotalShareChangeR1*(dataComp1Impact))</f>
        <v>1.6499999999999937E-5</v>
      </c>
      <c r="I3271" s="511">
        <f>(calcReg1Seg1Payer1TotalShareChangeR1&lt;0)*-(calcReg1Seg1Payer1TotalShareChangeR1*(dataComp1Impact))</f>
        <v>1.6499999999999937E-5</v>
      </c>
      <c r="J3271" t="s">
        <v>3656</v>
      </c>
    </row>
    <row r="3272" spans="1:10">
      <c r="C3272" t="s">
        <v>3564</v>
      </c>
      <c r="E3272" s="511">
        <f>(calcReg1Seg1Payer1TotalShareChangeR1&gt;0)*-(calcReg1Seg1Payer1TotalShareChangeR1*(1-dataComp1Impact))</f>
        <v>0</v>
      </c>
      <c r="F3272" s="511">
        <f>(calcReg1Seg1Payer1TotalShareChangeR1&gt;0)*-(calcReg1Seg1Payer1TotalShareChangeR1*(1-dataComp1Impact))</f>
        <v>0</v>
      </c>
      <c r="G3272" s="511">
        <f>(calcReg1Seg1Payer1TotalShareChangeR1&gt;0)*-(calcReg1Seg1Payer1TotalShareChangeR1*(1-dataComp1Impact))</f>
        <v>0</v>
      </c>
      <c r="H3272" s="511">
        <f>(calcReg1Seg1Payer1TotalShareChangeR1&gt;0)*-(calcReg1Seg1Payer1TotalShareChangeR1*(1-dataComp1Impact))</f>
        <v>0</v>
      </c>
      <c r="I3272" s="511">
        <f>(calcReg1Seg1Payer1TotalShareChangeR1&gt;0)*-(calcReg1Seg1Payer1TotalShareChangeR1*(1-dataComp1Impact))</f>
        <v>0</v>
      </c>
      <c r="J3272" t="s">
        <v>3657</v>
      </c>
    </row>
    <row r="3273" spans="1:10">
      <c r="B3273" t="str">
        <f>nmComp2</f>
        <v>Pristine</v>
      </c>
      <c r="C3273" t="s">
        <v>3563</v>
      </c>
      <c r="E3273" s="511">
        <f>(calcReg1Seg1Payer1TotalShareChangeR1&lt;0)*-(calcReg1Seg1Payer1TotalShareChangeR1*(dataComp2Impact))</f>
        <v>6.5999999999999748E-5</v>
      </c>
      <c r="F3273" s="511">
        <f>(calcReg1Seg1Payer1TotalShareChangeR1&lt;0)*-(calcReg1Seg1Payer1TotalShareChangeR1*(dataComp2Impact))</f>
        <v>6.5999999999999748E-5</v>
      </c>
      <c r="G3273" s="511">
        <f>(calcReg1Seg1Payer1TotalShareChangeR1&lt;0)*-(calcReg1Seg1Payer1TotalShareChangeR1*(dataComp2Impact))</f>
        <v>6.5999999999999748E-5</v>
      </c>
      <c r="H3273" s="511">
        <f>(calcReg1Seg1Payer1TotalShareChangeR1&lt;0)*-(calcReg1Seg1Payer1TotalShareChangeR1*(dataComp2Impact))</f>
        <v>6.5999999999999748E-5</v>
      </c>
      <c r="I3273" s="511">
        <f>(calcReg1Seg1Payer1TotalShareChangeR1&lt;0)*-(calcReg1Seg1Payer1TotalShareChangeR1*(dataComp2Impact))</f>
        <v>6.5999999999999748E-5</v>
      </c>
      <c r="J3273" t="s">
        <v>3658</v>
      </c>
    </row>
    <row r="3274" spans="1:10">
      <c r="C3274" t="s">
        <v>3564</v>
      </c>
      <c r="E3274" s="511">
        <f>(calcReg1Seg1Payer1TotalShareChangeR1&gt;0)*-(calcReg1Seg1Payer1TotalShareChangeR1*(1-dataComp2Impact))</f>
        <v>0</v>
      </c>
      <c r="F3274" s="511">
        <f>(calcReg1Seg1Payer1TotalShareChangeR1&gt;0)*-(calcReg1Seg1Payer1TotalShareChangeR1*(1-dataComp2Impact))</f>
        <v>0</v>
      </c>
      <c r="G3274" s="511">
        <f>(calcReg1Seg1Payer1TotalShareChangeR1&gt;0)*-(calcReg1Seg1Payer1TotalShareChangeR1*(1-dataComp2Impact))</f>
        <v>0</v>
      </c>
      <c r="H3274" s="511">
        <f>(calcReg1Seg1Payer1TotalShareChangeR1&gt;0)*-(calcReg1Seg1Payer1TotalShareChangeR1*(1-dataComp2Impact))</f>
        <v>0</v>
      </c>
      <c r="I3274" s="511">
        <f>(calcReg1Seg1Payer1TotalShareChangeR1&gt;0)*-(calcReg1Seg1Payer1TotalShareChangeR1*(1-dataComp2Impact))</f>
        <v>0</v>
      </c>
      <c r="J3274" t="s">
        <v>3659</v>
      </c>
    </row>
    <row r="3276" spans="1:10">
      <c r="A3276" s="4"/>
      <c r="C3276" s="4" t="str">
        <f>nmPayer1</f>
        <v>Blue Sword/Blue Shield</v>
      </c>
      <c r="E3276" s="511">
        <f>calcReg1Seg1Payer1ShareTotalCustR2-calcReg1Seg1Payer1ShareTotalCustR1</f>
        <v>0</v>
      </c>
      <c r="F3276" s="511">
        <f>calcReg1Seg1Payer1ShareTotalCustR2-calcReg1Seg1Payer1ShareTotalCustR1</f>
        <v>0</v>
      </c>
      <c r="G3276" s="511">
        <f>calcReg1Seg1Payer1ShareTotalCustR2-calcReg1Seg1Payer1ShareTotalCustR1</f>
        <v>0</v>
      </c>
      <c r="H3276" s="511">
        <f>calcReg1Seg1Payer1ShareTotalCustR2-calcReg1Seg1Payer1ShareTotalCustR1</f>
        <v>0</v>
      </c>
      <c r="I3276" s="511">
        <f>calcReg1Seg1Payer1ShareTotalCustR2-calcReg1Seg1Payer1ShareTotalCustR1</f>
        <v>0</v>
      </c>
      <c r="J3276" t="s">
        <v>3660</v>
      </c>
    </row>
    <row r="3277" spans="1:10">
      <c r="B3277" t="str">
        <f>nmComp1</f>
        <v>Vibrant</v>
      </c>
      <c r="C3277" t="s">
        <v>3563</v>
      </c>
      <c r="E3277" s="511">
        <f>(calcReg1Seg1Payer1TotalShareChangeR2&lt;0)*-(calcReg1Seg1Payer1TotalShareChangeR2*(dataComp1Impact))</f>
        <v>0</v>
      </c>
      <c r="F3277" s="511">
        <f>(calcReg1Seg1Payer1TotalShareChangeR2&lt;0)*-(calcReg1Seg1Payer1TotalShareChangeR2*(dataComp1Impact))</f>
        <v>0</v>
      </c>
      <c r="G3277" s="511">
        <f>(calcReg1Seg1Payer1TotalShareChangeR2&lt;0)*-(calcReg1Seg1Payer1TotalShareChangeR2*(dataComp1Impact))</f>
        <v>0</v>
      </c>
      <c r="H3277" s="511">
        <f>(calcReg1Seg1Payer1TotalShareChangeR2&lt;0)*-(calcReg1Seg1Payer1TotalShareChangeR2*(dataComp1Impact))</f>
        <v>0</v>
      </c>
      <c r="I3277" s="511">
        <f>(calcReg1Seg1Payer1TotalShareChangeR2&lt;0)*-(calcReg1Seg1Payer1TotalShareChangeR2*(dataComp1Impact))</f>
        <v>0</v>
      </c>
      <c r="J3277" t="s">
        <v>3661</v>
      </c>
    </row>
    <row r="3278" spans="1:10">
      <c r="C3278" t="s">
        <v>3564</v>
      </c>
      <c r="E3278" s="511">
        <f>(calcReg1Seg1Payer1TotalShareChangeR2&gt;0)*-(calcReg1Seg1Payer1TotalShareChangeR2*(1-dataComp1Impact))</f>
        <v>0</v>
      </c>
      <c r="F3278" s="511">
        <f>(calcReg1Seg1Payer1TotalShareChangeR2&gt;0)*-(calcReg1Seg1Payer1TotalShareChangeR2*(1-dataComp1Impact))</f>
        <v>0</v>
      </c>
      <c r="G3278" s="511">
        <f>(calcReg1Seg1Payer1TotalShareChangeR2&gt;0)*-(calcReg1Seg1Payer1TotalShareChangeR2*(1-dataComp1Impact))</f>
        <v>0</v>
      </c>
      <c r="H3278" s="511">
        <f>(calcReg1Seg1Payer1TotalShareChangeR2&gt;0)*-(calcReg1Seg1Payer1TotalShareChangeR2*(1-dataComp1Impact))</f>
        <v>0</v>
      </c>
      <c r="I3278" s="511">
        <f>(calcReg1Seg1Payer1TotalShareChangeR2&gt;0)*-(calcReg1Seg1Payer1TotalShareChangeR2*(1-dataComp1Impact))</f>
        <v>0</v>
      </c>
      <c r="J3278" t="s">
        <v>3662</v>
      </c>
    </row>
    <row r="3279" spans="1:10">
      <c r="B3279" t="str">
        <f>nmComp2</f>
        <v>Pristine</v>
      </c>
      <c r="C3279" t="s">
        <v>3563</v>
      </c>
      <c r="E3279" s="511">
        <f>(calcReg1Seg1Payer1TotalShareChangeR2&lt;0)*-(calcReg1Seg1Payer1TotalShareChangeR2*(dataComp2Impact))</f>
        <v>0</v>
      </c>
      <c r="F3279" s="511">
        <f>(calcReg1Seg1Payer1TotalShareChangeR2&lt;0)*-(calcReg1Seg1Payer1TotalShareChangeR2*(dataComp2Impact))</f>
        <v>0</v>
      </c>
      <c r="G3279" s="511">
        <f>(calcReg1Seg1Payer1TotalShareChangeR2&lt;0)*-(calcReg1Seg1Payer1TotalShareChangeR2*(dataComp2Impact))</f>
        <v>0</v>
      </c>
      <c r="H3279" s="511">
        <f>(calcReg1Seg1Payer1TotalShareChangeR2&lt;0)*-(calcReg1Seg1Payer1TotalShareChangeR2*(dataComp2Impact))</f>
        <v>0</v>
      </c>
      <c r="I3279" s="511">
        <f>(calcReg1Seg1Payer1TotalShareChangeR2&lt;0)*-(calcReg1Seg1Payer1TotalShareChangeR2*(dataComp2Impact))</f>
        <v>0</v>
      </c>
      <c r="J3279" t="s">
        <v>3663</v>
      </c>
    </row>
    <row r="3280" spans="1:10">
      <c r="C3280" t="s">
        <v>3564</v>
      </c>
      <c r="E3280" s="511">
        <f>(calcReg1Seg1Payer1TotalShareChangeR2&gt;0)*-(calcReg1Seg1Payer1TotalShareChangeR2*(1-dataComp2Impact))</f>
        <v>0</v>
      </c>
      <c r="F3280" s="511">
        <f>(calcReg1Seg1Payer1TotalShareChangeR2&gt;0)*-(calcReg1Seg1Payer1TotalShareChangeR2*(1-dataComp2Impact))</f>
        <v>0</v>
      </c>
      <c r="G3280" s="511">
        <f>(calcReg1Seg1Payer1TotalShareChangeR2&gt;0)*-(calcReg1Seg1Payer1TotalShareChangeR2*(1-dataComp2Impact))</f>
        <v>0</v>
      </c>
      <c r="H3280" s="511">
        <f>(calcReg1Seg1Payer1TotalShareChangeR2&gt;0)*-(calcReg1Seg1Payer1TotalShareChangeR2*(1-dataComp2Impact))</f>
        <v>0</v>
      </c>
      <c r="I3280" s="511">
        <f>(calcReg1Seg1Payer1TotalShareChangeR2&gt;0)*-(calcReg1Seg1Payer1TotalShareChangeR2*(1-dataComp2Impact))</f>
        <v>0</v>
      </c>
      <c r="J3280" t="s">
        <v>3664</v>
      </c>
    </row>
    <row r="3282" spans="1:10">
      <c r="A3282" s="4"/>
      <c r="C3282" s="4" t="str">
        <f>nmPayer2</f>
        <v>WesterAid</v>
      </c>
      <c r="E3282" s="511">
        <f>calcReg1Seg1Payer2ShareTotalCustR1-obalReg1Seg1Payer2Share</f>
        <v>0</v>
      </c>
      <c r="F3282" s="511">
        <f>calcReg1Seg1Payer2ShareTotalCustR1-obalReg1Seg1Payer2Share</f>
        <v>0</v>
      </c>
      <c r="G3282" s="511">
        <f>calcReg1Seg1Payer2ShareTotalCustR1-obalReg1Seg1Payer2Share</f>
        <v>0</v>
      </c>
      <c r="H3282" s="511">
        <f>calcReg1Seg1Payer2ShareTotalCustR1-obalReg1Seg1Payer2Share</f>
        <v>0</v>
      </c>
      <c r="I3282" s="511">
        <f>calcReg1Seg1Payer2ShareTotalCustR1-obalReg1Seg1Payer2Share</f>
        <v>0</v>
      </c>
      <c r="J3282" t="s">
        <v>3665</v>
      </c>
    </row>
    <row r="3283" spans="1:10">
      <c r="B3283" t="str">
        <f>nmComp1</f>
        <v>Vibrant</v>
      </c>
      <c r="C3283" t="s">
        <v>3563</v>
      </c>
      <c r="E3283" s="511">
        <f>(calcReg1Seg1Payer2TotalShareChangeR1&lt;0)*-(calcReg1Seg1Payer2TotalShareChangeR1*(dataComp1Impact))</f>
        <v>0</v>
      </c>
      <c r="F3283" s="511">
        <f>(calcReg1Seg1Payer2TotalShareChangeR1&lt;0)*-(calcReg1Seg1Payer2TotalShareChangeR1*(dataComp1Impact))</f>
        <v>0</v>
      </c>
      <c r="G3283" s="511">
        <f>(calcReg1Seg1Payer2TotalShareChangeR1&lt;0)*-(calcReg1Seg1Payer2TotalShareChangeR1*(dataComp1Impact))</f>
        <v>0</v>
      </c>
      <c r="H3283" s="511">
        <f>(calcReg1Seg1Payer2TotalShareChangeR1&lt;0)*-(calcReg1Seg1Payer2TotalShareChangeR1*(dataComp1Impact))</f>
        <v>0</v>
      </c>
      <c r="I3283" s="511">
        <f>(calcReg1Seg1Payer2TotalShareChangeR1&lt;0)*-(calcReg1Seg1Payer2TotalShareChangeR1*(dataComp1Impact))</f>
        <v>0</v>
      </c>
      <c r="J3283" t="s">
        <v>3666</v>
      </c>
    </row>
    <row r="3284" spans="1:10">
      <c r="C3284" t="s">
        <v>3564</v>
      </c>
      <c r="E3284" s="511">
        <f>(calcReg1Seg1Payer2TotalShareChangeR1&gt;0)*-(calcReg1Seg1Payer2TotalShareChangeR1*(1-dataComp1Impact))</f>
        <v>0</v>
      </c>
      <c r="F3284" s="511">
        <f>(calcReg1Seg1Payer2TotalShareChangeR1&gt;0)*-(calcReg1Seg1Payer2TotalShareChangeR1*(1-dataComp1Impact))</f>
        <v>0</v>
      </c>
      <c r="G3284" s="511">
        <f>(calcReg1Seg1Payer2TotalShareChangeR1&gt;0)*-(calcReg1Seg1Payer2TotalShareChangeR1*(1-dataComp1Impact))</f>
        <v>0</v>
      </c>
      <c r="H3284" s="511">
        <f>(calcReg1Seg1Payer2TotalShareChangeR1&gt;0)*-(calcReg1Seg1Payer2TotalShareChangeR1*(1-dataComp1Impact))</f>
        <v>0</v>
      </c>
      <c r="I3284" s="511">
        <f>(calcReg1Seg1Payer2TotalShareChangeR1&gt;0)*-(calcReg1Seg1Payer2TotalShareChangeR1*(1-dataComp1Impact))</f>
        <v>0</v>
      </c>
      <c r="J3284" t="s">
        <v>3667</v>
      </c>
    </row>
    <row r="3285" spans="1:10">
      <c r="B3285" t="str">
        <f>nmComp2</f>
        <v>Pristine</v>
      </c>
      <c r="C3285" t="s">
        <v>3563</v>
      </c>
      <c r="E3285" s="511">
        <f>(calcReg1Seg1Payer2TotalShareChangeR1&lt;0)*-(calcReg1Seg1Payer2TotalShareChangeR1*(dataComp2Impact))</f>
        <v>0</v>
      </c>
      <c r="F3285" s="511">
        <f>(calcReg1Seg1Payer2TotalShareChangeR1&lt;0)*-(calcReg1Seg1Payer2TotalShareChangeR1*(dataComp2Impact))</f>
        <v>0</v>
      </c>
      <c r="G3285" s="511">
        <f>(calcReg1Seg1Payer2TotalShareChangeR1&lt;0)*-(calcReg1Seg1Payer2TotalShareChangeR1*(dataComp2Impact))</f>
        <v>0</v>
      </c>
      <c r="H3285" s="511">
        <f>(calcReg1Seg1Payer2TotalShareChangeR1&lt;0)*-(calcReg1Seg1Payer2TotalShareChangeR1*(dataComp2Impact))</f>
        <v>0</v>
      </c>
      <c r="I3285" s="511">
        <f>(calcReg1Seg1Payer2TotalShareChangeR1&lt;0)*-(calcReg1Seg1Payer2TotalShareChangeR1*(dataComp2Impact))</f>
        <v>0</v>
      </c>
      <c r="J3285" t="s">
        <v>3668</v>
      </c>
    </row>
    <row r="3286" spans="1:10">
      <c r="C3286" t="s">
        <v>3564</v>
      </c>
      <c r="E3286" s="511">
        <f>(calcReg1Seg1Payer2TotalShareChangeR1&gt;0)*-(calcReg1Seg1Payer2TotalShareChangeR1*(1-dataComp2Impact))</f>
        <v>0</v>
      </c>
      <c r="F3286" s="511">
        <f>(calcReg1Seg1Payer2TotalShareChangeR1&gt;0)*-(calcReg1Seg1Payer2TotalShareChangeR1*(1-dataComp2Impact))</f>
        <v>0</v>
      </c>
      <c r="G3286" s="511">
        <f>(calcReg1Seg1Payer2TotalShareChangeR1&gt;0)*-(calcReg1Seg1Payer2TotalShareChangeR1*(1-dataComp2Impact))</f>
        <v>0</v>
      </c>
      <c r="H3286" s="511">
        <f>(calcReg1Seg1Payer2TotalShareChangeR1&gt;0)*-(calcReg1Seg1Payer2TotalShareChangeR1*(1-dataComp2Impact))</f>
        <v>0</v>
      </c>
      <c r="I3286" s="511">
        <f>(calcReg1Seg1Payer2TotalShareChangeR1&gt;0)*-(calcReg1Seg1Payer2TotalShareChangeR1*(1-dataComp2Impact))</f>
        <v>0</v>
      </c>
      <c r="J3286" t="s">
        <v>3669</v>
      </c>
    </row>
    <row r="3288" spans="1:10">
      <c r="A3288" s="4"/>
      <c r="C3288" s="4" t="str">
        <f>nmPayer2</f>
        <v>WesterAid</v>
      </c>
      <c r="E3288" s="511">
        <f>calcReg1Seg1Payer2ShareTotalCustR2-calcReg1Seg1Payer2ShareTotalCustR1</f>
        <v>0</v>
      </c>
      <c r="F3288" s="511">
        <f>calcReg1Seg1Payer2ShareTotalCustR2-calcReg1Seg1Payer2ShareTotalCustR1</f>
        <v>0</v>
      </c>
      <c r="G3288" s="511">
        <f>calcReg1Seg1Payer2ShareTotalCustR2-calcReg1Seg1Payer2ShareTotalCustR1</f>
        <v>0</v>
      </c>
      <c r="H3288" s="511">
        <f>calcReg1Seg1Payer2ShareTotalCustR2-calcReg1Seg1Payer2ShareTotalCustR1</f>
        <v>0</v>
      </c>
      <c r="I3288" s="511">
        <f>calcReg1Seg1Payer2ShareTotalCustR2-calcReg1Seg1Payer2ShareTotalCustR1</f>
        <v>0</v>
      </c>
      <c r="J3288" t="s">
        <v>3670</v>
      </c>
    </row>
    <row r="3289" spans="1:10">
      <c r="B3289" t="str">
        <f>nmComp1</f>
        <v>Vibrant</v>
      </c>
      <c r="C3289" t="s">
        <v>3563</v>
      </c>
      <c r="E3289" s="511">
        <f>(calcReg1Seg1Payer2TotalShareChangeR2&lt;0)*-(calcReg1Seg1Payer2TotalShareChangeR2*(dataComp1Impact))</f>
        <v>0</v>
      </c>
      <c r="F3289" s="511">
        <f>(calcReg1Seg1Payer2TotalShareChangeR2&lt;0)*-(calcReg1Seg1Payer2TotalShareChangeR2*(dataComp1Impact))</f>
        <v>0</v>
      </c>
      <c r="G3289" s="511">
        <f>(calcReg1Seg1Payer2TotalShareChangeR2&lt;0)*-(calcReg1Seg1Payer2TotalShareChangeR2*(dataComp1Impact))</f>
        <v>0</v>
      </c>
      <c r="H3289" s="511">
        <f>(calcReg1Seg1Payer2TotalShareChangeR2&lt;0)*-(calcReg1Seg1Payer2TotalShareChangeR2*(dataComp1Impact))</f>
        <v>0</v>
      </c>
      <c r="I3289" s="511">
        <f>(calcReg1Seg1Payer2TotalShareChangeR2&lt;0)*-(calcReg1Seg1Payer2TotalShareChangeR2*(dataComp1Impact))</f>
        <v>0</v>
      </c>
      <c r="J3289" t="s">
        <v>3671</v>
      </c>
    </row>
    <row r="3290" spans="1:10">
      <c r="C3290" t="s">
        <v>3564</v>
      </c>
      <c r="E3290" s="511">
        <f>(calcReg1Seg1Payer2TotalShareChangeR2&gt;0)*-(calcReg1Seg1Payer2TotalShareChangeR2*(1-dataComp1Impact))</f>
        <v>0</v>
      </c>
      <c r="F3290" s="511">
        <f>(calcReg1Seg1Payer2TotalShareChangeR2&gt;0)*-(calcReg1Seg1Payer2TotalShareChangeR2*(1-dataComp1Impact))</f>
        <v>0</v>
      </c>
      <c r="G3290" s="511">
        <f>(calcReg1Seg1Payer2TotalShareChangeR2&gt;0)*-(calcReg1Seg1Payer2TotalShareChangeR2*(1-dataComp1Impact))</f>
        <v>0</v>
      </c>
      <c r="H3290" s="511">
        <f>(calcReg1Seg1Payer2TotalShareChangeR2&gt;0)*-(calcReg1Seg1Payer2TotalShareChangeR2*(1-dataComp1Impact))</f>
        <v>0</v>
      </c>
      <c r="I3290" s="511">
        <f>(calcReg1Seg1Payer2TotalShareChangeR2&gt;0)*-(calcReg1Seg1Payer2TotalShareChangeR2*(1-dataComp1Impact))</f>
        <v>0</v>
      </c>
      <c r="J3290" t="s">
        <v>3672</v>
      </c>
    </row>
    <row r="3291" spans="1:10">
      <c r="B3291" t="str">
        <f>nmComp2</f>
        <v>Pristine</v>
      </c>
      <c r="C3291" t="s">
        <v>3563</v>
      </c>
      <c r="E3291" s="511">
        <f>(calcReg1Seg1Payer2TotalShareChangeR2&lt;0)*-(calcReg1Seg1Payer2TotalShareChangeR2*(dataComp2Impact))</f>
        <v>0</v>
      </c>
      <c r="F3291" s="511">
        <f>(calcReg1Seg1Payer2TotalShareChangeR2&lt;0)*-(calcReg1Seg1Payer2TotalShareChangeR2*(dataComp2Impact))</f>
        <v>0</v>
      </c>
      <c r="G3291" s="511">
        <f>(calcReg1Seg1Payer2TotalShareChangeR2&lt;0)*-(calcReg1Seg1Payer2TotalShareChangeR2*(dataComp2Impact))</f>
        <v>0</v>
      </c>
      <c r="H3291" s="511">
        <f>(calcReg1Seg1Payer2TotalShareChangeR2&lt;0)*-(calcReg1Seg1Payer2TotalShareChangeR2*(dataComp2Impact))</f>
        <v>0</v>
      </c>
      <c r="I3291" s="511">
        <f>(calcReg1Seg1Payer2TotalShareChangeR2&lt;0)*-(calcReg1Seg1Payer2TotalShareChangeR2*(dataComp2Impact))</f>
        <v>0</v>
      </c>
      <c r="J3291" t="s">
        <v>3673</v>
      </c>
    </row>
    <row r="3292" spans="1:10">
      <c r="C3292" t="s">
        <v>3564</v>
      </c>
      <c r="E3292" s="511">
        <f>(calcReg1Seg1Payer2TotalShareChangeR2&gt;0)*-(calcReg1Seg1Payer2TotalShareChangeR2*(1-dataComp2Impact))</f>
        <v>0</v>
      </c>
      <c r="F3292" s="511">
        <f>(calcReg1Seg1Payer2TotalShareChangeR2&gt;0)*-(calcReg1Seg1Payer2TotalShareChangeR2*(1-dataComp2Impact))</f>
        <v>0</v>
      </c>
      <c r="G3292" s="511">
        <f>(calcReg1Seg1Payer2TotalShareChangeR2&gt;0)*-(calcReg1Seg1Payer2TotalShareChangeR2*(1-dataComp2Impact))</f>
        <v>0</v>
      </c>
      <c r="H3292" s="511">
        <f>(calcReg1Seg1Payer2TotalShareChangeR2&gt;0)*-(calcReg1Seg1Payer2TotalShareChangeR2*(1-dataComp2Impact))</f>
        <v>0</v>
      </c>
      <c r="I3292" s="511">
        <f>(calcReg1Seg1Payer2TotalShareChangeR2&gt;0)*-(calcReg1Seg1Payer2TotalShareChangeR2*(1-dataComp2Impact))</f>
        <v>0</v>
      </c>
      <c r="J3292" t="s">
        <v>3674</v>
      </c>
    </row>
    <row r="3294" spans="1:10">
      <c r="A3294" s="4"/>
      <c r="C3294" s="4" t="str">
        <f>nmPayer3</f>
        <v>Dragon Health</v>
      </c>
      <c r="E3294" s="511">
        <f>calcReg1Seg1Payer3ShareTotalCustR1-obalReg1Seg1Payer3Share</f>
        <v>-6.7499999999998984E-5</v>
      </c>
      <c r="F3294" s="511">
        <f>calcReg1Seg1Payer3ShareTotalCustR1-obalReg1Seg1Payer3Share</f>
        <v>-6.7499999999998984E-5</v>
      </c>
      <c r="G3294" s="511">
        <f>calcReg1Seg1Payer3ShareTotalCustR1-obalReg1Seg1Payer3Share</f>
        <v>-6.7499999999998984E-5</v>
      </c>
      <c r="H3294" s="511">
        <f>calcReg1Seg1Payer3ShareTotalCustR1-obalReg1Seg1Payer3Share</f>
        <v>-6.7499999999998984E-5</v>
      </c>
      <c r="I3294" s="511">
        <f>calcReg1Seg1Payer3ShareTotalCustR1-obalReg1Seg1Payer3Share</f>
        <v>-6.7499999999998984E-5</v>
      </c>
      <c r="J3294" t="s">
        <v>3675</v>
      </c>
    </row>
    <row r="3295" spans="1:10">
      <c r="B3295" t="str">
        <f>nmComp1</f>
        <v>Vibrant</v>
      </c>
      <c r="C3295" t="s">
        <v>3563</v>
      </c>
      <c r="E3295" s="511">
        <f>(calcReg1Seg1Payer3TotalShareChangeR1&lt;0)*-(calcReg1Seg1Payer3TotalShareChangeR1*(dataComp1Impact))</f>
        <v>1.3499999999999798E-5</v>
      </c>
      <c r="F3295" s="511">
        <f>(calcReg1Seg1Payer3TotalShareChangeR1&lt;0)*-(calcReg1Seg1Payer3TotalShareChangeR1*(dataComp1Impact))</f>
        <v>1.3499999999999798E-5</v>
      </c>
      <c r="G3295" s="511">
        <f>(calcReg1Seg1Payer3TotalShareChangeR1&lt;0)*-(calcReg1Seg1Payer3TotalShareChangeR1*(dataComp1Impact))</f>
        <v>1.3499999999999798E-5</v>
      </c>
      <c r="H3295" s="511">
        <f>(calcReg1Seg1Payer3TotalShareChangeR1&lt;0)*-(calcReg1Seg1Payer3TotalShareChangeR1*(dataComp1Impact))</f>
        <v>1.3499999999999798E-5</v>
      </c>
      <c r="I3295" s="511">
        <f>(calcReg1Seg1Payer3TotalShareChangeR1&lt;0)*-(calcReg1Seg1Payer3TotalShareChangeR1*(dataComp1Impact))</f>
        <v>1.3499999999999798E-5</v>
      </c>
      <c r="J3295" t="s">
        <v>3676</v>
      </c>
    </row>
    <row r="3296" spans="1:10">
      <c r="C3296" t="s">
        <v>3564</v>
      </c>
      <c r="E3296" s="511">
        <f>(calcReg1Seg1Payer3TotalShareChangeR1&gt;0)*-(calcReg1Seg1Payer3TotalShareChangeR1*(1-dataComp1Impact))</f>
        <v>0</v>
      </c>
      <c r="F3296" s="511">
        <f>(calcReg1Seg1Payer3TotalShareChangeR1&gt;0)*-(calcReg1Seg1Payer3TotalShareChangeR1*(1-dataComp1Impact))</f>
        <v>0</v>
      </c>
      <c r="G3296" s="511">
        <f>(calcReg1Seg1Payer3TotalShareChangeR1&gt;0)*-(calcReg1Seg1Payer3TotalShareChangeR1*(1-dataComp1Impact))</f>
        <v>0</v>
      </c>
      <c r="H3296" s="511">
        <f>(calcReg1Seg1Payer3TotalShareChangeR1&gt;0)*-(calcReg1Seg1Payer3TotalShareChangeR1*(1-dataComp1Impact))</f>
        <v>0</v>
      </c>
      <c r="I3296" s="511">
        <f>(calcReg1Seg1Payer3TotalShareChangeR1&gt;0)*-(calcReg1Seg1Payer3TotalShareChangeR1*(1-dataComp1Impact))</f>
        <v>0</v>
      </c>
      <c r="J3296" t="s">
        <v>3677</v>
      </c>
    </row>
    <row r="3297" spans="1:10">
      <c r="B3297" t="str">
        <f>nmComp2</f>
        <v>Pristine</v>
      </c>
      <c r="C3297" t="s">
        <v>3563</v>
      </c>
      <c r="E3297" s="511">
        <f>(calcReg1Seg1Payer3TotalShareChangeR1&lt;0)*-(calcReg1Seg1Payer3TotalShareChangeR1*(dataComp2Impact))</f>
        <v>5.3999999999999192E-5</v>
      </c>
      <c r="F3297" s="511">
        <f>(calcReg1Seg1Payer3TotalShareChangeR1&lt;0)*-(calcReg1Seg1Payer3TotalShareChangeR1*(dataComp2Impact))</f>
        <v>5.3999999999999192E-5</v>
      </c>
      <c r="G3297" s="511">
        <f>(calcReg1Seg1Payer3TotalShareChangeR1&lt;0)*-(calcReg1Seg1Payer3TotalShareChangeR1*(dataComp2Impact))</f>
        <v>5.3999999999999192E-5</v>
      </c>
      <c r="H3297" s="511">
        <f>(calcReg1Seg1Payer3TotalShareChangeR1&lt;0)*-(calcReg1Seg1Payer3TotalShareChangeR1*(dataComp2Impact))</f>
        <v>5.3999999999999192E-5</v>
      </c>
      <c r="I3297" s="511">
        <f>(calcReg1Seg1Payer3TotalShareChangeR1&lt;0)*-(calcReg1Seg1Payer3TotalShareChangeR1*(dataComp2Impact))</f>
        <v>5.3999999999999192E-5</v>
      </c>
      <c r="J3297" t="s">
        <v>3678</v>
      </c>
    </row>
    <row r="3298" spans="1:10">
      <c r="C3298" t="s">
        <v>3564</v>
      </c>
      <c r="E3298" s="511">
        <f>(calcReg1Seg1Payer3TotalShareChangeR1&gt;0)*-(calcReg1Seg1Payer3TotalShareChangeR1*(1-dataComp2Impact))</f>
        <v>0</v>
      </c>
      <c r="F3298" s="511">
        <f>(calcReg1Seg1Payer3TotalShareChangeR1&gt;0)*-(calcReg1Seg1Payer3TotalShareChangeR1*(1-dataComp2Impact))</f>
        <v>0</v>
      </c>
      <c r="G3298" s="511">
        <f>(calcReg1Seg1Payer3TotalShareChangeR1&gt;0)*-(calcReg1Seg1Payer3TotalShareChangeR1*(1-dataComp2Impact))</f>
        <v>0</v>
      </c>
      <c r="H3298" s="511">
        <f>(calcReg1Seg1Payer3TotalShareChangeR1&gt;0)*-(calcReg1Seg1Payer3TotalShareChangeR1*(1-dataComp2Impact))</f>
        <v>0</v>
      </c>
      <c r="I3298" s="511">
        <f>(calcReg1Seg1Payer3TotalShareChangeR1&gt;0)*-(calcReg1Seg1Payer3TotalShareChangeR1*(1-dataComp2Impact))</f>
        <v>0</v>
      </c>
      <c r="J3298" t="s">
        <v>3679</v>
      </c>
    </row>
    <row r="3300" spans="1:10">
      <c r="A3300" s="4"/>
      <c r="C3300" s="4" t="str">
        <f>nmPayer3</f>
        <v>Dragon Health</v>
      </c>
      <c r="E3300" s="511">
        <f>calcReg1Seg1Payer3ShareTotalCustR2-calcReg1Seg1Payer3ShareTotalCustR1</f>
        <v>0</v>
      </c>
      <c r="F3300" s="511">
        <f>calcReg1Seg1Payer3ShareTotalCustR2-calcReg1Seg1Payer3ShareTotalCustR1</f>
        <v>0</v>
      </c>
      <c r="G3300" s="511">
        <f>calcReg1Seg1Payer3ShareTotalCustR2-calcReg1Seg1Payer3ShareTotalCustR1</f>
        <v>0</v>
      </c>
      <c r="H3300" s="511">
        <f>calcReg1Seg1Payer3ShareTotalCustR2-calcReg1Seg1Payer3ShareTotalCustR1</f>
        <v>0</v>
      </c>
      <c r="I3300" s="511">
        <f>calcReg1Seg1Payer3ShareTotalCustR2-calcReg1Seg1Payer3ShareTotalCustR1</f>
        <v>0</v>
      </c>
      <c r="J3300" t="s">
        <v>3680</v>
      </c>
    </row>
    <row r="3301" spans="1:10">
      <c r="B3301" t="str">
        <f>nmComp1</f>
        <v>Vibrant</v>
      </c>
      <c r="C3301" t="s">
        <v>3563</v>
      </c>
      <c r="E3301" s="511">
        <f>(calcReg1Seg1Payer3TotalShareChangeR2&lt;0)*-(calcReg1Seg1Payer3TotalShareChangeR2*(dataComp1Impact))</f>
        <v>0</v>
      </c>
      <c r="F3301" s="511">
        <f>(calcReg1Seg1Payer3TotalShareChangeR2&lt;0)*-(calcReg1Seg1Payer3TotalShareChangeR2*(dataComp1Impact))</f>
        <v>0</v>
      </c>
      <c r="G3301" s="511">
        <f>(calcReg1Seg1Payer3TotalShareChangeR2&lt;0)*-(calcReg1Seg1Payer3TotalShareChangeR2*(dataComp1Impact))</f>
        <v>0</v>
      </c>
      <c r="H3301" s="511">
        <f>(calcReg1Seg1Payer3TotalShareChangeR2&lt;0)*-(calcReg1Seg1Payer3TotalShareChangeR2*(dataComp1Impact))</f>
        <v>0</v>
      </c>
      <c r="I3301" s="511">
        <f>(calcReg1Seg1Payer3TotalShareChangeR2&lt;0)*-(calcReg1Seg1Payer3TotalShareChangeR2*(dataComp1Impact))</f>
        <v>0</v>
      </c>
      <c r="J3301" t="s">
        <v>3681</v>
      </c>
    </row>
    <row r="3302" spans="1:10">
      <c r="C3302" t="s">
        <v>3564</v>
      </c>
      <c r="E3302" s="511">
        <f>(calcReg1Seg1Payer3TotalShareChangeR2&gt;0)*-(calcReg1Seg1Payer3TotalShareChangeR2*(1-dataComp1Impact))</f>
        <v>0</v>
      </c>
      <c r="F3302" s="511">
        <f>(calcReg1Seg1Payer3TotalShareChangeR2&gt;0)*-(calcReg1Seg1Payer3TotalShareChangeR2*(1-dataComp1Impact))</f>
        <v>0</v>
      </c>
      <c r="G3302" s="511">
        <f>(calcReg1Seg1Payer3TotalShareChangeR2&gt;0)*-(calcReg1Seg1Payer3TotalShareChangeR2*(1-dataComp1Impact))</f>
        <v>0</v>
      </c>
      <c r="H3302" s="511">
        <f>(calcReg1Seg1Payer3TotalShareChangeR2&gt;0)*-(calcReg1Seg1Payer3TotalShareChangeR2*(1-dataComp1Impact))</f>
        <v>0</v>
      </c>
      <c r="I3302" s="511">
        <f>(calcReg1Seg1Payer3TotalShareChangeR2&gt;0)*-(calcReg1Seg1Payer3TotalShareChangeR2*(1-dataComp1Impact))</f>
        <v>0</v>
      </c>
      <c r="J3302" t="s">
        <v>3682</v>
      </c>
    </row>
    <row r="3303" spans="1:10">
      <c r="B3303" t="str">
        <f>nmComp2</f>
        <v>Pristine</v>
      </c>
      <c r="C3303" t="s">
        <v>3563</v>
      </c>
      <c r="E3303" s="511">
        <f>(calcReg1Seg1Payer3TotalShareChangeR2&lt;0)*-(calcReg1Seg1Payer3TotalShareChangeR2*(dataComp2Impact))</f>
        <v>0</v>
      </c>
      <c r="F3303" s="511">
        <f>(calcReg1Seg1Payer3TotalShareChangeR2&lt;0)*-(calcReg1Seg1Payer3TotalShareChangeR2*(dataComp2Impact))</f>
        <v>0</v>
      </c>
      <c r="G3303" s="511">
        <f>(calcReg1Seg1Payer3TotalShareChangeR2&lt;0)*-(calcReg1Seg1Payer3TotalShareChangeR2*(dataComp2Impact))</f>
        <v>0</v>
      </c>
      <c r="H3303" s="511">
        <f>(calcReg1Seg1Payer3TotalShareChangeR2&lt;0)*-(calcReg1Seg1Payer3TotalShareChangeR2*(dataComp2Impact))</f>
        <v>0</v>
      </c>
      <c r="I3303" s="511">
        <f>(calcReg1Seg1Payer3TotalShareChangeR2&lt;0)*-(calcReg1Seg1Payer3TotalShareChangeR2*(dataComp2Impact))</f>
        <v>0</v>
      </c>
      <c r="J3303" t="s">
        <v>3683</v>
      </c>
    </row>
    <row r="3304" spans="1:10">
      <c r="C3304" t="s">
        <v>3564</v>
      </c>
      <c r="E3304" s="511">
        <f>(calcReg1Seg1Payer3TotalShareChangeR2&gt;0)*-(calcReg1Seg1Payer3TotalShareChangeR2*(1-dataComp2Impact))</f>
        <v>0</v>
      </c>
      <c r="F3304" s="511">
        <f>(calcReg1Seg1Payer3TotalShareChangeR2&gt;0)*-(calcReg1Seg1Payer3TotalShareChangeR2*(1-dataComp2Impact))</f>
        <v>0</v>
      </c>
      <c r="G3304" s="511">
        <f>(calcReg1Seg1Payer3TotalShareChangeR2&gt;0)*-(calcReg1Seg1Payer3TotalShareChangeR2*(1-dataComp2Impact))</f>
        <v>0</v>
      </c>
      <c r="H3304" s="511">
        <f>(calcReg1Seg1Payer3TotalShareChangeR2&gt;0)*-(calcReg1Seg1Payer3TotalShareChangeR2*(1-dataComp2Impact))</f>
        <v>0</v>
      </c>
      <c r="I3304" s="511">
        <f>(calcReg1Seg1Payer3TotalShareChangeR2&gt;0)*-(calcReg1Seg1Payer3TotalShareChangeR2*(1-dataComp2Impact))</f>
        <v>0</v>
      </c>
      <c r="J3304" t="s">
        <v>3684</v>
      </c>
    </row>
    <row r="3306" spans="1:10">
      <c r="A3306" s="4" t="str">
        <f>nmReg1Seg2</f>
        <v>Winterfell</v>
      </c>
      <c r="C3306" s="4" t="str">
        <f>nmPayer1</f>
        <v>Blue Sword/Blue Shield</v>
      </c>
      <c r="E3306" s="511">
        <f>calcReg1Seg2Payer1ShareTotalCustR1-obalReg1Seg2Payer1Share</f>
        <v>-2.1999999999999971E-4</v>
      </c>
      <c r="F3306" s="511">
        <f>calcReg1Seg2Payer1ShareTotalCustR1-obalReg1Seg2Payer1Share</f>
        <v>-2.1999999999999971E-4</v>
      </c>
      <c r="G3306" s="511">
        <f>calcReg1Seg2Payer1ShareTotalCustR1-obalReg1Seg2Payer1Share</f>
        <v>-2.1999999999999971E-4</v>
      </c>
      <c r="H3306" s="511">
        <f>calcReg1Seg2Payer1ShareTotalCustR1-obalReg1Seg2Payer1Share</f>
        <v>-2.1999999999999971E-4</v>
      </c>
      <c r="I3306" s="511">
        <f>calcReg1Seg2Payer1ShareTotalCustR1-obalReg1Seg2Payer1Share</f>
        <v>-2.1999999999999971E-4</v>
      </c>
      <c r="J3306" t="s">
        <v>3685</v>
      </c>
    </row>
    <row r="3307" spans="1:10">
      <c r="B3307" t="str">
        <f>nmComp1</f>
        <v>Vibrant</v>
      </c>
      <c r="C3307" t="s">
        <v>3563</v>
      </c>
      <c r="E3307" s="511">
        <f>(calcReg1Seg2Payer1TotalShareChangeR1&lt;0)*-(calcReg1Seg2Payer1TotalShareChangeR1*(dataComp1Impact))</f>
        <v>4.3999999999999945E-5</v>
      </c>
      <c r="F3307" s="511">
        <f>(calcReg1Seg2Payer1TotalShareChangeR1&lt;0)*-(calcReg1Seg2Payer1TotalShareChangeR1*(dataComp1Impact))</f>
        <v>4.3999999999999945E-5</v>
      </c>
      <c r="G3307" s="511">
        <f>(calcReg1Seg2Payer1TotalShareChangeR1&lt;0)*-(calcReg1Seg2Payer1TotalShareChangeR1*(dataComp1Impact))</f>
        <v>4.3999999999999945E-5</v>
      </c>
      <c r="H3307" s="511">
        <f>(calcReg1Seg2Payer1TotalShareChangeR1&lt;0)*-(calcReg1Seg2Payer1TotalShareChangeR1*(dataComp1Impact))</f>
        <v>4.3999999999999945E-5</v>
      </c>
      <c r="I3307" s="511">
        <f>(calcReg1Seg2Payer1TotalShareChangeR1&lt;0)*-(calcReg1Seg2Payer1TotalShareChangeR1*(dataComp1Impact))</f>
        <v>4.3999999999999945E-5</v>
      </c>
      <c r="J3307" t="s">
        <v>3686</v>
      </c>
    </row>
    <row r="3308" spans="1:10">
      <c r="C3308" t="s">
        <v>3564</v>
      </c>
      <c r="E3308" s="511">
        <f>(calcReg1Seg2Payer1TotalShareChangeR1&gt;0)*-(calcReg1Seg2Payer1TotalShareChangeR1*(1-dataComp1Impact))</f>
        <v>0</v>
      </c>
      <c r="F3308" s="511">
        <f>(calcReg1Seg2Payer1TotalShareChangeR1&gt;0)*-(calcReg1Seg2Payer1TotalShareChangeR1*(1-dataComp1Impact))</f>
        <v>0</v>
      </c>
      <c r="G3308" s="511">
        <f>(calcReg1Seg2Payer1TotalShareChangeR1&gt;0)*-(calcReg1Seg2Payer1TotalShareChangeR1*(1-dataComp1Impact))</f>
        <v>0</v>
      </c>
      <c r="H3308" s="511">
        <f>(calcReg1Seg2Payer1TotalShareChangeR1&gt;0)*-(calcReg1Seg2Payer1TotalShareChangeR1*(1-dataComp1Impact))</f>
        <v>0</v>
      </c>
      <c r="I3308" s="511">
        <f>(calcReg1Seg2Payer1TotalShareChangeR1&gt;0)*-(calcReg1Seg2Payer1TotalShareChangeR1*(1-dataComp1Impact))</f>
        <v>0</v>
      </c>
      <c r="J3308" t="s">
        <v>3687</v>
      </c>
    </row>
    <row r="3309" spans="1:10">
      <c r="B3309" t="str">
        <f>nmComp2</f>
        <v>Pristine</v>
      </c>
      <c r="C3309" t="s">
        <v>3563</v>
      </c>
      <c r="E3309" s="511">
        <f>(calcReg1Seg2Payer1TotalShareChangeR1&lt;0)*-(calcReg1Seg2Payer1TotalShareChangeR1*(dataComp2Impact))</f>
        <v>1.7599999999999978E-4</v>
      </c>
      <c r="F3309" s="511">
        <f>(calcReg1Seg2Payer1TotalShareChangeR1&lt;0)*-(calcReg1Seg2Payer1TotalShareChangeR1*(dataComp2Impact))</f>
        <v>1.7599999999999978E-4</v>
      </c>
      <c r="G3309" s="511">
        <f>(calcReg1Seg2Payer1TotalShareChangeR1&lt;0)*-(calcReg1Seg2Payer1TotalShareChangeR1*(dataComp2Impact))</f>
        <v>1.7599999999999978E-4</v>
      </c>
      <c r="H3309" s="511">
        <f>(calcReg1Seg2Payer1TotalShareChangeR1&lt;0)*-(calcReg1Seg2Payer1TotalShareChangeR1*(dataComp2Impact))</f>
        <v>1.7599999999999978E-4</v>
      </c>
      <c r="I3309" s="511">
        <f>(calcReg1Seg2Payer1TotalShareChangeR1&lt;0)*-(calcReg1Seg2Payer1TotalShareChangeR1*(dataComp2Impact))</f>
        <v>1.7599999999999978E-4</v>
      </c>
      <c r="J3309" t="s">
        <v>3688</v>
      </c>
    </row>
    <row r="3310" spans="1:10">
      <c r="C3310" t="s">
        <v>3564</v>
      </c>
      <c r="E3310" s="511">
        <f>(calcReg1Seg2Payer1TotalShareChangeR1&gt;0)*-(calcReg1Seg2Payer1TotalShareChangeR1*(1-dataComp2Impact))</f>
        <v>0</v>
      </c>
      <c r="F3310" s="511">
        <f>(calcReg1Seg2Payer1TotalShareChangeR1&gt;0)*-(calcReg1Seg2Payer1TotalShareChangeR1*(1-dataComp2Impact))</f>
        <v>0</v>
      </c>
      <c r="G3310" s="511">
        <f>(calcReg1Seg2Payer1TotalShareChangeR1&gt;0)*-(calcReg1Seg2Payer1TotalShareChangeR1*(1-dataComp2Impact))</f>
        <v>0</v>
      </c>
      <c r="H3310" s="511">
        <f>(calcReg1Seg2Payer1TotalShareChangeR1&gt;0)*-(calcReg1Seg2Payer1TotalShareChangeR1*(1-dataComp2Impact))</f>
        <v>0</v>
      </c>
      <c r="I3310" s="511">
        <f>(calcReg1Seg2Payer1TotalShareChangeR1&gt;0)*-(calcReg1Seg2Payer1TotalShareChangeR1*(1-dataComp2Impact))</f>
        <v>0</v>
      </c>
      <c r="J3310" t="s">
        <v>3689</v>
      </c>
    </row>
    <row r="3312" spans="1:10">
      <c r="A3312" s="4"/>
      <c r="C3312" s="4" t="str">
        <f>nmPayer1</f>
        <v>Blue Sword/Blue Shield</v>
      </c>
      <c r="E3312" s="511">
        <f>calcReg1Seg2Payer1ShareTotalCustR2-calcReg1Seg2Payer1ShareTotalCustR1</f>
        <v>0</v>
      </c>
      <c r="F3312" s="511">
        <f>calcReg1Seg2Payer1ShareTotalCustR2-calcReg1Seg2Payer1ShareTotalCustR1</f>
        <v>0</v>
      </c>
      <c r="G3312" s="511">
        <f>calcReg1Seg2Payer1ShareTotalCustR2-calcReg1Seg2Payer1ShareTotalCustR1</f>
        <v>0</v>
      </c>
      <c r="H3312" s="511">
        <f>calcReg1Seg2Payer1ShareTotalCustR2-calcReg1Seg2Payer1ShareTotalCustR1</f>
        <v>0</v>
      </c>
      <c r="I3312" s="511">
        <f>calcReg1Seg2Payer1ShareTotalCustR2-calcReg1Seg2Payer1ShareTotalCustR1</f>
        <v>0</v>
      </c>
      <c r="J3312" t="s">
        <v>3690</v>
      </c>
    </row>
    <row r="3313" spans="1:10">
      <c r="B3313" t="str">
        <f>nmComp1</f>
        <v>Vibrant</v>
      </c>
      <c r="C3313" t="s">
        <v>3563</v>
      </c>
      <c r="E3313" s="511">
        <f>(calcReg1Seg2Payer1TotalShareChangeR2&lt;0)*-(calcReg1Seg2Payer1TotalShareChangeR2*(dataComp1Impact))</f>
        <v>0</v>
      </c>
      <c r="F3313" s="511">
        <f>(calcReg1Seg2Payer1TotalShareChangeR2&lt;0)*-(calcReg1Seg2Payer1TotalShareChangeR2*(dataComp1Impact))</f>
        <v>0</v>
      </c>
      <c r="G3313" s="511">
        <f>(calcReg1Seg2Payer1TotalShareChangeR2&lt;0)*-(calcReg1Seg2Payer1TotalShareChangeR2*(dataComp1Impact))</f>
        <v>0</v>
      </c>
      <c r="H3313" s="511">
        <f>(calcReg1Seg2Payer1TotalShareChangeR2&lt;0)*-(calcReg1Seg2Payer1TotalShareChangeR2*(dataComp1Impact))</f>
        <v>0</v>
      </c>
      <c r="I3313" s="511">
        <f>(calcReg1Seg2Payer1TotalShareChangeR2&lt;0)*-(calcReg1Seg2Payer1TotalShareChangeR2*(dataComp1Impact))</f>
        <v>0</v>
      </c>
      <c r="J3313" t="s">
        <v>3691</v>
      </c>
    </row>
    <row r="3314" spans="1:10">
      <c r="C3314" t="s">
        <v>3564</v>
      </c>
      <c r="E3314" s="511">
        <f>(calcReg1Seg2Payer1TotalShareChangeR2&gt;0)*-(calcReg1Seg2Payer1TotalShareChangeR2*(1-dataComp1Impact))</f>
        <v>0</v>
      </c>
      <c r="F3314" s="511">
        <f>(calcReg1Seg2Payer1TotalShareChangeR2&gt;0)*-(calcReg1Seg2Payer1TotalShareChangeR2*(1-dataComp1Impact))</f>
        <v>0</v>
      </c>
      <c r="G3314" s="511">
        <f>(calcReg1Seg2Payer1TotalShareChangeR2&gt;0)*-(calcReg1Seg2Payer1TotalShareChangeR2*(1-dataComp1Impact))</f>
        <v>0</v>
      </c>
      <c r="H3314" s="511">
        <f>(calcReg1Seg2Payer1TotalShareChangeR2&gt;0)*-(calcReg1Seg2Payer1TotalShareChangeR2*(1-dataComp1Impact))</f>
        <v>0</v>
      </c>
      <c r="I3314" s="511">
        <f>(calcReg1Seg2Payer1TotalShareChangeR2&gt;0)*-(calcReg1Seg2Payer1TotalShareChangeR2*(1-dataComp1Impact))</f>
        <v>0</v>
      </c>
      <c r="J3314" t="s">
        <v>3692</v>
      </c>
    </row>
    <row r="3315" spans="1:10">
      <c r="B3315" t="str">
        <f>nmComp2</f>
        <v>Pristine</v>
      </c>
      <c r="C3315" t="s">
        <v>3563</v>
      </c>
      <c r="E3315" s="511">
        <f>(calcReg1Seg2Payer1TotalShareChangeR2&lt;0)*-(calcReg1Seg2Payer1TotalShareChangeR2*(dataComp2Impact))</f>
        <v>0</v>
      </c>
      <c r="F3315" s="511">
        <f>(calcReg1Seg2Payer1TotalShareChangeR2&lt;0)*-(calcReg1Seg2Payer1TotalShareChangeR2*(dataComp2Impact))</f>
        <v>0</v>
      </c>
      <c r="G3315" s="511">
        <f>(calcReg1Seg2Payer1TotalShareChangeR2&lt;0)*-(calcReg1Seg2Payer1TotalShareChangeR2*(dataComp2Impact))</f>
        <v>0</v>
      </c>
      <c r="H3315" s="511">
        <f>(calcReg1Seg2Payer1TotalShareChangeR2&lt;0)*-(calcReg1Seg2Payer1TotalShareChangeR2*(dataComp2Impact))</f>
        <v>0</v>
      </c>
      <c r="I3315" s="511">
        <f>(calcReg1Seg2Payer1TotalShareChangeR2&lt;0)*-(calcReg1Seg2Payer1TotalShareChangeR2*(dataComp2Impact))</f>
        <v>0</v>
      </c>
      <c r="J3315" t="s">
        <v>3693</v>
      </c>
    </row>
    <row r="3316" spans="1:10">
      <c r="C3316" t="s">
        <v>3564</v>
      </c>
      <c r="E3316" s="511">
        <f>(calcReg1Seg2Payer1TotalShareChangeR2&gt;0)*-(calcReg1Seg2Payer1TotalShareChangeR2*(1-dataComp2Impact))</f>
        <v>0</v>
      </c>
      <c r="F3316" s="511">
        <f>(calcReg1Seg2Payer1TotalShareChangeR2&gt;0)*-(calcReg1Seg2Payer1TotalShareChangeR2*(1-dataComp2Impact))</f>
        <v>0</v>
      </c>
      <c r="G3316" s="511">
        <f>(calcReg1Seg2Payer1TotalShareChangeR2&gt;0)*-(calcReg1Seg2Payer1TotalShareChangeR2*(1-dataComp2Impact))</f>
        <v>0</v>
      </c>
      <c r="H3316" s="511">
        <f>(calcReg1Seg2Payer1TotalShareChangeR2&gt;0)*-(calcReg1Seg2Payer1TotalShareChangeR2*(1-dataComp2Impact))</f>
        <v>0</v>
      </c>
      <c r="I3316" s="511">
        <f>(calcReg1Seg2Payer1TotalShareChangeR2&gt;0)*-(calcReg1Seg2Payer1TotalShareChangeR2*(1-dataComp2Impact))</f>
        <v>0</v>
      </c>
      <c r="J3316" t="s">
        <v>3694</v>
      </c>
    </row>
    <row r="3318" spans="1:10">
      <c r="A3318" s="4"/>
      <c r="C3318" s="4" t="str">
        <f>nmPayer2</f>
        <v>WesterAid</v>
      </c>
      <c r="E3318" s="511">
        <f>calcReg1Seg2Payer2ShareTotalCustR1-obalReg1Seg2Payer2Share</f>
        <v>0</v>
      </c>
      <c r="F3318" s="511">
        <f>calcReg1Seg2Payer2ShareTotalCustR1-obalReg1Seg2Payer2Share</f>
        <v>0</v>
      </c>
      <c r="G3318" s="511">
        <f>calcReg1Seg2Payer2ShareTotalCustR1-obalReg1Seg2Payer2Share</f>
        <v>0</v>
      </c>
      <c r="H3318" s="511">
        <f>calcReg1Seg2Payer2ShareTotalCustR1-obalReg1Seg2Payer2Share</f>
        <v>0</v>
      </c>
      <c r="I3318" s="511">
        <f>calcReg1Seg2Payer2ShareTotalCustR1-obalReg1Seg2Payer2Share</f>
        <v>0</v>
      </c>
      <c r="J3318" t="s">
        <v>3695</v>
      </c>
    </row>
    <row r="3319" spans="1:10">
      <c r="B3319" t="str">
        <f>nmComp1</f>
        <v>Vibrant</v>
      </c>
      <c r="C3319" t="s">
        <v>3563</v>
      </c>
      <c r="E3319" s="511">
        <f>(calcReg1Seg2Payer2TotalShareChangeR1&lt;0)*-(calcReg1Seg2Payer2TotalShareChangeR1*(dataComp1Impact))</f>
        <v>0</v>
      </c>
      <c r="F3319" s="511">
        <f>(calcReg1Seg2Payer2TotalShareChangeR1&lt;0)*-(calcReg1Seg2Payer2TotalShareChangeR1*(dataComp1Impact))</f>
        <v>0</v>
      </c>
      <c r="G3319" s="511">
        <f>(calcReg1Seg2Payer2TotalShareChangeR1&lt;0)*-(calcReg1Seg2Payer2TotalShareChangeR1*(dataComp1Impact))</f>
        <v>0</v>
      </c>
      <c r="H3319" s="511">
        <f>(calcReg1Seg2Payer2TotalShareChangeR1&lt;0)*-(calcReg1Seg2Payer2TotalShareChangeR1*(dataComp1Impact))</f>
        <v>0</v>
      </c>
      <c r="I3319" s="511">
        <f>(calcReg1Seg2Payer2TotalShareChangeR1&lt;0)*-(calcReg1Seg2Payer2TotalShareChangeR1*(dataComp1Impact))</f>
        <v>0</v>
      </c>
      <c r="J3319" t="s">
        <v>3696</v>
      </c>
    </row>
    <row r="3320" spans="1:10">
      <c r="C3320" t="s">
        <v>3564</v>
      </c>
      <c r="E3320" s="511">
        <f>(calcReg1Seg2Payer2TotalShareChangeR1&gt;0)*-(calcReg1Seg2Payer2TotalShareChangeR1*(1-dataComp1Impact))</f>
        <v>0</v>
      </c>
      <c r="F3320" s="511">
        <f>(calcReg1Seg2Payer2TotalShareChangeR1&gt;0)*-(calcReg1Seg2Payer2TotalShareChangeR1*(1-dataComp1Impact))</f>
        <v>0</v>
      </c>
      <c r="G3320" s="511">
        <f>(calcReg1Seg2Payer2TotalShareChangeR1&gt;0)*-(calcReg1Seg2Payer2TotalShareChangeR1*(1-dataComp1Impact))</f>
        <v>0</v>
      </c>
      <c r="H3320" s="511">
        <f>(calcReg1Seg2Payer2TotalShareChangeR1&gt;0)*-(calcReg1Seg2Payer2TotalShareChangeR1*(1-dataComp1Impact))</f>
        <v>0</v>
      </c>
      <c r="I3320" s="511">
        <f>(calcReg1Seg2Payer2TotalShareChangeR1&gt;0)*-(calcReg1Seg2Payer2TotalShareChangeR1*(1-dataComp1Impact))</f>
        <v>0</v>
      </c>
      <c r="J3320" t="s">
        <v>3697</v>
      </c>
    </row>
    <row r="3321" spans="1:10">
      <c r="B3321" t="str">
        <f>nmComp2</f>
        <v>Pristine</v>
      </c>
      <c r="C3321" t="s">
        <v>3563</v>
      </c>
      <c r="E3321" s="511">
        <f>(calcReg1Seg2Payer2TotalShareChangeR1&lt;0)*-(calcReg1Seg2Payer2TotalShareChangeR1*(dataComp2Impact))</f>
        <v>0</v>
      </c>
      <c r="F3321" s="511">
        <f>(calcReg1Seg2Payer2TotalShareChangeR1&lt;0)*-(calcReg1Seg2Payer2TotalShareChangeR1*(dataComp2Impact))</f>
        <v>0</v>
      </c>
      <c r="G3321" s="511">
        <f>(calcReg1Seg2Payer2TotalShareChangeR1&lt;0)*-(calcReg1Seg2Payer2TotalShareChangeR1*(dataComp2Impact))</f>
        <v>0</v>
      </c>
      <c r="H3321" s="511">
        <f>(calcReg1Seg2Payer2TotalShareChangeR1&lt;0)*-(calcReg1Seg2Payer2TotalShareChangeR1*(dataComp2Impact))</f>
        <v>0</v>
      </c>
      <c r="I3321" s="511">
        <f>(calcReg1Seg2Payer2TotalShareChangeR1&lt;0)*-(calcReg1Seg2Payer2TotalShareChangeR1*(dataComp2Impact))</f>
        <v>0</v>
      </c>
      <c r="J3321" t="s">
        <v>3698</v>
      </c>
    </row>
    <row r="3322" spans="1:10">
      <c r="C3322" t="s">
        <v>3564</v>
      </c>
      <c r="E3322" s="511">
        <f>(calcReg1Seg2Payer2TotalShareChangeR1&gt;0)*-(calcReg1Seg2Payer2TotalShareChangeR1*(1-dataComp2Impact))</f>
        <v>0</v>
      </c>
      <c r="F3322" s="511">
        <f>(calcReg1Seg2Payer2TotalShareChangeR1&gt;0)*-(calcReg1Seg2Payer2TotalShareChangeR1*(1-dataComp2Impact))</f>
        <v>0</v>
      </c>
      <c r="G3322" s="511">
        <f>(calcReg1Seg2Payer2TotalShareChangeR1&gt;0)*-(calcReg1Seg2Payer2TotalShareChangeR1*(1-dataComp2Impact))</f>
        <v>0</v>
      </c>
      <c r="H3322" s="511">
        <f>(calcReg1Seg2Payer2TotalShareChangeR1&gt;0)*-(calcReg1Seg2Payer2TotalShareChangeR1*(1-dataComp2Impact))</f>
        <v>0</v>
      </c>
      <c r="I3322" s="511">
        <f>(calcReg1Seg2Payer2TotalShareChangeR1&gt;0)*-(calcReg1Seg2Payer2TotalShareChangeR1*(1-dataComp2Impact))</f>
        <v>0</v>
      </c>
      <c r="J3322" t="s">
        <v>3699</v>
      </c>
    </row>
    <row r="3324" spans="1:10">
      <c r="A3324" s="4"/>
      <c r="C3324" s="4" t="str">
        <f>nmPayer2</f>
        <v>WesterAid</v>
      </c>
      <c r="E3324" s="511">
        <f>calcReg1Seg2Payer2ShareTotalCustR2-calcReg1Seg2Payer2ShareTotalCustR1</f>
        <v>0</v>
      </c>
      <c r="F3324" s="511">
        <f>calcReg1Seg2Payer2ShareTotalCustR2-calcReg1Seg2Payer2ShareTotalCustR1</f>
        <v>0</v>
      </c>
      <c r="G3324" s="511">
        <f>calcReg1Seg2Payer2ShareTotalCustR2-calcReg1Seg2Payer2ShareTotalCustR1</f>
        <v>0</v>
      </c>
      <c r="H3324" s="511">
        <f>calcReg1Seg2Payer2ShareTotalCustR2-calcReg1Seg2Payer2ShareTotalCustR1</f>
        <v>0</v>
      </c>
      <c r="I3324" s="511">
        <f>calcReg1Seg2Payer2ShareTotalCustR2-calcReg1Seg2Payer2ShareTotalCustR1</f>
        <v>0</v>
      </c>
      <c r="J3324" t="s">
        <v>3700</v>
      </c>
    </row>
    <row r="3325" spans="1:10">
      <c r="B3325" t="str">
        <f>nmComp1</f>
        <v>Vibrant</v>
      </c>
      <c r="C3325" t="s">
        <v>3563</v>
      </c>
      <c r="E3325" s="511">
        <f>(calcReg1Seg2Payer2TotalShareChangeR2&lt;0)*-(calcReg1Seg2Payer2TotalShareChangeR2*(dataComp1Impact))</f>
        <v>0</v>
      </c>
      <c r="F3325" s="511">
        <f>(calcReg1Seg2Payer2TotalShareChangeR2&lt;0)*-(calcReg1Seg2Payer2TotalShareChangeR2*(dataComp1Impact))</f>
        <v>0</v>
      </c>
      <c r="G3325" s="511">
        <f>(calcReg1Seg2Payer2TotalShareChangeR2&lt;0)*-(calcReg1Seg2Payer2TotalShareChangeR2*(dataComp1Impact))</f>
        <v>0</v>
      </c>
      <c r="H3325" s="511">
        <f>(calcReg1Seg2Payer2TotalShareChangeR2&lt;0)*-(calcReg1Seg2Payer2TotalShareChangeR2*(dataComp1Impact))</f>
        <v>0</v>
      </c>
      <c r="I3325" s="511">
        <f>(calcReg1Seg2Payer2TotalShareChangeR2&lt;0)*-(calcReg1Seg2Payer2TotalShareChangeR2*(dataComp1Impact))</f>
        <v>0</v>
      </c>
      <c r="J3325" t="s">
        <v>3701</v>
      </c>
    </row>
    <row r="3326" spans="1:10">
      <c r="C3326" t="s">
        <v>3564</v>
      </c>
      <c r="E3326" s="511">
        <f>(calcReg1Seg2Payer2TotalShareChangeR2&gt;0)*-(calcReg1Seg2Payer2TotalShareChangeR2*(1-dataComp1Impact))</f>
        <v>0</v>
      </c>
      <c r="F3326" s="511">
        <f>(calcReg1Seg2Payer2TotalShareChangeR2&gt;0)*-(calcReg1Seg2Payer2TotalShareChangeR2*(1-dataComp1Impact))</f>
        <v>0</v>
      </c>
      <c r="G3326" s="511">
        <f>(calcReg1Seg2Payer2TotalShareChangeR2&gt;0)*-(calcReg1Seg2Payer2TotalShareChangeR2*(1-dataComp1Impact))</f>
        <v>0</v>
      </c>
      <c r="H3326" s="511">
        <f>(calcReg1Seg2Payer2TotalShareChangeR2&gt;0)*-(calcReg1Seg2Payer2TotalShareChangeR2*(1-dataComp1Impact))</f>
        <v>0</v>
      </c>
      <c r="I3326" s="511">
        <f>(calcReg1Seg2Payer2TotalShareChangeR2&gt;0)*-(calcReg1Seg2Payer2TotalShareChangeR2*(1-dataComp1Impact))</f>
        <v>0</v>
      </c>
      <c r="J3326" t="s">
        <v>3702</v>
      </c>
    </row>
    <row r="3327" spans="1:10">
      <c r="B3327" t="str">
        <f>nmComp2</f>
        <v>Pristine</v>
      </c>
      <c r="C3327" t="s">
        <v>3563</v>
      </c>
      <c r="E3327" s="511">
        <f>(calcReg1Seg2Payer2TotalShareChangeR2&lt;0)*-(calcReg1Seg2Payer2TotalShareChangeR2*(dataComp2Impact))</f>
        <v>0</v>
      </c>
      <c r="F3327" s="511">
        <f>(calcReg1Seg2Payer2TotalShareChangeR2&lt;0)*-(calcReg1Seg2Payer2TotalShareChangeR2*(dataComp2Impact))</f>
        <v>0</v>
      </c>
      <c r="G3327" s="511">
        <f>(calcReg1Seg2Payer2TotalShareChangeR2&lt;0)*-(calcReg1Seg2Payer2TotalShareChangeR2*(dataComp2Impact))</f>
        <v>0</v>
      </c>
      <c r="H3327" s="511">
        <f>(calcReg1Seg2Payer2TotalShareChangeR2&lt;0)*-(calcReg1Seg2Payer2TotalShareChangeR2*(dataComp2Impact))</f>
        <v>0</v>
      </c>
      <c r="I3327" s="511">
        <f>(calcReg1Seg2Payer2TotalShareChangeR2&lt;0)*-(calcReg1Seg2Payer2TotalShareChangeR2*(dataComp2Impact))</f>
        <v>0</v>
      </c>
      <c r="J3327" t="s">
        <v>3703</v>
      </c>
    </row>
    <row r="3328" spans="1:10">
      <c r="C3328" t="s">
        <v>3564</v>
      </c>
      <c r="E3328" s="511">
        <f>(calcReg1Seg2Payer2TotalShareChangeR2&gt;0)*-(calcReg1Seg2Payer2TotalShareChangeR2*(1-dataComp2Impact))</f>
        <v>0</v>
      </c>
      <c r="F3328" s="511">
        <f>(calcReg1Seg2Payer2TotalShareChangeR2&gt;0)*-(calcReg1Seg2Payer2TotalShareChangeR2*(1-dataComp2Impact))</f>
        <v>0</v>
      </c>
      <c r="G3328" s="511">
        <f>(calcReg1Seg2Payer2TotalShareChangeR2&gt;0)*-(calcReg1Seg2Payer2TotalShareChangeR2*(1-dataComp2Impact))</f>
        <v>0</v>
      </c>
      <c r="H3328" s="511">
        <f>(calcReg1Seg2Payer2TotalShareChangeR2&gt;0)*-(calcReg1Seg2Payer2TotalShareChangeR2*(1-dataComp2Impact))</f>
        <v>0</v>
      </c>
      <c r="I3328" s="511">
        <f>(calcReg1Seg2Payer2TotalShareChangeR2&gt;0)*-(calcReg1Seg2Payer2TotalShareChangeR2*(1-dataComp2Impact))</f>
        <v>0</v>
      </c>
      <c r="J3328" t="s">
        <v>3704</v>
      </c>
    </row>
    <row r="3330" spans="1:10">
      <c r="A3330" s="4"/>
      <c r="C3330" s="4" t="str">
        <f>nmPayer3</f>
        <v>Dragon Health</v>
      </c>
      <c r="E3330" s="511">
        <f>calcReg1Seg2Payer3ShareTotalCustR1-obalReg1Seg2Payer3Share</f>
        <v>-1.349999999999997E-4</v>
      </c>
      <c r="F3330" s="511">
        <f>calcReg1Seg2Payer3ShareTotalCustR1-obalReg1Seg2Payer3Share</f>
        <v>-1.349999999999997E-4</v>
      </c>
      <c r="G3330" s="511">
        <f>calcReg1Seg2Payer3ShareTotalCustR1-obalReg1Seg2Payer3Share</f>
        <v>-1.349999999999997E-4</v>
      </c>
      <c r="H3330" s="511">
        <f>calcReg1Seg2Payer3ShareTotalCustR1-obalReg1Seg2Payer3Share</f>
        <v>-1.349999999999997E-4</v>
      </c>
      <c r="I3330" s="511">
        <f>calcReg1Seg2Payer3ShareTotalCustR1-obalReg1Seg2Payer3Share</f>
        <v>-1.349999999999997E-4</v>
      </c>
      <c r="J3330" t="s">
        <v>3705</v>
      </c>
    </row>
    <row r="3331" spans="1:10">
      <c r="B3331" t="str">
        <f>nmComp1</f>
        <v>Vibrant</v>
      </c>
      <c r="C3331" t="s">
        <v>3563</v>
      </c>
      <c r="E3331" s="511">
        <f>(calcReg1Seg2Payer3TotalShareChangeR1&lt;0)*-(calcReg1Seg2Payer3TotalShareChangeR1*(dataComp1Impact))</f>
        <v>2.6999999999999941E-5</v>
      </c>
      <c r="F3331" s="511">
        <f>(calcReg1Seg2Payer3TotalShareChangeR1&lt;0)*-(calcReg1Seg2Payer3TotalShareChangeR1*(dataComp1Impact))</f>
        <v>2.6999999999999941E-5</v>
      </c>
      <c r="G3331" s="511">
        <f>(calcReg1Seg2Payer3TotalShareChangeR1&lt;0)*-(calcReg1Seg2Payer3TotalShareChangeR1*(dataComp1Impact))</f>
        <v>2.6999999999999941E-5</v>
      </c>
      <c r="H3331" s="511">
        <f>(calcReg1Seg2Payer3TotalShareChangeR1&lt;0)*-(calcReg1Seg2Payer3TotalShareChangeR1*(dataComp1Impact))</f>
        <v>2.6999999999999941E-5</v>
      </c>
      <c r="I3331" s="511">
        <f>(calcReg1Seg2Payer3TotalShareChangeR1&lt;0)*-(calcReg1Seg2Payer3TotalShareChangeR1*(dataComp1Impact))</f>
        <v>2.6999999999999941E-5</v>
      </c>
      <c r="J3331" t="s">
        <v>3706</v>
      </c>
    </row>
    <row r="3332" spans="1:10">
      <c r="C3332" t="s">
        <v>3564</v>
      </c>
      <c r="E3332" s="511">
        <f>(calcReg1Seg2Payer3TotalShareChangeR1&gt;0)*-(calcReg1Seg2Payer3TotalShareChangeR1*(1-dataComp1Impact))</f>
        <v>0</v>
      </c>
      <c r="F3332" s="511">
        <f>(calcReg1Seg2Payer3TotalShareChangeR1&gt;0)*-(calcReg1Seg2Payer3TotalShareChangeR1*(1-dataComp1Impact))</f>
        <v>0</v>
      </c>
      <c r="G3332" s="511">
        <f>(calcReg1Seg2Payer3TotalShareChangeR1&gt;0)*-(calcReg1Seg2Payer3TotalShareChangeR1*(1-dataComp1Impact))</f>
        <v>0</v>
      </c>
      <c r="H3332" s="511">
        <f>(calcReg1Seg2Payer3TotalShareChangeR1&gt;0)*-(calcReg1Seg2Payer3TotalShareChangeR1*(1-dataComp1Impact))</f>
        <v>0</v>
      </c>
      <c r="I3332" s="511">
        <f>(calcReg1Seg2Payer3TotalShareChangeR1&gt;0)*-(calcReg1Seg2Payer3TotalShareChangeR1*(1-dataComp1Impact))</f>
        <v>0</v>
      </c>
      <c r="J3332" t="s">
        <v>3707</v>
      </c>
    </row>
    <row r="3333" spans="1:10">
      <c r="B3333" t="str">
        <f>nmComp2</f>
        <v>Pristine</v>
      </c>
      <c r="C3333" t="s">
        <v>3563</v>
      </c>
      <c r="E3333" s="511">
        <f>(calcReg1Seg2Payer3TotalShareChangeR1&lt;0)*-(calcReg1Seg2Payer3TotalShareChangeR1*(dataComp2Impact))</f>
        <v>1.0799999999999977E-4</v>
      </c>
      <c r="F3333" s="511">
        <f>(calcReg1Seg2Payer3TotalShareChangeR1&lt;0)*-(calcReg1Seg2Payer3TotalShareChangeR1*(dataComp2Impact))</f>
        <v>1.0799999999999977E-4</v>
      </c>
      <c r="G3333" s="511">
        <f>(calcReg1Seg2Payer3TotalShareChangeR1&lt;0)*-(calcReg1Seg2Payer3TotalShareChangeR1*(dataComp2Impact))</f>
        <v>1.0799999999999977E-4</v>
      </c>
      <c r="H3333" s="511">
        <f>(calcReg1Seg2Payer3TotalShareChangeR1&lt;0)*-(calcReg1Seg2Payer3TotalShareChangeR1*(dataComp2Impact))</f>
        <v>1.0799999999999977E-4</v>
      </c>
      <c r="I3333" s="511">
        <f>(calcReg1Seg2Payer3TotalShareChangeR1&lt;0)*-(calcReg1Seg2Payer3TotalShareChangeR1*(dataComp2Impact))</f>
        <v>1.0799999999999977E-4</v>
      </c>
      <c r="J3333" t="s">
        <v>3708</v>
      </c>
    </row>
    <row r="3334" spans="1:10">
      <c r="C3334" t="s">
        <v>3564</v>
      </c>
      <c r="E3334" s="511">
        <f>(calcReg1Seg2Payer3TotalShareChangeR1&gt;0)*-(calcReg1Seg2Payer3TotalShareChangeR1*(1-dataComp2Impact))</f>
        <v>0</v>
      </c>
      <c r="F3334" s="511">
        <f>(calcReg1Seg2Payer3TotalShareChangeR1&gt;0)*-(calcReg1Seg2Payer3TotalShareChangeR1*(1-dataComp2Impact))</f>
        <v>0</v>
      </c>
      <c r="G3334" s="511">
        <f>(calcReg1Seg2Payer3TotalShareChangeR1&gt;0)*-(calcReg1Seg2Payer3TotalShareChangeR1*(1-dataComp2Impact))</f>
        <v>0</v>
      </c>
      <c r="H3334" s="511">
        <f>(calcReg1Seg2Payer3TotalShareChangeR1&gt;0)*-(calcReg1Seg2Payer3TotalShareChangeR1*(1-dataComp2Impact))</f>
        <v>0</v>
      </c>
      <c r="I3334" s="511">
        <f>(calcReg1Seg2Payer3TotalShareChangeR1&gt;0)*-(calcReg1Seg2Payer3TotalShareChangeR1*(1-dataComp2Impact))</f>
        <v>0</v>
      </c>
      <c r="J3334" t="s">
        <v>3709</v>
      </c>
    </row>
    <row r="3336" spans="1:10">
      <c r="A3336" s="4"/>
      <c r="C3336" s="4" t="str">
        <f>nmPayer3</f>
        <v>Dragon Health</v>
      </c>
      <c r="E3336" s="511">
        <f>calcReg1Seg2Payer3ShareTotalCustR2-calcReg1Seg2Payer3ShareTotalCustR1</f>
        <v>0</v>
      </c>
      <c r="F3336" s="511">
        <f>calcReg1Seg2Payer3ShareTotalCustR2-calcReg1Seg2Payer3ShareTotalCustR1</f>
        <v>0</v>
      </c>
      <c r="G3336" s="511">
        <f>calcReg1Seg2Payer3ShareTotalCustR2-calcReg1Seg2Payer3ShareTotalCustR1</f>
        <v>0</v>
      </c>
      <c r="H3336" s="511">
        <f>calcReg1Seg2Payer3ShareTotalCustR2-calcReg1Seg2Payer3ShareTotalCustR1</f>
        <v>0</v>
      </c>
      <c r="I3336" s="511">
        <f>calcReg1Seg2Payer3ShareTotalCustR2-calcReg1Seg2Payer3ShareTotalCustR1</f>
        <v>0</v>
      </c>
      <c r="J3336" t="s">
        <v>3710</v>
      </c>
    </row>
    <row r="3337" spans="1:10">
      <c r="B3337" t="str">
        <f>nmComp1</f>
        <v>Vibrant</v>
      </c>
      <c r="C3337" t="s">
        <v>3563</v>
      </c>
      <c r="E3337" s="511">
        <f>(calcReg1Seg2Payer3TotalShareChangeR2&lt;0)*-(calcReg1Seg2Payer3TotalShareChangeR2*(dataComp1Impact))</f>
        <v>0</v>
      </c>
      <c r="F3337" s="511">
        <f>(calcReg1Seg2Payer3TotalShareChangeR2&lt;0)*-(calcReg1Seg2Payer3TotalShareChangeR2*(dataComp1Impact))</f>
        <v>0</v>
      </c>
      <c r="G3337" s="511">
        <f>(calcReg1Seg2Payer3TotalShareChangeR2&lt;0)*-(calcReg1Seg2Payer3TotalShareChangeR2*(dataComp1Impact))</f>
        <v>0</v>
      </c>
      <c r="H3337" s="511">
        <f>(calcReg1Seg2Payer3TotalShareChangeR2&lt;0)*-(calcReg1Seg2Payer3TotalShareChangeR2*(dataComp1Impact))</f>
        <v>0</v>
      </c>
      <c r="I3337" s="511">
        <f>(calcReg1Seg2Payer3TotalShareChangeR2&lt;0)*-(calcReg1Seg2Payer3TotalShareChangeR2*(dataComp1Impact))</f>
        <v>0</v>
      </c>
      <c r="J3337" t="s">
        <v>3711</v>
      </c>
    </row>
    <row r="3338" spans="1:10">
      <c r="C3338" t="s">
        <v>3564</v>
      </c>
      <c r="E3338" s="511">
        <f>(calcReg1Seg2Payer3TotalShareChangeR2&gt;0)*-(calcReg1Seg2Payer3TotalShareChangeR2*(1-dataComp1Impact))</f>
        <v>0</v>
      </c>
      <c r="F3338" s="511">
        <f>(calcReg1Seg2Payer3TotalShareChangeR2&gt;0)*-(calcReg1Seg2Payer3TotalShareChangeR2*(1-dataComp1Impact))</f>
        <v>0</v>
      </c>
      <c r="G3338" s="511">
        <f>(calcReg1Seg2Payer3TotalShareChangeR2&gt;0)*-(calcReg1Seg2Payer3TotalShareChangeR2*(1-dataComp1Impact))</f>
        <v>0</v>
      </c>
      <c r="H3338" s="511">
        <f>(calcReg1Seg2Payer3TotalShareChangeR2&gt;0)*-(calcReg1Seg2Payer3TotalShareChangeR2*(1-dataComp1Impact))</f>
        <v>0</v>
      </c>
      <c r="I3338" s="511">
        <f>(calcReg1Seg2Payer3TotalShareChangeR2&gt;0)*-(calcReg1Seg2Payer3TotalShareChangeR2*(1-dataComp1Impact))</f>
        <v>0</v>
      </c>
      <c r="J3338" t="s">
        <v>3712</v>
      </c>
    </row>
    <row r="3339" spans="1:10">
      <c r="B3339" t="str">
        <f>nmComp2</f>
        <v>Pristine</v>
      </c>
      <c r="C3339" t="s">
        <v>3563</v>
      </c>
      <c r="E3339" s="511">
        <f>(calcReg1Seg2Payer3TotalShareChangeR2&lt;0)*-(calcReg1Seg2Payer3TotalShareChangeR2*(dataComp2Impact))</f>
        <v>0</v>
      </c>
      <c r="F3339" s="511">
        <f>(calcReg1Seg2Payer3TotalShareChangeR2&lt;0)*-(calcReg1Seg2Payer3TotalShareChangeR2*(dataComp2Impact))</f>
        <v>0</v>
      </c>
      <c r="G3339" s="511">
        <f>(calcReg1Seg2Payer3TotalShareChangeR2&lt;0)*-(calcReg1Seg2Payer3TotalShareChangeR2*(dataComp2Impact))</f>
        <v>0</v>
      </c>
      <c r="H3339" s="511">
        <f>(calcReg1Seg2Payer3TotalShareChangeR2&lt;0)*-(calcReg1Seg2Payer3TotalShareChangeR2*(dataComp2Impact))</f>
        <v>0</v>
      </c>
      <c r="I3339" s="511">
        <f>(calcReg1Seg2Payer3TotalShareChangeR2&lt;0)*-(calcReg1Seg2Payer3TotalShareChangeR2*(dataComp2Impact))</f>
        <v>0</v>
      </c>
      <c r="J3339" t="s">
        <v>3713</v>
      </c>
    </row>
    <row r="3340" spans="1:10">
      <c r="C3340" t="s">
        <v>3564</v>
      </c>
      <c r="E3340" s="511">
        <f>(calcReg1Seg2Payer3TotalShareChangeR2&gt;0)*-(calcReg1Seg2Payer3TotalShareChangeR2*(1-dataComp2Impact))</f>
        <v>0</v>
      </c>
      <c r="F3340" s="511">
        <f>(calcReg1Seg2Payer3TotalShareChangeR2&gt;0)*-(calcReg1Seg2Payer3TotalShareChangeR2*(1-dataComp2Impact))</f>
        <v>0</v>
      </c>
      <c r="G3340" s="511">
        <f>(calcReg1Seg2Payer3TotalShareChangeR2&gt;0)*-(calcReg1Seg2Payer3TotalShareChangeR2*(1-dataComp2Impact))</f>
        <v>0</v>
      </c>
      <c r="H3340" s="511">
        <f>(calcReg1Seg2Payer3TotalShareChangeR2&gt;0)*-(calcReg1Seg2Payer3TotalShareChangeR2*(1-dataComp2Impact))</f>
        <v>0</v>
      </c>
      <c r="I3340" s="511">
        <f>(calcReg1Seg2Payer3TotalShareChangeR2&gt;0)*-(calcReg1Seg2Payer3TotalShareChangeR2*(1-dataComp2Impact))</f>
        <v>0</v>
      </c>
      <c r="J3340" t="s">
        <v>3714</v>
      </c>
    </row>
    <row r="3342" spans="1:10">
      <c r="A3342" s="4" t="str">
        <f>nmReg1Seg3</f>
        <v>Harrenhal</v>
      </c>
      <c r="C3342" s="4" t="str">
        <f>nmPayer1</f>
        <v>Blue Sword/Blue Shield</v>
      </c>
      <c r="E3342" s="511">
        <f>calcReg1Seg3Payer1ShareTotalCustR1-obalReg1Seg3Payer1Share</f>
        <v>-5.5000000000000361E-5</v>
      </c>
      <c r="F3342" s="511">
        <f>calcReg1Seg3Payer1ShareTotalCustR1-obalReg1Seg3Payer1Share</f>
        <v>-5.5000000000000361E-5</v>
      </c>
      <c r="G3342" s="511">
        <f>calcReg1Seg3Payer1ShareTotalCustR1-obalReg1Seg3Payer1Share</f>
        <v>-5.5000000000000361E-5</v>
      </c>
      <c r="H3342" s="511">
        <f>calcReg1Seg3Payer1ShareTotalCustR1-obalReg1Seg3Payer1Share</f>
        <v>-5.5000000000000361E-5</v>
      </c>
      <c r="I3342" s="511">
        <f>calcReg1Seg3Payer1ShareTotalCustR1-obalReg1Seg3Payer1Share</f>
        <v>-5.5000000000000361E-5</v>
      </c>
      <c r="J3342" t="s">
        <v>3715</v>
      </c>
    </row>
    <row r="3343" spans="1:10">
      <c r="B3343" t="str">
        <f>nmComp1</f>
        <v>Vibrant</v>
      </c>
      <c r="C3343" t="s">
        <v>3563</v>
      </c>
      <c r="E3343" s="511">
        <f>(calcReg1Seg3Payer1TotalShareChangeR1&lt;0)*-(calcReg1Seg3Payer1TotalShareChangeR1*(dataComp1Impact))</f>
        <v>1.1000000000000073E-5</v>
      </c>
      <c r="F3343" s="511">
        <f>(calcReg1Seg3Payer1TotalShareChangeR1&lt;0)*-(calcReg1Seg3Payer1TotalShareChangeR1*(dataComp1Impact))</f>
        <v>1.1000000000000073E-5</v>
      </c>
      <c r="G3343" s="511">
        <f>(calcReg1Seg3Payer1TotalShareChangeR1&lt;0)*-(calcReg1Seg3Payer1TotalShareChangeR1*(dataComp1Impact))</f>
        <v>1.1000000000000073E-5</v>
      </c>
      <c r="H3343" s="511">
        <f>(calcReg1Seg3Payer1TotalShareChangeR1&lt;0)*-(calcReg1Seg3Payer1TotalShareChangeR1*(dataComp1Impact))</f>
        <v>1.1000000000000073E-5</v>
      </c>
      <c r="I3343" s="511">
        <f>(calcReg1Seg3Payer1TotalShareChangeR1&lt;0)*-(calcReg1Seg3Payer1TotalShareChangeR1*(dataComp1Impact))</f>
        <v>1.1000000000000073E-5</v>
      </c>
      <c r="J3343" t="s">
        <v>3716</v>
      </c>
    </row>
    <row r="3344" spans="1:10">
      <c r="C3344" t="s">
        <v>3564</v>
      </c>
      <c r="E3344" s="511">
        <f>(calcReg1Seg3Payer1TotalShareChangeR1&gt;0)*-(calcReg1Seg3Payer1TotalShareChangeR1*(1-dataComp1Impact))</f>
        <v>0</v>
      </c>
      <c r="F3344" s="511">
        <f>(calcReg1Seg3Payer1TotalShareChangeR1&gt;0)*-(calcReg1Seg3Payer1TotalShareChangeR1*(1-dataComp1Impact))</f>
        <v>0</v>
      </c>
      <c r="G3344" s="511">
        <f>(calcReg1Seg3Payer1TotalShareChangeR1&gt;0)*-(calcReg1Seg3Payer1TotalShareChangeR1*(1-dataComp1Impact))</f>
        <v>0</v>
      </c>
      <c r="H3344" s="511">
        <f>(calcReg1Seg3Payer1TotalShareChangeR1&gt;0)*-(calcReg1Seg3Payer1TotalShareChangeR1*(1-dataComp1Impact))</f>
        <v>0</v>
      </c>
      <c r="I3344" s="511">
        <f>(calcReg1Seg3Payer1TotalShareChangeR1&gt;0)*-(calcReg1Seg3Payer1TotalShareChangeR1*(1-dataComp1Impact))</f>
        <v>0</v>
      </c>
      <c r="J3344" t="s">
        <v>3717</v>
      </c>
    </row>
    <row r="3345" spans="1:10">
      <c r="B3345" t="str">
        <f>nmComp2</f>
        <v>Pristine</v>
      </c>
      <c r="C3345" t="s">
        <v>3563</v>
      </c>
      <c r="E3345" s="511">
        <f>(calcReg1Seg3Payer1TotalShareChangeR1&lt;0)*-(calcReg1Seg3Payer1TotalShareChangeR1*(dataComp2Impact))</f>
        <v>4.400000000000029E-5</v>
      </c>
      <c r="F3345" s="511">
        <f>(calcReg1Seg3Payer1TotalShareChangeR1&lt;0)*-(calcReg1Seg3Payer1TotalShareChangeR1*(dataComp2Impact))</f>
        <v>4.400000000000029E-5</v>
      </c>
      <c r="G3345" s="511">
        <f>(calcReg1Seg3Payer1TotalShareChangeR1&lt;0)*-(calcReg1Seg3Payer1TotalShareChangeR1*(dataComp2Impact))</f>
        <v>4.400000000000029E-5</v>
      </c>
      <c r="H3345" s="511">
        <f>(calcReg1Seg3Payer1TotalShareChangeR1&lt;0)*-(calcReg1Seg3Payer1TotalShareChangeR1*(dataComp2Impact))</f>
        <v>4.400000000000029E-5</v>
      </c>
      <c r="I3345" s="511">
        <f>(calcReg1Seg3Payer1TotalShareChangeR1&lt;0)*-(calcReg1Seg3Payer1TotalShareChangeR1*(dataComp2Impact))</f>
        <v>4.400000000000029E-5</v>
      </c>
      <c r="J3345" t="s">
        <v>3718</v>
      </c>
    </row>
    <row r="3346" spans="1:10">
      <c r="C3346" t="s">
        <v>3564</v>
      </c>
      <c r="E3346" s="511">
        <f>(calcReg1Seg3Payer1TotalShareChangeR1&gt;0)*-(calcReg1Seg3Payer1TotalShareChangeR1*(1-dataComp2Impact))</f>
        <v>0</v>
      </c>
      <c r="F3346" s="511">
        <f>(calcReg1Seg3Payer1TotalShareChangeR1&gt;0)*-(calcReg1Seg3Payer1TotalShareChangeR1*(1-dataComp2Impact))</f>
        <v>0</v>
      </c>
      <c r="G3346" s="511">
        <f>(calcReg1Seg3Payer1TotalShareChangeR1&gt;0)*-(calcReg1Seg3Payer1TotalShareChangeR1*(1-dataComp2Impact))</f>
        <v>0</v>
      </c>
      <c r="H3346" s="511">
        <f>(calcReg1Seg3Payer1TotalShareChangeR1&gt;0)*-(calcReg1Seg3Payer1TotalShareChangeR1*(1-dataComp2Impact))</f>
        <v>0</v>
      </c>
      <c r="I3346" s="511">
        <f>(calcReg1Seg3Payer1TotalShareChangeR1&gt;0)*-(calcReg1Seg3Payer1TotalShareChangeR1*(1-dataComp2Impact))</f>
        <v>0</v>
      </c>
      <c r="J3346" t="s">
        <v>3719</v>
      </c>
    </row>
    <row r="3348" spans="1:10">
      <c r="A3348" s="4"/>
      <c r="C3348" s="4" t="str">
        <f>nmPayer1</f>
        <v>Blue Sword/Blue Shield</v>
      </c>
      <c r="E3348" s="511">
        <f>calcReg1Seg3Payer1ShareTotalCustR2-calcReg1Seg3Payer1ShareTotalCustR1</f>
        <v>0</v>
      </c>
      <c r="F3348" s="511">
        <f>calcReg1Seg3Payer1ShareTotalCustR2-calcReg1Seg3Payer1ShareTotalCustR1</f>
        <v>0</v>
      </c>
      <c r="G3348" s="511">
        <f>calcReg1Seg3Payer1ShareTotalCustR2-calcReg1Seg3Payer1ShareTotalCustR1</f>
        <v>0</v>
      </c>
      <c r="H3348" s="511">
        <f>calcReg1Seg3Payer1ShareTotalCustR2-calcReg1Seg3Payer1ShareTotalCustR1</f>
        <v>0</v>
      </c>
      <c r="I3348" s="511">
        <f>calcReg1Seg3Payer1ShareTotalCustR2-calcReg1Seg3Payer1ShareTotalCustR1</f>
        <v>0</v>
      </c>
      <c r="J3348" t="s">
        <v>3720</v>
      </c>
    </row>
    <row r="3349" spans="1:10">
      <c r="B3349" t="str">
        <f>nmComp1</f>
        <v>Vibrant</v>
      </c>
      <c r="C3349" t="s">
        <v>3563</v>
      </c>
      <c r="E3349" s="511">
        <f>(calcReg1Seg3Payer1TotalShareChangeR2&lt;0)*-(calcReg1Seg3Payer1TotalShareChangeR2*(dataComp1Impact))</f>
        <v>0</v>
      </c>
      <c r="F3349" s="511">
        <f>(calcReg1Seg3Payer1TotalShareChangeR2&lt;0)*-(calcReg1Seg3Payer1TotalShareChangeR2*(dataComp1Impact))</f>
        <v>0</v>
      </c>
      <c r="G3349" s="511">
        <f>(calcReg1Seg3Payer1TotalShareChangeR2&lt;0)*-(calcReg1Seg3Payer1TotalShareChangeR2*(dataComp1Impact))</f>
        <v>0</v>
      </c>
      <c r="H3349" s="511">
        <f>(calcReg1Seg3Payer1TotalShareChangeR2&lt;0)*-(calcReg1Seg3Payer1TotalShareChangeR2*(dataComp1Impact))</f>
        <v>0</v>
      </c>
      <c r="I3349" s="511">
        <f>(calcReg1Seg3Payer1TotalShareChangeR2&lt;0)*-(calcReg1Seg3Payer1TotalShareChangeR2*(dataComp1Impact))</f>
        <v>0</v>
      </c>
      <c r="J3349" t="s">
        <v>3721</v>
      </c>
    </row>
    <row r="3350" spans="1:10">
      <c r="C3350" t="s">
        <v>3564</v>
      </c>
      <c r="E3350" s="511">
        <f>(calcReg1Seg3Payer1TotalShareChangeR2&gt;0)*-(calcReg1Seg3Payer1TotalShareChangeR2*(1-dataComp1Impact))</f>
        <v>0</v>
      </c>
      <c r="F3350" s="511">
        <f>(calcReg1Seg3Payer1TotalShareChangeR2&gt;0)*-(calcReg1Seg3Payer1TotalShareChangeR2*(1-dataComp1Impact))</f>
        <v>0</v>
      </c>
      <c r="G3350" s="511">
        <f>(calcReg1Seg3Payer1TotalShareChangeR2&gt;0)*-(calcReg1Seg3Payer1TotalShareChangeR2*(1-dataComp1Impact))</f>
        <v>0</v>
      </c>
      <c r="H3350" s="511">
        <f>(calcReg1Seg3Payer1TotalShareChangeR2&gt;0)*-(calcReg1Seg3Payer1TotalShareChangeR2*(1-dataComp1Impact))</f>
        <v>0</v>
      </c>
      <c r="I3350" s="511">
        <f>(calcReg1Seg3Payer1TotalShareChangeR2&gt;0)*-(calcReg1Seg3Payer1TotalShareChangeR2*(1-dataComp1Impact))</f>
        <v>0</v>
      </c>
      <c r="J3350" t="s">
        <v>3722</v>
      </c>
    </row>
    <row r="3351" spans="1:10">
      <c r="B3351" t="str">
        <f>nmComp2</f>
        <v>Pristine</v>
      </c>
      <c r="C3351" t="s">
        <v>3563</v>
      </c>
      <c r="E3351" s="511">
        <f>(calcReg1Seg3Payer1TotalShareChangeR2&lt;0)*-(calcReg1Seg3Payer1TotalShareChangeR2*(dataComp2Impact))</f>
        <v>0</v>
      </c>
      <c r="F3351" s="511">
        <f>(calcReg1Seg3Payer1TotalShareChangeR2&lt;0)*-(calcReg1Seg3Payer1TotalShareChangeR2*(dataComp2Impact))</f>
        <v>0</v>
      </c>
      <c r="G3351" s="511">
        <f>(calcReg1Seg3Payer1TotalShareChangeR2&lt;0)*-(calcReg1Seg3Payer1TotalShareChangeR2*(dataComp2Impact))</f>
        <v>0</v>
      </c>
      <c r="H3351" s="511">
        <f>(calcReg1Seg3Payer1TotalShareChangeR2&lt;0)*-(calcReg1Seg3Payer1TotalShareChangeR2*(dataComp2Impact))</f>
        <v>0</v>
      </c>
      <c r="I3351" s="511">
        <f>(calcReg1Seg3Payer1TotalShareChangeR2&lt;0)*-(calcReg1Seg3Payer1TotalShareChangeR2*(dataComp2Impact))</f>
        <v>0</v>
      </c>
      <c r="J3351" t="s">
        <v>3723</v>
      </c>
    </row>
    <row r="3352" spans="1:10">
      <c r="C3352" t="s">
        <v>3564</v>
      </c>
      <c r="E3352" s="511">
        <f>(calcReg1Seg3Payer1TotalShareChangeR2&gt;0)*-(calcReg1Seg3Payer1TotalShareChangeR2*(1-dataComp2Impact))</f>
        <v>0</v>
      </c>
      <c r="F3352" s="511">
        <f>(calcReg1Seg3Payer1TotalShareChangeR2&gt;0)*-(calcReg1Seg3Payer1TotalShareChangeR2*(1-dataComp2Impact))</f>
        <v>0</v>
      </c>
      <c r="G3352" s="511">
        <f>(calcReg1Seg3Payer1TotalShareChangeR2&gt;0)*-(calcReg1Seg3Payer1TotalShareChangeR2*(1-dataComp2Impact))</f>
        <v>0</v>
      </c>
      <c r="H3352" s="511">
        <f>(calcReg1Seg3Payer1TotalShareChangeR2&gt;0)*-(calcReg1Seg3Payer1TotalShareChangeR2*(1-dataComp2Impact))</f>
        <v>0</v>
      </c>
      <c r="I3352" s="511">
        <f>(calcReg1Seg3Payer1TotalShareChangeR2&gt;0)*-(calcReg1Seg3Payer1TotalShareChangeR2*(1-dataComp2Impact))</f>
        <v>0</v>
      </c>
      <c r="J3352" t="s">
        <v>3724</v>
      </c>
    </row>
    <row r="3354" spans="1:10">
      <c r="A3354" s="4"/>
      <c r="C3354" s="4" t="str">
        <f>nmPayer2</f>
        <v>WesterAid</v>
      </c>
      <c r="E3354" s="511">
        <f>calcReg1Seg3Payer2ShareTotalCustR1-obalReg1Seg3Payer2Share</f>
        <v>0</v>
      </c>
      <c r="F3354" s="511">
        <f>calcReg1Seg3Payer2ShareTotalCustR1-obalReg1Seg3Payer2Share</f>
        <v>0</v>
      </c>
      <c r="G3354" s="511">
        <f>calcReg1Seg3Payer2ShareTotalCustR1-obalReg1Seg3Payer2Share</f>
        <v>0</v>
      </c>
      <c r="H3354" s="511">
        <f>calcReg1Seg3Payer2ShareTotalCustR1-obalReg1Seg3Payer2Share</f>
        <v>0</v>
      </c>
      <c r="I3354" s="511">
        <f>calcReg1Seg3Payer2ShareTotalCustR1-obalReg1Seg3Payer2Share</f>
        <v>0</v>
      </c>
      <c r="J3354" t="s">
        <v>3725</v>
      </c>
    </row>
    <row r="3355" spans="1:10">
      <c r="B3355" t="str">
        <f>nmComp1</f>
        <v>Vibrant</v>
      </c>
      <c r="C3355" t="s">
        <v>3563</v>
      </c>
      <c r="E3355" s="511">
        <f>(calcReg1Seg3Payer2TotalShareChangeR1&lt;0)*-(calcReg1Seg3Payer2TotalShareChangeR1*(dataComp1Impact))</f>
        <v>0</v>
      </c>
      <c r="F3355" s="511">
        <f>(calcReg1Seg3Payer2TotalShareChangeR1&lt;0)*-(calcReg1Seg3Payer2TotalShareChangeR1*(dataComp1Impact))</f>
        <v>0</v>
      </c>
      <c r="G3355" s="511">
        <f>(calcReg1Seg3Payer2TotalShareChangeR1&lt;0)*-(calcReg1Seg3Payer2TotalShareChangeR1*(dataComp1Impact))</f>
        <v>0</v>
      </c>
      <c r="H3355" s="511">
        <f>(calcReg1Seg3Payer2TotalShareChangeR1&lt;0)*-(calcReg1Seg3Payer2TotalShareChangeR1*(dataComp1Impact))</f>
        <v>0</v>
      </c>
      <c r="I3355" s="511">
        <f>(calcReg1Seg3Payer2TotalShareChangeR1&lt;0)*-(calcReg1Seg3Payer2TotalShareChangeR1*(dataComp1Impact))</f>
        <v>0</v>
      </c>
      <c r="J3355" t="s">
        <v>3726</v>
      </c>
    </row>
    <row r="3356" spans="1:10">
      <c r="C3356" t="s">
        <v>3564</v>
      </c>
      <c r="E3356" s="511">
        <f>(calcReg1Seg3Payer2TotalShareChangeR1&gt;0)*-(calcReg1Seg3Payer2TotalShareChangeR1*(1-dataComp1Impact))</f>
        <v>0</v>
      </c>
      <c r="F3356" s="511">
        <f>(calcReg1Seg3Payer2TotalShareChangeR1&gt;0)*-(calcReg1Seg3Payer2TotalShareChangeR1*(1-dataComp1Impact))</f>
        <v>0</v>
      </c>
      <c r="G3356" s="511">
        <f>(calcReg1Seg3Payer2TotalShareChangeR1&gt;0)*-(calcReg1Seg3Payer2TotalShareChangeR1*(1-dataComp1Impact))</f>
        <v>0</v>
      </c>
      <c r="H3356" s="511">
        <f>(calcReg1Seg3Payer2TotalShareChangeR1&gt;0)*-(calcReg1Seg3Payer2TotalShareChangeR1*(1-dataComp1Impact))</f>
        <v>0</v>
      </c>
      <c r="I3356" s="511">
        <f>(calcReg1Seg3Payer2TotalShareChangeR1&gt;0)*-(calcReg1Seg3Payer2TotalShareChangeR1*(1-dataComp1Impact))</f>
        <v>0</v>
      </c>
      <c r="J3356" t="s">
        <v>3727</v>
      </c>
    </row>
    <row r="3357" spans="1:10">
      <c r="B3357" t="str">
        <f>nmComp2</f>
        <v>Pristine</v>
      </c>
      <c r="C3357" t="s">
        <v>3563</v>
      </c>
      <c r="E3357" s="511">
        <f>(calcReg1Seg3Payer2TotalShareChangeR1&lt;0)*-(calcReg1Seg3Payer2TotalShareChangeR1*(dataComp2Impact))</f>
        <v>0</v>
      </c>
      <c r="F3357" s="511">
        <f>(calcReg1Seg3Payer2TotalShareChangeR1&lt;0)*-(calcReg1Seg3Payer2TotalShareChangeR1*(dataComp2Impact))</f>
        <v>0</v>
      </c>
      <c r="G3357" s="511">
        <f>(calcReg1Seg3Payer2TotalShareChangeR1&lt;0)*-(calcReg1Seg3Payer2TotalShareChangeR1*(dataComp2Impact))</f>
        <v>0</v>
      </c>
      <c r="H3357" s="511">
        <f>(calcReg1Seg3Payer2TotalShareChangeR1&lt;0)*-(calcReg1Seg3Payer2TotalShareChangeR1*(dataComp2Impact))</f>
        <v>0</v>
      </c>
      <c r="I3357" s="511">
        <f>(calcReg1Seg3Payer2TotalShareChangeR1&lt;0)*-(calcReg1Seg3Payer2TotalShareChangeR1*(dataComp2Impact))</f>
        <v>0</v>
      </c>
      <c r="J3357" t="s">
        <v>3728</v>
      </c>
    </row>
    <row r="3358" spans="1:10">
      <c r="C3358" t="s">
        <v>3564</v>
      </c>
      <c r="E3358" s="511">
        <f>(calcReg1Seg3Payer2TotalShareChangeR1&gt;0)*-(calcReg1Seg3Payer2TotalShareChangeR1*(1-dataComp2Impact))</f>
        <v>0</v>
      </c>
      <c r="F3358" s="511">
        <f>(calcReg1Seg3Payer2TotalShareChangeR1&gt;0)*-(calcReg1Seg3Payer2TotalShareChangeR1*(1-dataComp2Impact))</f>
        <v>0</v>
      </c>
      <c r="G3358" s="511">
        <f>(calcReg1Seg3Payer2TotalShareChangeR1&gt;0)*-(calcReg1Seg3Payer2TotalShareChangeR1*(1-dataComp2Impact))</f>
        <v>0</v>
      </c>
      <c r="H3358" s="511">
        <f>(calcReg1Seg3Payer2TotalShareChangeR1&gt;0)*-(calcReg1Seg3Payer2TotalShareChangeR1*(1-dataComp2Impact))</f>
        <v>0</v>
      </c>
      <c r="I3358" s="511">
        <f>(calcReg1Seg3Payer2TotalShareChangeR1&gt;0)*-(calcReg1Seg3Payer2TotalShareChangeR1*(1-dataComp2Impact))</f>
        <v>0</v>
      </c>
      <c r="J3358" t="s">
        <v>3729</v>
      </c>
    </row>
    <row r="3360" spans="1:10">
      <c r="A3360" s="4"/>
      <c r="C3360" s="4" t="str">
        <f>nmPayer2</f>
        <v>WesterAid</v>
      </c>
      <c r="E3360" s="511">
        <f>calcReg1Seg3Payer2ShareTotalCustR2-calcReg1Seg3Payer2ShareTotalCustR1</f>
        <v>0</v>
      </c>
      <c r="F3360" s="511">
        <f>calcReg1Seg3Payer2ShareTotalCustR2-calcReg1Seg3Payer2ShareTotalCustR1</f>
        <v>0</v>
      </c>
      <c r="G3360" s="511">
        <f>calcReg1Seg3Payer2ShareTotalCustR2-calcReg1Seg3Payer2ShareTotalCustR1</f>
        <v>0</v>
      </c>
      <c r="H3360" s="511">
        <f>calcReg1Seg3Payer2ShareTotalCustR2-calcReg1Seg3Payer2ShareTotalCustR1</f>
        <v>0</v>
      </c>
      <c r="I3360" s="511">
        <f>calcReg1Seg3Payer2ShareTotalCustR2-calcReg1Seg3Payer2ShareTotalCustR1</f>
        <v>0</v>
      </c>
      <c r="J3360" t="s">
        <v>3730</v>
      </c>
    </row>
    <row r="3361" spans="1:10">
      <c r="B3361" t="str">
        <f>nmComp1</f>
        <v>Vibrant</v>
      </c>
      <c r="C3361" t="s">
        <v>3563</v>
      </c>
      <c r="E3361" s="511">
        <f>(calcReg1Seg3Payer2TotalShareChangeR2&lt;0)*-(calcReg1Seg3Payer2TotalShareChangeR2*(dataComp1Impact))</f>
        <v>0</v>
      </c>
      <c r="F3361" s="511">
        <f>(calcReg1Seg3Payer2TotalShareChangeR2&lt;0)*-(calcReg1Seg3Payer2TotalShareChangeR2*(dataComp1Impact))</f>
        <v>0</v>
      </c>
      <c r="G3361" s="511">
        <f>(calcReg1Seg3Payer2TotalShareChangeR2&lt;0)*-(calcReg1Seg3Payer2TotalShareChangeR2*(dataComp1Impact))</f>
        <v>0</v>
      </c>
      <c r="H3361" s="511">
        <f>(calcReg1Seg3Payer2TotalShareChangeR2&lt;0)*-(calcReg1Seg3Payer2TotalShareChangeR2*(dataComp1Impact))</f>
        <v>0</v>
      </c>
      <c r="I3361" s="511">
        <f>(calcReg1Seg3Payer2TotalShareChangeR2&lt;0)*-(calcReg1Seg3Payer2TotalShareChangeR2*(dataComp1Impact))</f>
        <v>0</v>
      </c>
      <c r="J3361" t="s">
        <v>3731</v>
      </c>
    </row>
    <row r="3362" spans="1:10">
      <c r="C3362" t="s">
        <v>3564</v>
      </c>
      <c r="E3362" s="511">
        <f>(calcReg1Seg3Payer2TotalShareChangeR2&gt;0)*-(calcReg1Seg3Payer2TotalShareChangeR2*(1-dataComp1Impact))</f>
        <v>0</v>
      </c>
      <c r="F3362" s="511">
        <f>(calcReg1Seg3Payer2TotalShareChangeR2&gt;0)*-(calcReg1Seg3Payer2TotalShareChangeR2*(1-dataComp1Impact))</f>
        <v>0</v>
      </c>
      <c r="G3362" s="511">
        <f>(calcReg1Seg3Payer2TotalShareChangeR2&gt;0)*-(calcReg1Seg3Payer2TotalShareChangeR2*(1-dataComp1Impact))</f>
        <v>0</v>
      </c>
      <c r="H3362" s="511">
        <f>(calcReg1Seg3Payer2TotalShareChangeR2&gt;0)*-(calcReg1Seg3Payer2TotalShareChangeR2*(1-dataComp1Impact))</f>
        <v>0</v>
      </c>
      <c r="I3362" s="511">
        <f>(calcReg1Seg3Payer2TotalShareChangeR2&gt;0)*-(calcReg1Seg3Payer2TotalShareChangeR2*(1-dataComp1Impact))</f>
        <v>0</v>
      </c>
      <c r="J3362" t="s">
        <v>3732</v>
      </c>
    </row>
    <row r="3363" spans="1:10">
      <c r="B3363" t="str">
        <f>nmComp2</f>
        <v>Pristine</v>
      </c>
      <c r="C3363" t="s">
        <v>3563</v>
      </c>
      <c r="E3363" s="511">
        <f>(calcReg1Seg3Payer2TotalShareChangeR2&lt;0)*-(calcReg1Seg3Payer2TotalShareChangeR2*(dataComp2Impact))</f>
        <v>0</v>
      </c>
      <c r="F3363" s="511">
        <f>(calcReg1Seg3Payer2TotalShareChangeR2&lt;0)*-(calcReg1Seg3Payer2TotalShareChangeR2*(dataComp2Impact))</f>
        <v>0</v>
      </c>
      <c r="G3363" s="511">
        <f>(calcReg1Seg3Payer2TotalShareChangeR2&lt;0)*-(calcReg1Seg3Payer2TotalShareChangeR2*(dataComp2Impact))</f>
        <v>0</v>
      </c>
      <c r="H3363" s="511">
        <f>(calcReg1Seg3Payer2TotalShareChangeR2&lt;0)*-(calcReg1Seg3Payer2TotalShareChangeR2*(dataComp2Impact))</f>
        <v>0</v>
      </c>
      <c r="I3363" s="511">
        <f>(calcReg1Seg3Payer2TotalShareChangeR2&lt;0)*-(calcReg1Seg3Payer2TotalShareChangeR2*(dataComp2Impact))</f>
        <v>0</v>
      </c>
      <c r="J3363" t="s">
        <v>3733</v>
      </c>
    </row>
    <row r="3364" spans="1:10">
      <c r="C3364" t="s">
        <v>3564</v>
      </c>
      <c r="E3364" s="511">
        <f>(calcReg1Seg3Payer2TotalShareChangeR2&gt;0)*-(calcReg1Seg3Payer2TotalShareChangeR2*(1-dataComp2Impact))</f>
        <v>0</v>
      </c>
      <c r="F3364" s="511">
        <f>(calcReg1Seg3Payer2TotalShareChangeR2&gt;0)*-(calcReg1Seg3Payer2TotalShareChangeR2*(1-dataComp2Impact))</f>
        <v>0</v>
      </c>
      <c r="G3364" s="511">
        <f>(calcReg1Seg3Payer2TotalShareChangeR2&gt;0)*-(calcReg1Seg3Payer2TotalShareChangeR2*(1-dataComp2Impact))</f>
        <v>0</v>
      </c>
      <c r="H3364" s="511">
        <f>(calcReg1Seg3Payer2TotalShareChangeR2&gt;0)*-(calcReg1Seg3Payer2TotalShareChangeR2*(1-dataComp2Impact))</f>
        <v>0</v>
      </c>
      <c r="I3364" s="511">
        <f>(calcReg1Seg3Payer2TotalShareChangeR2&gt;0)*-(calcReg1Seg3Payer2TotalShareChangeR2*(1-dataComp2Impact))</f>
        <v>0</v>
      </c>
      <c r="J3364" t="s">
        <v>3734</v>
      </c>
    </row>
    <row r="3366" spans="1:10">
      <c r="A3366" s="4"/>
      <c r="C3366" s="4" t="str">
        <f>nmPayer3</f>
        <v>Dragon Health</v>
      </c>
      <c r="E3366" s="511">
        <f>calcReg1Seg3Payer3ShareTotalCustR1-obalReg1Seg3Payer3Share</f>
        <v>-4.4999999999999901E-5</v>
      </c>
      <c r="F3366" s="511">
        <f>calcReg1Seg3Payer3ShareTotalCustR1-obalReg1Seg3Payer3Share</f>
        <v>-4.4999999999999901E-5</v>
      </c>
      <c r="G3366" s="511">
        <f>calcReg1Seg3Payer3ShareTotalCustR1-obalReg1Seg3Payer3Share</f>
        <v>-4.4999999999999901E-5</v>
      </c>
      <c r="H3366" s="511">
        <f>calcReg1Seg3Payer3ShareTotalCustR1-obalReg1Seg3Payer3Share</f>
        <v>-4.4999999999999901E-5</v>
      </c>
      <c r="I3366" s="511">
        <f>calcReg1Seg3Payer3ShareTotalCustR1-obalReg1Seg3Payer3Share</f>
        <v>-4.4999999999999901E-5</v>
      </c>
      <c r="J3366" t="s">
        <v>3735</v>
      </c>
    </row>
    <row r="3367" spans="1:10">
      <c r="B3367" t="str">
        <f>nmComp1</f>
        <v>Vibrant</v>
      </c>
      <c r="C3367" t="s">
        <v>3563</v>
      </c>
      <c r="E3367" s="511">
        <f>(calcReg1Seg3Payer3TotalShareChangeR1&lt;0)*-(calcReg1Seg3Payer3TotalShareChangeR1*(dataComp1Impact))</f>
        <v>8.9999999999999799E-6</v>
      </c>
      <c r="F3367" s="511">
        <f>(calcReg1Seg3Payer3TotalShareChangeR1&lt;0)*-(calcReg1Seg3Payer3TotalShareChangeR1*(dataComp1Impact))</f>
        <v>8.9999999999999799E-6</v>
      </c>
      <c r="G3367" s="511">
        <f>(calcReg1Seg3Payer3TotalShareChangeR1&lt;0)*-(calcReg1Seg3Payer3TotalShareChangeR1*(dataComp1Impact))</f>
        <v>8.9999999999999799E-6</v>
      </c>
      <c r="H3367" s="511">
        <f>(calcReg1Seg3Payer3TotalShareChangeR1&lt;0)*-(calcReg1Seg3Payer3TotalShareChangeR1*(dataComp1Impact))</f>
        <v>8.9999999999999799E-6</v>
      </c>
      <c r="I3367" s="511">
        <f>(calcReg1Seg3Payer3TotalShareChangeR1&lt;0)*-(calcReg1Seg3Payer3TotalShareChangeR1*(dataComp1Impact))</f>
        <v>8.9999999999999799E-6</v>
      </c>
      <c r="J3367" t="s">
        <v>3736</v>
      </c>
    </row>
    <row r="3368" spans="1:10">
      <c r="C3368" t="s">
        <v>3564</v>
      </c>
      <c r="E3368" s="511">
        <f>(calcReg1Seg3Payer3TotalShareChangeR1&gt;0)*-(calcReg1Seg3Payer3TotalShareChangeR1*(1-dataComp1Impact))</f>
        <v>0</v>
      </c>
      <c r="F3368" s="511">
        <f>(calcReg1Seg3Payer3TotalShareChangeR1&gt;0)*-(calcReg1Seg3Payer3TotalShareChangeR1*(1-dataComp1Impact))</f>
        <v>0</v>
      </c>
      <c r="G3368" s="511">
        <f>(calcReg1Seg3Payer3TotalShareChangeR1&gt;0)*-(calcReg1Seg3Payer3TotalShareChangeR1*(1-dataComp1Impact))</f>
        <v>0</v>
      </c>
      <c r="H3368" s="511">
        <f>(calcReg1Seg3Payer3TotalShareChangeR1&gt;0)*-(calcReg1Seg3Payer3TotalShareChangeR1*(1-dataComp1Impact))</f>
        <v>0</v>
      </c>
      <c r="I3368" s="511">
        <f>(calcReg1Seg3Payer3TotalShareChangeR1&gt;0)*-(calcReg1Seg3Payer3TotalShareChangeR1*(1-dataComp1Impact))</f>
        <v>0</v>
      </c>
      <c r="J3368" t="s">
        <v>3737</v>
      </c>
    </row>
    <row r="3369" spans="1:10">
      <c r="B3369" t="str">
        <f>nmComp2</f>
        <v>Pristine</v>
      </c>
      <c r="C3369" t="s">
        <v>3563</v>
      </c>
      <c r="E3369" s="511">
        <f>(calcReg1Seg3Payer3TotalShareChangeR1&lt;0)*-(calcReg1Seg3Payer3TotalShareChangeR1*(dataComp2Impact))</f>
        <v>3.599999999999992E-5</v>
      </c>
      <c r="F3369" s="511">
        <f>(calcReg1Seg3Payer3TotalShareChangeR1&lt;0)*-(calcReg1Seg3Payer3TotalShareChangeR1*(dataComp2Impact))</f>
        <v>3.599999999999992E-5</v>
      </c>
      <c r="G3369" s="511">
        <f>(calcReg1Seg3Payer3TotalShareChangeR1&lt;0)*-(calcReg1Seg3Payer3TotalShareChangeR1*(dataComp2Impact))</f>
        <v>3.599999999999992E-5</v>
      </c>
      <c r="H3369" s="511">
        <f>(calcReg1Seg3Payer3TotalShareChangeR1&lt;0)*-(calcReg1Seg3Payer3TotalShareChangeR1*(dataComp2Impact))</f>
        <v>3.599999999999992E-5</v>
      </c>
      <c r="I3369" s="511">
        <f>(calcReg1Seg3Payer3TotalShareChangeR1&lt;0)*-(calcReg1Seg3Payer3TotalShareChangeR1*(dataComp2Impact))</f>
        <v>3.599999999999992E-5</v>
      </c>
      <c r="J3369" t="s">
        <v>3738</v>
      </c>
    </row>
    <row r="3370" spans="1:10">
      <c r="C3370" t="s">
        <v>3564</v>
      </c>
      <c r="E3370" s="511">
        <f>(calcReg1Seg3Payer3TotalShareChangeR1&gt;0)*-(calcReg1Seg3Payer3TotalShareChangeR1*(1-dataComp2Impact))</f>
        <v>0</v>
      </c>
      <c r="F3370" s="511">
        <f>(calcReg1Seg3Payer3TotalShareChangeR1&gt;0)*-(calcReg1Seg3Payer3TotalShareChangeR1*(1-dataComp2Impact))</f>
        <v>0</v>
      </c>
      <c r="G3370" s="511">
        <f>(calcReg1Seg3Payer3TotalShareChangeR1&gt;0)*-(calcReg1Seg3Payer3TotalShareChangeR1*(1-dataComp2Impact))</f>
        <v>0</v>
      </c>
      <c r="H3370" s="511">
        <f>(calcReg1Seg3Payer3TotalShareChangeR1&gt;0)*-(calcReg1Seg3Payer3TotalShareChangeR1*(1-dataComp2Impact))</f>
        <v>0</v>
      </c>
      <c r="I3370" s="511">
        <f>(calcReg1Seg3Payer3TotalShareChangeR1&gt;0)*-(calcReg1Seg3Payer3TotalShareChangeR1*(1-dataComp2Impact))</f>
        <v>0</v>
      </c>
      <c r="J3370" t="s">
        <v>3739</v>
      </c>
    </row>
    <row r="3372" spans="1:10">
      <c r="A3372" s="4"/>
      <c r="C3372" s="4" t="str">
        <f>nmPayer3</f>
        <v>Dragon Health</v>
      </c>
      <c r="E3372" s="511">
        <f>calcReg1Seg3Payer3ShareTotalCustR2-calcReg1Seg3Payer3ShareTotalCustR1</f>
        <v>0</v>
      </c>
      <c r="F3372" s="511">
        <f>calcReg1Seg3Payer3ShareTotalCustR2-calcReg1Seg3Payer3ShareTotalCustR1</f>
        <v>0</v>
      </c>
      <c r="G3372" s="511">
        <f>calcReg1Seg3Payer3ShareTotalCustR2-calcReg1Seg3Payer3ShareTotalCustR1</f>
        <v>0</v>
      </c>
      <c r="H3372" s="511">
        <f>calcReg1Seg3Payer3ShareTotalCustR2-calcReg1Seg3Payer3ShareTotalCustR1</f>
        <v>0</v>
      </c>
      <c r="I3372" s="511">
        <f>calcReg1Seg3Payer3ShareTotalCustR2-calcReg1Seg3Payer3ShareTotalCustR1</f>
        <v>0</v>
      </c>
      <c r="J3372" t="s">
        <v>3740</v>
      </c>
    </row>
    <row r="3373" spans="1:10">
      <c r="B3373" t="str">
        <f>nmComp1</f>
        <v>Vibrant</v>
      </c>
      <c r="C3373" t="s">
        <v>3563</v>
      </c>
      <c r="E3373" s="511">
        <f>(calcReg1Seg3Payer3TotalShareChangeR2&lt;0)*-(calcReg1Seg3Payer3TotalShareChangeR2*(dataComp1Impact))</f>
        <v>0</v>
      </c>
      <c r="F3373" s="511">
        <f>(calcReg1Seg3Payer3TotalShareChangeR2&lt;0)*-(calcReg1Seg3Payer3TotalShareChangeR2*(dataComp1Impact))</f>
        <v>0</v>
      </c>
      <c r="G3373" s="511">
        <f>(calcReg1Seg3Payer3TotalShareChangeR2&lt;0)*-(calcReg1Seg3Payer3TotalShareChangeR2*(dataComp1Impact))</f>
        <v>0</v>
      </c>
      <c r="H3373" s="511">
        <f>(calcReg1Seg3Payer3TotalShareChangeR2&lt;0)*-(calcReg1Seg3Payer3TotalShareChangeR2*(dataComp1Impact))</f>
        <v>0</v>
      </c>
      <c r="I3373" s="511">
        <f>(calcReg1Seg3Payer3TotalShareChangeR2&lt;0)*-(calcReg1Seg3Payer3TotalShareChangeR2*(dataComp1Impact))</f>
        <v>0</v>
      </c>
      <c r="J3373" t="s">
        <v>3741</v>
      </c>
    </row>
    <row r="3374" spans="1:10">
      <c r="C3374" t="s">
        <v>3564</v>
      </c>
      <c r="E3374" s="511">
        <f>(calcReg1Seg3Payer3TotalShareChangeR2&gt;0)*-(calcReg1Seg3Payer3TotalShareChangeR2*(1-dataComp1Impact))</f>
        <v>0</v>
      </c>
      <c r="F3374" s="511">
        <f>(calcReg1Seg3Payer3TotalShareChangeR2&gt;0)*-(calcReg1Seg3Payer3TotalShareChangeR2*(1-dataComp1Impact))</f>
        <v>0</v>
      </c>
      <c r="G3374" s="511">
        <f>(calcReg1Seg3Payer3TotalShareChangeR2&gt;0)*-(calcReg1Seg3Payer3TotalShareChangeR2*(1-dataComp1Impact))</f>
        <v>0</v>
      </c>
      <c r="H3374" s="511">
        <f>(calcReg1Seg3Payer3TotalShareChangeR2&gt;0)*-(calcReg1Seg3Payer3TotalShareChangeR2*(1-dataComp1Impact))</f>
        <v>0</v>
      </c>
      <c r="I3374" s="511">
        <f>(calcReg1Seg3Payer3TotalShareChangeR2&gt;0)*-(calcReg1Seg3Payer3TotalShareChangeR2*(1-dataComp1Impact))</f>
        <v>0</v>
      </c>
      <c r="J3374" t="s">
        <v>3742</v>
      </c>
    </row>
    <row r="3375" spans="1:10">
      <c r="B3375" t="str">
        <f>nmComp2</f>
        <v>Pristine</v>
      </c>
      <c r="C3375" t="s">
        <v>3563</v>
      </c>
      <c r="E3375" s="511">
        <f>(calcReg1Seg3Payer3TotalShareChangeR2&lt;0)*-(calcReg1Seg3Payer3TotalShareChangeR2*(dataComp2Impact))</f>
        <v>0</v>
      </c>
      <c r="F3375" s="511">
        <f>(calcReg1Seg3Payer3TotalShareChangeR2&lt;0)*-(calcReg1Seg3Payer3TotalShareChangeR2*(dataComp2Impact))</f>
        <v>0</v>
      </c>
      <c r="G3375" s="511">
        <f>(calcReg1Seg3Payer3TotalShareChangeR2&lt;0)*-(calcReg1Seg3Payer3TotalShareChangeR2*(dataComp2Impact))</f>
        <v>0</v>
      </c>
      <c r="H3375" s="511">
        <f>(calcReg1Seg3Payer3TotalShareChangeR2&lt;0)*-(calcReg1Seg3Payer3TotalShareChangeR2*(dataComp2Impact))</f>
        <v>0</v>
      </c>
      <c r="I3375" s="511">
        <f>(calcReg1Seg3Payer3TotalShareChangeR2&lt;0)*-(calcReg1Seg3Payer3TotalShareChangeR2*(dataComp2Impact))</f>
        <v>0</v>
      </c>
      <c r="J3375" t="s">
        <v>3743</v>
      </c>
    </row>
    <row r="3376" spans="1:10">
      <c r="C3376" t="s">
        <v>3564</v>
      </c>
      <c r="E3376" s="511">
        <f>(calcReg1Seg3Payer3TotalShareChangeR2&gt;0)*-(calcReg1Seg3Payer3TotalShareChangeR2*(1-dataComp2Impact))</f>
        <v>0</v>
      </c>
      <c r="F3376" s="511">
        <f>(calcReg1Seg3Payer3TotalShareChangeR2&gt;0)*-(calcReg1Seg3Payer3TotalShareChangeR2*(1-dataComp2Impact))</f>
        <v>0</v>
      </c>
      <c r="G3376" s="511">
        <f>(calcReg1Seg3Payer3TotalShareChangeR2&gt;0)*-(calcReg1Seg3Payer3TotalShareChangeR2*(1-dataComp2Impact))</f>
        <v>0</v>
      </c>
      <c r="H3376" s="511">
        <f>(calcReg1Seg3Payer3TotalShareChangeR2&gt;0)*-(calcReg1Seg3Payer3TotalShareChangeR2*(1-dataComp2Impact))</f>
        <v>0</v>
      </c>
      <c r="I3376" s="511">
        <f>(calcReg1Seg3Payer3TotalShareChangeR2&gt;0)*-(calcReg1Seg3Payer3TotalShareChangeR2*(1-dataComp2Impact))</f>
        <v>0</v>
      </c>
      <c r="J3376" t="s">
        <v>3744</v>
      </c>
    </row>
  </sheetData>
  <hyperlinks>
    <hyperlink ref="A1767" r:id="rId1" display="R@"/>
    <hyperlink ref="A1778" r:id="rId2" display="R@"/>
    <hyperlink ref="A1789" r:id="rId3" display="R@"/>
    <hyperlink ref="A814" r:id="rId4" display="R@"/>
    <hyperlink ref="A825" r:id="rId5" display="R@"/>
    <hyperlink ref="A836" r:id="rId6" display="R@"/>
    <hyperlink ref="A860" r:id="rId7" display="R@"/>
    <hyperlink ref="A871" r:id="rId8" display="R@"/>
    <hyperlink ref="A882" r:id="rId9" display="R@"/>
    <hyperlink ref="A1619" r:id="rId10" display="R@"/>
    <hyperlink ref="A1630" r:id="rId11" display="R@"/>
    <hyperlink ref="A1641" r:id="rId12" display="R@"/>
  </hyperlinks>
  <pageMargins left="0.7" right="0.7" top="0.75" bottom="0.75" header="0.3" footer="0.3"/>
  <pageSetup orientation="portrait" r:id="rId1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L432"/>
  <sheetViews>
    <sheetView topLeftCell="A307" workbookViewId="0">
      <selection activeCell="E316" sqref="E316"/>
    </sheetView>
  </sheetViews>
  <sheetFormatPr defaultRowHeight="14.25"/>
  <cols>
    <col min="1" max="1" width="8" customWidth="1"/>
    <col min="9" max="9" width="9.09765625" bestFit="1" customWidth="1"/>
    <col min="10" max="10" width="18.69921875" customWidth="1"/>
    <col min="12" max="12" width="8.69921875" style="138"/>
  </cols>
  <sheetData>
    <row r="1" spans="1:12" s="1" customFormat="1">
      <c r="A1" s="111" t="s">
        <v>199</v>
      </c>
      <c r="G1" s="110"/>
      <c r="H1" s="109"/>
      <c r="L1" s="542"/>
    </row>
    <row r="2" spans="1:12" s="133" customFormat="1" ht="12.75" customHeight="1">
      <c r="C2" s="137"/>
      <c r="F2" s="137"/>
      <c r="G2" s="97"/>
      <c r="L2" s="135"/>
    </row>
    <row r="3" spans="1:12" s="133" customFormat="1" ht="12.75">
      <c r="B3" s="133" t="s">
        <v>138</v>
      </c>
      <c r="D3" s="136" t="s">
        <v>122</v>
      </c>
      <c r="F3" s="135"/>
      <c r="G3" s="134"/>
      <c r="L3" s="135"/>
    </row>
    <row r="4" spans="1:12" s="6" customFormat="1" ht="12" customHeight="1">
      <c r="B4" s="98"/>
      <c r="G4" s="97"/>
      <c r="L4" s="543"/>
    </row>
    <row r="5" spans="1:12" s="2" customFormat="1">
      <c r="C5" s="3"/>
      <c r="D5" s="3"/>
      <c r="E5" s="3"/>
      <c r="F5" s="3"/>
      <c r="L5" s="542"/>
    </row>
    <row r="6" spans="1:12" s="124" customFormat="1" ht="12.75">
      <c r="G6" s="97"/>
      <c r="L6" s="544"/>
    </row>
    <row r="7" spans="1:12" s="124" customFormat="1" ht="12.75">
      <c r="B7" s="132" t="s">
        <v>136</v>
      </c>
      <c r="L7" s="544"/>
    </row>
    <row r="8" spans="1:12" s="124" customFormat="1" ht="12.75">
      <c r="B8" s="131"/>
      <c r="C8" s="126" t="s">
        <v>109</v>
      </c>
      <c r="G8" s="130" t="s">
        <v>135</v>
      </c>
      <c r="L8" s="544"/>
    </row>
    <row r="9" spans="1:12" s="124" customFormat="1" ht="12.75">
      <c r="B9" s="129"/>
      <c r="C9" s="126" t="s">
        <v>106</v>
      </c>
      <c r="G9" s="128"/>
      <c r="L9" s="544"/>
    </row>
    <row r="10" spans="1:12" s="124" customFormat="1" ht="12.75">
      <c r="B10" s="127"/>
      <c r="C10" s="126" t="s">
        <v>174</v>
      </c>
      <c r="E10" s="125"/>
      <c r="G10" s="97"/>
      <c r="L10" s="544"/>
    </row>
    <row r="11" spans="1:12" s="6" customFormat="1">
      <c r="L11" s="543"/>
    </row>
    <row r="12" spans="1:12" s="1" customFormat="1">
      <c r="A12" s="1" t="s">
        <v>198</v>
      </c>
      <c r="E12" s="109" t="s">
        <v>172</v>
      </c>
      <c r="F12" s="109" t="s">
        <v>171</v>
      </c>
      <c r="G12" s="109" t="s">
        <v>170</v>
      </c>
      <c r="H12" s="109" t="s">
        <v>169</v>
      </c>
      <c r="I12" s="109" t="s">
        <v>168</v>
      </c>
      <c r="L12" s="542"/>
    </row>
    <row r="13" spans="1:12" s="2" customFormat="1">
      <c r="E13" s="3"/>
      <c r="F13" s="3"/>
      <c r="G13" s="3"/>
      <c r="H13" s="3"/>
      <c r="I13" s="3"/>
      <c r="L13" s="542"/>
    </row>
    <row r="14" spans="1:12">
      <c r="A14" s="122" t="str">
        <f>IF(Obal!A14=0,"",Obal!A14)</f>
        <v/>
      </c>
      <c r="E14" s="123"/>
      <c r="F14" s="123"/>
      <c r="G14" s="123"/>
      <c r="H14" s="123"/>
      <c r="I14" s="123"/>
      <c r="J14" t="s">
        <v>197</v>
      </c>
    </row>
    <row r="15" spans="1:12" s="384" customFormat="1">
      <c r="A15" s="384" t="s">
        <v>1078</v>
      </c>
      <c r="E15" s="456"/>
      <c r="F15" s="456"/>
      <c r="G15" s="456"/>
      <c r="H15" s="456"/>
      <c r="I15" s="456"/>
      <c r="L15" s="139"/>
    </row>
    <row r="16" spans="1:12">
      <c r="A16" s="444" t="s">
        <v>841</v>
      </c>
      <c r="B16" s="138"/>
      <c r="C16" s="138"/>
      <c r="D16" s="138"/>
      <c r="E16" s="139" t="s">
        <v>1430</v>
      </c>
      <c r="F16" s="139"/>
      <c r="G16" s="139"/>
      <c r="H16" s="139"/>
      <c r="I16" s="139"/>
      <c r="L16" s="139"/>
    </row>
    <row r="17" spans="1:12">
      <c r="A17" s="4" t="str">
        <f>nmReg1</f>
        <v>The Region</v>
      </c>
      <c r="E17" s="442">
        <f>calcReg1ShareTotalCustR2</f>
        <v>3.262391527425332E-3</v>
      </c>
      <c r="F17" s="442">
        <f>calcReg1ShareTotalCustR2</f>
        <v>3.262391527425332E-3</v>
      </c>
      <c r="G17" s="442">
        <f>calcReg1ShareTotalCustR2</f>
        <v>3.262391527425332E-3</v>
      </c>
      <c r="H17" s="442">
        <f>calcReg1ShareTotalCustR2</f>
        <v>3.262391527425332E-3</v>
      </c>
      <c r="I17" s="442">
        <f>calcReg1ShareTotalCustR2</f>
        <v>3.262391527425332E-3</v>
      </c>
      <c r="J17" t="s">
        <v>870</v>
      </c>
      <c r="L17" s="545"/>
    </row>
    <row r="18" spans="1:12">
      <c r="A18" t="str">
        <f>nmReg1Seg1</f>
        <v>Riverrun</v>
      </c>
      <c r="E18" s="442">
        <f>calcReg1Seg1ShareTotalCustR2</f>
        <v>3.0963025034194173E-3</v>
      </c>
      <c r="F18" s="442">
        <f>calcReg1Seg1ShareTotalCustR2</f>
        <v>3.0963025034194173E-3</v>
      </c>
      <c r="G18" s="442">
        <f>calcReg1Seg1ShareTotalCustR2</f>
        <v>3.0963025034194173E-3</v>
      </c>
      <c r="H18" s="442">
        <f>calcReg1Seg1ShareTotalCustR2</f>
        <v>3.0963025034194173E-3</v>
      </c>
      <c r="I18" s="442">
        <f>calcReg1Seg1ShareTotalCustR2</f>
        <v>3.0963025034194173E-3</v>
      </c>
      <c r="J18" t="s">
        <v>871</v>
      </c>
      <c r="L18" s="545"/>
    </row>
    <row r="19" spans="1:12">
      <c r="A19" t="str">
        <f>nmReg1Seg2</f>
        <v>Winterfell</v>
      </c>
      <c r="E19" s="442">
        <f>calcReg1Seg2ShareTotalCustR2</f>
        <v>3.6651635185466708E-3</v>
      </c>
      <c r="F19" s="442">
        <f>calcReg1Seg2ShareTotalCustR2</f>
        <v>3.6651635185466708E-3</v>
      </c>
      <c r="G19" s="442">
        <f>calcReg1Seg2ShareTotalCustR2</f>
        <v>3.6651635185466708E-3</v>
      </c>
      <c r="H19" s="442">
        <f>calcReg1Seg2ShareTotalCustR2</f>
        <v>3.6651635185466708E-3</v>
      </c>
      <c r="I19" s="442">
        <f>calcReg1Seg2ShareTotalCustR2</f>
        <v>3.6651635185466708E-3</v>
      </c>
      <c r="J19" t="s">
        <v>872</v>
      </c>
      <c r="L19" s="545"/>
    </row>
    <row r="20" spans="1:12">
      <c r="A20" t="str">
        <f>nmReg1Seg3</f>
        <v>Harrenhal</v>
      </c>
      <c r="E20" s="442">
        <f>calcReg1Seg3ShareTotalCustR2</f>
        <v>3.1056509110970014E-3</v>
      </c>
      <c r="F20" s="442">
        <f>calcReg1Seg3ShareTotalCustR2</f>
        <v>3.1056509110970014E-3</v>
      </c>
      <c r="G20" s="442">
        <f>calcReg1Seg3ShareTotalCustR2</f>
        <v>3.1056509110970014E-3</v>
      </c>
      <c r="H20" s="442">
        <f>calcReg1Seg3ShareTotalCustR2</f>
        <v>3.1056509110970014E-3</v>
      </c>
      <c r="I20" s="442">
        <f>calcReg1Seg3ShareTotalCustR2</f>
        <v>3.1056509110970014E-3</v>
      </c>
      <c r="J20" t="s">
        <v>873</v>
      </c>
      <c r="L20" s="545"/>
    </row>
    <row r="21" spans="1:12">
      <c r="E21" s="442"/>
      <c r="F21" s="442"/>
      <c r="G21" s="442"/>
      <c r="H21" s="442"/>
      <c r="I21" s="442"/>
      <c r="L21" s="545"/>
    </row>
    <row r="22" spans="1:12">
      <c r="A22" s="4" t="s">
        <v>861</v>
      </c>
      <c r="E22" s="81"/>
      <c r="F22" s="81"/>
      <c r="G22" s="81"/>
      <c r="H22" s="81"/>
      <c r="I22" s="81"/>
      <c r="L22" s="139"/>
    </row>
    <row r="23" spans="1:12">
      <c r="A23" s="4" t="str">
        <f>nmReg1</f>
        <v>The Region</v>
      </c>
      <c r="E23" s="442">
        <f>calcReg1ShareNewCustR2</f>
        <v>3.4700729127190291E-3</v>
      </c>
      <c r="F23" s="442">
        <f>calcReg1ShareNewCustR2</f>
        <v>3.4700729127190291E-3</v>
      </c>
      <c r="G23" s="442">
        <f>calcReg1ShareNewCustR2</f>
        <v>3.4700729127190291E-3</v>
      </c>
      <c r="H23" s="442">
        <f>calcReg1ShareNewCustR2</f>
        <v>3.4700729127190291E-3</v>
      </c>
      <c r="I23" s="442">
        <f>calcReg1ShareNewCustR2</f>
        <v>3.4700729127190291E-3</v>
      </c>
      <c r="J23" t="s">
        <v>874</v>
      </c>
      <c r="L23" s="545"/>
    </row>
    <row r="24" spans="1:12">
      <c r="A24" t="str">
        <f>nmReg1Seg1</f>
        <v>Riverrun</v>
      </c>
      <c r="E24" s="442">
        <f>calcReg1Seg1ShareNewCustR2</f>
        <v>3.2511495238095232E-3</v>
      </c>
      <c r="F24" s="442">
        <f>calcReg1Seg1ShareNewCustR2</f>
        <v>3.2511495238095232E-3</v>
      </c>
      <c r="G24" s="442">
        <f>calcReg1Seg1ShareNewCustR2</f>
        <v>3.2511495238095232E-3</v>
      </c>
      <c r="H24" s="442">
        <f>calcReg1Seg1ShareNewCustR2</f>
        <v>3.2511495238095232E-3</v>
      </c>
      <c r="I24" s="442">
        <f>calcReg1Seg1ShareNewCustR2</f>
        <v>3.2511495238095232E-3</v>
      </c>
      <c r="J24" t="s">
        <v>875</v>
      </c>
      <c r="L24" s="545"/>
    </row>
    <row r="25" spans="1:12">
      <c r="A25" t="str">
        <f>nmReg1Seg2</f>
        <v>Winterfell</v>
      </c>
      <c r="E25" s="442">
        <f>calcReg1Seg2ShareNewCustR2</f>
        <v>4.020703525641026E-3</v>
      </c>
      <c r="F25" s="442">
        <f>calcReg1Seg2ShareNewCustR2</f>
        <v>4.020703525641026E-3</v>
      </c>
      <c r="G25" s="442">
        <f>calcReg1Seg2ShareNewCustR2</f>
        <v>4.020703525641026E-3</v>
      </c>
      <c r="H25" s="442">
        <f>calcReg1Seg2ShareNewCustR2</f>
        <v>4.020703525641026E-3</v>
      </c>
      <c r="I25" s="442">
        <f>calcReg1Seg2ShareNewCustR2</f>
        <v>4.020703525641026E-3</v>
      </c>
      <c r="J25" t="s">
        <v>876</v>
      </c>
      <c r="L25" s="545"/>
    </row>
    <row r="26" spans="1:12">
      <c r="A26" t="str">
        <f>nmReg1Seg3</f>
        <v>Harrenhal</v>
      </c>
      <c r="E26" s="442">
        <f>calcReg1Seg3ShareNewCustR2</f>
        <v>3.2921168451431611E-3</v>
      </c>
      <c r="F26" s="442">
        <f>calcReg1Seg3ShareNewCustR2</f>
        <v>3.2921168451431611E-3</v>
      </c>
      <c r="G26" s="442">
        <f>calcReg1Seg3ShareNewCustR2</f>
        <v>3.2921168451431611E-3</v>
      </c>
      <c r="H26" s="442">
        <f>calcReg1Seg3ShareNewCustR2</f>
        <v>3.2921168451431611E-3</v>
      </c>
      <c r="I26" s="442">
        <f>calcReg1Seg3ShareNewCustR2</f>
        <v>3.2921168451431611E-3</v>
      </c>
      <c r="J26" t="s">
        <v>877</v>
      </c>
      <c r="L26" s="545"/>
    </row>
    <row r="27" spans="1:12">
      <c r="E27" s="442"/>
      <c r="F27" s="442"/>
      <c r="G27" s="442"/>
      <c r="H27" s="442"/>
      <c r="I27" s="442"/>
      <c r="L27" s="545"/>
    </row>
    <row r="28" spans="1:12">
      <c r="A28" s="4" t="s">
        <v>757</v>
      </c>
      <c r="E28" s="442"/>
      <c r="F28" s="442"/>
      <c r="G28" s="442"/>
      <c r="H28" s="442"/>
      <c r="I28" s="442"/>
      <c r="L28" s="545"/>
    </row>
    <row r="29" spans="1:12">
      <c r="A29" s="4" t="str">
        <f>nmComp1</f>
        <v>Vibrant</v>
      </c>
      <c r="E29" s="442"/>
      <c r="F29" s="442"/>
      <c r="G29" s="442"/>
      <c r="H29" s="442"/>
      <c r="I29" s="442"/>
      <c r="L29" s="545"/>
    </row>
    <row r="30" spans="1:12">
      <c r="A30" s="4" t="str">
        <f>nmReg1</f>
        <v>The Region</v>
      </c>
      <c r="E30" s="442">
        <f>calcReg1Comp1TotalCustR2/calcReg1TotalVolumeR2</f>
        <v>9.420099322291018E-3</v>
      </c>
      <c r="F30" s="442">
        <f t="shared" ref="F30:I30" si="0">$L30</f>
        <v>0</v>
      </c>
      <c r="G30" s="442">
        <f t="shared" si="0"/>
        <v>0</v>
      </c>
      <c r="H30" s="442">
        <f t="shared" si="0"/>
        <v>0</v>
      </c>
      <c r="I30" s="442">
        <f t="shared" si="0"/>
        <v>0</v>
      </c>
      <c r="J30" t="s">
        <v>967</v>
      </c>
      <c r="L30" s="545"/>
    </row>
    <row r="31" spans="1:12">
      <c r="A31" t="str">
        <f>nmReg1Seg1</f>
        <v>Riverrun</v>
      </c>
      <c r="E31" s="442">
        <f>calcReg1Seg1Comp1TotalShareR2</f>
        <v>9.3509201685342477E-3</v>
      </c>
      <c r="F31" s="442">
        <f>calcReg1Seg1Comp1TotalShareR2</f>
        <v>9.3509201685342477E-3</v>
      </c>
      <c r="G31" s="442">
        <f>calcReg1Seg1Comp1TotalShareR2</f>
        <v>9.3509201685342477E-3</v>
      </c>
      <c r="H31" s="442">
        <f>calcReg1Seg1Comp1TotalShareR2</f>
        <v>9.3509201685342477E-3</v>
      </c>
      <c r="I31" s="442">
        <f>calcReg1Seg1Comp1TotalShareR2</f>
        <v>9.3509201685342477E-3</v>
      </c>
      <c r="J31" t="s">
        <v>961</v>
      </c>
      <c r="L31" s="545"/>
    </row>
    <row r="32" spans="1:12">
      <c r="A32" t="str">
        <f>nmReg1Seg2</f>
        <v>Winterfell</v>
      </c>
      <c r="E32" s="442">
        <f>calcReg1Seg2Comp1TotalShareR2</f>
        <v>8.6017714361725228E-3</v>
      </c>
      <c r="F32" s="442">
        <f>calcReg1Seg2Comp1TotalShareR2</f>
        <v>8.6017714361725228E-3</v>
      </c>
      <c r="G32" s="442">
        <f>calcReg1Seg2Comp1TotalShareR2</f>
        <v>8.6017714361725228E-3</v>
      </c>
      <c r="H32" s="442">
        <f>calcReg1Seg2Comp1TotalShareR2</f>
        <v>8.6017714361725228E-3</v>
      </c>
      <c r="I32" s="442">
        <f>calcReg1Seg2Comp1TotalShareR2</f>
        <v>8.6017714361725228E-3</v>
      </c>
      <c r="J32" t="s">
        <v>963</v>
      </c>
      <c r="L32" s="545"/>
    </row>
    <row r="33" spans="1:12">
      <c r="A33" t="str">
        <f>nmReg1Seg3</f>
        <v>Harrenhal</v>
      </c>
      <c r="E33" s="442">
        <f>calcReg1Seg3Comp1TotalShareR2</f>
        <v>1.0079025123024554E-2</v>
      </c>
      <c r="F33" s="442">
        <f>calcReg1Seg3Comp1TotalShareR2</f>
        <v>1.0079025123024554E-2</v>
      </c>
      <c r="G33" s="442">
        <f>calcReg1Seg3Comp1TotalShareR2</f>
        <v>1.0079025123024554E-2</v>
      </c>
      <c r="H33" s="442">
        <f>calcReg1Seg3Comp1TotalShareR2</f>
        <v>1.0079025123024554E-2</v>
      </c>
      <c r="I33" s="442">
        <f>calcReg1Seg3Comp1TotalShareR2</f>
        <v>1.0079025123024554E-2</v>
      </c>
      <c r="J33" t="s">
        <v>965</v>
      </c>
      <c r="L33" s="545"/>
    </row>
    <row r="34" spans="1:12">
      <c r="E34" s="442"/>
      <c r="F34" s="442"/>
      <c r="G34" s="442"/>
      <c r="H34" s="442"/>
      <c r="I34" s="442"/>
      <c r="L34" s="545"/>
    </row>
    <row r="35" spans="1:12">
      <c r="A35" s="4" t="s">
        <v>861</v>
      </c>
      <c r="E35" s="81"/>
      <c r="F35" s="81"/>
      <c r="G35" s="81"/>
      <c r="H35" s="81"/>
      <c r="I35" s="81"/>
      <c r="L35" s="139"/>
    </row>
    <row r="36" spans="1:12">
      <c r="A36" s="4" t="str">
        <f>nmReg1</f>
        <v>The Region</v>
      </c>
      <c r="E36" s="442"/>
      <c r="F36" s="442"/>
      <c r="G36" s="442"/>
      <c r="H36" s="442"/>
      <c r="I36" s="442"/>
      <c r="J36" t="s">
        <v>975</v>
      </c>
      <c r="L36" s="545"/>
    </row>
    <row r="37" spans="1:12">
      <c r="A37" t="str">
        <f>nmReg1Seg1</f>
        <v>Riverrun</v>
      </c>
      <c r="E37" s="442"/>
      <c r="F37" s="442"/>
      <c r="G37" s="442"/>
      <c r="H37" s="442"/>
      <c r="I37" s="442"/>
      <c r="J37" t="s">
        <v>962</v>
      </c>
      <c r="L37" s="545"/>
    </row>
    <row r="38" spans="1:12">
      <c r="A38" t="str">
        <f>nmReg1Seg2</f>
        <v>Winterfell</v>
      </c>
      <c r="E38" s="442"/>
      <c r="F38" s="442"/>
      <c r="G38" s="442"/>
      <c r="H38" s="442"/>
      <c r="I38" s="442"/>
      <c r="J38" t="s">
        <v>964</v>
      </c>
      <c r="L38" s="545"/>
    </row>
    <row r="39" spans="1:12">
      <c r="A39" t="str">
        <f>nmReg1Seg3</f>
        <v>Harrenhal</v>
      </c>
      <c r="E39" s="442"/>
      <c r="F39" s="442"/>
      <c r="G39" s="442"/>
      <c r="H39" s="442"/>
      <c r="I39" s="442"/>
      <c r="J39" t="s">
        <v>966</v>
      </c>
      <c r="L39" s="545"/>
    </row>
    <row r="40" spans="1:12">
      <c r="E40" s="442"/>
      <c r="F40" s="442"/>
      <c r="G40" s="442"/>
      <c r="H40" s="442"/>
      <c r="I40" s="442"/>
      <c r="L40" s="545"/>
    </row>
    <row r="41" spans="1:12">
      <c r="A41" s="4" t="str">
        <f>nmComp2</f>
        <v>Pristine</v>
      </c>
      <c r="E41" s="442"/>
      <c r="F41" s="442"/>
      <c r="G41" s="442"/>
      <c r="H41" s="442"/>
      <c r="I41" s="442"/>
      <c r="L41" s="545"/>
    </row>
    <row r="42" spans="1:12">
      <c r="A42" s="4" t="str">
        <f>nmReg1</f>
        <v>The Region</v>
      </c>
      <c r="E42" s="442">
        <f>calcReg1Comp2TotalCustR2/calcReg1TotalVolumeR2</f>
        <v>2.5139376968812154E-2</v>
      </c>
      <c r="F42" s="442">
        <f>calcReg1Comp2TotalCustR2/calcReg1TotalVolumeR2</f>
        <v>2.5139376968812154E-2</v>
      </c>
      <c r="G42" s="442">
        <f>calcReg1Comp2TotalCustR2/calcReg1TotalVolumeR2</f>
        <v>2.5139376968812154E-2</v>
      </c>
      <c r="H42" s="442">
        <f>calcReg1Comp2TotalCustR2/calcReg1TotalVolumeR2</f>
        <v>2.5139376968812154E-2</v>
      </c>
      <c r="I42" s="442">
        <f>calcReg1Comp2TotalCustR2/calcReg1TotalVolumeR2</f>
        <v>2.5139376968812154E-2</v>
      </c>
      <c r="J42" t="s">
        <v>968</v>
      </c>
      <c r="L42" s="545"/>
    </row>
    <row r="43" spans="1:12">
      <c r="A43" t="str">
        <f>nmReg1Seg1</f>
        <v>Riverrun</v>
      </c>
      <c r="E43" s="442">
        <f>calcReg1Seg1Comp2TotalShareR2</f>
        <v>2.4949916940628401E-2</v>
      </c>
      <c r="F43" s="442">
        <f>calcReg1Seg1Comp2TotalShareR2</f>
        <v>2.4949916940628401E-2</v>
      </c>
      <c r="G43" s="442">
        <f>calcReg1Seg1Comp2TotalShareR2</f>
        <v>2.4949916940628401E-2</v>
      </c>
      <c r="H43" s="442">
        <f>calcReg1Seg1Comp2TotalShareR2</f>
        <v>2.4949916940628401E-2</v>
      </c>
      <c r="I43" s="442">
        <f>calcReg1Seg1Comp2TotalShareR2</f>
        <v>2.4949916940628401E-2</v>
      </c>
      <c r="J43" t="s">
        <v>969</v>
      </c>
      <c r="L43" s="545"/>
    </row>
    <row r="44" spans="1:12">
      <c r="A44" t="str">
        <f>nmReg1Seg2</f>
        <v>Winterfell</v>
      </c>
      <c r="E44" s="442">
        <f>calcReg1Seg2Comp2TotalShareR2</f>
        <v>2.2979013816618162E-2</v>
      </c>
      <c r="F44" s="442">
        <f>calcReg1Seg2Comp2TotalShareR2</f>
        <v>2.2979013816618162E-2</v>
      </c>
      <c r="G44" s="442">
        <f>calcReg1Seg2Comp2TotalShareR2</f>
        <v>2.2979013816618162E-2</v>
      </c>
      <c r="H44" s="442">
        <f>calcReg1Seg2Comp2TotalShareR2</f>
        <v>2.2979013816618162E-2</v>
      </c>
      <c r="I44" s="442">
        <f>calcReg1Seg2Comp2TotalShareR2</f>
        <v>2.2979013816618162E-2</v>
      </c>
      <c r="J44" t="s">
        <v>970</v>
      </c>
      <c r="L44" s="545"/>
    </row>
    <row r="45" spans="1:12">
      <c r="A45" t="str">
        <f>nmReg1Seg3</f>
        <v>Harrenhal</v>
      </c>
      <c r="E45" s="442">
        <f>calcReg1Seg3Comp2TotalShareR2</f>
        <v>2.6884640870216202E-2</v>
      </c>
      <c r="F45" s="442">
        <f>calcReg1Seg3Comp2TotalShareR2</f>
        <v>2.6884640870216202E-2</v>
      </c>
      <c r="G45" s="442">
        <f>calcReg1Seg3Comp2TotalShareR2</f>
        <v>2.6884640870216202E-2</v>
      </c>
      <c r="H45" s="442">
        <f>calcReg1Seg3Comp2TotalShareR2</f>
        <v>2.6884640870216202E-2</v>
      </c>
      <c r="I45" s="442">
        <f>calcReg1Seg3Comp2TotalShareR2</f>
        <v>2.6884640870216202E-2</v>
      </c>
      <c r="J45" t="s">
        <v>971</v>
      </c>
      <c r="L45" s="545"/>
    </row>
    <row r="46" spans="1:12">
      <c r="E46" s="442"/>
      <c r="F46" s="442"/>
      <c r="G46" s="442"/>
      <c r="H46" s="442"/>
      <c r="I46" s="442"/>
      <c r="L46" s="545"/>
    </row>
    <row r="47" spans="1:12">
      <c r="A47" s="4" t="s">
        <v>861</v>
      </c>
      <c r="E47" s="81"/>
      <c r="F47" s="81"/>
      <c r="G47" s="81"/>
      <c r="H47" s="81"/>
      <c r="I47" s="81"/>
      <c r="L47" s="139"/>
    </row>
    <row r="48" spans="1:12">
      <c r="A48" s="4" t="str">
        <f>nmReg1</f>
        <v>The Region</v>
      </c>
      <c r="E48" s="442"/>
      <c r="F48" s="442"/>
      <c r="G48" s="442"/>
      <c r="H48" s="442"/>
      <c r="I48" s="442"/>
      <c r="J48" t="s">
        <v>976</v>
      </c>
      <c r="L48" s="545"/>
    </row>
    <row r="49" spans="1:12">
      <c r="A49" t="str">
        <f>nmReg1Seg1</f>
        <v>Riverrun</v>
      </c>
      <c r="E49" s="442"/>
      <c r="F49" s="442"/>
      <c r="G49" s="442"/>
      <c r="H49" s="442"/>
      <c r="I49" s="442"/>
      <c r="J49" t="s">
        <v>972</v>
      </c>
      <c r="L49" s="545"/>
    </row>
    <row r="50" spans="1:12">
      <c r="A50" t="str">
        <f>nmReg1Seg2</f>
        <v>Winterfell</v>
      </c>
      <c r="E50" s="442"/>
      <c r="F50" s="442"/>
      <c r="G50" s="442"/>
      <c r="H50" s="442"/>
      <c r="I50" s="442"/>
      <c r="J50" t="s">
        <v>973</v>
      </c>
      <c r="L50" s="545"/>
    </row>
    <row r="51" spans="1:12">
      <c r="A51" t="str">
        <f>nmReg1Seg3</f>
        <v>Harrenhal</v>
      </c>
      <c r="E51" s="442"/>
      <c r="F51" s="442"/>
      <c r="G51" s="442"/>
      <c r="H51" s="442"/>
      <c r="I51" s="442"/>
      <c r="J51" t="s">
        <v>974</v>
      </c>
      <c r="L51" s="545"/>
    </row>
    <row r="52" spans="1:12">
      <c r="E52" s="442"/>
      <c r="F52" s="442"/>
      <c r="G52" s="442"/>
      <c r="H52" s="442"/>
      <c r="I52" s="442"/>
      <c r="L52" s="545"/>
    </row>
    <row r="53" spans="1:12">
      <c r="A53" s="444" t="s">
        <v>1057</v>
      </c>
      <c r="B53" s="138"/>
      <c r="C53" s="138"/>
      <c r="D53" s="138"/>
      <c r="E53" s="139"/>
      <c r="F53" s="139"/>
      <c r="G53" s="139"/>
      <c r="H53" s="139"/>
      <c r="I53" s="139"/>
      <c r="L53" s="139"/>
    </row>
    <row r="54" spans="1:12">
      <c r="A54" s="4" t="str">
        <f>nmReg1</f>
        <v>The Region</v>
      </c>
      <c r="E54" s="451">
        <f>calcReg1Seg1VolumeTotalCustR2+calcReg1Seg2VolumeTotalCustR2+calcReg1Seg3VolumeTotalCustR2</f>
        <v>1325.5488830829534</v>
      </c>
      <c r="F54" s="451">
        <f>calcReg1Seg1VolumeTotalCustR2+calcReg1Seg2VolumeTotalCustR2+calcReg1Seg3VolumeTotalCustR2</f>
        <v>1325.5488830829534</v>
      </c>
      <c r="G54" s="451">
        <f>calcReg1Seg1VolumeTotalCustR2+calcReg1Seg2VolumeTotalCustR2+calcReg1Seg3VolumeTotalCustR2</f>
        <v>1325.5488830829534</v>
      </c>
      <c r="H54" s="451">
        <f>calcReg1Seg1VolumeTotalCustR2+calcReg1Seg2VolumeTotalCustR2+calcReg1Seg3VolumeTotalCustR2</f>
        <v>1325.5488830829534</v>
      </c>
      <c r="I54" s="451">
        <f>calcReg1Seg1VolumeTotalCustR2+calcReg1Seg2VolumeTotalCustR2+calcReg1Seg3VolumeTotalCustR2</f>
        <v>1325.5488830829534</v>
      </c>
      <c r="J54" t="s">
        <v>1079</v>
      </c>
      <c r="L54" s="546"/>
    </row>
    <row r="55" spans="1:12">
      <c r="A55" t="str">
        <f>nmReg1Seg1</f>
        <v>Riverrun</v>
      </c>
      <c r="E55" s="451">
        <f>calcReg1Seg1VolumeTotalCustR2</f>
        <v>409.59880098386998</v>
      </c>
      <c r="F55" s="451">
        <f>calcReg1Seg1VolumeTotalCustR2</f>
        <v>409.59880098386998</v>
      </c>
      <c r="G55" s="451">
        <f>calcReg1Seg1VolumeTotalCustR2</f>
        <v>409.59880098386998</v>
      </c>
      <c r="H55" s="451">
        <f>calcReg1Seg1VolumeTotalCustR2</f>
        <v>409.59880098386998</v>
      </c>
      <c r="I55" s="451">
        <f>calcReg1Seg1VolumeTotalCustR2</f>
        <v>409.59880098386998</v>
      </c>
      <c r="J55" t="s">
        <v>1080</v>
      </c>
      <c r="L55" s="546"/>
    </row>
    <row r="56" spans="1:12">
      <c r="A56" t="str">
        <f>nmReg1Seg2</f>
        <v>Winterfell</v>
      </c>
      <c r="E56" s="451">
        <f>calcReg1Seg2VolumeTotalCustR2</f>
        <v>425.28212688184908</v>
      </c>
      <c r="F56" s="451">
        <f>calcReg1Seg2VolumeTotalCustR2</f>
        <v>425.28212688184908</v>
      </c>
      <c r="G56" s="451">
        <f>calcReg1Seg2VolumeTotalCustR2</f>
        <v>425.28212688184908</v>
      </c>
      <c r="H56" s="451">
        <f>calcReg1Seg2VolumeTotalCustR2</f>
        <v>425.28212688184908</v>
      </c>
      <c r="I56" s="451">
        <f>calcReg1Seg2VolumeTotalCustR2</f>
        <v>425.28212688184908</v>
      </c>
      <c r="J56" t="s">
        <v>1081</v>
      </c>
      <c r="L56" s="546"/>
    </row>
    <row r="57" spans="1:12">
      <c r="A57" t="str">
        <f>nmReg1Seg3</f>
        <v>Harrenhal</v>
      </c>
      <c r="E57" s="451">
        <f>calcReg1Seg3VolumeTotalCustR2</f>
        <v>490.66795521723429</v>
      </c>
      <c r="F57" s="451">
        <f>calcReg1Seg3VolumeTotalCustR2</f>
        <v>490.66795521723429</v>
      </c>
      <c r="G57" s="451">
        <f>calcReg1Seg3VolumeTotalCustR2</f>
        <v>490.66795521723429</v>
      </c>
      <c r="H57" s="451">
        <f>calcReg1Seg3VolumeTotalCustR2</f>
        <v>490.66795521723429</v>
      </c>
      <c r="I57" s="451">
        <f>calcReg1Seg3VolumeTotalCustR2</f>
        <v>490.66795521723429</v>
      </c>
      <c r="J57" t="s">
        <v>1082</v>
      </c>
      <c r="L57" s="546"/>
    </row>
    <row r="58" spans="1:12">
      <c r="E58" s="442"/>
      <c r="F58" s="442"/>
      <c r="G58" s="442"/>
      <c r="H58" s="442"/>
      <c r="I58" s="442"/>
      <c r="L58" s="545"/>
    </row>
    <row r="59" spans="1:12">
      <c r="A59" s="4" t="s">
        <v>1066</v>
      </c>
      <c r="E59" s="442"/>
      <c r="F59" s="442"/>
      <c r="G59" s="442"/>
      <c r="H59" s="442"/>
      <c r="I59" s="442"/>
      <c r="L59" s="545"/>
    </row>
    <row r="60" spans="1:12">
      <c r="A60" s="4" t="str">
        <f>nmReg1</f>
        <v>The Region</v>
      </c>
      <c r="E60" s="451">
        <f>calcReg1Seg1NewCustR2+calcReg1Seg2NewCustR2+calcReg1Seg3NewCustR2</f>
        <v>164.28389592857422</v>
      </c>
      <c r="F60" s="451">
        <f>calcReg1Seg1NewCustR2+calcReg1Seg2NewCustR2+calcReg1Seg3NewCustR2</f>
        <v>164.28389592857422</v>
      </c>
      <c r="G60" s="451">
        <f>calcReg1Seg1NewCustR2+calcReg1Seg2NewCustR2+calcReg1Seg3NewCustR2</f>
        <v>164.28389592857422</v>
      </c>
      <c r="H60" s="451">
        <f>calcReg1Seg1NewCustR2+calcReg1Seg2NewCustR2+calcReg1Seg3NewCustR2</f>
        <v>164.28389592857422</v>
      </c>
      <c r="I60" s="451">
        <f>calcReg1Seg1NewCustR2+calcReg1Seg2NewCustR2+calcReg1Seg3NewCustR2</f>
        <v>164.28389592857422</v>
      </c>
      <c r="J60" t="s">
        <v>1083</v>
      </c>
      <c r="L60" s="546"/>
    </row>
    <row r="61" spans="1:12">
      <c r="A61" t="str">
        <f>nmReg1Seg1</f>
        <v>Riverrun</v>
      </c>
      <c r="E61" s="451">
        <f>calcReg1Seg1NewCustR2</f>
        <v>47.387715091199993</v>
      </c>
      <c r="F61" s="451">
        <f>calcReg1Seg1NewCustR2</f>
        <v>47.387715091199993</v>
      </c>
      <c r="G61" s="451">
        <f>calcReg1Seg1NewCustR2</f>
        <v>47.387715091199993</v>
      </c>
      <c r="H61" s="451">
        <f>calcReg1Seg1NewCustR2</f>
        <v>47.387715091199993</v>
      </c>
      <c r="I61" s="451">
        <f>calcReg1Seg1NewCustR2</f>
        <v>47.387715091199993</v>
      </c>
      <c r="J61" t="s">
        <v>1084</v>
      </c>
      <c r="L61" s="546"/>
    </row>
    <row r="62" spans="1:12">
      <c r="A62" t="str">
        <f>nmReg1Seg2</f>
        <v>Winterfell</v>
      </c>
      <c r="E62" s="451">
        <f>calcReg1Seg2NewCustR2</f>
        <v>49.788503154604044</v>
      </c>
      <c r="F62" s="451">
        <f>calcReg1Seg2NewCustR2</f>
        <v>49.788503154604044</v>
      </c>
      <c r="G62" s="451">
        <f>calcReg1Seg2NewCustR2</f>
        <v>49.788503154604044</v>
      </c>
      <c r="H62" s="451">
        <f>calcReg1Seg2NewCustR2</f>
        <v>49.788503154604044</v>
      </c>
      <c r="I62" s="451">
        <f>calcReg1Seg2NewCustR2</f>
        <v>49.788503154604044</v>
      </c>
      <c r="J62" t="s">
        <v>1085</v>
      </c>
      <c r="L62" s="546"/>
    </row>
    <row r="63" spans="1:12">
      <c r="A63" t="str">
        <f>nmReg1Seg3</f>
        <v>Harrenhal</v>
      </c>
      <c r="E63" s="451">
        <f>calcReg1Seg3NewCustR2</f>
        <v>67.107677682770188</v>
      </c>
      <c r="F63" s="451">
        <f>calcReg1Seg3NewCustR2</f>
        <v>67.107677682770188</v>
      </c>
      <c r="G63" s="451">
        <f>calcReg1Seg3NewCustR2</f>
        <v>67.107677682770188</v>
      </c>
      <c r="H63" s="451">
        <f>calcReg1Seg3NewCustR2</f>
        <v>67.107677682770188</v>
      </c>
      <c r="I63" s="451">
        <f>calcReg1Seg3NewCustR2</f>
        <v>67.107677682770188</v>
      </c>
      <c r="J63" t="s">
        <v>1086</v>
      </c>
      <c r="L63" s="546"/>
    </row>
    <row r="64" spans="1:12">
      <c r="E64" s="442"/>
      <c r="F64" s="442"/>
      <c r="G64" s="442"/>
      <c r="H64" s="442"/>
      <c r="I64" s="442"/>
      <c r="L64" s="545"/>
    </row>
    <row r="65" spans="1:12">
      <c r="A65" s="4" t="s">
        <v>631</v>
      </c>
      <c r="E65" s="451"/>
      <c r="F65" s="451"/>
      <c r="G65" s="451"/>
      <c r="H65" s="451"/>
      <c r="I65" s="451"/>
      <c r="L65" s="546"/>
    </row>
    <row r="66" spans="1:12">
      <c r="A66" s="4" t="str">
        <f>nmPayer1</f>
        <v>Blue Sword/Blue Shield</v>
      </c>
      <c r="E66" s="451"/>
      <c r="F66" s="451"/>
      <c r="G66" s="451"/>
      <c r="H66" s="451"/>
      <c r="I66" s="451"/>
      <c r="L66" s="546"/>
    </row>
    <row r="67" spans="1:12">
      <c r="A67" t="str">
        <f>nmReg1</f>
        <v>The Region</v>
      </c>
      <c r="E67" s="451">
        <f>calcReg1Payer1TotalVolumeR1</f>
        <v>137057.33679999999</v>
      </c>
      <c r="F67" s="451">
        <f>calcReg1Payer1TotalVolumeR1</f>
        <v>137057.33679999999</v>
      </c>
      <c r="G67" s="451">
        <f>calcReg1Payer1TotalVolumeR1</f>
        <v>137057.33679999999</v>
      </c>
      <c r="H67" s="451">
        <f>calcReg1Payer1TotalVolumeR1</f>
        <v>137057.33679999999</v>
      </c>
      <c r="I67" s="451">
        <f>calcReg1Payer1TotalVolumeR1</f>
        <v>137057.33679999999</v>
      </c>
      <c r="J67" t="s">
        <v>1303</v>
      </c>
      <c r="L67" s="546"/>
    </row>
    <row r="68" spans="1:12">
      <c r="A68" t="str">
        <f>nmReg1Seg1</f>
        <v>Riverrun</v>
      </c>
      <c r="E68" s="451">
        <f>calcReg1Seg1Payer1TotalVolumeR1</f>
        <v>47543.033999999992</v>
      </c>
      <c r="F68" s="451">
        <f>calcReg1Seg1Payer1TotalVolumeR1</f>
        <v>47543.033999999992</v>
      </c>
      <c r="G68" s="451">
        <f>calcReg1Seg1Payer1TotalVolumeR1</f>
        <v>47543.033999999992</v>
      </c>
      <c r="H68" s="451">
        <f>calcReg1Seg1Payer1TotalVolumeR1</f>
        <v>47543.033999999992</v>
      </c>
      <c r="I68" s="451">
        <f>calcReg1Seg1Payer1TotalVolumeR1</f>
        <v>47543.033999999992</v>
      </c>
      <c r="J68" t="s">
        <v>1304</v>
      </c>
      <c r="L68" s="546"/>
    </row>
    <row r="69" spans="1:12">
      <c r="A69" t="str">
        <f>nmReg1Seg2</f>
        <v>Winterfell</v>
      </c>
      <c r="E69" s="451">
        <f t="shared" ref="E69:I70" si="1">calcReg1Seg2Payer1TotalVolumeR1</f>
        <v>50124.698000000004</v>
      </c>
      <c r="F69" s="451">
        <f t="shared" si="1"/>
        <v>50124.698000000004</v>
      </c>
      <c r="G69" s="451">
        <f t="shared" si="1"/>
        <v>50124.698000000004</v>
      </c>
      <c r="H69" s="451">
        <f t="shared" si="1"/>
        <v>50124.698000000004</v>
      </c>
      <c r="I69" s="451">
        <f t="shared" si="1"/>
        <v>50124.698000000004</v>
      </c>
      <c r="J69" t="s">
        <v>1305</v>
      </c>
      <c r="L69" s="546"/>
    </row>
    <row r="70" spans="1:12">
      <c r="A70" t="str">
        <f>nmReg1Seg3</f>
        <v>Harrenhal</v>
      </c>
      <c r="E70" s="451">
        <f t="shared" si="1"/>
        <v>50124.698000000004</v>
      </c>
      <c r="F70" s="451">
        <f t="shared" si="1"/>
        <v>50124.698000000004</v>
      </c>
      <c r="G70" s="451">
        <f t="shared" si="1"/>
        <v>50124.698000000004</v>
      </c>
      <c r="H70" s="451">
        <f t="shared" si="1"/>
        <v>50124.698000000004</v>
      </c>
      <c r="I70" s="451">
        <f t="shared" si="1"/>
        <v>50124.698000000004</v>
      </c>
      <c r="J70" t="s">
        <v>1306</v>
      </c>
      <c r="L70" s="546"/>
    </row>
    <row r="71" spans="1:12">
      <c r="E71" s="451"/>
      <c r="F71" s="451"/>
      <c r="G71" s="451"/>
      <c r="H71" s="451"/>
      <c r="I71" s="451"/>
      <c r="L71" s="546"/>
    </row>
    <row r="72" spans="1:12">
      <c r="A72" s="4" t="str">
        <f>nmPayer2</f>
        <v>WesterAid</v>
      </c>
      <c r="E72" s="451"/>
      <c r="F72" s="451"/>
      <c r="G72" s="451"/>
      <c r="H72" s="451"/>
      <c r="I72" s="451"/>
      <c r="L72" s="546"/>
    </row>
    <row r="73" spans="1:12">
      <c r="A73" t="str">
        <f>nmReg1</f>
        <v>The Region</v>
      </c>
      <c r="E73" s="451">
        <f>calcReg1Payer2TotalVolumeR1</f>
        <v>117381.3799</v>
      </c>
      <c r="F73" s="451">
        <f>calcReg1Payer2TotalVolumeR1</f>
        <v>117381.3799</v>
      </c>
      <c r="G73" s="451">
        <f>calcReg1Payer2TotalVolumeR1</f>
        <v>117381.3799</v>
      </c>
      <c r="H73" s="451">
        <f>calcReg1Payer2TotalVolumeR1</f>
        <v>117381.3799</v>
      </c>
      <c r="I73" s="451">
        <f>calcReg1Payer2TotalVolumeR1</f>
        <v>117381.3799</v>
      </c>
      <c r="J73" t="s">
        <v>1307</v>
      </c>
      <c r="L73" s="546"/>
    </row>
    <row r="74" spans="1:12">
      <c r="A74" t="str">
        <f>nmReg1Seg1</f>
        <v>Riverrun</v>
      </c>
      <c r="E74" s="451">
        <f>calcReg1Seg1Payer2TotalVolumeR1</f>
        <v>35752.253599999996</v>
      </c>
      <c r="F74" s="451">
        <f>calcReg1Seg1Payer2TotalVolumeR1</f>
        <v>35752.253599999996</v>
      </c>
      <c r="G74" s="451">
        <f>calcReg1Seg1Payer2TotalVolumeR1</f>
        <v>35752.253599999996</v>
      </c>
      <c r="H74" s="451">
        <f>calcReg1Seg1Payer2TotalVolumeR1</f>
        <v>35752.253599999996</v>
      </c>
      <c r="I74" s="451">
        <f>calcReg1Seg1Payer2TotalVolumeR1</f>
        <v>35752.253599999996</v>
      </c>
      <c r="J74" t="s">
        <v>1308</v>
      </c>
      <c r="L74" s="546"/>
    </row>
    <row r="75" spans="1:12">
      <c r="A75" t="str">
        <f>nmReg1Seg2</f>
        <v>Winterfell</v>
      </c>
      <c r="E75" s="451">
        <f t="shared" ref="E75:I76" si="2">calcReg1Seg2Payer2TotalVolumeR1</f>
        <v>17421.883900000001</v>
      </c>
      <c r="F75" s="451">
        <f t="shared" si="2"/>
        <v>17421.883900000001</v>
      </c>
      <c r="G75" s="451">
        <f t="shared" si="2"/>
        <v>17421.883900000001</v>
      </c>
      <c r="H75" s="451">
        <f t="shared" si="2"/>
        <v>17421.883900000001</v>
      </c>
      <c r="I75" s="451">
        <f t="shared" si="2"/>
        <v>17421.883900000001</v>
      </c>
      <c r="J75" t="s">
        <v>1309</v>
      </c>
      <c r="L75" s="546"/>
    </row>
    <row r="76" spans="1:12">
      <c r="A76" t="str">
        <f>nmReg1Seg3</f>
        <v>Harrenhal</v>
      </c>
      <c r="E76" s="451">
        <f t="shared" si="2"/>
        <v>17421.883900000001</v>
      </c>
      <c r="F76" s="451">
        <f t="shared" si="2"/>
        <v>17421.883900000001</v>
      </c>
      <c r="G76" s="451">
        <f t="shared" si="2"/>
        <v>17421.883900000001</v>
      </c>
      <c r="H76" s="451">
        <f t="shared" si="2"/>
        <v>17421.883900000001</v>
      </c>
      <c r="I76" s="451">
        <f t="shared" si="2"/>
        <v>17421.883900000001</v>
      </c>
      <c r="J76" t="s">
        <v>1310</v>
      </c>
      <c r="L76" s="546"/>
    </row>
    <row r="77" spans="1:12">
      <c r="E77" s="451"/>
      <c r="F77" s="451"/>
      <c r="G77" s="451"/>
      <c r="H77" s="451"/>
      <c r="I77" s="451"/>
      <c r="L77" s="546"/>
    </row>
    <row r="78" spans="1:12">
      <c r="A78" s="4" t="str">
        <f>nmPayer3</f>
        <v>Dragon Health</v>
      </c>
      <c r="E78" s="451"/>
      <c r="F78" s="451"/>
      <c r="G78" s="451"/>
      <c r="H78" s="451"/>
      <c r="I78" s="451"/>
      <c r="L78" s="546"/>
    </row>
    <row r="79" spans="1:12">
      <c r="A79" t="str">
        <f>nmReg1</f>
        <v>The Region</v>
      </c>
      <c r="E79" s="451">
        <f>calcReg1Payer3TotalVolumeR1</f>
        <v>104492.4709</v>
      </c>
      <c r="F79" s="451">
        <f>calcReg1Payer3TotalVolumeR1</f>
        <v>104492.4709</v>
      </c>
      <c r="G79" s="451">
        <f>calcReg1Payer3TotalVolumeR1</f>
        <v>104492.4709</v>
      </c>
      <c r="H79" s="451">
        <f>calcReg1Payer3TotalVolumeR1</f>
        <v>104492.4709</v>
      </c>
      <c r="I79" s="451">
        <f>calcReg1Payer3TotalVolumeR1</f>
        <v>104492.4709</v>
      </c>
      <c r="J79" t="s">
        <v>1311</v>
      </c>
      <c r="L79" s="546"/>
    </row>
    <row r="80" spans="1:12">
      <c r="A80" t="str">
        <f>nmReg1Seg1</f>
        <v>Riverrun</v>
      </c>
      <c r="E80" s="451">
        <f>calcReg1Seg1Payer3TotalVolumeR1</f>
        <v>33135.379199999996</v>
      </c>
      <c r="F80" s="451">
        <f>calcReg1Seg1Payer3TotalVolumeR1</f>
        <v>33135.379199999996</v>
      </c>
      <c r="G80" s="451">
        <f>calcReg1Seg1Payer3TotalVolumeR1</f>
        <v>33135.379199999996</v>
      </c>
      <c r="H80" s="451">
        <f>calcReg1Seg1Payer3TotalVolumeR1</f>
        <v>33135.379199999996</v>
      </c>
      <c r="I80" s="451">
        <f>calcReg1Seg1Payer3TotalVolumeR1</f>
        <v>33135.379199999996</v>
      </c>
      <c r="J80" t="s">
        <v>1312</v>
      </c>
      <c r="L80" s="546"/>
    </row>
    <row r="81" spans="1:12">
      <c r="A81" t="str">
        <f>nmReg1Seg2</f>
        <v>Winterfell</v>
      </c>
      <c r="E81" s="451">
        <f t="shared" ref="E81:I82" si="3">calcReg1Seg2Payer3TotalVolumeR1</f>
        <v>35138.022100000002</v>
      </c>
      <c r="F81" s="451">
        <f t="shared" si="3"/>
        <v>35138.022100000002</v>
      </c>
      <c r="G81" s="451">
        <f t="shared" si="3"/>
        <v>35138.022100000002</v>
      </c>
      <c r="H81" s="451">
        <f t="shared" si="3"/>
        <v>35138.022100000002</v>
      </c>
      <c r="I81" s="451">
        <f t="shared" si="3"/>
        <v>35138.022100000002</v>
      </c>
      <c r="J81" t="s">
        <v>1313</v>
      </c>
      <c r="L81" s="546"/>
    </row>
    <row r="82" spans="1:12">
      <c r="A82" t="str">
        <f>nmReg1Seg3</f>
        <v>Harrenhal</v>
      </c>
      <c r="E82" s="451">
        <f t="shared" si="3"/>
        <v>35138.022100000002</v>
      </c>
      <c r="F82" s="451">
        <f t="shared" si="3"/>
        <v>35138.022100000002</v>
      </c>
      <c r="G82" s="451">
        <f t="shared" si="3"/>
        <v>35138.022100000002</v>
      </c>
      <c r="H82" s="451">
        <f t="shared" si="3"/>
        <v>35138.022100000002</v>
      </c>
      <c r="I82" s="451">
        <f t="shared" si="3"/>
        <v>35138.022100000002</v>
      </c>
      <c r="J82" t="s">
        <v>1314</v>
      </c>
      <c r="L82" s="546"/>
    </row>
    <row r="83" spans="1:12">
      <c r="A83" s="4" t="s">
        <v>1230</v>
      </c>
      <c r="E83" s="451"/>
      <c r="F83" s="451"/>
      <c r="G83" s="451"/>
      <c r="H83" s="451"/>
      <c r="I83" s="451"/>
      <c r="L83" s="546"/>
    </row>
    <row r="84" spans="1:12">
      <c r="A84" s="4" t="str">
        <f>nmPayer1</f>
        <v>Blue Sword/Blue Shield</v>
      </c>
      <c r="E84" s="451"/>
      <c r="F84" s="451"/>
      <c r="G84" s="451"/>
      <c r="H84" s="451"/>
      <c r="I84" s="451"/>
      <c r="L84" s="546"/>
    </row>
    <row r="85" spans="1:12">
      <c r="A85" t="str">
        <f>nmReg1</f>
        <v>The Region</v>
      </c>
      <c r="E85" s="464">
        <f>calcProd1Payer1ShareTotalCustR2</f>
        <v>5.4783203555241779E-3</v>
      </c>
      <c r="F85" s="464">
        <f>calcProd1Payer1ShareTotalCustR2</f>
        <v>5.4783203555241779E-3</v>
      </c>
      <c r="G85" s="464">
        <f>calcProd1Payer1ShareTotalCustR2</f>
        <v>5.4783203555241779E-3</v>
      </c>
      <c r="H85" s="464">
        <f>calcProd1Payer1ShareTotalCustR2</f>
        <v>5.4783203555241779E-3</v>
      </c>
      <c r="I85" s="464">
        <f>calcProd1Payer1ShareTotalCustR2</f>
        <v>5.4695837908514218E-3</v>
      </c>
      <c r="J85" s="465" t="s">
        <v>1315</v>
      </c>
      <c r="K85" s="465"/>
      <c r="L85" s="545"/>
    </row>
    <row r="86" spans="1:12">
      <c r="A86" t="str">
        <f>nmReg1Seg1</f>
        <v>Riverrun</v>
      </c>
      <c r="E86" s="464">
        <f>calcProd1Seg1Payer1ShareTotalCustR2</f>
        <v>5.2449090909090909E-3</v>
      </c>
      <c r="F86" s="464">
        <f>calcProd1Seg1Payer1ShareTotalCustR2</f>
        <v>5.2449090909090909E-3</v>
      </c>
      <c r="G86" s="464">
        <f>calcProd1Seg1Payer1ShareTotalCustR2</f>
        <v>5.2449090909090909E-3</v>
      </c>
      <c r="H86" s="464">
        <f>calcProd1Seg1Payer1ShareTotalCustR2</f>
        <v>5.2449090909090909E-3</v>
      </c>
      <c r="I86" s="464">
        <f>calcProd1Seg1Payer1ShareTotalCustR2</f>
        <v>5.2449090909090909E-3</v>
      </c>
      <c r="J86" s="465" t="s">
        <v>1316</v>
      </c>
      <c r="K86" s="465"/>
      <c r="L86" s="545"/>
    </row>
    <row r="87" spans="1:12">
      <c r="A87" t="str">
        <f>nmReg1Seg2</f>
        <v>Winterfell</v>
      </c>
      <c r="E87" s="464">
        <f>calcProd1Seg2Payer1ShareTotalCustR2</f>
        <v>6.4289999999999981E-3</v>
      </c>
      <c r="F87" s="464">
        <f>calcProd1Seg2Payer1ShareTotalCustR2</f>
        <v>6.4289999999999981E-3</v>
      </c>
      <c r="G87" s="464">
        <f>calcProd1Seg2Payer1ShareTotalCustR2</f>
        <v>6.4289999999999981E-3</v>
      </c>
      <c r="H87" s="464">
        <f>calcProd1Seg2Payer1ShareTotalCustR2</f>
        <v>6.4289999999999981E-3</v>
      </c>
      <c r="I87" s="464">
        <f>calcProd1Seg2Payer1ShareTotalCustR2</f>
        <v>6.4289999999999981E-3</v>
      </c>
      <c r="J87" s="465" t="s">
        <v>1317</v>
      </c>
      <c r="K87" s="465"/>
      <c r="L87" s="545"/>
    </row>
    <row r="88" spans="1:12">
      <c r="A88" t="str">
        <f>nmReg1Seg3</f>
        <v>Harrenhal</v>
      </c>
      <c r="E88" s="464">
        <f>calcProd1Seg3Payer1ShareTotalCustR2</f>
        <v>5.6199999999999983E-3</v>
      </c>
      <c r="F88" s="464">
        <f>calcProd1Seg3Payer1ShareTotalCustR2</f>
        <v>5.6199999999999983E-3</v>
      </c>
      <c r="G88" s="464">
        <f>calcProd1Seg3Payer1ShareTotalCustR2</f>
        <v>5.6199999999999983E-3</v>
      </c>
      <c r="H88" s="464">
        <f>calcProd1Seg3Payer1ShareTotalCustR2</f>
        <v>5.6199999999999983E-3</v>
      </c>
      <c r="I88" s="464">
        <f>calcProd1Seg3Payer1ShareTotalCustR2</f>
        <v>5.6199999999999983E-3</v>
      </c>
      <c r="J88" s="465" t="s">
        <v>1318</v>
      </c>
      <c r="K88" s="465"/>
      <c r="L88" s="545"/>
    </row>
    <row r="89" spans="1:12">
      <c r="E89" s="451"/>
      <c r="F89" s="451"/>
      <c r="G89" s="451"/>
      <c r="H89" s="451"/>
      <c r="I89" s="451"/>
      <c r="L89" s="546"/>
    </row>
    <row r="90" spans="1:12">
      <c r="A90" s="4" t="str">
        <f>nmPayer2</f>
        <v>WesterAid</v>
      </c>
      <c r="E90" s="451"/>
      <c r="F90" s="451"/>
      <c r="G90" s="451"/>
      <c r="H90" s="451"/>
      <c r="I90" s="451"/>
      <c r="L90" s="546"/>
    </row>
    <row r="91" spans="1:12">
      <c r="A91" t="str">
        <f>nmReg1</f>
        <v>The Region</v>
      </c>
      <c r="E91" s="464">
        <f>calcProd1Payer2ShareTotalCustR2</f>
        <v>1.1558201757067571E-4</v>
      </c>
      <c r="F91" s="464">
        <f>calcProd1Payer2ShareTotalCustR2</f>
        <v>1.1558201757067571E-4</v>
      </c>
      <c r="G91" s="464">
        <f>calcProd1Payer2ShareTotalCustR2</f>
        <v>1.1558201757067571E-4</v>
      </c>
      <c r="H91" s="464">
        <f>calcProd1Payer2ShareTotalCustR2</f>
        <v>1.1558201757067571E-4</v>
      </c>
      <c r="I91" s="464">
        <f>calcProd1Payer2ShareTotalCustR2</f>
        <v>1.0842652932130004E-4</v>
      </c>
      <c r="J91" s="465" t="s">
        <v>1319</v>
      </c>
      <c r="K91" s="465"/>
      <c r="L91" s="545"/>
    </row>
    <row r="92" spans="1:12">
      <c r="A92" t="str">
        <f>nmReg1Seg1</f>
        <v>Riverrun</v>
      </c>
      <c r="E92" s="464">
        <f>calcProd1Seg1Payer2ShareTotalCustR2</f>
        <v>1.2075000000000025E-4</v>
      </c>
      <c r="F92" s="464">
        <f>calcProd1Seg1Payer2ShareTotalCustR2</f>
        <v>1.2075000000000025E-4</v>
      </c>
      <c r="G92" s="464">
        <f>calcProd1Seg1Payer2ShareTotalCustR2</f>
        <v>1.2075000000000025E-4</v>
      </c>
      <c r="H92" s="464">
        <f>calcProd1Seg1Payer2ShareTotalCustR2</f>
        <v>1.2075000000000025E-4</v>
      </c>
      <c r="I92" s="464">
        <f>calcProd1Seg1Payer2ShareTotalCustR2</f>
        <v>1.2075000000000025E-4</v>
      </c>
      <c r="J92" s="465" t="s">
        <v>1320</v>
      </c>
      <c r="K92" s="465"/>
      <c r="L92" s="545"/>
    </row>
    <row r="93" spans="1:12">
      <c r="A93" t="str">
        <f>nmReg1Seg2</f>
        <v>Winterfell</v>
      </c>
      <c r="E93" s="464">
        <f>calcProd1Seg2Payer2ShareTotalCustR2</f>
        <v>5.9800000000000055E-4</v>
      </c>
      <c r="F93" s="464">
        <f>calcProd1Seg2Payer2ShareTotalCustR2</f>
        <v>5.9800000000000055E-4</v>
      </c>
      <c r="G93" s="464">
        <f>calcProd1Seg2Payer2ShareTotalCustR2</f>
        <v>5.9800000000000055E-4</v>
      </c>
      <c r="H93" s="464">
        <f>calcProd1Seg2Payer2ShareTotalCustR2</f>
        <v>5.9800000000000055E-4</v>
      </c>
      <c r="I93" s="464">
        <f>calcProd1Seg2Payer2ShareTotalCustR2</f>
        <v>5.9800000000000055E-4</v>
      </c>
      <c r="J93" s="465" t="s">
        <v>1321</v>
      </c>
      <c r="K93" s="465"/>
      <c r="L93" s="545"/>
    </row>
    <row r="94" spans="1:12">
      <c r="A94" t="str">
        <f>nmReg1Seg3</f>
        <v>Harrenhal</v>
      </c>
      <c r="E94" s="464">
        <f>calcProd1Seg3Payer2ShareTotalCustR2</f>
        <v>0</v>
      </c>
      <c r="F94" s="464">
        <f>calcProd1Seg3Payer2ShareTotalCustR2</f>
        <v>0</v>
      </c>
      <c r="G94" s="464">
        <f>calcProd1Seg3Payer2ShareTotalCustR2</f>
        <v>0</v>
      </c>
      <c r="H94" s="464">
        <f>calcProd1Seg3Payer2ShareTotalCustR2</f>
        <v>0</v>
      </c>
      <c r="I94" s="464">
        <f>calcProd1Seg3Payer2ShareTotalCustR2</f>
        <v>0</v>
      </c>
      <c r="J94" s="465" t="s">
        <v>1322</v>
      </c>
      <c r="K94" s="465"/>
      <c r="L94" s="545"/>
    </row>
    <row r="95" spans="1:12">
      <c r="E95" s="451"/>
      <c r="F95" s="451"/>
      <c r="G95" s="451"/>
      <c r="H95" s="451"/>
      <c r="I95" s="451"/>
      <c r="L95" s="546"/>
    </row>
    <row r="96" spans="1:12">
      <c r="A96" s="4" t="str">
        <f>nmPayer3</f>
        <v>Dragon Health</v>
      </c>
      <c r="E96" s="451"/>
      <c r="F96" s="451"/>
      <c r="G96" s="451"/>
      <c r="H96" s="451"/>
      <c r="I96" s="451"/>
      <c r="L96" s="546"/>
    </row>
    <row r="97" spans="1:12">
      <c r="A97" t="str">
        <f>nmReg1</f>
        <v>The Region</v>
      </c>
      <c r="E97" s="464">
        <f>calcProd1Payer3ShareTotalCustR2</f>
        <v>2.4978917036584058E-3</v>
      </c>
      <c r="F97" s="464">
        <f>calcProd1Payer3ShareTotalCustR2</f>
        <v>2.4978917036584058E-3</v>
      </c>
      <c r="G97" s="464">
        <f>calcProd1Payer3ShareTotalCustR2</f>
        <v>2.4978917036584058E-3</v>
      </c>
      <c r="H97" s="464">
        <f>calcProd1Payer3ShareTotalCustR2</f>
        <v>2.4978917036584058E-3</v>
      </c>
      <c r="I97" s="464">
        <f>calcProd1Payer3ShareTotalCustR2</f>
        <v>2.4896223913451689E-3</v>
      </c>
      <c r="J97" s="465" t="s">
        <v>1323</v>
      </c>
      <c r="K97" s="465"/>
      <c r="L97" s="545"/>
    </row>
    <row r="98" spans="1:12">
      <c r="A98" t="str">
        <f>nmReg1Seg1</f>
        <v>Riverrun</v>
      </c>
      <c r="E98" s="464">
        <f>calcProd1Seg1Payer3ShareTotalCustR2</f>
        <v>3.3672272727272743E-3</v>
      </c>
      <c r="F98" s="464">
        <f>calcProd1Seg1Payer3ShareTotalCustR2</f>
        <v>3.3672272727272743E-3</v>
      </c>
      <c r="G98" s="464">
        <f>calcProd1Seg1Payer3ShareTotalCustR2</f>
        <v>3.3672272727272743E-3</v>
      </c>
      <c r="H98" s="464">
        <f>calcProd1Seg1Payer3ShareTotalCustR2</f>
        <v>3.3672272727272743E-3</v>
      </c>
      <c r="I98" s="464">
        <f>calcProd1Seg1Payer3ShareTotalCustR2</f>
        <v>3.3672272727272743E-3</v>
      </c>
      <c r="J98" s="465" t="s">
        <v>1324</v>
      </c>
      <c r="K98" s="465"/>
      <c r="L98" s="545"/>
    </row>
    <row r="99" spans="1:12">
      <c r="A99" t="str">
        <f>nmReg1Seg2</f>
        <v>Winterfell</v>
      </c>
      <c r="E99" s="464">
        <f>calcProd1Seg2Payer3ShareTotalCustR2</f>
        <v>2.2911428571428579E-3</v>
      </c>
      <c r="F99" s="464">
        <f>calcProd1Seg2Payer3ShareTotalCustR2</f>
        <v>2.2911428571428579E-3</v>
      </c>
      <c r="G99" s="464">
        <f>calcProd1Seg2Payer3ShareTotalCustR2</f>
        <v>2.2911428571428579E-3</v>
      </c>
      <c r="H99" s="464">
        <f>calcProd1Seg2Payer3ShareTotalCustR2</f>
        <v>2.2911428571428579E-3</v>
      </c>
      <c r="I99" s="464">
        <f>calcProd1Seg2Payer3ShareTotalCustR2</f>
        <v>2.2911428571428579E-3</v>
      </c>
      <c r="J99" s="465" t="s">
        <v>1325</v>
      </c>
      <c r="K99" s="465"/>
      <c r="L99" s="545"/>
    </row>
    <row r="100" spans="1:12">
      <c r="A100" t="str">
        <f>nmReg1Seg3</f>
        <v>Harrenhal</v>
      </c>
      <c r="E100" s="464">
        <f>calcProd1Seg3Payer3ShareTotalCustR2</f>
        <v>2.8894736842105264E-3</v>
      </c>
      <c r="F100" s="464">
        <f>calcProd1Seg3Payer3ShareTotalCustR2</f>
        <v>2.8894736842105264E-3</v>
      </c>
      <c r="G100" s="464">
        <f>calcProd1Seg3Payer3ShareTotalCustR2</f>
        <v>2.8894736842105264E-3</v>
      </c>
      <c r="H100" s="464">
        <f>calcProd1Seg3Payer3ShareTotalCustR2</f>
        <v>2.8894736842105264E-3</v>
      </c>
      <c r="I100" s="464">
        <f>calcProd1Seg3Payer3ShareTotalCustR2</f>
        <v>2.8894736842105264E-3</v>
      </c>
      <c r="J100" s="465" t="s">
        <v>1326</v>
      </c>
      <c r="K100" s="465"/>
      <c r="L100" s="545"/>
    </row>
    <row r="101" spans="1:12">
      <c r="E101" s="451"/>
      <c r="F101" s="451"/>
      <c r="G101" s="451"/>
      <c r="H101" s="451"/>
      <c r="I101" s="451"/>
      <c r="L101" s="546"/>
    </row>
    <row r="102" spans="1:12">
      <c r="A102" s="4" t="str">
        <f>nmComp1</f>
        <v>Vibrant</v>
      </c>
      <c r="E102" s="451"/>
      <c r="F102" s="451"/>
      <c r="G102" s="451"/>
      <c r="H102" s="451"/>
      <c r="I102" s="451"/>
      <c r="L102" s="546"/>
    </row>
    <row r="103" spans="1:12">
      <c r="A103" s="4" t="str">
        <f>nmPayer1</f>
        <v>Blue Sword/Blue Shield</v>
      </c>
      <c r="E103" s="451"/>
      <c r="F103" s="451"/>
      <c r="G103" s="451"/>
      <c r="H103" s="451"/>
      <c r="I103" s="451"/>
      <c r="L103" s="546"/>
    </row>
    <row r="104" spans="1:12">
      <c r="A104" t="str">
        <f>nmReg1</f>
        <v>The Region</v>
      </c>
      <c r="E104" s="464">
        <f>calcReg1Comp1Payer1TotalShareR2</f>
        <v>1.2384676304074253E-2</v>
      </c>
      <c r="F104" s="464">
        <f>calcReg1Comp1Payer1TotalShareR2</f>
        <v>1.2384676304074253E-2</v>
      </c>
      <c r="G104" s="464">
        <f>calcReg1Comp1Payer1TotalShareR2</f>
        <v>1.2384676304074253E-2</v>
      </c>
      <c r="H104" s="464">
        <f>calcReg1Comp1Payer1TotalShareR2</f>
        <v>1.2384676304074253E-2</v>
      </c>
      <c r="I104" s="464">
        <f>calcReg1Comp1Payer1TotalShareR2</f>
        <v>1.2384676304074253E-2</v>
      </c>
      <c r="J104" s="465" t="s">
        <v>1327</v>
      </c>
      <c r="K104" s="465"/>
      <c r="L104" s="545"/>
    </row>
    <row r="105" spans="1:12">
      <c r="A105" t="str">
        <f>nmReg1Seg1</f>
        <v>Riverrun</v>
      </c>
      <c r="E105" s="464">
        <f>calcReg1Seg1Comp1Payer1TotalShareR2</f>
        <v>1.1516499999999997E-2</v>
      </c>
      <c r="F105" s="464">
        <f>calcReg1Seg1Comp1Payer1TotalShareR2</f>
        <v>1.1516499999999997E-2</v>
      </c>
      <c r="G105" s="464">
        <f>calcReg1Seg1Comp1Payer1TotalShareR2</f>
        <v>1.1516499999999997E-2</v>
      </c>
      <c r="H105" s="464">
        <f>calcReg1Seg1Comp1Payer1TotalShareR2</f>
        <v>1.1516499999999997E-2</v>
      </c>
      <c r="I105" s="464">
        <f>calcReg1Seg1Comp1Payer1TotalShareR2</f>
        <v>1.1516499999999997E-2</v>
      </c>
      <c r="J105" s="465" t="s">
        <v>1328</v>
      </c>
      <c r="K105" s="465"/>
      <c r="L105" s="545"/>
    </row>
    <row r="106" spans="1:12">
      <c r="A106" t="str">
        <f>nmReg1Seg2</f>
        <v>Winterfell</v>
      </c>
      <c r="E106" s="464">
        <f>calcReg1Seg2Comp1Payer1TotalShareR2</f>
        <v>8.6689999999999996E-3</v>
      </c>
      <c r="F106" s="464">
        <f>calcReg1Seg2Comp1Payer1TotalShareR2</f>
        <v>8.6689999999999996E-3</v>
      </c>
      <c r="G106" s="464">
        <f>calcReg1Seg2Comp1Payer1TotalShareR2</f>
        <v>8.6689999999999996E-3</v>
      </c>
      <c r="H106" s="464">
        <f>calcReg1Seg2Comp1Payer1TotalShareR2</f>
        <v>8.6689999999999996E-3</v>
      </c>
      <c r="I106" s="464">
        <f>calcReg1Seg2Comp1Payer1TotalShareR2</f>
        <v>8.6689999999999996E-3</v>
      </c>
      <c r="J106" s="465" t="s">
        <v>1329</v>
      </c>
      <c r="K106" s="465"/>
      <c r="L106" s="545"/>
    </row>
    <row r="107" spans="1:12">
      <c r="A107" t="str">
        <f>nmReg1Seg3</f>
        <v>Harrenhal</v>
      </c>
      <c r="E107" s="464">
        <f>calcReg1Seg3Comp1Payer1TotalShareR2</f>
        <v>1.816889473684211E-2</v>
      </c>
      <c r="F107" s="464">
        <f>calcReg1Seg3Comp1Payer1TotalShareR2</f>
        <v>1.816889473684211E-2</v>
      </c>
      <c r="G107" s="464">
        <f>calcReg1Seg3Comp1Payer1TotalShareR2</f>
        <v>1.816889473684211E-2</v>
      </c>
      <c r="H107" s="464">
        <f>calcReg1Seg3Comp1Payer1TotalShareR2</f>
        <v>1.816889473684211E-2</v>
      </c>
      <c r="I107" s="464">
        <f>calcReg1Seg3Comp1Payer1TotalShareR2</f>
        <v>1.816889473684211E-2</v>
      </c>
      <c r="J107" s="465" t="s">
        <v>1330</v>
      </c>
      <c r="K107" s="465"/>
      <c r="L107" s="545"/>
    </row>
    <row r="108" spans="1:12">
      <c r="E108" s="451"/>
      <c r="F108" s="451"/>
      <c r="G108" s="451"/>
      <c r="H108" s="451"/>
      <c r="I108" s="451" t="s">
        <v>677</v>
      </c>
      <c r="L108" s="546"/>
    </row>
    <row r="109" spans="1:12">
      <c r="A109" s="4" t="str">
        <f>nmPayer2</f>
        <v>WesterAid</v>
      </c>
      <c r="E109" s="451"/>
      <c r="F109" s="451"/>
      <c r="G109" s="451"/>
      <c r="H109" s="451"/>
      <c r="I109" s="451"/>
      <c r="L109" s="546"/>
    </row>
    <row r="110" spans="1:12">
      <c r="A110" t="str">
        <f>nmReg1</f>
        <v>The Region</v>
      </c>
      <c r="E110" s="464">
        <f>calcReg1Comp1Payer2TotalShareR2</f>
        <v>7.0620203668940503E-3</v>
      </c>
      <c r="F110" s="464">
        <f>calcReg1Comp1Payer2TotalShareR2</f>
        <v>7.0620203668940503E-3</v>
      </c>
      <c r="G110" s="464">
        <f>calcReg1Comp1Payer2TotalShareR2</f>
        <v>7.0620203668940503E-3</v>
      </c>
      <c r="H110" s="464">
        <f>calcReg1Comp1Payer2TotalShareR2</f>
        <v>7.0620203668940503E-3</v>
      </c>
      <c r="I110" s="464">
        <f>calcReg1Comp1Payer2TotalShareR2</f>
        <v>7.0620203668940503E-3</v>
      </c>
      <c r="J110" s="465" t="s">
        <v>1331</v>
      </c>
      <c r="K110" s="465"/>
      <c r="L110" s="545"/>
    </row>
    <row r="111" spans="1:12">
      <c r="A111" t="str">
        <f>nmReg1Seg1</f>
        <v>Riverrun</v>
      </c>
      <c r="E111" s="464">
        <f>calcReg1Seg1Comp1Payer2TotalShareR2</f>
        <v>7.499999999999998E-3</v>
      </c>
      <c r="F111" s="464">
        <f>calcReg1Seg1Comp1Payer2TotalShareR2</f>
        <v>7.499999999999998E-3</v>
      </c>
      <c r="G111" s="464">
        <f>calcReg1Seg1Comp1Payer2TotalShareR2</f>
        <v>7.499999999999998E-3</v>
      </c>
      <c r="H111" s="464">
        <f>calcReg1Seg1Comp1Payer2TotalShareR2</f>
        <v>7.499999999999998E-3</v>
      </c>
      <c r="I111" s="464">
        <f>calcReg1Seg1Comp1Payer2TotalShareR2</f>
        <v>7.499999999999998E-3</v>
      </c>
      <c r="J111" s="465" t="s">
        <v>1332</v>
      </c>
      <c r="K111" s="465"/>
      <c r="L111" s="545"/>
    </row>
    <row r="112" spans="1:12">
      <c r="A112" t="str">
        <f>nmReg1Seg2</f>
        <v>Winterfell</v>
      </c>
      <c r="E112" s="464">
        <f>calcReg1Seg2Comp1Payer2TotalShareR2</f>
        <v>1.232142857142857E-2</v>
      </c>
      <c r="F112" s="464">
        <f>calcReg1Seg2Comp1Payer2TotalShareR2</f>
        <v>1.232142857142857E-2</v>
      </c>
      <c r="G112" s="464">
        <f>calcReg1Seg2Comp1Payer2TotalShareR2</f>
        <v>1.232142857142857E-2</v>
      </c>
      <c r="H112" s="464">
        <f>calcReg1Seg2Comp1Payer2TotalShareR2</f>
        <v>1.232142857142857E-2</v>
      </c>
      <c r="I112" s="464">
        <f>calcReg1Seg2Comp1Payer2TotalShareR2</f>
        <v>1.232142857142857E-2</v>
      </c>
      <c r="J112" s="465" t="s">
        <v>1333</v>
      </c>
      <c r="K112" s="465"/>
      <c r="L112" s="545"/>
    </row>
    <row r="113" spans="1:12">
      <c r="A113" t="str">
        <f>nmReg1Seg3</f>
        <v>Harrenhal</v>
      </c>
      <c r="E113" s="464">
        <f>calcReg1Seg3Comp1Payer2TotalShareR2</f>
        <v>5.3906250000000005E-3</v>
      </c>
      <c r="F113" s="464">
        <f>calcReg1Seg3Comp1Payer2TotalShareR2</f>
        <v>5.3906250000000005E-3</v>
      </c>
      <c r="G113" s="464">
        <f>calcReg1Seg3Comp1Payer2TotalShareR2</f>
        <v>5.3906250000000005E-3</v>
      </c>
      <c r="H113" s="464">
        <f>calcReg1Seg3Comp1Payer2TotalShareR2</f>
        <v>5.3906250000000005E-3</v>
      </c>
      <c r="I113" s="464">
        <f>calcReg1Seg3Comp1Payer2TotalShareR2</f>
        <v>5.3906250000000005E-3</v>
      </c>
      <c r="J113" s="465" t="s">
        <v>1334</v>
      </c>
      <c r="K113" s="465"/>
      <c r="L113" s="545"/>
    </row>
    <row r="114" spans="1:12">
      <c r="E114" s="451"/>
      <c r="F114" s="451"/>
      <c r="G114" s="451"/>
      <c r="H114" s="451"/>
      <c r="I114" s="451" t="s">
        <v>677</v>
      </c>
      <c r="L114" s="546"/>
    </row>
    <row r="115" spans="1:12">
      <c r="A115" s="4" t="str">
        <f>nmPayer3</f>
        <v>Dragon Health</v>
      </c>
      <c r="E115" s="451"/>
      <c r="F115" s="451"/>
      <c r="G115" s="451"/>
      <c r="H115" s="451"/>
      <c r="I115" s="451"/>
      <c r="L115" s="546"/>
    </row>
    <row r="116" spans="1:12">
      <c r="A116" t="str">
        <f>nmReg1</f>
        <v>The Region</v>
      </c>
      <c r="E116" s="464">
        <f>calcReg1Comp1Payer3TotalShareR2</f>
        <v>8.1742101039863849E-3</v>
      </c>
      <c r="F116" s="464">
        <f>calcReg1Comp1Payer3TotalShareR2</f>
        <v>8.1742101039863849E-3</v>
      </c>
      <c r="G116" s="464">
        <f>calcReg1Comp1Payer3TotalShareR2</f>
        <v>8.1742101039863849E-3</v>
      </c>
      <c r="H116" s="464">
        <f>calcReg1Comp1Payer3TotalShareR2</f>
        <v>8.1742101039863849E-3</v>
      </c>
      <c r="I116" s="464">
        <f>calcReg1Comp1Payer3TotalShareR2</f>
        <v>8.1742101039863849E-3</v>
      </c>
      <c r="J116" s="465" t="s">
        <v>1335</v>
      </c>
      <c r="K116" s="465"/>
      <c r="L116" s="545"/>
    </row>
    <row r="117" spans="1:12">
      <c r="A117" t="str">
        <f>nmReg1Seg1</f>
        <v>Riverrun</v>
      </c>
      <c r="E117" s="464">
        <f>calcReg1Seg1Comp1Payer3TotalShareR2</f>
        <v>8.2277857142857135E-3</v>
      </c>
      <c r="F117" s="464">
        <f>calcReg1Seg1Comp1Payer3TotalShareR2</f>
        <v>8.2277857142857135E-3</v>
      </c>
      <c r="G117" s="464">
        <f>calcReg1Seg1Comp1Payer3TotalShareR2</f>
        <v>8.2277857142857135E-3</v>
      </c>
      <c r="H117" s="464">
        <f>calcReg1Seg1Comp1Payer3TotalShareR2</f>
        <v>8.2277857142857135E-3</v>
      </c>
      <c r="I117" s="464">
        <f>calcReg1Seg1Comp1Payer3TotalShareR2</f>
        <v>8.2277857142857135E-3</v>
      </c>
      <c r="J117" s="465" t="s">
        <v>1336</v>
      </c>
      <c r="K117" s="465"/>
      <c r="L117" s="545"/>
    </row>
    <row r="118" spans="1:12">
      <c r="A118" t="str">
        <f>nmReg1Seg2</f>
        <v>Winterfell</v>
      </c>
      <c r="E118" s="464">
        <f>calcReg1Seg2Comp1Payer3TotalShareR2</f>
        <v>6.6616153846153839E-3</v>
      </c>
      <c r="F118" s="464">
        <f>calcReg1Seg2Comp1Payer3TotalShareR2</f>
        <v>6.6616153846153839E-3</v>
      </c>
      <c r="G118" s="464">
        <f>calcReg1Seg2Comp1Payer3TotalShareR2</f>
        <v>6.6616153846153839E-3</v>
      </c>
      <c r="H118" s="464">
        <f>calcReg1Seg2Comp1Payer3TotalShareR2</f>
        <v>6.6616153846153839E-3</v>
      </c>
      <c r="I118" s="464">
        <f>calcReg1Seg2Comp1Payer3TotalShareR2</f>
        <v>6.6616153846153839E-3</v>
      </c>
      <c r="J118" s="465" t="s">
        <v>1337</v>
      </c>
      <c r="K118" s="465"/>
      <c r="L118" s="545"/>
    </row>
    <row r="119" spans="1:12">
      <c r="A119" t="str">
        <f>nmReg1Seg3</f>
        <v>Harrenhal</v>
      </c>
      <c r="E119" s="464">
        <f>calcReg1Seg3Comp1Payer3TotalShareR2</f>
        <v>9.5923333333333364E-3</v>
      </c>
      <c r="F119" s="464">
        <f>calcReg1Seg3Comp1Payer3TotalShareR2</f>
        <v>9.5923333333333364E-3</v>
      </c>
      <c r="G119" s="464">
        <f>calcReg1Seg3Comp1Payer3TotalShareR2</f>
        <v>9.5923333333333364E-3</v>
      </c>
      <c r="H119" s="464">
        <f>calcReg1Seg3Comp1Payer3TotalShareR2</f>
        <v>9.5923333333333364E-3</v>
      </c>
      <c r="I119" s="464">
        <f>calcReg1Seg3Comp1Payer3TotalShareR2</f>
        <v>9.5923333333333364E-3</v>
      </c>
      <c r="J119" s="465" t="s">
        <v>1338</v>
      </c>
      <c r="K119" s="465"/>
      <c r="L119" s="545"/>
    </row>
    <row r="120" spans="1:12">
      <c r="E120" s="451"/>
      <c r="F120" s="451"/>
      <c r="G120" s="451"/>
      <c r="H120" s="451"/>
      <c r="I120" s="451" t="s">
        <v>677</v>
      </c>
      <c r="L120" s="546"/>
    </row>
    <row r="121" spans="1:12">
      <c r="A121" s="4" t="str">
        <f>nmComp2</f>
        <v>Pristine</v>
      </c>
      <c r="E121" s="451"/>
      <c r="F121" s="451"/>
      <c r="G121" s="451"/>
      <c r="H121" s="451"/>
      <c r="I121" s="451"/>
      <c r="L121" s="546"/>
    </row>
    <row r="122" spans="1:12">
      <c r="A122" s="4" t="str">
        <f>nmPayer1</f>
        <v>Blue Sword/Blue Shield</v>
      </c>
      <c r="E122" s="451"/>
      <c r="F122" s="451"/>
      <c r="G122" s="451"/>
      <c r="H122" s="451"/>
      <c r="I122" s="451"/>
      <c r="L122" s="546"/>
    </row>
    <row r="123" spans="1:12">
      <c r="A123" t="str">
        <f>nmReg1</f>
        <v>The Region</v>
      </c>
      <c r="E123" s="464">
        <f>calcReg1Comp2Payer1TotalShareR2</f>
        <v>3.3059075811614325E-2</v>
      </c>
      <c r="F123" s="464">
        <f>calcReg1Comp2Payer1TotalShareR2</f>
        <v>3.3059075811614325E-2</v>
      </c>
      <c r="G123" s="464">
        <f>calcReg1Comp2Payer1TotalShareR2</f>
        <v>3.3059075811614325E-2</v>
      </c>
      <c r="H123" s="464">
        <f>calcReg1Comp2Payer1TotalShareR2</f>
        <v>3.3059075811614325E-2</v>
      </c>
      <c r="I123" s="464">
        <f>calcReg1Comp2Payer1TotalShareR2</f>
        <v>3.3059075811614325E-2</v>
      </c>
      <c r="J123" s="465" t="s">
        <v>1339</v>
      </c>
      <c r="K123" s="465"/>
      <c r="L123" s="545"/>
    </row>
    <row r="124" spans="1:12">
      <c r="A124" t="str">
        <f>nmReg1Seg1</f>
        <v>Riverrun</v>
      </c>
      <c r="E124" s="464">
        <f>calcReg1Seg1Comp2Payer1TotalShareR2</f>
        <v>3.0732666666666669E-2</v>
      </c>
      <c r="F124" s="464">
        <f>calcReg1Seg1Comp2Payer1TotalShareR2</f>
        <v>3.0732666666666669E-2</v>
      </c>
      <c r="G124" s="464">
        <f>calcReg1Seg1Comp2Payer1TotalShareR2</f>
        <v>3.0732666666666669E-2</v>
      </c>
      <c r="H124" s="464">
        <f>calcReg1Seg1Comp2Payer1TotalShareR2</f>
        <v>3.0732666666666669E-2</v>
      </c>
      <c r="I124" s="464">
        <f>calcReg1Seg1Comp2Payer1TotalShareR2</f>
        <v>3.0732666666666669E-2</v>
      </c>
      <c r="J124" s="465" t="s">
        <v>1340</v>
      </c>
      <c r="K124" s="465"/>
      <c r="L124" s="545"/>
    </row>
    <row r="125" spans="1:12">
      <c r="A125" t="str">
        <f>nmReg1Seg2</f>
        <v>Winterfell</v>
      </c>
      <c r="E125" s="464">
        <f>calcReg1Seg2Comp2Payer1TotalShareR2</f>
        <v>2.3175999999999999E-2</v>
      </c>
      <c r="F125" s="464">
        <f>calcReg1Seg2Comp2Payer1TotalShareR2</f>
        <v>2.3175999999999999E-2</v>
      </c>
      <c r="G125" s="464">
        <f>calcReg1Seg2Comp2Payer1TotalShareR2</f>
        <v>2.3175999999999999E-2</v>
      </c>
      <c r="H125" s="464">
        <f>calcReg1Seg2Comp2Payer1TotalShareR2</f>
        <v>2.3175999999999999E-2</v>
      </c>
      <c r="I125" s="464">
        <f>calcReg1Seg2Comp2Payer1TotalShareR2</f>
        <v>2.3175999999999999E-2</v>
      </c>
      <c r="J125" s="465" t="s">
        <v>1341</v>
      </c>
      <c r="K125" s="465"/>
      <c r="L125" s="545"/>
    </row>
    <row r="126" spans="1:12">
      <c r="A126" t="str">
        <f>nmReg1Seg3</f>
        <v>Harrenhal</v>
      </c>
      <c r="E126" s="464">
        <f>calcReg1Seg3Comp2Payer1TotalShareR2</f>
        <v>4.846505263157895E-2</v>
      </c>
      <c r="F126" s="464">
        <f>calcReg1Seg3Comp2Payer1TotalShareR2</f>
        <v>4.846505263157895E-2</v>
      </c>
      <c r="G126" s="464">
        <f>calcReg1Seg3Comp2Payer1TotalShareR2</f>
        <v>4.846505263157895E-2</v>
      </c>
      <c r="H126" s="464">
        <f>calcReg1Seg3Comp2Payer1TotalShareR2</f>
        <v>4.846505263157895E-2</v>
      </c>
      <c r="I126" s="464">
        <f>calcReg1Seg3Comp2Payer1TotalShareR2</f>
        <v>4.846505263157895E-2</v>
      </c>
      <c r="J126" s="465" t="s">
        <v>1342</v>
      </c>
      <c r="K126" s="465"/>
      <c r="L126" s="545"/>
    </row>
    <row r="127" spans="1:12">
      <c r="E127" s="451"/>
      <c r="F127" s="451"/>
      <c r="G127" s="451"/>
      <c r="H127" s="451"/>
      <c r="I127" s="451" t="s">
        <v>677</v>
      </c>
      <c r="L127" s="546"/>
    </row>
    <row r="128" spans="1:12">
      <c r="A128" s="4" t="str">
        <f>nmPayer2</f>
        <v>WesterAid</v>
      </c>
      <c r="E128" s="451"/>
      <c r="F128" s="451"/>
      <c r="G128" s="451"/>
      <c r="H128" s="451"/>
      <c r="I128" s="451"/>
      <c r="L128" s="546"/>
    </row>
    <row r="129" spans="1:12">
      <c r="A129" t="str">
        <f>nmReg1</f>
        <v>The Region</v>
      </c>
      <c r="E129" s="464">
        <f>calcReg1Comp2Payer2TotalShareR2</f>
        <v>1.8832054311717472E-2</v>
      </c>
      <c r="F129" s="464">
        <f>calcReg1Comp2Payer2TotalShareR2</f>
        <v>1.8832054311717472E-2</v>
      </c>
      <c r="G129" s="464">
        <f>calcReg1Comp2Payer2TotalShareR2</f>
        <v>1.8832054311717472E-2</v>
      </c>
      <c r="H129" s="464">
        <f>calcReg1Comp2Payer2TotalShareR2</f>
        <v>1.8832054311717472E-2</v>
      </c>
      <c r="I129" s="464">
        <f>calcReg1Comp2Payer2TotalShareR2</f>
        <v>1.8832054311717472E-2</v>
      </c>
      <c r="J129" s="465" t="s">
        <v>1343</v>
      </c>
      <c r="K129" s="465"/>
      <c r="L129" s="545"/>
    </row>
    <row r="130" spans="1:12">
      <c r="A130" t="str">
        <f>nmReg1Seg1</f>
        <v>Riverrun</v>
      </c>
      <c r="E130" s="464">
        <f>calcReg1Seg1Comp2Payer2TotalShareR2</f>
        <v>0.02</v>
      </c>
      <c r="F130" s="464">
        <f>calcReg1Seg1Comp2Payer2TotalShareR2</f>
        <v>0.02</v>
      </c>
      <c r="G130" s="464">
        <f>calcReg1Seg1Comp2Payer2TotalShareR2</f>
        <v>0.02</v>
      </c>
      <c r="H130" s="464">
        <f>calcReg1Seg1Comp2Payer2TotalShareR2</f>
        <v>0.02</v>
      </c>
      <c r="I130" s="464">
        <f>calcReg1Seg1Comp2Payer2TotalShareR2</f>
        <v>0.02</v>
      </c>
      <c r="J130" s="465" t="s">
        <v>1344</v>
      </c>
      <c r="K130" s="465"/>
      <c r="L130" s="545"/>
    </row>
    <row r="131" spans="1:12">
      <c r="A131" t="str">
        <f>nmReg1Seg2</f>
        <v>Winterfell</v>
      </c>
      <c r="E131" s="464">
        <f>calcReg1Seg2Comp2Payer2TotalShareR2</f>
        <v>3.2857142857142856E-2</v>
      </c>
      <c r="F131" s="464">
        <f>calcReg1Seg2Comp2Payer2TotalShareR2</f>
        <v>3.2857142857142856E-2</v>
      </c>
      <c r="G131" s="464">
        <f>calcReg1Seg2Comp2Payer2TotalShareR2</f>
        <v>3.2857142857142856E-2</v>
      </c>
      <c r="H131" s="464">
        <f>calcReg1Seg2Comp2Payer2TotalShareR2</f>
        <v>3.2857142857142856E-2</v>
      </c>
      <c r="I131" s="464">
        <f>calcReg1Seg2Comp2Payer2TotalShareR2</f>
        <v>3.2857142857142856E-2</v>
      </c>
      <c r="J131" s="465" t="s">
        <v>1345</v>
      </c>
      <c r="K131" s="465"/>
      <c r="L131" s="545"/>
    </row>
    <row r="132" spans="1:12">
      <c r="A132" t="str">
        <f>nmReg1Seg3</f>
        <v>Harrenhal</v>
      </c>
      <c r="E132" s="464">
        <f>calcReg1Seg3Comp2Payer2TotalShareR2</f>
        <v>1.4374999999999999E-2</v>
      </c>
      <c r="F132" s="464">
        <f>calcReg1Seg3Comp2Payer2TotalShareR2</f>
        <v>1.4374999999999999E-2</v>
      </c>
      <c r="G132" s="464">
        <f>calcReg1Seg3Comp2Payer2TotalShareR2</f>
        <v>1.4374999999999999E-2</v>
      </c>
      <c r="H132" s="464">
        <f>calcReg1Seg3Comp2Payer2TotalShareR2</f>
        <v>1.4374999999999999E-2</v>
      </c>
      <c r="I132" s="464">
        <f>calcReg1Seg3Comp2Payer2TotalShareR2</f>
        <v>1.4374999999999999E-2</v>
      </c>
      <c r="J132" s="465" t="s">
        <v>1346</v>
      </c>
      <c r="K132" s="465"/>
      <c r="L132" s="545"/>
    </row>
    <row r="133" spans="1:12">
      <c r="E133" s="451"/>
      <c r="F133" s="451"/>
      <c r="G133" s="451"/>
      <c r="H133" s="451"/>
      <c r="I133" s="451" t="s">
        <v>677</v>
      </c>
      <c r="L133" s="546"/>
    </row>
    <row r="134" spans="1:12">
      <c r="A134" s="4" t="str">
        <f>nmPayer3</f>
        <v>Dragon Health</v>
      </c>
      <c r="E134" s="451"/>
      <c r="F134" s="451"/>
      <c r="G134" s="451"/>
      <c r="H134" s="451"/>
      <c r="I134" s="451"/>
      <c r="L134" s="546"/>
    </row>
    <row r="135" spans="1:12">
      <c r="A135" t="str">
        <f>nmReg1</f>
        <v>The Region</v>
      </c>
      <c r="E135" s="464">
        <f>calcReg1Comp2Payer3TotalShareR2</f>
        <v>2.1819858857903711E-2</v>
      </c>
      <c r="F135" s="464">
        <f>calcReg1Comp2Payer3TotalShareR2</f>
        <v>2.1819858857903711E-2</v>
      </c>
      <c r="G135" s="464">
        <f>calcReg1Comp2Payer3TotalShareR2</f>
        <v>2.1819858857903711E-2</v>
      </c>
      <c r="H135" s="464">
        <f>calcReg1Comp2Payer3TotalShareR2</f>
        <v>2.1819858857903711E-2</v>
      </c>
      <c r="I135" s="464">
        <f>calcReg1Comp2Payer3TotalShareR2</f>
        <v>2.1819858857903711E-2</v>
      </c>
      <c r="J135" s="465" t="s">
        <v>1347</v>
      </c>
      <c r="K135" s="465"/>
      <c r="L135" s="545"/>
    </row>
    <row r="136" spans="1:12">
      <c r="A136" t="str">
        <f>nmReg1Seg1</f>
        <v>Riverrun</v>
      </c>
      <c r="E136" s="464">
        <f>calcReg1Seg1Comp2Payer3TotalShareR2</f>
        <v>2.1958761904761905E-2</v>
      </c>
      <c r="F136" s="464">
        <f>calcReg1Seg1Comp2Payer3TotalShareR2</f>
        <v>2.1958761904761905E-2</v>
      </c>
      <c r="G136" s="464">
        <f>calcReg1Seg1Comp2Payer3TotalShareR2</f>
        <v>2.1958761904761905E-2</v>
      </c>
      <c r="H136" s="464">
        <f>calcReg1Seg1Comp2Payer3TotalShareR2</f>
        <v>2.1958761904761905E-2</v>
      </c>
      <c r="I136" s="464">
        <f>calcReg1Seg1Comp2Payer3TotalShareR2</f>
        <v>2.1958761904761905E-2</v>
      </c>
      <c r="J136" s="465" t="s">
        <v>1348</v>
      </c>
      <c r="K136" s="465"/>
      <c r="L136" s="545"/>
    </row>
    <row r="137" spans="1:12">
      <c r="A137" t="str">
        <f>nmReg1Seg2</f>
        <v>Winterfell</v>
      </c>
      <c r="E137" s="464">
        <f>calcReg1Seg2Comp2Payer3TotalShareR2</f>
        <v>1.7800307692307692E-2</v>
      </c>
      <c r="F137" s="464">
        <f>calcReg1Seg2Comp2Payer3TotalShareR2</f>
        <v>1.7800307692307692E-2</v>
      </c>
      <c r="G137" s="464">
        <f>calcReg1Seg2Comp2Payer3TotalShareR2</f>
        <v>1.7800307692307692E-2</v>
      </c>
      <c r="H137" s="464">
        <f>calcReg1Seg2Comp2Payer3TotalShareR2</f>
        <v>1.7800307692307692E-2</v>
      </c>
      <c r="I137" s="464">
        <f>calcReg1Seg2Comp2Payer3TotalShareR2</f>
        <v>1.7800307692307692E-2</v>
      </c>
      <c r="J137" s="465" t="s">
        <v>1349</v>
      </c>
      <c r="K137" s="465"/>
      <c r="L137" s="545"/>
    </row>
    <row r="138" spans="1:12">
      <c r="A138" t="str">
        <f>nmReg1Seg3</f>
        <v>Harrenhal</v>
      </c>
      <c r="E138" s="464">
        <f>calcReg1Seg3Comp2Payer3TotalShareR2</f>
        <v>2.5591555555555558E-2</v>
      </c>
      <c r="F138" s="464">
        <f>calcReg1Seg3Comp2Payer3TotalShareR2</f>
        <v>2.5591555555555558E-2</v>
      </c>
      <c r="G138" s="464">
        <f>calcReg1Seg3Comp2Payer3TotalShareR2</f>
        <v>2.5591555555555558E-2</v>
      </c>
      <c r="H138" s="464">
        <f>calcReg1Seg3Comp2Payer3TotalShareR2</f>
        <v>2.5591555555555558E-2</v>
      </c>
      <c r="I138" s="464">
        <f>calcReg1Seg3Comp2Payer3TotalShareR2</f>
        <v>2.5591555555555558E-2</v>
      </c>
      <c r="J138" s="465" t="s">
        <v>1350</v>
      </c>
      <c r="K138" s="465"/>
      <c r="L138" s="545"/>
    </row>
    <row r="139" spans="1:12">
      <c r="E139" s="451"/>
      <c r="F139" s="451"/>
      <c r="G139" s="451"/>
      <c r="H139" s="451"/>
      <c r="I139" s="451" t="s">
        <v>677</v>
      </c>
      <c r="L139" s="546"/>
    </row>
    <row r="140" spans="1:12">
      <c r="A140" s="4" t="s">
        <v>1417</v>
      </c>
      <c r="E140" s="451"/>
      <c r="F140" s="451"/>
      <c r="G140" s="451"/>
      <c r="H140" s="451"/>
      <c r="I140" s="451"/>
      <c r="L140" s="546"/>
    </row>
    <row r="141" spans="1:12">
      <c r="A141" s="4" t="str">
        <f>nmPayer1</f>
        <v>Blue Sword/Blue Shield</v>
      </c>
      <c r="E141" s="451"/>
      <c r="F141" s="451"/>
      <c r="G141" s="451"/>
      <c r="H141" s="451"/>
      <c r="I141" s="451"/>
      <c r="L141" s="546"/>
    </row>
    <row r="142" spans="1:12">
      <c r="A142" t="str">
        <f>nmReg1</f>
        <v>The Region</v>
      </c>
      <c r="E142" s="451">
        <f>calcReg1Payer1TotalCustR2</f>
        <v>666.48873510086082</v>
      </c>
      <c r="F142" s="451">
        <f>calcReg1Payer1TotalCustR2</f>
        <v>666.48873510086082</v>
      </c>
      <c r="G142" s="451">
        <f>calcReg1Payer1TotalCustR2</f>
        <v>666.48873510086082</v>
      </c>
      <c r="H142" s="451">
        <f>calcReg1Payer1TotalCustR2</f>
        <v>666.48873510086082</v>
      </c>
      <c r="I142" s="451">
        <f>calcReg1Payer1TotalCustR2</f>
        <v>666.48873510086082</v>
      </c>
      <c r="J142" s="465" t="s">
        <v>1431</v>
      </c>
      <c r="K142" s="465"/>
      <c r="L142" s="546"/>
    </row>
    <row r="143" spans="1:12">
      <c r="A143" t="str">
        <f>nmReg1Seg1</f>
        <v>Riverrun</v>
      </c>
      <c r="E143" s="451">
        <f>calcReg1Seg1Payer1VolumeR2</f>
        <v>182.07928210457996</v>
      </c>
      <c r="F143" s="451">
        <f>calcReg1Seg1Payer1VolumeR2</f>
        <v>182.07928210457996</v>
      </c>
      <c r="G143" s="451">
        <f>calcReg1Seg1Payer1VolumeR2</f>
        <v>182.07928210457996</v>
      </c>
      <c r="H143" s="451">
        <f>calcReg1Seg1Payer1VolumeR2</f>
        <v>182.07928210457996</v>
      </c>
      <c r="I143" s="451">
        <f>calcReg1Seg1Payer1VolumeR2</f>
        <v>182.07928210457996</v>
      </c>
      <c r="J143" s="465" t="s">
        <v>1432</v>
      </c>
      <c r="K143" s="465"/>
      <c r="L143" s="546"/>
    </row>
    <row r="144" spans="1:12">
      <c r="A144" t="str">
        <f>nmReg1Seg2</f>
        <v>Winterfell</v>
      </c>
      <c r="E144" s="451">
        <f>calcReg1Seg2Payer1VolumeR2</f>
        <v>220.55969863356006</v>
      </c>
      <c r="F144" s="451">
        <f>calcReg1Seg2Payer1VolumeR2</f>
        <v>220.55969863356006</v>
      </c>
      <c r="G144" s="451">
        <f>calcReg1Seg2Payer1VolumeR2</f>
        <v>220.55969863356006</v>
      </c>
      <c r="H144" s="451">
        <f>calcReg1Seg2Payer1VolumeR2</f>
        <v>220.55969863356006</v>
      </c>
      <c r="I144" s="451">
        <f>calcReg1Seg2Payer1VolumeR2</f>
        <v>220.55969863356006</v>
      </c>
      <c r="J144" s="465" t="s">
        <v>1433</v>
      </c>
      <c r="K144" s="465"/>
      <c r="L144" s="546"/>
    </row>
    <row r="145" spans="1:12">
      <c r="A145" t="str">
        <f>nmReg1Seg3</f>
        <v>Harrenhal</v>
      </c>
      <c r="E145" s="451">
        <f>calcReg1Seg3Payer1VolumeR2</f>
        <v>263.84975436272089</v>
      </c>
      <c r="F145" s="451">
        <f>calcReg1Seg3Payer1VolumeR2</f>
        <v>263.84975436272089</v>
      </c>
      <c r="G145" s="451">
        <f>calcReg1Seg3Payer1VolumeR2</f>
        <v>263.84975436272089</v>
      </c>
      <c r="H145" s="451">
        <f>calcReg1Seg3Payer1VolumeR2</f>
        <v>263.84975436272089</v>
      </c>
      <c r="I145" s="451">
        <f>calcReg1Seg3Payer1VolumeR2</f>
        <v>263.84975436272089</v>
      </c>
      <c r="J145" s="465" t="s">
        <v>1434</v>
      </c>
      <c r="K145" s="465"/>
      <c r="L145" s="546"/>
    </row>
    <row r="146" spans="1:12">
      <c r="E146" s="451"/>
      <c r="F146" s="451"/>
      <c r="G146" s="451"/>
      <c r="H146" s="451"/>
      <c r="I146" s="451"/>
      <c r="L146" s="546"/>
    </row>
    <row r="147" spans="1:12">
      <c r="A147" s="4" t="str">
        <f>nmPayer2</f>
        <v>WesterAid</v>
      </c>
      <c r="E147" s="451"/>
      <c r="F147" s="451"/>
      <c r="G147" s="451"/>
      <c r="H147" s="451"/>
      <c r="I147" s="451"/>
      <c r="L147" s="546"/>
    </row>
    <row r="148" spans="1:12">
      <c r="A148" t="str">
        <f>nmReg1</f>
        <v>The Region</v>
      </c>
      <c r="E148" s="451">
        <f>calcReg1Payer2TotalCustR2</f>
        <v>0</v>
      </c>
      <c r="F148" s="451">
        <f>calcReg1Payer2TotalCustR2</f>
        <v>0</v>
      </c>
      <c r="G148" s="451">
        <f>calcReg1Payer2TotalCustR2</f>
        <v>0</v>
      </c>
      <c r="H148" s="451">
        <f>calcReg1Payer2TotalCustR2</f>
        <v>0</v>
      </c>
      <c r="I148" s="451">
        <f>calcReg1Payer2TotalCustR2</f>
        <v>0</v>
      </c>
      <c r="J148" s="465" t="s">
        <v>1435</v>
      </c>
      <c r="K148" s="465"/>
      <c r="L148" s="546"/>
    </row>
    <row r="149" spans="1:12">
      <c r="A149" t="str">
        <f>nmReg1Seg1</f>
        <v>Riverrun</v>
      </c>
      <c r="E149" s="451">
        <f>calcReg1Seg1Payer2VolumeR2</f>
        <v>0</v>
      </c>
      <c r="F149" s="451">
        <f>calcReg1Seg1Payer2VolumeR2</f>
        <v>0</v>
      </c>
      <c r="G149" s="451">
        <f>calcReg1Seg1Payer2VolumeR2</f>
        <v>0</v>
      </c>
      <c r="H149" s="451">
        <f>calcReg1Seg1Payer2VolumeR2</f>
        <v>0</v>
      </c>
      <c r="I149" s="451">
        <f>calcReg1Seg1Payer2VolumeR2</f>
        <v>0</v>
      </c>
      <c r="J149" s="465" t="s">
        <v>1436</v>
      </c>
      <c r="K149" s="465"/>
      <c r="L149" s="546"/>
    </row>
    <row r="150" spans="1:12">
      <c r="A150" t="str">
        <f>nmReg1Seg2</f>
        <v>Winterfell</v>
      </c>
      <c r="E150" s="451">
        <f>calcReg1Seg2Payer2VolumeR2</f>
        <v>0</v>
      </c>
      <c r="F150" s="451">
        <f>calcReg1Seg2Payer2VolumeR2</f>
        <v>0</v>
      </c>
      <c r="G150" s="451">
        <f>calcReg1Seg2Payer2VolumeR2</f>
        <v>0</v>
      </c>
      <c r="H150" s="451">
        <f>calcReg1Seg2Payer2VolumeR2</f>
        <v>0</v>
      </c>
      <c r="I150" s="451">
        <f>calcReg1Seg2Payer2VolumeR2</f>
        <v>0</v>
      </c>
      <c r="J150" s="465" t="s">
        <v>1437</v>
      </c>
      <c r="K150" s="465"/>
      <c r="L150" s="546"/>
    </row>
    <row r="151" spans="1:12">
      <c r="A151" t="str">
        <f>nmReg1Seg3</f>
        <v>Harrenhal</v>
      </c>
      <c r="E151" s="451">
        <f>calcReg1Seg3Payer2VolumeR2</f>
        <v>0</v>
      </c>
      <c r="F151" s="451">
        <f>calcReg1Seg3Payer2VolumeR2</f>
        <v>0</v>
      </c>
      <c r="G151" s="451">
        <f>calcReg1Seg3Payer2VolumeR2</f>
        <v>0</v>
      </c>
      <c r="H151" s="451">
        <f>calcReg1Seg3Payer2VolumeR2</f>
        <v>0</v>
      </c>
      <c r="I151" s="451">
        <f>calcReg1Seg3Payer2VolumeR2</f>
        <v>0</v>
      </c>
      <c r="J151" s="465" t="s">
        <v>1438</v>
      </c>
      <c r="K151" s="465"/>
      <c r="L151" s="546"/>
    </row>
    <row r="152" spans="1:12">
      <c r="E152" s="451"/>
      <c r="F152" s="451"/>
      <c r="G152" s="451"/>
      <c r="H152" s="451"/>
      <c r="I152" s="451"/>
      <c r="L152" s="546"/>
    </row>
    <row r="153" spans="1:12">
      <c r="A153" s="4" t="str">
        <f>nmPayer3</f>
        <v>Dragon Health</v>
      </c>
      <c r="E153" s="451"/>
      <c r="F153" s="451"/>
      <c r="G153" s="451"/>
      <c r="H153" s="451"/>
      <c r="I153" s="451"/>
      <c r="L153" s="546"/>
    </row>
    <row r="154" spans="1:12">
      <c r="A154" t="str">
        <f>nmReg1</f>
        <v>The Region</v>
      </c>
      <c r="E154" s="451">
        <f>calcReg1Payer3TotalCustR2</f>
        <v>659.06014798209253</v>
      </c>
      <c r="F154" s="451">
        <f>calcReg1Payer3TotalCustR2</f>
        <v>659.06014798209253</v>
      </c>
      <c r="G154" s="451">
        <f>calcReg1Payer3TotalCustR2</f>
        <v>659.06014798209253</v>
      </c>
      <c r="H154" s="451">
        <f>calcReg1Payer3TotalCustR2</f>
        <v>659.06014798209253</v>
      </c>
      <c r="I154" s="451">
        <f>calcReg1Payer3TotalCustR2</f>
        <v>659.06014798209253</v>
      </c>
      <c r="J154" s="465" t="s">
        <v>1439</v>
      </c>
      <c r="K154" s="465"/>
      <c r="L154" s="546"/>
    </row>
    <row r="155" spans="1:12">
      <c r="A155" t="str">
        <f>nmReg1Seg1</f>
        <v>Riverrun</v>
      </c>
      <c r="E155" s="451">
        <f>calcReg1Seg1Payer3VolumeR2</f>
        <v>227.51951887929002</v>
      </c>
      <c r="F155" s="451">
        <f>calcReg1Seg1Payer3VolumeR2</f>
        <v>227.51951887929002</v>
      </c>
      <c r="G155" s="451">
        <f>calcReg1Seg1Payer3VolumeR2</f>
        <v>227.51951887929002</v>
      </c>
      <c r="H155" s="451">
        <f>calcReg1Seg1Payer3VolumeR2</f>
        <v>227.51951887929002</v>
      </c>
      <c r="I155" s="451">
        <f>calcReg1Seg1Payer3VolumeR2</f>
        <v>227.51951887929002</v>
      </c>
      <c r="J155" s="465" t="s">
        <v>1440</v>
      </c>
      <c r="K155" s="465"/>
      <c r="L155" s="546"/>
    </row>
    <row r="156" spans="1:12">
      <c r="A156" t="str">
        <f>nmReg1Seg2</f>
        <v>Winterfell</v>
      </c>
      <c r="E156" s="451">
        <f>calcReg1Seg2Payer3VolumeR2</f>
        <v>204.72242824828905</v>
      </c>
      <c r="F156" s="451">
        <f>calcReg1Seg2Payer3VolumeR2</f>
        <v>204.72242824828905</v>
      </c>
      <c r="G156" s="451">
        <f>calcReg1Seg2Payer3VolumeR2</f>
        <v>204.72242824828905</v>
      </c>
      <c r="H156" s="451">
        <f>calcReg1Seg2Payer3VolumeR2</f>
        <v>204.72242824828905</v>
      </c>
      <c r="I156" s="451">
        <f>calcReg1Seg2Payer3VolumeR2</f>
        <v>204.72242824828905</v>
      </c>
      <c r="J156" s="465" t="s">
        <v>1441</v>
      </c>
      <c r="K156" s="465"/>
      <c r="L156" s="546"/>
    </row>
    <row r="157" spans="1:12">
      <c r="A157" t="str">
        <f>nmReg1Seg3</f>
        <v>Harrenhal</v>
      </c>
      <c r="E157" s="451">
        <f>calcReg1Seg3Payer3VolumeR2</f>
        <v>226.81820085451341</v>
      </c>
      <c r="F157" s="451">
        <f>calcReg1Seg3Payer3VolumeR2</f>
        <v>226.81820085451341</v>
      </c>
      <c r="G157" s="451">
        <f>calcReg1Seg3Payer3VolumeR2</f>
        <v>226.81820085451341</v>
      </c>
      <c r="H157" s="451">
        <f>calcReg1Seg3Payer3VolumeR2</f>
        <v>226.81820085451341</v>
      </c>
      <c r="I157" s="451">
        <f>calcReg1Seg3Payer3VolumeR2</f>
        <v>226.81820085451341</v>
      </c>
      <c r="J157" s="465" t="s">
        <v>1442</v>
      </c>
      <c r="K157" s="465"/>
      <c r="L157" s="546"/>
    </row>
    <row r="158" spans="1:12">
      <c r="E158" s="451"/>
      <c r="F158" s="451"/>
      <c r="G158" s="451"/>
      <c r="H158" s="451"/>
      <c r="I158" s="451"/>
      <c r="L158" s="546"/>
    </row>
    <row r="159" spans="1:12" s="453" customFormat="1">
      <c r="A159" s="453" t="s">
        <v>1077</v>
      </c>
      <c r="E159" s="454"/>
      <c r="F159" s="454"/>
      <c r="G159" s="454"/>
      <c r="H159" s="454"/>
      <c r="I159" s="454"/>
      <c r="L159" s="545"/>
    </row>
    <row r="160" spans="1:12">
      <c r="A160" s="444" t="s">
        <v>841</v>
      </c>
      <c r="E160" s="81"/>
      <c r="F160" s="81"/>
      <c r="G160" s="81"/>
      <c r="H160" s="81"/>
      <c r="I160" s="81"/>
      <c r="L160" s="139"/>
    </row>
    <row r="161" spans="1:12">
      <c r="A161" s="16" t="str">
        <f>nmProd1</f>
        <v>Riverrun</v>
      </c>
      <c r="E161" s="529">
        <f>calcProd1ShareTotalCustR2</f>
        <v>3.0208158887858241E-3</v>
      </c>
      <c r="F161" s="529">
        <f>calcProd1ShareTotalCustR2</f>
        <v>3.0208158887858241E-3</v>
      </c>
      <c r="G161" s="529">
        <f>calcProd1ShareTotalCustR2</f>
        <v>3.0208158887858241E-3</v>
      </c>
      <c r="H161" s="529">
        <f>calcProd1ShareTotalCustR2</f>
        <v>3.0208158887858241E-3</v>
      </c>
      <c r="I161" s="529">
        <f>calcProd1ShareTotalCustR2</f>
        <v>3.0126604972193572E-3</v>
      </c>
      <c r="J161" t="s">
        <v>878</v>
      </c>
      <c r="L161" s="545"/>
    </row>
    <row r="162" spans="1:12">
      <c r="A162" t="str">
        <f>nmProd1Seg1</f>
        <v>Riverrun Central</v>
      </c>
      <c r="E162" s="529">
        <f>calcProd1Seg1ShareTotalCustR2</f>
        <v>3.369968000000001E-3</v>
      </c>
      <c r="F162" s="529">
        <f>calcProd1Seg1ShareTotalCustR2</f>
        <v>3.369968000000001E-3</v>
      </c>
      <c r="G162" s="529">
        <f>calcProd1Seg1ShareTotalCustR2</f>
        <v>3.369968000000001E-3</v>
      </c>
      <c r="H162" s="529">
        <f>calcProd1Seg1ShareTotalCustR2</f>
        <v>3.369968000000001E-3</v>
      </c>
      <c r="I162" s="529">
        <f>calcProd1Seg1ShareTotalCustR2</f>
        <v>3.369968000000001E-3</v>
      </c>
      <c r="J162" t="s">
        <v>879</v>
      </c>
      <c r="L162" s="545"/>
    </row>
    <row r="163" spans="1:12">
      <c r="A163" t="str">
        <f>nmProd1Seg2</f>
        <v>Tullyville</v>
      </c>
      <c r="E163" s="529">
        <f>calcProd1Seg2ShareTotalCustR2</f>
        <v>3.4594784722222216E-3</v>
      </c>
      <c r="F163" s="529">
        <f>calcProd1Seg2ShareTotalCustR2</f>
        <v>3.4594784722222216E-3</v>
      </c>
      <c r="G163" s="529">
        <f>calcProd1Seg2ShareTotalCustR2</f>
        <v>3.4594784722222216E-3</v>
      </c>
      <c r="H163" s="529">
        <f>calcProd1Seg2ShareTotalCustR2</f>
        <v>3.4594784722222216E-3</v>
      </c>
      <c r="I163" s="529">
        <f>calcProd1Seg2ShareTotalCustR2</f>
        <v>3.434711805555555E-3</v>
      </c>
      <c r="J163" t="s">
        <v>880</v>
      </c>
      <c r="L163" s="545"/>
    </row>
    <row r="164" spans="1:12">
      <c r="A164" t="str">
        <f>nmProd1Seg3</f>
        <v>Lordfrey City</v>
      </c>
      <c r="E164" s="529">
        <f>calcProd1Seg3ShareTotalCustR2</f>
        <v>1.9014134441309345E-3</v>
      </c>
      <c r="F164" s="529">
        <f>calcProd1Seg3ShareTotalCustR2</f>
        <v>1.9014134441309345E-3</v>
      </c>
      <c r="G164" s="529">
        <f>calcProd1Seg3ShareTotalCustR2</f>
        <v>1.9014134441309345E-3</v>
      </c>
      <c r="H164" s="529">
        <f>calcProd1Seg3ShareTotalCustR2</f>
        <v>1.9014134441309345E-3</v>
      </c>
      <c r="I164" s="529">
        <f>calcProd1Seg3ShareTotalCustR2</f>
        <v>1.9014134441309345E-3</v>
      </c>
      <c r="J164" t="s">
        <v>881</v>
      </c>
      <c r="L164" s="545"/>
    </row>
    <row r="165" spans="1:12">
      <c r="E165" s="442"/>
      <c r="F165" s="442"/>
      <c r="G165" s="442"/>
      <c r="H165" s="442"/>
      <c r="I165" s="442"/>
      <c r="L165" s="545"/>
    </row>
    <row r="166" spans="1:12">
      <c r="A166" s="4" t="s">
        <v>861</v>
      </c>
      <c r="E166" s="81"/>
      <c r="F166" s="81"/>
      <c r="G166" s="81"/>
      <c r="H166" s="81"/>
      <c r="I166" s="81"/>
      <c r="L166" s="139"/>
    </row>
    <row r="167" spans="1:12">
      <c r="A167" s="16" t="str">
        <f>nmProd1</f>
        <v>Riverrun</v>
      </c>
      <c r="E167" s="529">
        <f>calcProd1ShareNewCustR2</f>
        <v>3.1640689894479666E-3</v>
      </c>
      <c r="F167" s="529">
        <f>calcProd1ShareNewCustR2</f>
        <v>3.1640689894479666E-3</v>
      </c>
      <c r="G167" s="529">
        <f>calcProd1ShareNewCustR2</f>
        <v>3.1640689894479666E-3</v>
      </c>
      <c r="H167" s="529">
        <f>calcProd1ShareNewCustR2</f>
        <v>3.1640689894479666E-3</v>
      </c>
      <c r="I167" s="529">
        <f>calcProd1ShareNewCustR2</f>
        <v>3.1548673634659539E-3</v>
      </c>
      <c r="J167" t="s">
        <v>882</v>
      </c>
      <c r="L167" s="545"/>
    </row>
    <row r="168" spans="1:12">
      <c r="A168" t="str">
        <f>nmProd1Seg1</f>
        <v>Riverrun Central</v>
      </c>
      <c r="E168" s="529">
        <f>calcProd1Seg1ShareNewCustR2</f>
        <v>3.3699680000000001E-3</v>
      </c>
      <c r="F168" s="529">
        <f>calcProd1Seg1ShareNewCustR2</f>
        <v>3.3699680000000001E-3</v>
      </c>
      <c r="G168" s="529">
        <f>calcProd1Seg1ShareNewCustR2</f>
        <v>3.3699680000000001E-3</v>
      </c>
      <c r="H168" s="529">
        <f>calcProd1Seg1ShareNewCustR2</f>
        <v>3.3699680000000001E-3</v>
      </c>
      <c r="I168" s="529">
        <f>calcProd1Seg1ShareNewCustR2</f>
        <v>3.3699680000000001E-3</v>
      </c>
      <c r="J168" t="s">
        <v>883</v>
      </c>
      <c r="L168" s="545"/>
    </row>
    <row r="169" spans="1:12">
      <c r="A169" t="str">
        <f>nmProd1Seg2</f>
        <v>Tullyville</v>
      </c>
      <c r="E169" s="529">
        <f>calcProd1Seg2ShareNewCustR2</f>
        <v>3.459478472222222E-3</v>
      </c>
      <c r="F169" s="529">
        <f>calcProd1Seg2ShareNewCustR2</f>
        <v>3.459478472222222E-3</v>
      </c>
      <c r="G169" s="529">
        <f>calcProd1Seg2ShareNewCustR2</f>
        <v>3.459478472222222E-3</v>
      </c>
      <c r="H169" s="529">
        <f>calcProd1Seg2ShareNewCustR2</f>
        <v>3.459478472222222E-3</v>
      </c>
      <c r="I169" s="529">
        <f>calcProd1Seg2ShareNewCustR2</f>
        <v>3.4347118055555559E-3</v>
      </c>
      <c r="J169" t="s">
        <v>884</v>
      </c>
      <c r="L169" s="545"/>
    </row>
    <row r="170" spans="1:12">
      <c r="A170" t="str">
        <f>nmProd1Seg3</f>
        <v>Lordfrey City</v>
      </c>
      <c r="E170" s="529">
        <f>calcProd1Seg3ShareNewCustR2</f>
        <v>1.9917857142857137E-3</v>
      </c>
      <c r="F170" s="529">
        <f>calcProd1Seg3ShareNewCustR2</f>
        <v>1.9917857142857137E-3</v>
      </c>
      <c r="G170" s="529">
        <f>calcProd1Seg3ShareNewCustR2</f>
        <v>1.9917857142857137E-3</v>
      </c>
      <c r="H170" s="529">
        <f>calcProd1Seg3ShareNewCustR2</f>
        <v>1.9917857142857137E-3</v>
      </c>
      <c r="I170" s="529">
        <f>calcProd1Seg3ShareNewCustR2</f>
        <v>1.9917857142857137E-3</v>
      </c>
      <c r="J170" t="s">
        <v>885</v>
      </c>
      <c r="L170" s="545"/>
    </row>
    <row r="171" spans="1:12">
      <c r="E171" s="81"/>
      <c r="F171" s="81"/>
      <c r="G171" s="81"/>
      <c r="H171" s="81"/>
      <c r="I171" s="81"/>
      <c r="L171" s="139"/>
    </row>
    <row r="172" spans="1:12">
      <c r="A172" s="4" t="s">
        <v>757</v>
      </c>
      <c r="E172" s="442"/>
      <c r="F172" s="442"/>
      <c r="G172" s="442"/>
      <c r="H172" s="442"/>
      <c r="I172" s="442"/>
      <c r="L172" s="545"/>
    </row>
    <row r="173" spans="1:12">
      <c r="A173" s="4" t="str">
        <f>nmComp1</f>
        <v>Vibrant</v>
      </c>
      <c r="E173" s="442"/>
      <c r="F173" s="442"/>
      <c r="G173" s="442"/>
      <c r="H173" s="442"/>
      <c r="I173" s="442"/>
      <c r="L173" s="545"/>
    </row>
    <row r="174" spans="1:12">
      <c r="A174" s="4" t="str">
        <f>nmProd1</f>
        <v>Riverrun</v>
      </c>
      <c r="E174" s="442">
        <f>$L174</f>
        <v>0</v>
      </c>
      <c r="F174" s="442">
        <f t="shared" ref="F174:I195" si="4">$L174</f>
        <v>0</v>
      </c>
      <c r="G174" s="442">
        <f t="shared" si="4"/>
        <v>0</v>
      </c>
      <c r="H174" s="442">
        <f t="shared" si="4"/>
        <v>0</v>
      </c>
      <c r="I174" s="442">
        <f t="shared" si="4"/>
        <v>0</v>
      </c>
      <c r="J174" t="s">
        <v>977</v>
      </c>
      <c r="L174" s="545"/>
    </row>
    <row r="175" spans="1:12">
      <c r="A175" t="str">
        <f>nmProd1Seg1</f>
        <v>Riverrun Central</v>
      </c>
      <c r="E175" s="442">
        <f>$L175</f>
        <v>0</v>
      </c>
      <c r="F175" s="442">
        <f t="shared" si="4"/>
        <v>0</v>
      </c>
      <c r="G175" s="442">
        <f t="shared" si="4"/>
        <v>0</v>
      </c>
      <c r="H175" s="442">
        <f t="shared" si="4"/>
        <v>0</v>
      </c>
      <c r="I175" s="442">
        <f t="shared" si="4"/>
        <v>0</v>
      </c>
      <c r="J175" t="s">
        <v>978</v>
      </c>
      <c r="L175" s="545"/>
    </row>
    <row r="176" spans="1:12">
      <c r="A176" t="str">
        <f>nmProd1Seg2</f>
        <v>Tullyville</v>
      </c>
      <c r="E176" s="442">
        <f>$L176</f>
        <v>0</v>
      </c>
      <c r="F176" s="442">
        <f t="shared" si="4"/>
        <v>0</v>
      </c>
      <c r="G176" s="442">
        <f t="shared" si="4"/>
        <v>0</v>
      </c>
      <c r="H176" s="442">
        <f t="shared" si="4"/>
        <v>0</v>
      </c>
      <c r="I176" s="442">
        <f t="shared" si="4"/>
        <v>0</v>
      </c>
      <c r="J176" t="s">
        <v>979</v>
      </c>
      <c r="L176" s="545"/>
    </row>
    <row r="177" spans="1:12">
      <c r="A177" t="str">
        <f>nmProd1Seg3</f>
        <v>Lordfrey City</v>
      </c>
      <c r="E177" s="442">
        <f>$L177</f>
        <v>0</v>
      </c>
      <c r="F177" s="442">
        <f t="shared" si="4"/>
        <v>0</v>
      </c>
      <c r="G177" s="442">
        <f t="shared" si="4"/>
        <v>0</v>
      </c>
      <c r="H177" s="442">
        <f t="shared" si="4"/>
        <v>0</v>
      </c>
      <c r="I177" s="442">
        <f t="shared" si="4"/>
        <v>0</v>
      </c>
      <c r="J177" t="s">
        <v>980</v>
      </c>
      <c r="L177" s="545"/>
    </row>
    <row r="178" spans="1:12">
      <c r="E178" s="442"/>
      <c r="F178" s="442"/>
      <c r="G178" s="442"/>
      <c r="H178" s="442"/>
      <c r="I178" s="442"/>
      <c r="L178" s="545"/>
    </row>
    <row r="179" spans="1:12">
      <c r="A179" s="4" t="s">
        <v>861</v>
      </c>
      <c r="E179" s="81"/>
      <c r="F179" s="81"/>
      <c r="G179" s="81"/>
      <c r="H179" s="81"/>
      <c r="I179" s="81"/>
      <c r="L179" s="139"/>
    </row>
    <row r="180" spans="1:12">
      <c r="A180" s="4" t="str">
        <f>nmProd1</f>
        <v>Riverrun</v>
      </c>
      <c r="E180" s="442">
        <f>$L180</f>
        <v>0</v>
      </c>
      <c r="F180" s="442">
        <f t="shared" si="4"/>
        <v>0</v>
      </c>
      <c r="G180" s="442">
        <f t="shared" si="4"/>
        <v>0</v>
      </c>
      <c r="H180" s="442">
        <f t="shared" si="4"/>
        <v>0</v>
      </c>
      <c r="I180" s="442">
        <f t="shared" si="4"/>
        <v>0</v>
      </c>
      <c r="J180" t="s">
        <v>981</v>
      </c>
      <c r="L180" s="545"/>
    </row>
    <row r="181" spans="1:12">
      <c r="A181" t="str">
        <f>nmProd1Seg1</f>
        <v>Riverrun Central</v>
      </c>
      <c r="E181" s="442">
        <f>$L181</f>
        <v>0</v>
      </c>
      <c r="F181" s="442">
        <f t="shared" si="4"/>
        <v>0</v>
      </c>
      <c r="G181" s="442">
        <f t="shared" si="4"/>
        <v>0</v>
      </c>
      <c r="H181" s="442">
        <f t="shared" si="4"/>
        <v>0</v>
      </c>
      <c r="I181" s="442">
        <f t="shared" si="4"/>
        <v>0</v>
      </c>
      <c r="J181" t="s">
        <v>982</v>
      </c>
      <c r="L181" s="545"/>
    </row>
    <row r="182" spans="1:12">
      <c r="A182" t="str">
        <f>nmProd1Seg2</f>
        <v>Tullyville</v>
      </c>
      <c r="E182" s="442">
        <f>$L182</f>
        <v>0</v>
      </c>
      <c r="F182" s="442">
        <f t="shared" si="4"/>
        <v>0</v>
      </c>
      <c r="G182" s="442">
        <f t="shared" si="4"/>
        <v>0</v>
      </c>
      <c r="H182" s="442">
        <f t="shared" si="4"/>
        <v>0</v>
      </c>
      <c r="I182" s="442">
        <f t="shared" si="4"/>
        <v>0</v>
      </c>
      <c r="J182" t="s">
        <v>983</v>
      </c>
      <c r="L182" s="545"/>
    </row>
    <row r="183" spans="1:12">
      <c r="A183" t="str">
        <f>nmProd1Seg3</f>
        <v>Lordfrey City</v>
      </c>
      <c r="E183" s="442">
        <f>$L183</f>
        <v>0</v>
      </c>
      <c r="F183" s="442">
        <f t="shared" si="4"/>
        <v>0</v>
      </c>
      <c r="G183" s="442">
        <f t="shared" si="4"/>
        <v>0</v>
      </c>
      <c r="H183" s="442">
        <f t="shared" si="4"/>
        <v>0</v>
      </c>
      <c r="I183" s="442">
        <f t="shared" si="4"/>
        <v>0</v>
      </c>
      <c r="J183" t="s">
        <v>984</v>
      </c>
      <c r="L183" s="545"/>
    </row>
    <row r="184" spans="1:12">
      <c r="E184" s="442"/>
      <c r="F184" s="442"/>
      <c r="G184" s="442"/>
      <c r="H184" s="442"/>
      <c r="I184" s="442"/>
      <c r="L184" s="545"/>
    </row>
    <row r="185" spans="1:12">
      <c r="A185" s="4" t="str">
        <f>nmComp2</f>
        <v>Pristine</v>
      </c>
      <c r="E185" s="442"/>
      <c r="F185" s="442"/>
      <c r="G185" s="442"/>
      <c r="H185" s="442"/>
      <c r="I185" s="442"/>
      <c r="L185" s="545"/>
    </row>
    <row r="186" spans="1:12">
      <c r="A186" s="4" t="str">
        <f>nmProd1</f>
        <v>Riverrun</v>
      </c>
      <c r="E186" s="442">
        <f>$L186</f>
        <v>0</v>
      </c>
      <c r="F186" s="442">
        <f t="shared" si="4"/>
        <v>0</v>
      </c>
      <c r="G186" s="442">
        <f t="shared" si="4"/>
        <v>0</v>
      </c>
      <c r="H186" s="442">
        <f t="shared" si="4"/>
        <v>0</v>
      </c>
      <c r="I186" s="442">
        <f t="shared" si="4"/>
        <v>0</v>
      </c>
      <c r="J186" t="s">
        <v>985</v>
      </c>
      <c r="L186" s="545"/>
    </row>
    <row r="187" spans="1:12">
      <c r="A187" t="str">
        <f>nmProd1Seg1</f>
        <v>Riverrun Central</v>
      </c>
      <c r="E187" s="442">
        <f>$L187</f>
        <v>0</v>
      </c>
      <c r="F187" s="442">
        <f t="shared" si="4"/>
        <v>0</v>
      </c>
      <c r="G187" s="442">
        <f t="shared" si="4"/>
        <v>0</v>
      </c>
      <c r="H187" s="442">
        <f t="shared" si="4"/>
        <v>0</v>
      </c>
      <c r="I187" s="442">
        <f t="shared" si="4"/>
        <v>0</v>
      </c>
      <c r="J187" t="s">
        <v>986</v>
      </c>
      <c r="L187" s="545"/>
    </row>
    <row r="188" spans="1:12">
      <c r="A188" t="str">
        <f>nmProd1Seg2</f>
        <v>Tullyville</v>
      </c>
      <c r="E188" s="442">
        <f>$L188</f>
        <v>0</v>
      </c>
      <c r="F188" s="442">
        <f t="shared" si="4"/>
        <v>0</v>
      </c>
      <c r="G188" s="442">
        <f t="shared" si="4"/>
        <v>0</v>
      </c>
      <c r="H188" s="442">
        <f t="shared" si="4"/>
        <v>0</v>
      </c>
      <c r="I188" s="442">
        <f t="shared" si="4"/>
        <v>0</v>
      </c>
      <c r="J188" t="s">
        <v>987</v>
      </c>
      <c r="L188" s="545"/>
    </row>
    <row r="189" spans="1:12">
      <c r="A189" t="str">
        <f>nmProd1Seg3</f>
        <v>Lordfrey City</v>
      </c>
      <c r="E189" s="442">
        <f>$L189</f>
        <v>0</v>
      </c>
      <c r="F189" s="442">
        <f t="shared" si="4"/>
        <v>0</v>
      </c>
      <c r="G189" s="442">
        <f t="shared" si="4"/>
        <v>0</v>
      </c>
      <c r="H189" s="442">
        <f t="shared" si="4"/>
        <v>0</v>
      </c>
      <c r="I189" s="442">
        <f t="shared" si="4"/>
        <v>0</v>
      </c>
      <c r="J189" t="s">
        <v>988</v>
      </c>
      <c r="L189" s="545"/>
    </row>
    <row r="190" spans="1:12">
      <c r="E190" s="442"/>
      <c r="F190" s="442"/>
      <c r="G190" s="442"/>
      <c r="H190" s="442"/>
      <c r="I190" s="442"/>
      <c r="L190" s="545"/>
    </row>
    <row r="191" spans="1:12">
      <c r="A191" s="4" t="s">
        <v>861</v>
      </c>
      <c r="E191" s="81"/>
      <c r="F191" s="81"/>
      <c r="G191" s="81"/>
      <c r="H191" s="81"/>
      <c r="I191" s="81"/>
      <c r="L191" s="139"/>
    </row>
    <row r="192" spans="1:12">
      <c r="A192" s="4" t="str">
        <f>nmProd1</f>
        <v>Riverrun</v>
      </c>
      <c r="E192" s="442">
        <f>$L192</f>
        <v>0</v>
      </c>
      <c r="F192" s="442">
        <f t="shared" si="4"/>
        <v>0</v>
      </c>
      <c r="G192" s="442">
        <f t="shared" si="4"/>
        <v>0</v>
      </c>
      <c r="H192" s="442">
        <f t="shared" si="4"/>
        <v>0</v>
      </c>
      <c r="I192" s="442">
        <f t="shared" si="4"/>
        <v>0</v>
      </c>
      <c r="J192" t="s">
        <v>989</v>
      </c>
      <c r="L192" s="545"/>
    </row>
    <row r="193" spans="1:12">
      <c r="A193" t="str">
        <f>nmProd1Seg1</f>
        <v>Riverrun Central</v>
      </c>
      <c r="E193" s="442">
        <f>$L193</f>
        <v>0</v>
      </c>
      <c r="F193" s="442">
        <f t="shared" si="4"/>
        <v>0</v>
      </c>
      <c r="G193" s="442">
        <f t="shared" si="4"/>
        <v>0</v>
      </c>
      <c r="H193" s="442">
        <f t="shared" si="4"/>
        <v>0</v>
      </c>
      <c r="I193" s="442">
        <f t="shared" si="4"/>
        <v>0</v>
      </c>
      <c r="J193" t="s">
        <v>990</v>
      </c>
      <c r="L193" s="545"/>
    </row>
    <row r="194" spans="1:12">
      <c r="A194" t="str">
        <f>nmProd1Seg2</f>
        <v>Tullyville</v>
      </c>
      <c r="E194" s="442">
        <f>$L194</f>
        <v>0</v>
      </c>
      <c r="F194" s="442">
        <f t="shared" si="4"/>
        <v>0</v>
      </c>
      <c r="G194" s="442">
        <f t="shared" si="4"/>
        <v>0</v>
      </c>
      <c r="H194" s="442">
        <f t="shared" si="4"/>
        <v>0</v>
      </c>
      <c r="I194" s="442">
        <f t="shared" si="4"/>
        <v>0</v>
      </c>
      <c r="J194" t="s">
        <v>991</v>
      </c>
      <c r="L194" s="545"/>
    </row>
    <row r="195" spans="1:12">
      <c r="A195" t="str">
        <f>nmProd1Seg3</f>
        <v>Lordfrey City</v>
      </c>
      <c r="E195" s="442">
        <f>$L195</f>
        <v>0</v>
      </c>
      <c r="F195" s="442">
        <f t="shared" si="4"/>
        <v>0</v>
      </c>
      <c r="G195" s="442">
        <f t="shared" si="4"/>
        <v>0</v>
      </c>
      <c r="H195" s="442">
        <f t="shared" si="4"/>
        <v>0</v>
      </c>
      <c r="I195" s="442">
        <f t="shared" si="4"/>
        <v>0</v>
      </c>
      <c r="J195" t="s">
        <v>992</v>
      </c>
      <c r="L195" s="545"/>
    </row>
    <row r="196" spans="1:12">
      <c r="E196" s="442"/>
      <c r="F196" s="442"/>
      <c r="G196" s="442"/>
      <c r="H196" s="442"/>
      <c r="I196" s="442"/>
      <c r="L196" s="545"/>
    </row>
    <row r="197" spans="1:12">
      <c r="A197" s="444" t="s">
        <v>1057</v>
      </c>
      <c r="B197" s="138"/>
      <c r="C197" s="138"/>
      <c r="D197" s="138"/>
      <c r="E197" s="139"/>
      <c r="F197" s="139"/>
      <c r="G197" s="139"/>
      <c r="H197" s="139"/>
      <c r="I197" s="139"/>
      <c r="L197" s="139"/>
    </row>
    <row r="198" spans="1:12">
      <c r="A198" s="4" t="str">
        <f>nmProd1</f>
        <v>Riverrun</v>
      </c>
      <c r="E198" s="451">
        <f>calcProd1Seg1VolumeTotalCustR2+calcProd1Seg2VolumeTotalCustR2+calcProd1Seg3VolumeTotalCustR2</f>
        <v>409.4981279071061</v>
      </c>
      <c r="F198" s="451">
        <f>calcProd1Seg1VolumeTotalCustR2+calcProd1Seg2VolumeTotalCustR2+calcProd1Seg3VolumeTotalCustR2</f>
        <v>409.4981279071061</v>
      </c>
      <c r="G198" s="451">
        <f>calcProd1Seg1VolumeTotalCustR2+calcProd1Seg2VolumeTotalCustR2+calcProd1Seg3VolumeTotalCustR2</f>
        <v>409.4981279071061</v>
      </c>
      <c r="H198" s="451">
        <f>calcProd1Seg1VolumeTotalCustR2+calcProd1Seg2VolumeTotalCustR2+calcProd1Seg3VolumeTotalCustR2</f>
        <v>409.4981279071061</v>
      </c>
      <c r="I198" s="451">
        <f>calcProd1Seg1VolumeTotalCustR2+calcProd1Seg2VolumeTotalCustR2+calcProd1Seg3VolumeTotalCustR2</f>
        <v>408.39259294510612</v>
      </c>
      <c r="J198" t="s">
        <v>1087</v>
      </c>
      <c r="L198" s="546"/>
    </row>
    <row r="199" spans="1:12">
      <c r="A199" t="str">
        <f>nmProd1Seg1</f>
        <v>Riverrun Central</v>
      </c>
      <c r="E199" s="451">
        <f>calcProd1Seg1VolumeTotalCustR2</f>
        <v>188.61916868444166</v>
      </c>
      <c r="F199" s="451">
        <f>calcProd1Seg1VolumeTotalCustR2</f>
        <v>188.61916868444166</v>
      </c>
      <c r="G199" s="451">
        <f>calcProd1Seg1VolumeTotalCustR2</f>
        <v>188.61916868444166</v>
      </c>
      <c r="H199" s="451">
        <f>calcProd1Seg1VolumeTotalCustR2</f>
        <v>188.61916868444166</v>
      </c>
      <c r="I199" s="451">
        <f>calcProd1Seg1VolumeTotalCustR2</f>
        <v>188.61916868444166</v>
      </c>
      <c r="J199" t="s">
        <v>1088</v>
      </c>
      <c r="L199" s="546"/>
    </row>
    <row r="200" spans="1:12">
      <c r="A200" t="str">
        <f>nmProd1Seg2</f>
        <v>Tullyville</v>
      </c>
      <c r="E200" s="451">
        <f>calcProd1Seg2VolumeTotalCustR2</f>
        <v>154.42426923262497</v>
      </c>
      <c r="F200" s="451">
        <f>calcProd1Seg2VolumeTotalCustR2</f>
        <v>154.42426923262497</v>
      </c>
      <c r="G200" s="451">
        <f>calcProd1Seg2VolumeTotalCustR2</f>
        <v>154.42426923262497</v>
      </c>
      <c r="H200" s="451">
        <f>calcProd1Seg2VolumeTotalCustR2</f>
        <v>154.42426923262497</v>
      </c>
      <c r="I200" s="451">
        <f>calcProd1Seg2VolumeTotalCustR2</f>
        <v>153.31873427062496</v>
      </c>
      <c r="J200" t="s">
        <v>1089</v>
      </c>
      <c r="L200" s="546"/>
    </row>
    <row r="201" spans="1:12">
      <c r="A201" t="str">
        <f>nmProd1Seg3</f>
        <v>Lordfrey City</v>
      </c>
      <c r="E201" s="451">
        <f>calcProd1Seg3VolumeTotalCustR2</f>
        <v>66.454689990039455</v>
      </c>
      <c r="F201" s="451">
        <f>calcProd1Seg3VolumeTotalCustR2</f>
        <v>66.454689990039455</v>
      </c>
      <c r="G201" s="451">
        <f>calcProd1Seg3VolumeTotalCustR2</f>
        <v>66.454689990039455</v>
      </c>
      <c r="H201" s="451">
        <f>calcProd1Seg3VolumeTotalCustR2</f>
        <v>66.454689990039455</v>
      </c>
      <c r="I201" s="451">
        <f>calcProd1Seg3VolumeTotalCustR2</f>
        <v>66.454689990039455</v>
      </c>
      <c r="J201" t="s">
        <v>1090</v>
      </c>
      <c r="L201" s="546"/>
    </row>
    <row r="202" spans="1:12">
      <c r="E202" s="442"/>
      <c r="F202" s="442"/>
      <c r="G202" s="442"/>
      <c r="H202" s="442"/>
      <c r="I202" s="442"/>
      <c r="L202" s="545"/>
    </row>
    <row r="203" spans="1:12">
      <c r="A203" s="4" t="s">
        <v>1066</v>
      </c>
      <c r="E203" s="442"/>
      <c r="F203" s="442"/>
      <c r="G203" s="442"/>
      <c r="H203" s="442"/>
      <c r="I203" s="442"/>
      <c r="L203" s="545"/>
    </row>
    <row r="204" spans="1:12">
      <c r="A204" s="4" t="str">
        <f>nmProd1</f>
        <v>Riverrun</v>
      </c>
      <c r="E204" s="451">
        <f>calcProd1Seg1NewCustR2+calcProd1Seg2NewCustR2+calcProd1Seg3NewCustR2</f>
        <v>45.617879668472995</v>
      </c>
      <c r="F204" s="451">
        <f>calcProd1Seg1NewCustR2+calcProd1Seg2NewCustR2+calcProd1Seg3NewCustR2</f>
        <v>45.617879668472995</v>
      </c>
      <c r="G204" s="451">
        <f>calcProd1Seg1NewCustR2+calcProd1Seg2NewCustR2+calcProd1Seg3NewCustR2</f>
        <v>45.617879668472995</v>
      </c>
      <c r="H204" s="451">
        <f>calcProd1Seg1NewCustR2+calcProd1Seg2NewCustR2+calcProd1Seg3NewCustR2</f>
        <v>45.617879668472995</v>
      </c>
      <c r="I204" s="451">
        <f>calcProd1Seg1NewCustR2+calcProd1Seg2NewCustR2+calcProd1Seg3NewCustR2</f>
        <v>45.485215473032994</v>
      </c>
      <c r="J204" t="s">
        <v>1091</v>
      </c>
      <c r="L204" s="546"/>
    </row>
    <row r="205" spans="1:12">
      <c r="A205" t="str">
        <f>nmProd1Seg1</f>
        <v>Riverrun Central</v>
      </c>
      <c r="E205" s="451">
        <f>calcProd1Seg1NewCustR2</f>
        <v>22.103808830208003</v>
      </c>
      <c r="F205" s="451">
        <f>calcProd1Seg1NewCustR2</f>
        <v>22.103808830208003</v>
      </c>
      <c r="G205" s="451">
        <f>calcProd1Seg1NewCustR2</f>
        <v>22.103808830208003</v>
      </c>
      <c r="H205" s="451">
        <f>calcProd1Seg1NewCustR2</f>
        <v>22.103808830208003</v>
      </c>
      <c r="I205" s="451">
        <f>calcProd1Seg1NewCustR2</f>
        <v>22.103808830208003</v>
      </c>
      <c r="J205" t="s">
        <v>1092</v>
      </c>
      <c r="L205" s="546"/>
    </row>
    <row r="206" spans="1:12">
      <c r="A206" t="str">
        <f>nmProd1Seg2</f>
        <v>Tullyville</v>
      </c>
      <c r="E206" s="451">
        <f>calcProd1Seg2NewCustR2</f>
        <v>18.530912307914996</v>
      </c>
      <c r="F206" s="451">
        <f>calcProd1Seg2NewCustR2</f>
        <v>18.530912307914996</v>
      </c>
      <c r="G206" s="451">
        <f>calcProd1Seg2NewCustR2</f>
        <v>18.530912307914996</v>
      </c>
      <c r="H206" s="451">
        <f>calcProd1Seg2NewCustR2</f>
        <v>18.530912307914996</v>
      </c>
      <c r="I206" s="451">
        <f>calcProd1Seg2NewCustR2</f>
        <v>18.398248112474999</v>
      </c>
      <c r="J206" t="s">
        <v>1093</v>
      </c>
      <c r="L206" s="546"/>
    </row>
    <row r="207" spans="1:12">
      <c r="A207" t="str">
        <f>nmProd1Seg3</f>
        <v>Lordfrey City</v>
      </c>
      <c r="E207" s="451">
        <f>calcProd1Seg3NewCustR2</f>
        <v>4.9831585303499981</v>
      </c>
      <c r="F207" s="451">
        <f>calcProd1Seg3NewCustR2</f>
        <v>4.9831585303499981</v>
      </c>
      <c r="G207" s="451">
        <f>calcProd1Seg3NewCustR2</f>
        <v>4.9831585303499981</v>
      </c>
      <c r="H207" s="451">
        <f>calcProd1Seg3NewCustR2</f>
        <v>4.9831585303499981</v>
      </c>
      <c r="I207" s="451">
        <f>calcProd1Seg3NewCustR2</f>
        <v>4.9831585303499981</v>
      </c>
      <c r="J207" t="s">
        <v>1094</v>
      </c>
      <c r="L207" s="546"/>
    </row>
    <row r="208" spans="1:12">
      <c r="E208" s="442"/>
      <c r="F208" s="442"/>
      <c r="G208" s="442"/>
      <c r="H208" s="442"/>
      <c r="I208" s="442"/>
      <c r="L208" s="545"/>
    </row>
    <row r="209" spans="1:12">
      <c r="A209" s="4" t="s">
        <v>631</v>
      </c>
      <c r="E209" s="451"/>
      <c r="F209" s="451"/>
      <c r="G209" s="451"/>
      <c r="H209" s="451"/>
      <c r="I209" s="451"/>
      <c r="L209" s="546"/>
    </row>
    <row r="210" spans="1:12">
      <c r="A210" s="4" t="str">
        <f>nmPayer1</f>
        <v>Blue Sword/Blue Shield</v>
      </c>
      <c r="E210" s="451"/>
      <c r="F210" s="451"/>
      <c r="G210" s="451"/>
      <c r="H210" s="451"/>
      <c r="I210" s="451"/>
      <c r="L210" s="546"/>
    </row>
    <row r="211" spans="1:12">
      <c r="A211" t="str">
        <f>nmProd1</f>
        <v>Riverrun</v>
      </c>
      <c r="E211" s="451">
        <f>calcProd1Payer1TotalVolumeR1</f>
        <v>46015.961600000002</v>
      </c>
      <c r="F211" s="451">
        <f>calcProd1Payer1TotalVolumeR1</f>
        <v>46015.961600000002</v>
      </c>
      <c r="G211" s="451">
        <f>calcProd1Payer1TotalVolumeR1</f>
        <v>46015.961600000002</v>
      </c>
      <c r="H211" s="451">
        <f>calcProd1Payer1TotalVolumeR1</f>
        <v>46015.961600000002</v>
      </c>
      <c r="I211" s="451">
        <f>calcProd1Payer1TotalVolumeR1</f>
        <v>46015.961600000002</v>
      </c>
      <c r="J211" t="s">
        <v>1351</v>
      </c>
      <c r="L211" s="546"/>
    </row>
    <row r="212" spans="1:12">
      <c r="A212" t="str">
        <f>nmProd1Seg1</f>
        <v>Riverrun Central</v>
      </c>
      <c r="E212" s="451">
        <f>calcProd1Seg1Payer1TotalVolumeR1</f>
        <v>21021.369600000002</v>
      </c>
      <c r="F212" s="451">
        <f>calcProd1Seg1Payer1TotalVolumeR1</f>
        <v>21021.369600000002</v>
      </c>
      <c r="G212" s="451">
        <f>calcProd1Seg1Payer1TotalVolumeR1</f>
        <v>21021.369600000002</v>
      </c>
      <c r="H212" s="451">
        <f>calcProd1Seg1Payer1TotalVolumeR1</f>
        <v>21021.369600000002</v>
      </c>
      <c r="I212" s="451">
        <f>calcProd1Seg1Payer1TotalVolumeR1</f>
        <v>21021.369600000002</v>
      </c>
      <c r="J212" t="s">
        <v>1352</v>
      </c>
      <c r="L212" s="546"/>
    </row>
    <row r="213" spans="1:12">
      <c r="A213" t="str">
        <f>nmProd1Seg2</f>
        <v>Tullyville</v>
      </c>
      <c r="E213" s="451">
        <f t="shared" ref="E213:I214" si="5">calcProd1Seg2Payer1TotalVolumeR1</f>
        <v>15209.992</v>
      </c>
      <c r="F213" s="451">
        <f t="shared" si="5"/>
        <v>15209.992</v>
      </c>
      <c r="G213" s="451">
        <f t="shared" si="5"/>
        <v>15209.992</v>
      </c>
      <c r="H213" s="451">
        <f t="shared" si="5"/>
        <v>15209.992</v>
      </c>
      <c r="I213" s="451">
        <f t="shared" si="5"/>
        <v>15209.992</v>
      </c>
      <c r="J213" t="s">
        <v>1353</v>
      </c>
      <c r="L213" s="546"/>
    </row>
    <row r="214" spans="1:12">
      <c r="A214" t="str">
        <f>nmProd1Seg3</f>
        <v>Lordfrey City</v>
      </c>
      <c r="E214" s="451">
        <f t="shared" si="5"/>
        <v>15209.992</v>
      </c>
      <c r="F214" s="451">
        <f t="shared" si="5"/>
        <v>15209.992</v>
      </c>
      <c r="G214" s="451">
        <f t="shared" si="5"/>
        <v>15209.992</v>
      </c>
      <c r="H214" s="451">
        <f t="shared" si="5"/>
        <v>15209.992</v>
      </c>
      <c r="I214" s="451">
        <f t="shared" si="5"/>
        <v>15209.992</v>
      </c>
      <c r="J214" t="s">
        <v>1354</v>
      </c>
      <c r="L214" s="546"/>
    </row>
    <row r="215" spans="1:12">
      <c r="E215" s="451"/>
      <c r="F215" s="451"/>
      <c r="G215" s="451"/>
      <c r="H215" s="451"/>
      <c r="I215" s="451"/>
      <c r="L215" s="546"/>
    </row>
    <row r="216" spans="1:12">
      <c r="A216" s="4" t="str">
        <f>nmPayer2</f>
        <v>WesterAid</v>
      </c>
      <c r="E216" s="451"/>
      <c r="F216" s="451"/>
      <c r="G216" s="451"/>
      <c r="H216" s="451"/>
      <c r="I216" s="451"/>
      <c r="L216" s="546"/>
    </row>
    <row r="217" spans="1:12">
      <c r="A217" t="str">
        <f>nmProd1</f>
        <v>Riverrun</v>
      </c>
      <c r="E217" s="451">
        <f>calcProd1Payer2TotalVolumeR1</f>
        <v>31266.858</v>
      </c>
      <c r="F217" s="451">
        <f>calcProd1Payer2TotalVolumeR1</f>
        <v>31266.858</v>
      </c>
      <c r="G217" s="451">
        <f>calcProd1Payer2TotalVolumeR1</f>
        <v>31266.858</v>
      </c>
      <c r="H217" s="451">
        <f>calcProd1Payer2TotalVolumeR1</f>
        <v>31266.858</v>
      </c>
      <c r="I217" s="451">
        <f>calcProd1Payer2TotalVolumeR1</f>
        <v>31266.858</v>
      </c>
      <c r="J217" t="s">
        <v>1355</v>
      </c>
      <c r="L217" s="546"/>
    </row>
    <row r="218" spans="1:12">
      <c r="A218" t="str">
        <f>nmProd1Seg1</f>
        <v>Riverrun Central</v>
      </c>
      <c r="E218" s="451">
        <f>calcProd1Seg1Payer2TotalVolumeR1</f>
        <v>12740.224000000002</v>
      </c>
      <c r="F218" s="451">
        <f>calcProd1Seg1Payer2TotalVolumeR1</f>
        <v>12740.224000000002</v>
      </c>
      <c r="G218" s="451">
        <f>calcProd1Seg1Payer2TotalVolumeR1</f>
        <v>12740.224000000002</v>
      </c>
      <c r="H218" s="451">
        <f>calcProd1Seg1Payer2TotalVolumeR1</f>
        <v>12740.224000000002</v>
      </c>
      <c r="I218" s="451">
        <f>calcProd1Seg1Payer2TotalVolumeR1</f>
        <v>12740.224000000002</v>
      </c>
      <c r="J218" t="s">
        <v>1356</v>
      </c>
      <c r="L218" s="546"/>
    </row>
    <row r="219" spans="1:12">
      <c r="A219" t="str">
        <f>nmProd1Seg2</f>
        <v>Tullyville</v>
      </c>
      <c r="E219" s="451">
        <f t="shared" ref="E219:I220" si="6">calcProd1Seg2Payer2TotalVolumeR1</f>
        <v>4888.9259999999995</v>
      </c>
      <c r="F219" s="451">
        <f t="shared" si="6"/>
        <v>4888.9259999999995</v>
      </c>
      <c r="G219" s="451">
        <f t="shared" si="6"/>
        <v>4888.9259999999995</v>
      </c>
      <c r="H219" s="451">
        <f t="shared" si="6"/>
        <v>4888.9259999999995</v>
      </c>
      <c r="I219" s="451">
        <f t="shared" si="6"/>
        <v>4888.9259999999995</v>
      </c>
      <c r="J219" t="s">
        <v>1357</v>
      </c>
      <c r="L219" s="546"/>
    </row>
    <row r="220" spans="1:12">
      <c r="A220" t="str">
        <f>nmProd1Seg3</f>
        <v>Lordfrey City</v>
      </c>
      <c r="E220" s="451">
        <f t="shared" si="6"/>
        <v>4888.9259999999995</v>
      </c>
      <c r="F220" s="451">
        <f t="shared" si="6"/>
        <v>4888.9259999999995</v>
      </c>
      <c r="G220" s="451">
        <f t="shared" si="6"/>
        <v>4888.9259999999995</v>
      </c>
      <c r="H220" s="451">
        <f t="shared" si="6"/>
        <v>4888.9259999999995</v>
      </c>
      <c r="I220" s="451">
        <f t="shared" si="6"/>
        <v>4888.9259999999995</v>
      </c>
      <c r="J220" t="s">
        <v>1358</v>
      </c>
      <c r="L220" s="546"/>
    </row>
    <row r="221" spans="1:12">
      <c r="E221" s="451"/>
      <c r="F221" s="451"/>
      <c r="G221" s="451"/>
      <c r="H221" s="451"/>
      <c r="I221" s="451"/>
      <c r="L221" s="546"/>
    </row>
    <row r="222" spans="1:12">
      <c r="A222" s="4" t="str">
        <f>nmPayer3</f>
        <v>Dragon Health</v>
      </c>
      <c r="E222" s="451"/>
      <c r="F222" s="451"/>
      <c r="G222" s="451"/>
      <c r="H222" s="451"/>
      <c r="I222" s="451"/>
      <c r="L222" s="546"/>
    </row>
    <row r="223" spans="1:12">
      <c r="A223" t="str">
        <f>nmProd1</f>
        <v>Riverrun</v>
      </c>
      <c r="E223" s="451">
        <f>calcProd1Payer3TotalVolumeR1</f>
        <v>41546.086399999993</v>
      </c>
      <c r="F223" s="451">
        <f>calcProd1Payer3TotalVolumeR1</f>
        <v>41546.086399999993</v>
      </c>
      <c r="G223" s="451">
        <f>calcProd1Payer3TotalVolumeR1</f>
        <v>41546.086399999993</v>
      </c>
      <c r="H223" s="451">
        <f>calcProd1Payer3TotalVolumeR1</f>
        <v>41546.086399999993</v>
      </c>
      <c r="I223" s="451">
        <f>calcProd1Payer3TotalVolumeR1</f>
        <v>41546.086399999993</v>
      </c>
      <c r="J223" t="s">
        <v>1359</v>
      </c>
      <c r="L223" s="546"/>
    </row>
    <row r="224" spans="1:12">
      <c r="A224" t="str">
        <f>nmProd1Seg1</f>
        <v>Riverrun Central</v>
      </c>
      <c r="E224" s="451">
        <f>calcProd1Seg1Payer3TotalVolumeR1</f>
        <v>14014.2464</v>
      </c>
      <c r="F224" s="451">
        <f>calcProd1Seg1Payer3TotalVolumeR1</f>
        <v>14014.2464</v>
      </c>
      <c r="G224" s="451">
        <f>calcProd1Seg1Payer3TotalVolumeR1</f>
        <v>14014.2464</v>
      </c>
      <c r="H224" s="451">
        <f>calcProd1Seg1Payer3TotalVolumeR1</f>
        <v>14014.2464</v>
      </c>
      <c r="I224" s="451">
        <f>calcProd1Seg1Payer3TotalVolumeR1</f>
        <v>14014.2464</v>
      </c>
      <c r="J224" t="s">
        <v>1360</v>
      </c>
      <c r="L224" s="546"/>
    </row>
    <row r="225" spans="1:12">
      <c r="A225" t="str">
        <f>nmProd1Seg2</f>
        <v>Tullyville</v>
      </c>
      <c r="E225" s="451">
        <f t="shared" ref="E225:I226" si="7">calcProd1Seg2Payer3TotalVolumeR1</f>
        <v>19012.489999999994</v>
      </c>
      <c r="F225" s="451">
        <f t="shared" si="7"/>
        <v>19012.489999999994</v>
      </c>
      <c r="G225" s="451">
        <f t="shared" si="7"/>
        <v>19012.489999999994</v>
      </c>
      <c r="H225" s="451">
        <f t="shared" si="7"/>
        <v>19012.489999999994</v>
      </c>
      <c r="I225" s="451">
        <f t="shared" si="7"/>
        <v>19012.489999999994</v>
      </c>
      <c r="J225" t="s">
        <v>1361</v>
      </c>
      <c r="L225" s="546"/>
    </row>
    <row r="226" spans="1:12">
      <c r="A226" t="str">
        <f>nmProd1Seg3</f>
        <v>Lordfrey City</v>
      </c>
      <c r="E226" s="451">
        <f t="shared" si="7"/>
        <v>19012.489999999994</v>
      </c>
      <c r="F226" s="451">
        <f t="shared" si="7"/>
        <v>19012.489999999994</v>
      </c>
      <c r="G226" s="451">
        <f t="shared" si="7"/>
        <v>19012.489999999994</v>
      </c>
      <c r="H226" s="451">
        <f t="shared" si="7"/>
        <v>19012.489999999994</v>
      </c>
      <c r="I226" s="451">
        <f t="shared" si="7"/>
        <v>19012.489999999994</v>
      </c>
      <c r="J226" t="s">
        <v>1362</v>
      </c>
      <c r="L226" s="546"/>
    </row>
    <row r="227" spans="1:12">
      <c r="A227" s="4" t="s">
        <v>1230</v>
      </c>
      <c r="E227" s="451"/>
      <c r="F227" s="451"/>
      <c r="G227" s="451"/>
      <c r="H227" s="451"/>
      <c r="I227" s="451"/>
      <c r="L227" s="546"/>
    </row>
    <row r="228" spans="1:12">
      <c r="A228" s="4" t="str">
        <f>nmPayer1</f>
        <v>Blue Sword/Blue Shield</v>
      </c>
      <c r="E228" s="451"/>
      <c r="F228" s="451"/>
      <c r="G228" s="451"/>
      <c r="H228" s="451"/>
      <c r="I228" s="451"/>
      <c r="L228" s="546"/>
    </row>
    <row r="229" spans="1:12">
      <c r="A229" t="str">
        <f>nmProd1</f>
        <v>Riverrun</v>
      </c>
      <c r="E229" s="464">
        <f>calcProd1Payer1ShareTotalCustR2</f>
        <v>5.4783203555241779E-3</v>
      </c>
      <c r="F229" s="464">
        <f>calcProd1Payer1ShareTotalCustR2</f>
        <v>5.4783203555241779E-3</v>
      </c>
      <c r="G229" s="464">
        <f>calcProd1Payer1ShareTotalCustR2</f>
        <v>5.4783203555241779E-3</v>
      </c>
      <c r="H229" s="464">
        <f>calcProd1Payer1ShareTotalCustR2</f>
        <v>5.4783203555241779E-3</v>
      </c>
      <c r="I229" s="464">
        <f>calcProd1Payer1ShareTotalCustR2</f>
        <v>5.4695837908514218E-3</v>
      </c>
      <c r="J229" s="465" t="s">
        <v>1363</v>
      </c>
      <c r="K229" s="465"/>
      <c r="L229" s="545"/>
    </row>
    <row r="230" spans="1:12">
      <c r="A230" t="str">
        <f>nmProd1Seg1</f>
        <v>Riverrun Central</v>
      </c>
      <c r="E230" s="464">
        <f>calcProd1Seg1Payer1ShareTotalCustR2</f>
        <v>5.2449090909090909E-3</v>
      </c>
      <c r="F230" s="464">
        <f>calcProd1Seg1Payer1ShareTotalCustR2</f>
        <v>5.2449090909090909E-3</v>
      </c>
      <c r="G230" s="464">
        <f>calcProd1Seg1Payer1ShareTotalCustR2</f>
        <v>5.2449090909090909E-3</v>
      </c>
      <c r="H230" s="464">
        <f>calcProd1Seg1Payer1ShareTotalCustR2</f>
        <v>5.2449090909090909E-3</v>
      </c>
      <c r="I230" s="464">
        <f>calcProd1Seg1Payer1ShareTotalCustR2</f>
        <v>5.2449090909090909E-3</v>
      </c>
      <c r="J230" s="465" t="s">
        <v>1364</v>
      </c>
      <c r="K230" s="465"/>
      <c r="L230" s="545"/>
    </row>
    <row r="231" spans="1:12">
      <c r="A231" t="str">
        <f>nmProd1Seg2</f>
        <v>Tullyville</v>
      </c>
      <c r="E231" s="464">
        <f>calcProd1Seg2Payer1ShareTotalCustR2</f>
        <v>6.4289999999999981E-3</v>
      </c>
      <c r="F231" s="464">
        <f>calcProd1Seg2Payer1ShareTotalCustR2</f>
        <v>6.4289999999999981E-3</v>
      </c>
      <c r="G231" s="464">
        <f>calcProd1Seg2Payer1ShareTotalCustR2</f>
        <v>6.4289999999999981E-3</v>
      </c>
      <c r="H231" s="464">
        <f>calcProd1Seg2Payer1ShareTotalCustR2</f>
        <v>6.4289999999999981E-3</v>
      </c>
      <c r="I231" s="464">
        <f>calcProd1Seg2Payer1ShareTotalCustR2</f>
        <v>6.4289999999999981E-3</v>
      </c>
      <c r="J231" s="465" t="s">
        <v>1365</v>
      </c>
      <c r="K231" s="465"/>
      <c r="L231" s="545"/>
    </row>
    <row r="232" spans="1:12">
      <c r="A232" t="str">
        <f>nmProd1Seg3</f>
        <v>Lordfrey City</v>
      </c>
      <c r="E232" s="464">
        <f>calcProd1Seg3Payer1ShareTotalCustR2</f>
        <v>5.6199999999999983E-3</v>
      </c>
      <c r="F232" s="464">
        <f>calcProd1Seg3Payer1ShareTotalCustR2</f>
        <v>5.6199999999999983E-3</v>
      </c>
      <c r="G232" s="464">
        <f>calcProd1Seg3Payer1ShareTotalCustR2</f>
        <v>5.6199999999999983E-3</v>
      </c>
      <c r="H232" s="464">
        <f>calcProd1Seg3Payer1ShareTotalCustR2</f>
        <v>5.6199999999999983E-3</v>
      </c>
      <c r="I232" s="464">
        <f>calcProd1Seg3Payer1ShareTotalCustR2</f>
        <v>5.6199999999999983E-3</v>
      </c>
      <c r="J232" s="465" t="s">
        <v>1366</v>
      </c>
      <c r="K232" s="465"/>
      <c r="L232" s="545"/>
    </row>
    <row r="233" spans="1:12">
      <c r="E233" s="451"/>
      <c r="F233" s="451"/>
      <c r="G233" s="451"/>
      <c r="H233" s="451"/>
      <c r="I233" s="451"/>
      <c r="L233" s="546"/>
    </row>
    <row r="234" spans="1:12">
      <c r="A234" s="4" t="str">
        <f>nmPayer2</f>
        <v>WesterAid</v>
      </c>
      <c r="E234" s="451"/>
      <c r="F234" s="451"/>
      <c r="G234" s="451"/>
      <c r="H234" s="451"/>
      <c r="I234" s="451"/>
      <c r="L234" s="546"/>
    </row>
    <row r="235" spans="1:12">
      <c r="A235" t="str">
        <f>nmProd1</f>
        <v>Riverrun</v>
      </c>
      <c r="E235" s="464">
        <f>calcProd1Payer2ShareTotalCustR2</f>
        <v>1.1558201757067571E-4</v>
      </c>
      <c r="F235" s="464">
        <f>calcProd1Payer2ShareTotalCustR2</f>
        <v>1.1558201757067571E-4</v>
      </c>
      <c r="G235" s="464">
        <f>calcProd1Payer2ShareTotalCustR2</f>
        <v>1.1558201757067571E-4</v>
      </c>
      <c r="H235" s="464">
        <f>calcProd1Payer2ShareTotalCustR2</f>
        <v>1.1558201757067571E-4</v>
      </c>
      <c r="I235" s="464">
        <f>calcProd1Payer2ShareTotalCustR2</f>
        <v>1.0842652932130004E-4</v>
      </c>
      <c r="J235" s="465" t="s">
        <v>1367</v>
      </c>
      <c r="K235" s="465"/>
      <c r="L235" s="545"/>
    </row>
    <row r="236" spans="1:12">
      <c r="A236" t="str">
        <f>nmProd1Seg1</f>
        <v>Riverrun Central</v>
      </c>
      <c r="E236" s="464">
        <f>calcProd1Seg1Payer2ShareTotalCustR2</f>
        <v>1.2075000000000025E-4</v>
      </c>
      <c r="F236" s="464">
        <f>calcProd1Seg1Payer2ShareTotalCustR2</f>
        <v>1.2075000000000025E-4</v>
      </c>
      <c r="G236" s="464">
        <f>calcProd1Seg1Payer2ShareTotalCustR2</f>
        <v>1.2075000000000025E-4</v>
      </c>
      <c r="H236" s="464">
        <f>calcProd1Seg1Payer2ShareTotalCustR2</f>
        <v>1.2075000000000025E-4</v>
      </c>
      <c r="I236" s="464">
        <f>calcProd1Seg1Payer2ShareTotalCustR2</f>
        <v>1.2075000000000025E-4</v>
      </c>
      <c r="J236" s="465" t="s">
        <v>1368</v>
      </c>
      <c r="K236" s="465"/>
      <c r="L236" s="545"/>
    </row>
    <row r="237" spans="1:12">
      <c r="A237" t="str">
        <f>nmProd1Seg2</f>
        <v>Tullyville</v>
      </c>
      <c r="E237" s="464">
        <f>calcProd1Seg2Payer2ShareTotalCustR2</f>
        <v>5.9800000000000055E-4</v>
      </c>
      <c r="F237" s="464">
        <f>calcProd1Seg2Payer2ShareTotalCustR2</f>
        <v>5.9800000000000055E-4</v>
      </c>
      <c r="G237" s="464">
        <f>calcProd1Seg2Payer2ShareTotalCustR2</f>
        <v>5.9800000000000055E-4</v>
      </c>
      <c r="H237" s="464">
        <f>calcProd1Seg2Payer2ShareTotalCustR2</f>
        <v>5.9800000000000055E-4</v>
      </c>
      <c r="I237" s="464">
        <f>calcProd1Seg2Payer2ShareTotalCustR2</f>
        <v>5.9800000000000055E-4</v>
      </c>
      <c r="J237" s="465" t="s">
        <v>1369</v>
      </c>
      <c r="K237" s="465"/>
      <c r="L237" s="545"/>
    </row>
    <row r="238" spans="1:12">
      <c r="A238" t="str">
        <f>nmProd1Seg3</f>
        <v>Lordfrey City</v>
      </c>
      <c r="E238" s="464">
        <f>calcProd1Seg3Payer2ShareTotalCustR2</f>
        <v>0</v>
      </c>
      <c r="F238" s="464">
        <f>calcProd1Seg3Payer2ShareTotalCustR2</f>
        <v>0</v>
      </c>
      <c r="G238" s="464">
        <f>calcProd1Seg3Payer2ShareTotalCustR2</f>
        <v>0</v>
      </c>
      <c r="H238" s="464">
        <f>calcProd1Seg3Payer2ShareTotalCustR2</f>
        <v>0</v>
      </c>
      <c r="I238" s="464">
        <f>calcProd1Seg3Payer2ShareTotalCustR2</f>
        <v>0</v>
      </c>
      <c r="J238" s="465" t="s">
        <v>1370</v>
      </c>
      <c r="K238" s="465"/>
      <c r="L238" s="545"/>
    </row>
    <row r="239" spans="1:12">
      <c r="E239" s="451"/>
      <c r="F239" s="451"/>
      <c r="G239" s="451"/>
      <c r="H239" s="451"/>
      <c r="I239" s="451"/>
      <c r="L239" s="546"/>
    </row>
    <row r="240" spans="1:12">
      <c r="A240" s="4" t="str">
        <f>nmPayer3</f>
        <v>Dragon Health</v>
      </c>
      <c r="E240" s="451"/>
      <c r="F240" s="451"/>
      <c r="G240" s="451"/>
      <c r="H240" s="451"/>
      <c r="I240" s="451"/>
      <c r="L240" s="546"/>
    </row>
    <row r="241" spans="1:12">
      <c r="A241" t="str">
        <f>nmProd1</f>
        <v>Riverrun</v>
      </c>
      <c r="E241" s="464">
        <f>calcProd1Payer3ShareTotalCustR2</f>
        <v>2.4978917036584058E-3</v>
      </c>
      <c r="F241" s="464">
        <f>calcProd1Payer3ShareTotalCustR2</f>
        <v>2.4978917036584058E-3</v>
      </c>
      <c r="G241" s="464">
        <f>calcProd1Payer3ShareTotalCustR2</f>
        <v>2.4978917036584058E-3</v>
      </c>
      <c r="H241" s="464">
        <f>calcProd1Payer3ShareTotalCustR2</f>
        <v>2.4978917036584058E-3</v>
      </c>
      <c r="I241" s="464">
        <f>calcProd1Payer3ShareTotalCustR2</f>
        <v>2.4896223913451689E-3</v>
      </c>
      <c r="J241" s="465" t="s">
        <v>1371</v>
      </c>
      <c r="K241" s="465"/>
      <c r="L241" s="545"/>
    </row>
    <row r="242" spans="1:12">
      <c r="A242" t="str">
        <f>nmProd1Seg1</f>
        <v>Riverrun Central</v>
      </c>
      <c r="E242" s="464">
        <f>calcProd1Seg1Payer3ShareTotalCustR2</f>
        <v>3.3672272727272743E-3</v>
      </c>
      <c r="F242" s="464">
        <f>calcProd1Seg1Payer3ShareTotalCustR2</f>
        <v>3.3672272727272743E-3</v>
      </c>
      <c r="G242" s="464">
        <f>calcProd1Seg1Payer3ShareTotalCustR2</f>
        <v>3.3672272727272743E-3</v>
      </c>
      <c r="H242" s="464">
        <f>calcProd1Seg1Payer3ShareTotalCustR2</f>
        <v>3.3672272727272743E-3</v>
      </c>
      <c r="I242" s="464">
        <f>calcProd1Seg1Payer3ShareTotalCustR2</f>
        <v>3.3672272727272743E-3</v>
      </c>
      <c r="J242" s="465" t="s">
        <v>1372</v>
      </c>
      <c r="K242" s="465"/>
      <c r="L242" s="545"/>
    </row>
    <row r="243" spans="1:12">
      <c r="A243" t="str">
        <f>nmProd1Seg2</f>
        <v>Tullyville</v>
      </c>
      <c r="E243" s="464">
        <f>calcProd1Seg2Payer3ShareTotalCustR2</f>
        <v>2.2911428571428579E-3</v>
      </c>
      <c r="F243" s="464">
        <f>calcProd1Seg2Payer3ShareTotalCustR2</f>
        <v>2.2911428571428579E-3</v>
      </c>
      <c r="G243" s="464">
        <f>calcProd1Seg2Payer3ShareTotalCustR2</f>
        <v>2.2911428571428579E-3</v>
      </c>
      <c r="H243" s="464">
        <f>calcProd1Seg2Payer3ShareTotalCustR2</f>
        <v>2.2911428571428579E-3</v>
      </c>
      <c r="I243" s="464">
        <f>calcProd1Seg2Payer3ShareTotalCustR2</f>
        <v>2.2911428571428579E-3</v>
      </c>
      <c r="J243" s="465" t="s">
        <v>1373</v>
      </c>
      <c r="K243" s="465"/>
      <c r="L243" s="545"/>
    </row>
    <row r="244" spans="1:12">
      <c r="A244" t="str">
        <f>nmProd1Seg3</f>
        <v>Lordfrey City</v>
      </c>
      <c r="E244" s="464">
        <f>calcProd1Seg3Payer3ShareTotalCustR2</f>
        <v>2.8894736842105264E-3</v>
      </c>
      <c r="F244" s="464">
        <f>calcProd1Seg3Payer3ShareTotalCustR2</f>
        <v>2.8894736842105264E-3</v>
      </c>
      <c r="G244" s="464">
        <f>calcProd1Seg3Payer3ShareTotalCustR2</f>
        <v>2.8894736842105264E-3</v>
      </c>
      <c r="H244" s="464">
        <f>calcProd1Seg3Payer3ShareTotalCustR2</f>
        <v>2.8894736842105264E-3</v>
      </c>
      <c r="I244" s="464">
        <f>calcProd1Seg3Payer3ShareTotalCustR2</f>
        <v>2.8894736842105264E-3</v>
      </c>
      <c r="J244" s="465" t="s">
        <v>1374</v>
      </c>
      <c r="K244" s="465"/>
      <c r="L244" s="545"/>
    </row>
    <row r="245" spans="1:12">
      <c r="E245" s="451"/>
      <c r="F245" s="451"/>
      <c r="G245" s="451"/>
      <c r="H245" s="451"/>
      <c r="I245" s="451"/>
      <c r="L245" s="546"/>
    </row>
    <row r="246" spans="1:12">
      <c r="A246" s="4" t="str">
        <f>nmComp1</f>
        <v>Vibrant</v>
      </c>
      <c r="E246" s="451"/>
      <c r="F246" s="451"/>
      <c r="G246" s="451"/>
      <c r="H246" s="451"/>
      <c r="I246" s="451"/>
      <c r="L246" s="546"/>
    </row>
    <row r="247" spans="1:12">
      <c r="A247" s="4" t="str">
        <f>nmPayer1</f>
        <v>Blue Sword/Blue Shield</v>
      </c>
      <c r="E247" s="451"/>
      <c r="F247" s="451"/>
      <c r="G247" s="451"/>
      <c r="H247" s="451"/>
      <c r="I247" s="451"/>
      <c r="L247" s="546"/>
    </row>
    <row r="248" spans="1:12">
      <c r="A248" t="str">
        <f>nmProd1</f>
        <v>Riverrun</v>
      </c>
      <c r="E248" s="464">
        <f t="shared" ref="E248:I251" si="8">$L248</f>
        <v>0</v>
      </c>
      <c r="F248" s="464">
        <f t="shared" si="8"/>
        <v>0</v>
      </c>
      <c r="G248" s="464">
        <f t="shared" si="8"/>
        <v>0</v>
      </c>
      <c r="H248" s="464">
        <f t="shared" si="8"/>
        <v>0</v>
      </c>
      <c r="I248" s="464">
        <f t="shared" si="8"/>
        <v>0</v>
      </c>
      <c r="J248" s="465" t="s">
        <v>1375</v>
      </c>
      <c r="K248" s="465"/>
      <c r="L248" s="545"/>
    </row>
    <row r="249" spans="1:12">
      <c r="A249" t="str">
        <f>nmProd1Seg1</f>
        <v>Riverrun Central</v>
      </c>
      <c r="E249" s="464">
        <f t="shared" si="8"/>
        <v>0</v>
      </c>
      <c r="F249" s="464">
        <f t="shared" si="8"/>
        <v>0</v>
      </c>
      <c r="G249" s="464">
        <f t="shared" si="8"/>
        <v>0</v>
      </c>
      <c r="H249" s="464">
        <f t="shared" si="8"/>
        <v>0</v>
      </c>
      <c r="I249" s="464">
        <f t="shared" si="8"/>
        <v>0</v>
      </c>
      <c r="J249" s="465" t="s">
        <v>1376</v>
      </c>
      <c r="K249" s="465"/>
      <c r="L249" s="545"/>
    </row>
    <row r="250" spans="1:12">
      <c r="A250" t="str">
        <f>nmProd1Seg2</f>
        <v>Tullyville</v>
      </c>
      <c r="E250" s="464">
        <f t="shared" si="8"/>
        <v>0</v>
      </c>
      <c r="F250" s="464">
        <f t="shared" si="8"/>
        <v>0</v>
      </c>
      <c r="G250" s="464">
        <f t="shared" si="8"/>
        <v>0</v>
      </c>
      <c r="H250" s="464">
        <f t="shared" si="8"/>
        <v>0</v>
      </c>
      <c r="I250" s="464">
        <f t="shared" si="8"/>
        <v>0</v>
      </c>
      <c r="J250" s="465" t="s">
        <v>1377</v>
      </c>
      <c r="K250" s="465"/>
      <c r="L250" s="545"/>
    </row>
    <row r="251" spans="1:12">
      <c r="A251" t="str">
        <f>nmProd1Seg3</f>
        <v>Lordfrey City</v>
      </c>
      <c r="E251" s="464">
        <f t="shared" si="8"/>
        <v>0</v>
      </c>
      <c r="F251" s="464">
        <f t="shared" si="8"/>
        <v>0</v>
      </c>
      <c r="G251" s="464">
        <f t="shared" si="8"/>
        <v>0</v>
      </c>
      <c r="H251" s="464">
        <f t="shared" si="8"/>
        <v>0</v>
      </c>
      <c r="I251" s="464">
        <f t="shared" si="8"/>
        <v>0</v>
      </c>
      <c r="J251" s="465" t="s">
        <v>1378</v>
      </c>
      <c r="K251" s="465"/>
      <c r="L251" s="545"/>
    </row>
    <row r="252" spans="1:12">
      <c r="E252" s="451"/>
      <c r="F252" s="451"/>
      <c r="G252" s="451"/>
      <c r="H252" s="451"/>
      <c r="I252" s="451" t="s">
        <v>677</v>
      </c>
      <c r="L252" s="546"/>
    </row>
    <row r="253" spans="1:12">
      <c r="A253" s="4" t="str">
        <f>nmPayer2</f>
        <v>WesterAid</v>
      </c>
      <c r="E253" s="451"/>
      <c r="F253" s="451"/>
      <c r="G253" s="451"/>
      <c r="H253" s="451"/>
      <c r="I253" s="451"/>
      <c r="L253" s="546"/>
    </row>
    <row r="254" spans="1:12">
      <c r="A254" t="str">
        <f>nmProd1</f>
        <v>Riverrun</v>
      </c>
      <c r="E254" s="464">
        <f t="shared" ref="E254:I257" si="9">$L254</f>
        <v>0</v>
      </c>
      <c r="F254" s="464">
        <f t="shared" si="9"/>
        <v>0</v>
      </c>
      <c r="G254" s="464">
        <f t="shared" si="9"/>
        <v>0</v>
      </c>
      <c r="H254" s="464">
        <f t="shared" si="9"/>
        <v>0</v>
      </c>
      <c r="I254" s="464">
        <f t="shared" si="9"/>
        <v>0</v>
      </c>
      <c r="J254" s="465" t="s">
        <v>1379</v>
      </c>
      <c r="K254" s="465"/>
      <c r="L254" s="545"/>
    </row>
    <row r="255" spans="1:12">
      <c r="A255" t="str">
        <f>nmProd1Seg1</f>
        <v>Riverrun Central</v>
      </c>
      <c r="E255" s="464">
        <f t="shared" si="9"/>
        <v>0</v>
      </c>
      <c r="F255" s="464">
        <f t="shared" si="9"/>
        <v>0</v>
      </c>
      <c r="G255" s="464">
        <f t="shared" si="9"/>
        <v>0</v>
      </c>
      <c r="H255" s="464">
        <f t="shared" si="9"/>
        <v>0</v>
      </c>
      <c r="I255" s="464">
        <f t="shared" si="9"/>
        <v>0</v>
      </c>
      <c r="J255" s="465" t="s">
        <v>1380</v>
      </c>
      <c r="K255" s="465"/>
      <c r="L255" s="545"/>
    </row>
    <row r="256" spans="1:12">
      <c r="A256" t="str">
        <f>nmProd1Seg2</f>
        <v>Tullyville</v>
      </c>
      <c r="E256" s="464">
        <f t="shared" si="9"/>
        <v>0</v>
      </c>
      <c r="F256" s="464">
        <f t="shared" si="9"/>
        <v>0</v>
      </c>
      <c r="G256" s="464">
        <f t="shared" si="9"/>
        <v>0</v>
      </c>
      <c r="H256" s="464">
        <f t="shared" si="9"/>
        <v>0</v>
      </c>
      <c r="I256" s="464">
        <f t="shared" si="9"/>
        <v>0</v>
      </c>
      <c r="J256" s="465" t="s">
        <v>1381</v>
      </c>
      <c r="K256" s="465"/>
      <c r="L256" s="545"/>
    </row>
    <row r="257" spans="1:12">
      <c r="A257" t="str">
        <f>nmProd1Seg3</f>
        <v>Lordfrey City</v>
      </c>
      <c r="E257" s="464">
        <f t="shared" si="9"/>
        <v>0</v>
      </c>
      <c r="F257" s="464">
        <f t="shared" si="9"/>
        <v>0</v>
      </c>
      <c r="G257" s="464">
        <f t="shared" si="9"/>
        <v>0</v>
      </c>
      <c r="H257" s="464">
        <f t="shared" si="9"/>
        <v>0</v>
      </c>
      <c r="I257" s="464">
        <f t="shared" si="9"/>
        <v>0</v>
      </c>
      <c r="J257" s="465" t="s">
        <v>1382</v>
      </c>
      <c r="K257" s="465"/>
      <c r="L257" s="545"/>
    </row>
    <row r="258" spans="1:12">
      <c r="E258" s="451"/>
      <c r="F258" s="451"/>
      <c r="G258" s="451"/>
      <c r="H258" s="451"/>
      <c r="I258" s="451" t="s">
        <v>677</v>
      </c>
      <c r="L258" s="546"/>
    </row>
    <row r="259" spans="1:12">
      <c r="A259" s="4" t="str">
        <f>nmPayer3</f>
        <v>Dragon Health</v>
      </c>
      <c r="E259" s="451"/>
      <c r="F259" s="451"/>
      <c r="G259" s="451"/>
      <c r="H259" s="451"/>
      <c r="I259" s="451"/>
      <c r="L259" s="546"/>
    </row>
    <row r="260" spans="1:12">
      <c r="A260" t="str">
        <f>nmProd1</f>
        <v>Riverrun</v>
      </c>
      <c r="E260" s="464">
        <f t="shared" ref="E260:I263" si="10">$L260</f>
        <v>0</v>
      </c>
      <c r="F260" s="464">
        <f t="shared" si="10"/>
        <v>0</v>
      </c>
      <c r="G260" s="464">
        <f t="shared" si="10"/>
        <v>0</v>
      </c>
      <c r="H260" s="464">
        <f t="shared" si="10"/>
        <v>0</v>
      </c>
      <c r="I260" s="464">
        <f t="shared" si="10"/>
        <v>0</v>
      </c>
      <c r="J260" s="465" t="s">
        <v>1383</v>
      </c>
      <c r="K260" s="465"/>
      <c r="L260" s="545"/>
    </row>
    <row r="261" spans="1:12">
      <c r="A261" t="str">
        <f>nmProd1Seg1</f>
        <v>Riverrun Central</v>
      </c>
      <c r="E261" s="464">
        <f t="shared" si="10"/>
        <v>0</v>
      </c>
      <c r="F261" s="464">
        <f t="shared" si="10"/>
        <v>0</v>
      </c>
      <c r="G261" s="464">
        <f t="shared" si="10"/>
        <v>0</v>
      </c>
      <c r="H261" s="464">
        <f t="shared" si="10"/>
        <v>0</v>
      </c>
      <c r="I261" s="464">
        <f t="shared" si="10"/>
        <v>0</v>
      </c>
      <c r="J261" s="465" t="s">
        <v>1384</v>
      </c>
      <c r="K261" s="465"/>
      <c r="L261" s="545"/>
    </row>
    <row r="262" spans="1:12">
      <c r="A262" t="str">
        <f>nmProd1Seg2</f>
        <v>Tullyville</v>
      </c>
      <c r="E262" s="464">
        <f t="shared" si="10"/>
        <v>0</v>
      </c>
      <c r="F262" s="464">
        <f t="shared" si="10"/>
        <v>0</v>
      </c>
      <c r="G262" s="464">
        <f t="shared" si="10"/>
        <v>0</v>
      </c>
      <c r="H262" s="464">
        <f t="shared" si="10"/>
        <v>0</v>
      </c>
      <c r="I262" s="464">
        <f t="shared" si="10"/>
        <v>0</v>
      </c>
      <c r="J262" s="465" t="s">
        <v>1385</v>
      </c>
      <c r="K262" s="465"/>
      <c r="L262" s="545"/>
    </row>
    <row r="263" spans="1:12">
      <c r="A263" t="str">
        <f>nmProd1Seg3</f>
        <v>Lordfrey City</v>
      </c>
      <c r="E263" s="464">
        <f t="shared" si="10"/>
        <v>0</v>
      </c>
      <c r="F263" s="464">
        <f t="shared" si="10"/>
        <v>0</v>
      </c>
      <c r="G263" s="464">
        <f t="shared" si="10"/>
        <v>0</v>
      </c>
      <c r="H263" s="464">
        <f t="shared" si="10"/>
        <v>0</v>
      </c>
      <c r="I263" s="464">
        <f t="shared" si="10"/>
        <v>0</v>
      </c>
      <c r="J263" s="465" t="s">
        <v>1386</v>
      </c>
      <c r="K263" s="465"/>
      <c r="L263" s="545"/>
    </row>
    <row r="264" spans="1:12">
      <c r="E264" s="451"/>
      <c r="F264" s="451"/>
      <c r="G264" s="451"/>
      <c r="H264" s="451"/>
      <c r="I264" s="451" t="s">
        <v>677</v>
      </c>
      <c r="L264" s="546"/>
    </row>
    <row r="265" spans="1:12">
      <c r="A265" s="4" t="str">
        <f>nmComp2</f>
        <v>Pristine</v>
      </c>
      <c r="E265" s="451"/>
      <c r="F265" s="451"/>
      <c r="G265" s="451"/>
      <c r="H265" s="451"/>
      <c r="I265" s="451"/>
      <c r="L265" s="546"/>
    </row>
    <row r="266" spans="1:12">
      <c r="A266" s="4" t="str">
        <f>nmPayer1</f>
        <v>Blue Sword/Blue Shield</v>
      </c>
      <c r="E266" s="451"/>
      <c r="F266" s="451"/>
      <c r="G266" s="451"/>
      <c r="H266" s="451"/>
      <c r="I266" s="451"/>
      <c r="L266" s="546"/>
    </row>
    <row r="267" spans="1:12">
      <c r="A267" t="str">
        <f>nmProd1</f>
        <v>Riverrun</v>
      </c>
      <c r="E267" s="464">
        <f t="shared" ref="E267:I270" si="11">$L267</f>
        <v>0</v>
      </c>
      <c r="F267" s="464">
        <f t="shared" si="11"/>
        <v>0</v>
      </c>
      <c r="G267" s="464">
        <f t="shared" si="11"/>
        <v>0</v>
      </c>
      <c r="H267" s="464">
        <f t="shared" si="11"/>
        <v>0</v>
      </c>
      <c r="I267" s="464">
        <f t="shared" si="11"/>
        <v>0</v>
      </c>
      <c r="J267" s="465" t="s">
        <v>1387</v>
      </c>
      <c r="K267" s="465"/>
      <c r="L267" s="545"/>
    </row>
    <row r="268" spans="1:12">
      <c r="A268" t="str">
        <f>nmProd1Seg1</f>
        <v>Riverrun Central</v>
      </c>
      <c r="E268" s="464">
        <f t="shared" si="11"/>
        <v>0</v>
      </c>
      <c r="F268" s="464">
        <f t="shared" si="11"/>
        <v>0</v>
      </c>
      <c r="G268" s="464">
        <f t="shared" si="11"/>
        <v>0</v>
      </c>
      <c r="H268" s="464">
        <f t="shared" si="11"/>
        <v>0</v>
      </c>
      <c r="I268" s="464">
        <f t="shared" si="11"/>
        <v>0</v>
      </c>
      <c r="J268" s="465" t="s">
        <v>1388</v>
      </c>
      <c r="K268" s="465"/>
      <c r="L268" s="545"/>
    </row>
    <row r="269" spans="1:12">
      <c r="A269" t="str">
        <f>nmProd1Seg2</f>
        <v>Tullyville</v>
      </c>
      <c r="E269" s="464">
        <f t="shared" si="11"/>
        <v>0</v>
      </c>
      <c r="F269" s="464">
        <f t="shared" si="11"/>
        <v>0</v>
      </c>
      <c r="G269" s="464">
        <f t="shared" si="11"/>
        <v>0</v>
      </c>
      <c r="H269" s="464">
        <f t="shared" si="11"/>
        <v>0</v>
      </c>
      <c r="I269" s="464">
        <f t="shared" si="11"/>
        <v>0</v>
      </c>
      <c r="J269" s="465" t="s">
        <v>1389</v>
      </c>
      <c r="K269" s="465"/>
      <c r="L269" s="545"/>
    </row>
    <row r="270" spans="1:12">
      <c r="A270" t="str">
        <f>nmProd1Seg3</f>
        <v>Lordfrey City</v>
      </c>
      <c r="E270" s="464">
        <f t="shared" si="11"/>
        <v>0</v>
      </c>
      <c r="F270" s="464">
        <f t="shared" si="11"/>
        <v>0</v>
      </c>
      <c r="G270" s="464">
        <f t="shared" si="11"/>
        <v>0</v>
      </c>
      <c r="H270" s="464">
        <f t="shared" si="11"/>
        <v>0</v>
      </c>
      <c r="I270" s="464">
        <f t="shared" si="11"/>
        <v>0</v>
      </c>
      <c r="J270" s="465" t="s">
        <v>1390</v>
      </c>
      <c r="K270" s="465"/>
      <c r="L270" s="545"/>
    </row>
    <row r="271" spans="1:12">
      <c r="E271" s="451"/>
      <c r="F271" s="451"/>
      <c r="G271" s="451"/>
      <c r="H271" s="451"/>
      <c r="I271" s="451" t="s">
        <v>677</v>
      </c>
      <c r="L271" s="546"/>
    </row>
    <row r="272" spans="1:12">
      <c r="A272" s="4" t="str">
        <f>nmPayer2</f>
        <v>WesterAid</v>
      </c>
      <c r="E272" s="451"/>
      <c r="F272" s="451"/>
      <c r="G272" s="451"/>
      <c r="H272" s="451"/>
      <c r="I272" s="451"/>
      <c r="L272" s="546"/>
    </row>
    <row r="273" spans="1:12">
      <c r="A273" t="str">
        <f>nmProd1</f>
        <v>Riverrun</v>
      </c>
      <c r="E273" s="464">
        <f t="shared" ref="E273:I276" si="12">$L273</f>
        <v>0</v>
      </c>
      <c r="F273" s="464">
        <f t="shared" si="12"/>
        <v>0</v>
      </c>
      <c r="G273" s="464">
        <f t="shared" si="12"/>
        <v>0</v>
      </c>
      <c r="H273" s="464">
        <f t="shared" si="12"/>
        <v>0</v>
      </c>
      <c r="I273" s="464">
        <f t="shared" si="12"/>
        <v>0</v>
      </c>
      <c r="J273" s="465" t="s">
        <v>1391</v>
      </c>
      <c r="K273" s="465"/>
      <c r="L273" s="545"/>
    </row>
    <row r="274" spans="1:12">
      <c r="A274" t="str">
        <f>nmProd1Seg1</f>
        <v>Riverrun Central</v>
      </c>
      <c r="E274" s="464">
        <f t="shared" si="12"/>
        <v>0</v>
      </c>
      <c r="F274" s="464">
        <f t="shared" si="12"/>
        <v>0</v>
      </c>
      <c r="G274" s="464">
        <f t="shared" si="12"/>
        <v>0</v>
      </c>
      <c r="H274" s="464">
        <f t="shared" si="12"/>
        <v>0</v>
      </c>
      <c r="I274" s="464">
        <f t="shared" si="12"/>
        <v>0</v>
      </c>
      <c r="J274" s="465" t="s">
        <v>1392</v>
      </c>
      <c r="K274" s="465"/>
      <c r="L274" s="545"/>
    </row>
    <row r="275" spans="1:12">
      <c r="A275" t="str">
        <f>nmProd1Seg2</f>
        <v>Tullyville</v>
      </c>
      <c r="E275" s="464">
        <f t="shared" si="12"/>
        <v>0</v>
      </c>
      <c r="F275" s="464">
        <f t="shared" si="12"/>
        <v>0</v>
      </c>
      <c r="G275" s="464">
        <f t="shared" si="12"/>
        <v>0</v>
      </c>
      <c r="H275" s="464">
        <f t="shared" si="12"/>
        <v>0</v>
      </c>
      <c r="I275" s="464">
        <f t="shared" si="12"/>
        <v>0</v>
      </c>
      <c r="J275" s="465" t="s">
        <v>1393</v>
      </c>
      <c r="K275" s="465"/>
      <c r="L275" s="545"/>
    </row>
    <row r="276" spans="1:12">
      <c r="A276" t="str">
        <f>nmProd1Seg3</f>
        <v>Lordfrey City</v>
      </c>
      <c r="E276" s="464">
        <f t="shared" si="12"/>
        <v>0</v>
      </c>
      <c r="F276" s="464">
        <f t="shared" si="12"/>
        <v>0</v>
      </c>
      <c r="G276" s="464">
        <f t="shared" si="12"/>
        <v>0</v>
      </c>
      <c r="H276" s="464">
        <f t="shared" si="12"/>
        <v>0</v>
      </c>
      <c r="I276" s="464">
        <f t="shared" si="12"/>
        <v>0</v>
      </c>
      <c r="J276" s="465" t="s">
        <v>1394</v>
      </c>
      <c r="K276" s="465"/>
      <c r="L276" s="545"/>
    </row>
    <row r="277" spans="1:12">
      <c r="E277" s="451"/>
      <c r="F277" s="451"/>
      <c r="G277" s="451"/>
      <c r="H277" s="451"/>
      <c r="I277" s="451" t="s">
        <v>677</v>
      </c>
      <c r="L277" s="546"/>
    </row>
    <row r="278" spans="1:12">
      <c r="A278" s="4" t="str">
        <f>nmPayer3</f>
        <v>Dragon Health</v>
      </c>
      <c r="E278" s="451"/>
      <c r="F278" s="451"/>
      <c r="G278" s="451"/>
      <c r="H278" s="451"/>
      <c r="I278" s="451"/>
      <c r="L278" s="546"/>
    </row>
    <row r="279" spans="1:12">
      <c r="A279" t="str">
        <f>nmProd1</f>
        <v>Riverrun</v>
      </c>
      <c r="E279" s="464">
        <f t="shared" ref="E279:I282" si="13">$L279</f>
        <v>0</v>
      </c>
      <c r="F279" s="464">
        <f t="shared" si="13"/>
        <v>0</v>
      </c>
      <c r="G279" s="464">
        <f t="shared" si="13"/>
        <v>0</v>
      </c>
      <c r="H279" s="464">
        <f t="shared" si="13"/>
        <v>0</v>
      </c>
      <c r="I279" s="464">
        <f t="shared" si="13"/>
        <v>0</v>
      </c>
      <c r="J279" s="465" t="s">
        <v>1395</v>
      </c>
      <c r="K279" s="465"/>
      <c r="L279" s="545"/>
    </row>
    <row r="280" spans="1:12">
      <c r="A280" t="str">
        <f>nmProd1Seg1</f>
        <v>Riverrun Central</v>
      </c>
      <c r="E280" s="464">
        <f t="shared" si="13"/>
        <v>0</v>
      </c>
      <c r="F280" s="464">
        <f t="shared" si="13"/>
        <v>0</v>
      </c>
      <c r="G280" s="464">
        <f t="shared" si="13"/>
        <v>0</v>
      </c>
      <c r="H280" s="464">
        <f t="shared" si="13"/>
        <v>0</v>
      </c>
      <c r="I280" s="464">
        <f t="shared" si="13"/>
        <v>0</v>
      </c>
      <c r="J280" s="465" t="s">
        <v>1396</v>
      </c>
      <c r="K280" s="465"/>
      <c r="L280" s="545"/>
    </row>
    <row r="281" spans="1:12">
      <c r="A281" t="str">
        <f>nmProd1Seg2</f>
        <v>Tullyville</v>
      </c>
      <c r="E281" s="464">
        <f t="shared" si="13"/>
        <v>0</v>
      </c>
      <c r="F281" s="464">
        <f t="shared" si="13"/>
        <v>0</v>
      </c>
      <c r="G281" s="464">
        <f t="shared" si="13"/>
        <v>0</v>
      </c>
      <c r="H281" s="464">
        <f t="shared" si="13"/>
        <v>0</v>
      </c>
      <c r="I281" s="464">
        <f t="shared" si="13"/>
        <v>0</v>
      </c>
      <c r="J281" s="465" t="s">
        <v>1397</v>
      </c>
      <c r="K281" s="465"/>
      <c r="L281" s="545"/>
    </row>
    <row r="282" spans="1:12">
      <c r="A282" t="str">
        <f>nmProd1Seg3</f>
        <v>Lordfrey City</v>
      </c>
      <c r="E282" s="464">
        <f t="shared" si="13"/>
        <v>0</v>
      </c>
      <c r="F282" s="464">
        <f t="shared" si="13"/>
        <v>0</v>
      </c>
      <c r="G282" s="464">
        <f t="shared" si="13"/>
        <v>0</v>
      </c>
      <c r="H282" s="464">
        <f t="shared" si="13"/>
        <v>0</v>
      </c>
      <c r="I282" s="464">
        <f t="shared" si="13"/>
        <v>0</v>
      </c>
      <c r="J282" s="465" t="s">
        <v>1398</v>
      </c>
      <c r="K282" s="465"/>
      <c r="L282" s="545"/>
    </row>
    <row r="283" spans="1:12">
      <c r="E283" s="451"/>
      <c r="F283" s="451"/>
      <c r="G283" s="451"/>
      <c r="H283" s="451"/>
      <c r="I283" s="451" t="s">
        <v>677</v>
      </c>
      <c r="L283" s="546"/>
    </row>
    <row r="284" spans="1:12">
      <c r="A284" s="4" t="s">
        <v>1417</v>
      </c>
      <c r="E284" s="451"/>
      <c r="F284" s="451"/>
      <c r="G284" s="451"/>
      <c r="H284" s="451"/>
      <c r="I284" s="451"/>
      <c r="L284" s="546"/>
    </row>
    <row r="285" spans="1:12">
      <c r="A285" s="4" t="str">
        <f>nmPayer1</f>
        <v>Blue Sword/Blue Shield</v>
      </c>
      <c r="E285" s="451"/>
      <c r="F285" s="451"/>
      <c r="G285" s="451"/>
      <c r="H285" s="451"/>
      <c r="I285" s="451"/>
      <c r="L285" s="546"/>
    </row>
    <row r="286" spans="1:12">
      <c r="A286" t="str">
        <f>nmProd1</f>
        <v>Riverrun</v>
      </c>
      <c r="E286" s="451">
        <f>calcProd1Payer1TotalCustR2</f>
        <v>287.36979155559357</v>
      </c>
      <c r="F286" s="451">
        <f>calcProd1Payer1TotalCustR2</f>
        <v>287.36979155559357</v>
      </c>
      <c r="G286" s="451">
        <f>calcProd1Payer1TotalCustR2</f>
        <v>287.36979155559357</v>
      </c>
      <c r="H286" s="451">
        <f>calcProd1Payer1TotalCustR2</f>
        <v>287.36979155559357</v>
      </c>
      <c r="I286" s="451">
        <f>calcProd1Payer1TotalCustR2</f>
        <v>286.91150788359357</v>
      </c>
      <c r="J286" s="465" t="s">
        <v>1443</v>
      </c>
      <c r="K286" s="465"/>
      <c r="L286" s="546"/>
    </row>
    <row r="287" spans="1:12">
      <c r="A287" t="str">
        <f>nmProd1Seg1</f>
        <v>Riverrun Central</v>
      </c>
      <c r="E287" s="451">
        <f>calcProd1Seg1Payer1VolumeR2</f>
        <v>130.57540604559361</v>
      </c>
      <c r="F287" s="451">
        <f>calcProd1Seg1Payer1VolumeR2</f>
        <v>130.57540604559361</v>
      </c>
      <c r="G287" s="451">
        <f>calcProd1Seg1Payer1VolumeR2</f>
        <v>130.57540604559361</v>
      </c>
      <c r="H287" s="451">
        <f>calcProd1Seg1Payer1VolumeR2</f>
        <v>130.57540604559361</v>
      </c>
      <c r="I287" s="451">
        <f>calcProd1Seg1Payer1VolumeR2</f>
        <v>130.57540604559361</v>
      </c>
      <c r="J287" s="465" t="s">
        <v>1444</v>
      </c>
      <c r="K287" s="465"/>
      <c r="L287" s="546"/>
    </row>
    <row r="288" spans="1:12">
      <c r="A288" t="str">
        <f>nmProd1Seg2</f>
        <v>Tullyville</v>
      </c>
      <c r="E288" s="451">
        <f>calcProd1Seg2Payer1VolumeR2</f>
        <v>107.85983968199997</v>
      </c>
      <c r="F288" s="451">
        <f>calcProd1Seg2Payer1VolumeR2</f>
        <v>107.85983968199997</v>
      </c>
      <c r="G288" s="451">
        <f>calcProd1Seg2Payer1VolumeR2</f>
        <v>107.85983968199997</v>
      </c>
      <c r="H288" s="451">
        <f>calcProd1Seg2Payer1VolumeR2</f>
        <v>107.85983968199997</v>
      </c>
      <c r="I288" s="451">
        <f>calcProd1Seg2Payer1VolumeR2</f>
        <v>107.40155600999998</v>
      </c>
      <c r="J288" s="465" t="s">
        <v>1445</v>
      </c>
      <c r="K288" s="465"/>
      <c r="L288" s="546"/>
    </row>
    <row r="289" spans="1:12">
      <c r="A289" t="str">
        <f>nmProd1Seg3</f>
        <v>Lordfrey City</v>
      </c>
      <c r="E289" s="451">
        <f>calcProd1Seg3Payer1VolumeR2</f>
        <v>48.934545827999976</v>
      </c>
      <c r="F289" s="451">
        <f>calcProd1Seg3Payer1VolumeR2</f>
        <v>48.934545827999976</v>
      </c>
      <c r="G289" s="451">
        <f>calcProd1Seg3Payer1VolumeR2</f>
        <v>48.934545827999976</v>
      </c>
      <c r="H289" s="451">
        <f>calcProd1Seg3Payer1VolumeR2</f>
        <v>48.934545827999976</v>
      </c>
      <c r="I289" s="451">
        <f>calcProd1Seg3Payer1VolumeR2</f>
        <v>48.934545827999976</v>
      </c>
      <c r="J289" s="465" t="s">
        <v>1446</v>
      </c>
      <c r="K289" s="465"/>
      <c r="L289" s="546"/>
    </row>
    <row r="290" spans="1:12">
      <c r="E290" s="451"/>
      <c r="F290" s="451"/>
      <c r="G290" s="451"/>
      <c r="H290" s="451"/>
      <c r="I290" s="451"/>
      <c r="L290" s="546"/>
    </row>
    <row r="291" spans="1:12">
      <c r="A291" s="4" t="str">
        <f>nmPayer2</f>
        <v>WesterAid</v>
      </c>
      <c r="E291" s="451"/>
      <c r="F291" s="451"/>
      <c r="G291" s="451"/>
      <c r="H291" s="451"/>
      <c r="I291" s="451"/>
      <c r="L291" s="546"/>
    </row>
    <row r="292" spans="1:12">
      <c r="A292" t="str">
        <f>nmProd1</f>
        <v>Riverrun</v>
      </c>
      <c r="E292" s="451">
        <f>calcProd1Payer2TotalCustR2</f>
        <v>4.145947185555011</v>
      </c>
      <c r="F292" s="451">
        <f>calcProd1Payer2TotalCustR2</f>
        <v>4.145947185555011</v>
      </c>
      <c r="G292" s="451">
        <f>calcProd1Payer2TotalCustR2</f>
        <v>4.145947185555011</v>
      </c>
      <c r="H292" s="451">
        <f>calcProd1Payer2TotalCustR2</f>
        <v>4.145947185555011</v>
      </c>
      <c r="I292" s="451">
        <f>calcProd1Payer2TotalCustR2</f>
        <v>3.8892785705550108</v>
      </c>
      <c r="J292" s="465" t="s">
        <v>1447</v>
      </c>
      <c r="K292" s="465"/>
      <c r="L292" s="546"/>
    </row>
    <row r="293" spans="1:12">
      <c r="A293" t="str">
        <f>nmProd1Seg1</f>
        <v>Riverrun Central</v>
      </c>
      <c r="E293" s="451">
        <f>calcProd1Seg1Payer2VolumeR2</f>
        <v>2.3171833036800069</v>
      </c>
      <c r="F293" s="451">
        <f>calcProd1Seg1Payer2VolumeR2</f>
        <v>2.3171833036800069</v>
      </c>
      <c r="G293" s="451">
        <f>calcProd1Seg1Payer2VolumeR2</f>
        <v>2.3171833036800069</v>
      </c>
      <c r="H293" s="451">
        <f>calcProd1Seg1Payer2VolumeR2</f>
        <v>2.3171833036800069</v>
      </c>
      <c r="I293" s="451">
        <f>calcProd1Seg1Payer2VolumeR2</f>
        <v>2.3171833036800069</v>
      </c>
      <c r="J293" s="465" t="s">
        <v>1448</v>
      </c>
      <c r="K293" s="465"/>
      <c r="L293" s="546"/>
    </row>
    <row r="294" spans="1:12">
      <c r="A294" t="str">
        <f>nmProd1Seg2</f>
        <v>Tullyville</v>
      </c>
      <c r="E294" s="451">
        <f>calcProd1Seg2Payer2VolumeR2</f>
        <v>1.8287638818750047</v>
      </c>
      <c r="F294" s="451">
        <f>calcProd1Seg2Payer2VolumeR2</f>
        <v>1.8287638818750047</v>
      </c>
      <c r="G294" s="451">
        <f>calcProd1Seg2Payer2VolumeR2</f>
        <v>1.8287638818750047</v>
      </c>
      <c r="H294" s="451">
        <f>calcProd1Seg2Payer2VolumeR2</f>
        <v>1.8287638818750047</v>
      </c>
      <c r="I294" s="451">
        <f>calcProd1Seg2Payer2VolumeR2</f>
        <v>1.5720952668750041</v>
      </c>
      <c r="J294" s="465" t="s">
        <v>1449</v>
      </c>
      <c r="K294" s="465"/>
      <c r="L294" s="546"/>
    </row>
    <row r="295" spans="1:12">
      <c r="A295" t="str">
        <f>nmProd1Seg3</f>
        <v>Lordfrey City</v>
      </c>
      <c r="E295" s="451">
        <f>calcProd1Seg3Payer2VolumeR2</f>
        <v>0</v>
      </c>
      <c r="F295" s="451">
        <f>calcProd1Seg3Payer2VolumeR2</f>
        <v>0</v>
      </c>
      <c r="G295" s="451">
        <f>calcProd1Seg3Payer2VolumeR2</f>
        <v>0</v>
      </c>
      <c r="H295" s="451">
        <f>calcProd1Seg3Payer2VolumeR2</f>
        <v>0</v>
      </c>
      <c r="I295" s="451">
        <f>calcProd1Seg3Payer2VolumeR2</f>
        <v>0</v>
      </c>
      <c r="J295" s="465" t="s">
        <v>1450</v>
      </c>
      <c r="K295" s="465"/>
      <c r="L295" s="546"/>
    </row>
    <row r="296" spans="1:12">
      <c r="E296" s="451"/>
      <c r="F296" s="451"/>
      <c r="G296" s="451"/>
      <c r="H296" s="451"/>
      <c r="I296" s="451"/>
      <c r="L296" s="546"/>
    </row>
    <row r="297" spans="1:12">
      <c r="A297" s="4" t="str">
        <f>nmPayer3</f>
        <v>Dragon Health</v>
      </c>
      <c r="E297" s="451"/>
      <c r="F297" s="451"/>
      <c r="G297" s="451"/>
      <c r="H297" s="451"/>
      <c r="I297" s="451"/>
      <c r="L297" s="546"/>
    </row>
    <row r="298" spans="1:12">
      <c r="A298" t="str">
        <f>nmProd1</f>
        <v>Riverrun</v>
      </c>
      <c r="E298" s="451">
        <f>calcProd1Payer3TotalCustR2</f>
        <v>117.9823891659575</v>
      </c>
      <c r="F298" s="451">
        <f>calcProd1Payer3TotalCustR2</f>
        <v>117.9823891659575</v>
      </c>
      <c r="G298" s="451">
        <f>calcProd1Payer3TotalCustR2</f>
        <v>117.9823891659575</v>
      </c>
      <c r="H298" s="451">
        <f>calcProd1Payer3TotalCustR2</f>
        <v>117.9823891659575</v>
      </c>
      <c r="I298" s="451">
        <f>calcProd1Payer3TotalCustR2</f>
        <v>117.59180649095751</v>
      </c>
      <c r="J298" s="465" t="s">
        <v>1451</v>
      </c>
      <c r="K298" s="465"/>
      <c r="L298" s="546"/>
    </row>
    <row r="299" spans="1:12">
      <c r="A299" t="str">
        <f>nmProd1Seg1</f>
        <v>Riverrun Central</v>
      </c>
      <c r="E299" s="451">
        <f>calcProd1Seg1Payer3VolumeR2</f>
        <v>55.726579335168033</v>
      </c>
      <c r="F299" s="451">
        <f>calcProd1Seg1Payer3VolumeR2</f>
        <v>55.726579335168033</v>
      </c>
      <c r="G299" s="451">
        <f>calcProd1Seg1Payer3VolumeR2</f>
        <v>55.726579335168033</v>
      </c>
      <c r="H299" s="451">
        <f>calcProd1Seg1Payer3VolumeR2</f>
        <v>55.726579335168033</v>
      </c>
      <c r="I299" s="451">
        <f>calcProd1Seg1Payer3VolumeR2</f>
        <v>55.726579335168033</v>
      </c>
      <c r="J299" s="465" t="s">
        <v>1452</v>
      </c>
      <c r="K299" s="465"/>
      <c r="L299" s="546"/>
    </row>
    <row r="300" spans="1:12">
      <c r="A300" t="str">
        <f>nmProd1Seg2</f>
        <v>Tullyville</v>
      </c>
      <c r="E300" s="451">
        <f>calcProd1Seg2Payer3VolumeR2</f>
        <v>44.735665668750002</v>
      </c>
      <c r="F300" s="451">
        <f>calcProd1Seg2Payer3VolumeR2</f>
        <v>44.735665668750002</v>
      </c>
      <c r="G300" s="451">
        <f>calcProd1Seg2Payer3VolumeR2</f>
        <v>44.735665668750002</v>
      </c>
      <c r="H300" s="451">
        <f>calcProd1Seg2Payer3VolumeR2</f>
        <v>44.735665668750002</v>
      </c>
      <c r="I300" s="451">
        <f>calcProd1Seg2Payer3VolumeR2</f>
        <v>44.345082993750005</v>
      </c>
      <c r="J300" s="465" t="s">
        <v>1453</v>
      </c>
      <c r="K300" s="465"/>
      <c r="L300" s="546"/>
    </row>
    <row r="301" spans="1:12">
      <c r="A301" t="str">
        <f>nmProd1Seg3</f>
        <v>Lordfrey City</v>
      </c>
      <c r="E301" s="451">
        <f>calcProd1Seg3Payer3VolumeR2</f>
        <v>17.520144162039472</v>
      </c>
      <c r="F301" s="451">
        <f>calcProd1Seg3Payer3VolumeR2</f>
        <v>17.520144162039472</v>
      </c>
      <c r="G301" s="451">
        <f>calcProd1Seg3Payer3VolumeR2</f>
        <v>17.520144162039472</v>
      </c>
      <c r="H301" s="451">
        <f>calcProd1Seg3Payer3VolumeR2</f>
        <v>17.520144162039472</v>
      </c>
      <c r="I301" s="451">
        <f>calcProd1Seg3Payer3VolumeR2</f>
        <v>17.520144162039472</v>
      </c>
      <c r="J301" s="465" t="s">
        <v>1454</v>
      </c>
      <c r="K301" s="465"/>
      <c r="L301" s="546"/>
    </row>
    <row r="302" spans="1:12">
      <c r="E302" s="451"/>
      <c r="F302" s="451"/>
      <c r="G302" s="451"/>
      <c r="H302" s="451"/>
      <c r="I302" s="451"/>
      <c r="L302" s="546"/>
    </row>
    <row r="303" spans="1:12">
      <c r="E303" s="451"/>
      <c r="F303" s="451"/>
      <c r="G303" s="451"/>
      <c r="H303" s="451"/>
      <c r="I303" s="451"/>
      <c r="L303" s="546"/>
    </row>
    <row r="304" spans="1:12">
      <c r="A304" t="s">
        <v>557</v>
      </c>
      <c r="E304" s="451"/>
      <c r="F304" s="451"/>
      <c r="G304" s="451"/>
      <c r="H304" s="451"/>
      <c r="I304" s="451"/>
      <c r="L304" s="546"/>
    </row>
    <row r="305" spans="1:12">
      <c r="B305" t="s">
        <v>592</v>
      </c>
      <c r="E305" s="495">
        <f>calcESATReg1</f>
        <v>60</v>
      </c>
      <c r="F305" s="495">
        <f>calcESATReg1</f>
        <v>60</v>
      </c>
      <c r="G305" s="495">
        <f>calcESATReg1</f>
        <v>60</v>
      </c>
      <c r="H305" s="495">
        <f>calcESATReg1</f>
        <v>60</v>
      </c>
      <c r="I305" s="495">
        <f>calcESATReg1</f>
        <v>60</v>
      </c>
      <c r="J305" s="465" t="s">
        <v>1457</v>
      </c>
      <c r="L305" s="546"/>
    </row>
    <row r="306" spans="1:12">
      <c r="B306" t="s">
        <v>592</v>
      </c>
      <c r="E306" s="495">
        <f>calcESATProd1</f>
        <v>60</v>
      </c>
      <c r="F306" s="495">
        <f>calcESATProd1</f>
        <v>60</v>
      </c>
      <c r="G306" s="495">
        <f>calcESATProd1</f>
        <v>60</v>
      </c>
      <c r="H306" s="495">
        <f>calcESATProd1</f>
        <v>60</v>
      </c>
      <c r="I306" s="495">
        <f>calcESATProd1</f>
        <v>60</v>
      </c>
      <c r="J306" s="465" t="s">
        <v>1459</v>
      </c>
      <c r="L306" s="546"/>
    </row>
    <row r="307" spans="1:12">
      <c r="B307" t="s">
        <v>1460</v>
      </c>
      <c r="E307" s="495">
        <f>calcOpEffReg1</f>
        <v>60</v>
      </c>
      <c r="F307" s="495">
        <f>calcOpEffReg1</f>
        <v>60</v>
      </c>
      <c r="G307" s="495">
        <f>calcOpEffReg1</f>
        <v>60</v>
      </c>
      <c r="H307" s="495">
        <f>calcOpEffReg1</f>
        <v>60</v>
      </c>
      <c r="I307" s="495">
        <f>calcOpEffReg1</f>
        <v>60</v>
      </c>
      <c r="J307" s="465" t="s">
        <v>1463</v>
      </c>
      <c r="L307" s="546"/>
    </row>
    <row r="308" spans="1:12">
      <c r="B308" t="s">
        <v>1460</v>
      </c>
      <c r="E308" s="495">
        <f>calcOpEffProd1</f>
        <v>60</v>
      </c>
      <c r="F308" s="495">
        <f>calcOpEffProd1</f>
        <v>60</v>
      </c>
      <c r="G308" s="495">
        <f>calcOpEffProd1</f>
        <v>60</v>
      </c>
      <c r="H308" s="495">
        <f>calcOpEffProd1</f>
        <v>60</v>
      </c>
      <c r="I308" s="495">
        <f>calcOpEffProd1</f>
        <v>60</v>
      </c>
      <c r="J308" s="465" t="s">
        <v>1464</v>
      </c>
      <c r="L308" s="546"/>
    </row>
    <row r="309" spans="1:12">
      <c r="E309" s="442"/>
      <c r="F309" s="442"/>
      <c r="G309" s="442"/>
      <c r="H309" s="442"/>
      <c r="I309" s="442"/>
      <c r="L309" s="545"/>
    </row>
    <row r="310" spans="1:12">
      <c r="A310" t="s">
        <v>1465</v>
      </c>
      <c r="E310" s="495"/>
      <c r="F310" s="495"/>
      <c r="G310" s="495"/>
      <c r="H310" s="495"/>
      <c r="I310" s="495"/>
      <c r="J310" s="465"/>
      <c r="L310" s="546"/>
    </row>
    <row r="311" spans="1:12">
      <c r="B311" t="str">
        <f>nmPayer1</f>
        <v>Blue Sword/Blue Shield</v>
      </c>
      <c r="E311" s="495" t="str">
        <f>calcPayer1TierStatus</f>
        <v>T3 DSE</v>
      </c>
      <c r="F311" s="495" t="str">
        <f>calcPayer1TierStatus</f>
        <v>T3 DSE</v>
      </c>
      <c r="G311" s="495" t="str">
        <f>calcPayer1TierStatus</f>
        <v>T3 DSE</v>
      </c>
      <c r="H311" s="495" t="str">
        <f>calcPayer1TierStatus</f>
        <v>T3 DSE</v>
      </c>
      <c r="I311" s="495" t="str">
        <f>calcPayer1TierStatus</f>
        <v>T3 DSE</v>
      </c>
      <c r="J311" s="465" t="s">
        <v>1475</v>
      </c>
      <c r="L311" s="546"/>
    </row>
    <row r="312" spans="1:12">
      <c r="B312" t="str">
        <f>nmPayer2</f>
        <v>WesterAid</v>
      </c>
      <c r="E312" s="495" t="str">
        <f>obalProd1Payer2Status</f>
        <v>T1 NR</v>
      </c>
      <c r="F312" s="495" t="str">
        <f>obalProd1Payer2Status</f>
        <v>T1 NR</v>
      </c>
      <c r="G312" s="495" t="str">
        <f>obalProd1Payer2Status</f>
        <v>T1 NR</v>
      </c>
      <c r="H312" s="495" t="str">
        <f>obalProd1Payer2Status</f>
        <v>T1 NR</v>
      </c>
      <c r="I312" s="495" t="str">
        <f>obalProd1Payer2Status</f>
        <v>T1 NR</v>
      </c>
      <c r="J312" s="465" t="s">
        <v>1476</v>
      </c>
      <c r="L312" s="546"/>
    </row>
    <row r="313" spans="1:12">
      <c r="B313" t="str">
        <f>nmPayer3</f>
        <v>Dragon Health</v>
      </c>
      <c r="E313" s="495" t="str">
        <f>obalProd1Payer3Status</f>
        <v>T3 SGSE</v>
      </c>
      <c r="F313" s="495" t="str">
        <f>obalProd1Payer3Status</f>
        <v>T3 SGSE</v>
      </c>
      <c r="G313" s="495" t="str">
        <f>obalProd1Payer3Status</f>
        <v>T3 SGSE</v>
      </c>
      <c r="H313" s="495" t="str">
        <f>obalProd1Payer3Status</f>
        <v>T3 SGSE</v>
      </c>
      <c r="I313" s="495" t="str">
        <f>obalProd1Payer3Status</f>
        <v>T3 SGSE</v>
      </c>
      <c r="J313" s="465" t="s">
        <v>1477</v>
      </c>
      <c r="L313" s="546"/>
    </row>
    <row r="314" spans="1:12">
      <c r="E314" s="495"/>
      <c r="F314" s="495"/>
      <c r="G314" s="495"/>
      <c r="H314" s="495"/>
      <c r="I314" s="495"/>
      <c r="J314" s="465"/>
      <c r="L314" s="546"/>
    </row>
    <row r="315" spans="1:12">
      <c r="B315" t="str">
        <f>nmPayer1</f>
        <v>Blue Sword/Blue Shield</v>
      </c>
      <c r="E315" s="495" t="str">
        <f>obalProd1Comp1Payer1Status</f>
        <v>T2 DGSE</v>
      </c>
      <c r="F315" s="495" t="str">
        <f>obalProd1Comp1Payer1Status</f>
        <v>T2 DGSE</v>
      </c>
      <c r="G315" s="495" t="str">
        <f>obalProd1Comp1Payer1Status</f>
        <v>T2 DGSE</v>
      </c>
      <c r="H315" s="495" t="str">
        <f>obalProd1Comp1Payer1Status</f>
        <v>T2 DGSE</v>
      </c>
      <c r="I315" s="495" t="str">
        <f>obalProd1Comp1Payer1Status</f>
        <v>T2 DGSE</v>
      </c>
      <c r="J315" s="465" t="s">
        <v>1478</v>
      </c>
      <c r="L315" s="546"/>
    </row>
    <row r="316" spans="1:12">
      <c r="B316" t="str">
        <f>nmPayer2</f>
        <v>WesterAid</v>
      </c>
      <c r="E316" s="495" t="str">
        <f>obalProd1Comp1Payer2Status</f>
        <v>T1 NR</v>
      </c>
      <c r="F316" s="495" t="str">
        <f>obalProd1Comp1Payer2Status</f>
        <v>T1 NR</v>
      </c>
      <c r="G316" s="495" t="str">
        <f>obalProd1Comp1Payer2Status</f>
        <v>T1 NR</v>
      </c>
      <c r="H316" s="495" t="str">
        <f>obalProd1Comp1Payer2Status</f>
        <v>T1 NR</v>
      </c>
      <c r="I316" s="495" t="str">
        <f>obalProd1Comp1Payer2Status</f>
        <v>T1 NR</v>
      </c>
      <c r="J316" s="465" t="s">
        <v>1479</v>
      </c>
      <c r="L316" s="546"/>
    </row>
    <row r="317" spans="1:12">
      <c r="B317" t="str">
        <f>nmPayer3</f>
        <v>Dragon Health</v>
      </c>
      <c r="E317" s="495" t="str">
        <f>obalProd1Comp1Payer3Status</f>
        <v>T3 SGSE</v>
      </c>
      <c r="F317" s="495" t="str">
        <f>obalProd1Comp1Payer3Status</f>
        <v>T3 SGSE</v>
      </c>
      <c r="G317" s="495" t="str">
        <f>obalProd1Comp1Payer3Status</f>
        <v>T3 SGSE</v>
      </c>
      <c r="H317" s="495" t="str">
        <f>obalProd1Comp1Payer3Status</f>
        <v>T3 SGSE</v>
      </c>
      <c r="I317" s="495" t="str">
        <f>obalProd1Comp1Payer3Status</f>
        <v>T3 SGSE</v>
      </c>
      <c r="J317" s="465" t="s">
        <v>1480</v>
      </c>
      <c r="L317" s="546"/>
    </row>
    <row r="318" spans="1:12">
      <c r="E318" s="495"/>
      <c r="F318" s="495"/>
      <c r="G318" s="495"/>
      <c r="H318" s="495"/>
      <c r="I318" s="495"/>
      <c r="J318" s="465"/>
      <c r="L318" s="546"/>
    </row>
    <row r="319" spans="1:12">
      <c r="B319" t="str">
        <f>nmPayer1</f>
        <v>Blue Sword/Blue Shield</v>
      </c>
      <c r="E319" s="495" t="str">
        <f>obalProd1Comp2Payer1Status</f>
        <v>T2 DGSE</v>
      </c>
      <c r="F319" s="495" t="str">
        <f>obalProd1Comp2Payer1Status</f>
        <v>T2 DGSE</v>
      </c>
      <c r="G319" s="495" t="str">
        <f>obalProd1Comp2Payer1Status</f>
        <v>T2 DGSE</v>
      </c>
      <c r="H319" s="495" t="str">
        <f>obalProd1Comp2Payer1Status</f>
        <v>T2 DGSE</v>
      </c>
      <c r="I319" s="495" t="str">
        <f>obalProd1Comp2Payer1Status</f>
        <v>T2 DGSE</v>
      </c>
      <c r="J319" s="465" t="s">
        <v>1481</v>
      </c>
      <c r="L319" s="546"/>
    </row>
    <row r="320" spans="1:12">
      <c r="B320" t="str">
        <f>nmPayer2</f>
        <v>WesterAid</v>
      </c>
      <c r="E320" s="495" t="str">
        <f>obalProd1Comp2Payer2Status</f>
        <v>T1 NR</v>
      </c>
      <c r="F320" s="495" t="str">
        <f>obalProd1Comp2Payer2Status</f>
        <v>T1 NR</v>
      </c>
      <c r="G320" s="495" t="str">
        <f>obalProd1Comp2Payer2Status</f>
        <v>T1 NR</v>
      </c>
      <c r="H320" s="495" t="str">
        <f>obalProd1Comp2Payer2Status</f>
        <v>T1 NR</v>
      </c>
      <c r="I320" s="495" t="str">
        <f>obalProd1Comp2Payer2Status</f>
        <v>T1 NR</v>
      </c>
      <c r="J320" s="465" t="s">
        <v>1482</v>
      </c>
      <c r="L320" s="546"/>
    </row>
    <row r="321" spans="2:12">
      <c r="B321" t="str">
        <f>nmPayer3</f>
        <v>Dragon Health</v>
      </c>
      <c r="E321" s="495" t="str">
        <f>obalProd1Comp2Payer3Status</f>
        <v>T3 SGSE</v>
      </c>
      <c r="F321" s="495" t="str">
        <f>obalProd1Comp2Payer3Status</f>
        <v>T3 SGSE</v>
      </c>
      <c r="G321" s="495" t="str">
        <f>obalProd1Comp2Payer3Status</f>
        <v>T3 SGSE</v>
      </c>
      <c r="H321" s="495" t="str">
        <f>obalProd1Comp2Payer3Status</f>
        <v>T3 SGSE</v>
      </c>
      <c r="I321" s="495" t="str">
        <f>obalProd1Comp2Payer3Status</f>
        <v>T3 SGSE</v>
      </c>
      <c r="J321" s="465" t="s">
        <v>1483</v>
      </c>
      <c r="L321" s="546"/>
    </row>
    <row r="322" spans="2:12">
      <c r="E322" s="495"/>
      <c r="F322" s="495"/>
      <c r="G322" s="495"/>
      <c r="H322" s="495"/>
      <c r="I322" s="495"/>
      <c r="J322" s="465"/>
      <c r="L322" s="546"/>
    </row>
    <row r="323" spans="2:12">
      <c r="B323" t="str">
        <f>nmPayer1</f>
        <v>Blue Sword/Blue Shield</v>
      </c>
      <c r="E323" s="495" t="str">
        <f>calcPayer1TierStatus</f>
        <v>T3 DSE</v>
      </c>
      <c r="F323" s="495" t="str">
        <f>calcPayer1TierStatus</f>
        <v>T3 DSE</v>
      </c>
      <c r="G323" s="495" t="str">
        <f>calcPayer1TierStatus</f>
        <v>T3 DSE</v>
      </c>
      <c r="H323" s="495" t="str">
        <f>calcPayer1TierStatus</f>
        <v>T3 DSE</v>
      </c>
      <c r="I323" s="495" t="str">
        <f>calcPayer1TierStatus</f>
        <v>T3 DSE</v>
      </c>
      <c r="J323" s="465" t="s">
        <v>2620</v>
      </c>
      <c r="L323" s="546"/>
    </row>
    <row r="324" spans="2:12">
      <c r="B324" t="str">
        <f>nmPayer2</f>
        <v>WesterAid</v>
      </c>
      <c r="E324" s="495" t="str">
        <f>obalReg1Payer2Status</f>
        <v>T1 NR</v>
      </c>
      <c r="F324" s="495" t="str">
        <f>obalReg1Payer2Status</f>
        <v>T1 NR</v>
      </c>
      <c r="G324" s="495" t="str">
        <f>obalReg1Payer2Status</f>
        <v>T1 NR</v>
      </c>
      <c r="H324" s="495" t="str">
        <f>obalReg1Payer2Status</f>
        <v>T1 NR</v>
      </c>
      <c r="I324" s="495" t="str">
        <f>obalReg1Payer2Status</f>
        <v>T1 NR</v>
      </c>
      <c r="J324" s="465" t="s">
        <v>2621</v>
      </c>
      <c r="L324" s="546"/>
    </row>
    <row r="325" spans="2:12">
      <c r="B325" t="str">
        <f>nmPayer3</f>
        <v>Dragon Health</v>
      </c>
      <c r="E325" s="495" t="str">
        <f>obalReg1Payer3Status</f>
        <v>T3 SGSE</v>
      </c>
      <c r="F325" s="495" t="str">
        <f>obalReg1Payer3Status</f>
        <v>T3 SGSE</v>
      </c>
      <c r="G325" s="495" t="str">
        <f>obalReg1Payer3Status</f>
        <v>T3 SGSE</v>
      </c>
      <c r="H325" s="495" t="str">
        <f>obalReg1Payer3Status</f>
        <v>T3 SGSE</v>
      </c>
      <c r="I325" s="495" t="str">
        <f>obalReg1Payer3Status</f>
        <v>T3 SGSE</v>
      </c>
      <c r="J325" s="465" t="s">
        <v>2622</v>
      </c>
      <c r="L325" s="546"/>
    </row>
    <row r="326" spans="2:12">
      <c r="E326" s="495"/>
      <c r="F326" s="495"/>
      <c r="G326" s="495"/>
      <c r="H326" s="495"/>
      <c r="I326" s="495"/>
      <c r="J326" s="465"/>
      <c r="L326" s="546"/>
    </row>
    <row r="327" spans="2:12">
      <c r="B327" t="str">
        <f>nmPayer1</f>
        <v>Blue Sword/Blue Shield</v>
      </c>
      <c r="E327" s="495" t="str">
        <f>obalReg1Comp1Payer1Status</f>
        <v>T2 DGSE</v>
      </c>
      <c r="F327" s="495" t="str">
        <f>obalReg1Comp1Payer1Status</f>
        <v>T2 DGSE</v>
      </c>
      <c r="G327" s="495" t="str">
        <f>obalReg1Comp1Payer1Status</f>
        <v>T2 DGSE</v>
      </c>
      <c r="H327" s="495" t="str">
        <f>obalReg1Comp1Payer1Status</f>
        <v>T2 DGSE</v>
      </c>
      <c r="I327" s="495" t="str">
        <f>obalReg1Comp1Payer1Status</f>
        <v>T2 DGSE</v>
      </c>
      <c r="J327" s="465" t="s">
        <v>2623</v>
      </c>
      <c r="L327" s="546"/>
    </row>
    <row r="328" spans="2:12">
      <c r="B328" t="str">
        <f>nmPayer2</f>
        <v>WesterAid</v>
      </c>
      <c r="E328" s="495" t="str">
        <f>obalReg1Comp1Payer2Status</f>
        <v>T1 NR</v>
      </c>
      <c r="F328" s="495" t="str">
        <f>obalReg1Comp1Payer2Status</f>
        <v>T1 NR</v>
      </c>
      <c r="G328" s="495" t="str">
        <f>obalReg1Comp1Payer2Status</f>
        <v>T1 NR</v>
      </c>
      <c r="H328" s="495" t="str">
        <f>obalReg1Comp1Payer2Status</f>
        <v>T1 NR</v>
      </c>
      <c r="I328" s="495" t="str">
        <f>obalReg1Comp1Payer2Status</f>
        <v>T1 NR</v>
      </c>
      <c r="J328" s="465" t="s">
        <v>2624</v>
      </c>
      <c r="L328" s="546"/>
    </row>
    <row r="329" spans="2:12">
      <c r="B329" t="str">
        <f>nmPayer3</f>
        <v>Dragon Health</v>
      </c>
      <c r="E329" s="495" t="str">
        <f>obalReg1Comp1Payer3Status</f>
        <v>T3 SGSE</v>
      </c>
      <c r="F329" s="495" t="str">
        <f>obalReg1Comp1Payer3Status</f>
        <v>T3 SGSE</v>
      </c>
      <c r="G329" s="495" t="str">
        <f>obalReg1Comp1Payer3Status</f>
        <v>T3 SGSE</v>
      </c>
      <c r="H329" s="495" t="str">
        <f>obalReg1Comp1Payer3Status</f>
        <v>T3 SGSE</v>
      </c>
      <c r="I329" s="495" t="str">
        <f>obalReg1Comp1Payer3Status</f>
        <v>T3 SGSE</v>
      </c>
      <c r="J329" s="465" t="s">
        <v>2625</v>
      </c>
      <c r="L329" s="546"/>
    </row>
    <row r="330" spans="2:12">
      <c r="E330" s="495"/>
      <c r="F330" s="495"/>
      <c r="G330" s="495"/>
      <c r="H330" s="495"/>
      <c r="I330" s="495"/>
      <c r="J330" s="465"/>
      <c r="L330" s="546"/>
    </row>
    <row r="331" spans="2:12">
      <c r="B331" t="str">
        <f>nmPayer1</f>
        <v>Blue Sword/Blue Shield</v>
      </c>
      <c r="E331" s="495" t="str">
        <f>obalReg1Comp2Payer1Status</f>
        <v>T2 DGSE</v>
      </c>
      <c r="F331" s="495" t="str">
        <f>obalReg1Comp2Payer1Status</f>
        <v>T2 DGSE</v>
      </c>
      <c r="G331" s="495" t="str">
        <f>obalReg1Comp2Payer1Status</f>
        <v>T2 DGSE</v>
      </c>
      <c r="H331" s="495" t="str">
        <f>obalReg1Comp2Payer1Status</f>
        <v>T2 DGSE</v>
      </c>
      <c r="I331" s="495" t="str">
        <f>obalReg1Comp2Payer1Status</f>
        <v>T2 DGSE</v>
      </c>
      <c r="J331" s="465" t="s">
        <v>2626</v>
      </c>
      <c r="L331" s="546"/>
    </row>
    <row r="332" spans="2:12">
      <c r="B332" t="str">
        <f>nmPayer2</f>
        <v>WesterAid</v>
      </c>
      <c r="E332" s="495" t="str">
        <f>obalReg1Comp2Payer2Status</f>
        <v>T1 NR</v>
      </c>
      <c r="F332" s="495" t="str">
        <f>obalReg1Comp2Payer2Status</f>
        <v>T1 NR</v>
      </c>
      <c r="G332" s="495" t="str">
        <f>obalReg1Comp2Payer2Status</f>
        <v>T1 NR</v>
      </c>
      <c r="H332" s="495" t="str">
        <f>obalReg1Comp2Payer2Status</f>
        <v>T1 NR</v>
      </c>
      <c r="I332" s="495" t="str">
        <f>obalReg1Comp2Payer2Status</f>
        <v>T1 NR</v>
      </c>
      <c r="J332" s="465" t="s">
        <v>2627</v>
      </c>
      <c r="L332" s="546"/>
    </row>
    <row r="333" spans="2:12">
      <c r="B333" t="str">
        <f>nmPayer3</f>
        <v>Dragon Health</v>
      </c>
      <c r="E333" s="495" t="str">
        <f>obalReg1Comp2Payer3Status</f>
        <v>T3 SGSE</v>
      </c>
      <c r="F333" s="495" t="str">
        <f>obalReg1Comp2Payer3Status</f>
        <v>T3 SGSE</v>
      </c>
      <c r="G333" s="495" t="str">
        <f>obalReg1Comp2Payer3Status</f>
        <v>T3 SGSE</v>
      </c>
      <c r="H333" s="495" t="str">
        <f>obalReg1Comp2Payer3Status</f>
        <v>T3 SGSE</v>
      </c>
      <c r="I333" s="495" t="str">
        <f>obalReg1Comp2Payer3Status</f>
        <v>T3 SGSE</v>
      </c>
      <c r="J333" s="465" t="s">
        <v>2628</v>
      </c>
      <c r="L333" s="546"/>
    </row>
    <row r="334" spans="2:12">
      <c r="E334" s="495"/>
      <c r="F334" s="495"/>
      <c r="G334" s="495"/>
      <c r="H334" s="495"/>
      <c r="I334" s="495"/>
      <c r="J334" s="465"/>
      <c r="L334" s="546"/>
    </row>
    <row r="335" spans="2:12">
      <c r="C335" t="s">
        <v>1537</v>
      </c>
      <c r="E335" s="380">
        <f>calcReg1TotalVolumeR2</f>
        <v>406312.01740799996</v>
      </c>
      <c r="F335" s="380">
        <f>calcReg1TotalVolumeR2</f>
        <v>406312.01740799996</v>
      </c>
      <c r="G335" s="380">
        <f>calcReg1TotalVolumeR2</f>
        <v>406312.01740799996</v>
      </c>
      <c r="H335" s="380">
        <f>calcReg1TotalVolumeR2</f>
        <v>406312.01740799996</v>
      </c>
      <c r="I335" s="380">
        <f>calcReg1TotalVolumeR2</f>
        <v>406312.01740799996</v>
      </c>
      <c r="J335" s="380" t="s">
        <v>2206</v>
      </c>
    </row>
    <row r="336" spans="2:12">
      <c r="C336" t="s">
        <v>1537</v>
      </c>
      <c r="E336" s="380">
        <f>calcReg1Seg1TotalVolumeR2</f>
        <v>132286.428904</v>
      </c>
      <c r="F336" s="380">
        <f>calcReg1Seg1TotalVolumeR2</f>
        <v>132286.428904</v>
      </c>
      <c r="G336" s="380">
        <f>calcReg1Seg1TotalVolumeR2</f>
        <v>132286.428904</v>
      </c>
      <c r="H336" s="380">
        <f>calcReg1Seg1TotalVolumeR2</f>
        <v>132286.428904</v>
      </c>
      <c r="I336" s="380">
        <f>calcReg1Seg1TotalVolumeR2</f>
        <v>132286.428904</v>
      </c>
      <c r="J336" s="380" t="s">
        <v>2207</v>
      </c>
    </row>
    <row r="337" spans="1:12">
      <c r="C337" t="s">
        <v>1537</v>
      </c>
      <c r="E337" s="380">
        <f>calcReg1Seg2TotalVolumeR2</f>
        <v>116033.60252000001</v>
      </c>
      <c r="F337" s="380">
        <f>calcReg1Seg2TotalVolumeR2</f>
        <v>116033.60252000001</v>
      </c>
      <c r="G337" s="380">
        <f>calcReg1Seg2TotalVolumeR2</f>
        <v>116033.60252000001</v>
      </c>
      <c r="H337" s="380">
        <f>calcReg1Seg2TotalVolumeR2</f>
        <v>116033.60252000001</v>
      </c>
      <c r="I337" s="380">
        <f>calcReg1Seg2TotalVolumeR2</f>
        <v>116033.60252000001</v>
      </c>
      <c r="J337" s="380" t="s">
        <v>2208</v>
      </c>
    </row>
    <row r="338" spans="1:12">
      <c r="C338" t="s">
        <v>1537</v>
      </c>
      <c r="E338" s="380">
        <f>calcReg1Seg3TotalVolumeR2</f>
        <v>157991.985984</v>
      </c>
      <c r="F338" s="380">
        <f>calcReg1Seg3TotalVolumeR2</f>
        <v>157991.985984</v>
      </c>
      <c r="G338" s="380">
        <f>calcReg1Seg3TotalVolumeR2</f>
        <v>157991.985984</v>
      </c>
      <c r="H338" s="380">
        <f>calcReg1Seg3TotalVolumeR2</f>
        <v>157991.985984</v>
      </c>
      <c r="I338" s="380">
        <f>calcReg1Seg3TotalVolumeR2</f>
        <v>157991.985984</v>
      </c>
      <c r="J338" s="380" t="s">
        <v>2209</v>
      </c>
    </row>
    <row r="339" spans="1:12">
      <c r="E339" s="451"/>
      <c r="F339" s="451"/>
      <c r="G339" s="451"/>
      <c r="H339" s="451"/>
      <c r="I339" s="451"/>
      <c r="L339" s="546"/>
    </row>
    <row r="340" spans="1:12">
      <c r="C340" t="s">
        <v>1537</v>
      </c>
      <c r="E340" s="380">
        <f>calcProd1TotalVolumeR2</f>
        <v>135558.78378</v>
      </c>
      <c r="F340" s="380">
        <f>calcProd1TotalVolumeR2</f>
        <v>135558.78378</v>
      </c>
      <c r="G340" s="380">
        <f>calcProd1TotalVolumeR2</f>
        <v>135558.78378</v>
      </c>
      <c r="H340" s="380">
        <f>calcProd1TotalVolumeR2</f>
        <v>135558.78378</v>
      </c>
      <c r="I340" s="380">
        <f>calcProd1TotalVolumeR2</f>
        <v>135558.78378</v>
      </c>
      <c r="J340" s="380" t="s">
        <v>2218</v>
      </c>
    </row>
    <row r="341" spans="1:12">
      <c r="C341" t="s">
        <v>1537</v>
      </c>
      <c r="E341" s="380">
        <f>calcProd1Seg1TotalVolumeR2</f>
        <v>55970.611199999999</v>
      </c>
      <c r="F341" s="380">
        <f>calcProd1Seg1TotalVolumeR2</f>
        <v>55970.611199999999</v>
      </c>
      <c r="G341" s="380">
        <f>calcProd1Seg1TotalVolumeR2</f>
        <v>55970.611199999999</v>
      </c>
      <c r="H341" s="380">
        <f>calcProd1Seg1TotalVolumeR2</f>
        <v>55970.611199999999</v>
      </c>
      <c r="I341" s="380">
        <f>calcProd1Seg1TotalVolumeR2</f>
        <v>55970.611199999999</v>
      </c>
      <c r="J341" s="380" t="s">
        <v>2219</v>
      </c>
    </row>
    <row r="342" spans="1:12">
      <c r="C342" t="s">
        <v>1537</v>
      </c>
      <c r="E342" s="380">
        <f>calcProd1Seg2TotalVolumeR2</f>
        <v>44638.02</v>
      </c>
      <c r="F342" s="380">
        <f>calcProd1Seg2TotalVolumeR2</f>
        <v>44638.02</v>
      </c>
      <c r="G342" s="380">
        <f>calcProd1Seg2TotalVolumeR2</f>
        <v>44638.02</v>
      </c>
      <c r="H342" s="380">
        <f>calcProd1Seg2TotalVolumeR2</f>
        <v>44638.02</v>
      </c>
      <c r="I342" s="380">
        <f>calcProd1Seg2TotalVolumeR2</f>
        <v>44638.02</v>
      </c>
      <c r="J342" s="380" t="s">
        <v>2220</v>
      </c>
    </row>
    <row r="343" spans="1:12">
      <c r="C343" t="s">
        <v>1537</v>
      </c>
      <c r="E343" s="380">
        <f>calcProd1Seg3TotalVolumeR2</f>
        <v>34950.152579999994</v>
      </c>
      <c r="F343" s="380">
        <f>calcProd1Seg3TotalVolumeR2</f>
        <v>34950.152579999994</v>
      </c>
      <c r="G343" s="380">
        <f>calcProd1Seg3TotalVolumeR2</f>
        <v>34950.152579999994</v>
      </c>
      <c r="H343" s="380">
        <f>calcProd1Seg3TotalVolumeR2</f>
        <v>34950.152579999994</v>
      </c>
      <c r="I343" s="380">
        <f>calcProd1Seg3TotalVolumeR2</f>
        <v>34950.152579999994</v>
      </c>
      <c r="J343" s="380" t="s">
        <v>2221</v>
      </c>
    </row>
    <row r="344" spans="1:12">
      <c r="A344" t="s">
        <v>2305</v>
      </c>
      <c r="E344" s="451"/>
      <c r="F344" s="451"/>
      <c r="G344" s="451"/>
      <c r="H344" s="451"/>
      <c r="I344" s="451"/>
      <c r="L344" s="546"/>
    </row>
    <row r="345" spans="1:12">
      <c r="A345" t="str">
        <f>nmProd1Seg1</f>
        <v>Riverrun Central</v>
      </c>
      <c r="C345" t="str">
        <f>nmProd1Seg1Rep1</f>
        <v>Rep Allen</v>
      </c>
      <c r="E345" s="442">
        <f>calcProd1Seg1Rep1CapR2</f>
        <v>0.5</v>
      </c>
      <c r="F345" s="442">
        <f>calcProd1Seg1Rep1CapR2</f>
        <v>0.5</v>
      </c>
      <c r="G345" s="442">
        <f>calcProd1Seg1Rep1CapR2</f>
        <v>0.5</v>
      </c>
      <c r="H345" s="442">
        <f>calcProd1Seg1Rep1CapR2</f>
        <v>0.5</v>
      </c>
      <c r="I345" s="442">
        <f>calcProd1Seg1Rep1CapR2</f>
        <v>0.5</v>
      </c>
      <c r="J345" s="387" t="s">
        <v>2324</v>
      </c>
      <c r="L345" s="546"/>
    </row>
    <row r="346" spans="1:12">
      <c r="C346" t="str">
        <f>nmProd1Seg1Rep2</f>
        <v>Rep Betty</v>
      </c>
      <c r="E346" s="442">
        <f>calcProd1Seg1Rep2CapR2</f>
        <v>0.5</v>
      </c>
      <c r="F346" s="442">
        <f>calcProd1Seg1Rep2CapR2</f>
        <v>0.5</v>
      </c>
      <c r="G346" s="442">
        <f>calcProd1Seg1Rep2CapR2</f>
        <v>0.5</v>
      </c>
      <c r="H346" s="442">
        <f>calcProd1Seg1Rep2CapR2</f>
        <v>0.5</v>
      </c>
      <c r="I346" s="442">
        <f>calcProd1Seg1Rep2CapR2</f>
        <v>0.5</v>
      </c>
      <c r="J346" s="387" t="s">
        <v>2325</v>
      </c>
      <c r="L346" s="546"/>
    </row>
    <row r="347" spans="1:12">
      <c r="C347" t="str">
        <f>nmProd1Seg1Rep3</f>
        <v>Rep Chris</v>
      </c>
      <c r="E347" s="442">
        <f>calcProd1Seg1Rep3CapR2</f>
        <v>0.9</v>
      </c>
      <c r="F347" s="442">
        <f>calcProd1Seg1Rep3CapR2</f>
        <v>0.9</v>
      </c>
      <c r="G347" s="442">
        <f>calcProd1Seg1Rep3CapR2</f>
        <v>0.9</v>
      </c>
      <c r="H347" s="442">
        <f>calcProd1Seg1Rep3CapR2</f>
        <v>0.9</v>
      </c>
      <c r="I347" s="442">
        <f>calcProd1Seg1Rep3CapR2</f>
        <v>0.9</v>
      </c>
      <c r="J347" s="387" t="s">
        <v>2326</v>
      </c>
      <c r="L347" s="546"/>
    </row>
    <row r="348" spans="1:12">
      <c r="A348" t="str">
        <f>nmProd1Seg2</f>
        <v>Tullyville</v>
      </c>
      <c r="C348" t="str">
        <f>nmProd1Seg2Rep1</f>
        <v>Rep Danielle</v>
      </c>
      <c r="E348" s="442">
        <f>calcProd1Seg2Rep1CapR2</f>
        <v>0.8</v>
      </c>
      <c r="F348" s="442">
        <f>calcProd1Seg2Rep1CapR2</f>
        <v>0.8</v>
      </c>
      <c r="G348" s="442">
        <f>calcProd1Seg2Rep1CapR2</f>
        <v>0.8</v>
      </c>
      <c r="H348" s="442">
        <f>calcProd1Seg2Rep1CapR2</f>
        <v>0.8</v>
      </c>
      <c r="I348" s="442">
        <f>calcProd1Seg2Rep1CapR2</f>
        <v>0.8</v>
      </c>
      <c r="J348" s="387" t="s">
        <v>2327</v>
      </c>
      <c r="L348" s="546"/>
    </row>
    <row r="349" spans="1:12">
      <c r="C349" t="str">
        <f>nmProd1Seg2Rep2</f>
        <v>Rep Elliot</v>
      </c>
      <c r="E349" s="442">
        <f>calcProd1Seg2Rep2CapR2</f>
        <v>0.8</v>
      </c>
      <c r="F349" s="442">
        <f>calcProd1Seg2Rep2CapR2</f>
        <v>0.8</v>
      </c>
      <c r="G349" s="442">
        <f>calcProd1Seg2Rep2CapR2</f>
        <v>0.8</v>
      </c>
      <c r="H349" s="442">
        <f>calcProd1Seg2Rep2CapR2</f>
        <v>0.8</v>
      </c>
      <c r="I349" s="442">
        <f>calcProd1Seg2Rep2CapR2</f>
        <v>0.8</v>
      </c>
      <c r="J349" s="387" t="s">
        <v>2328</v>
      </c>
      <c r="L349" s="546"/>
    </row>
    <row r="350" spans="1:12">
      <c r="C350" t="str">
        <f>nmProd1Seg2Rep3</f>
        <v>Rep Fiona</v>
      </c>
      <c r="E350" s="442">
        <f>calcProd1Seg2Rep3CapR2</f>
        <v>0.5</v>
      </c>
      <c r="F350" s="442">
        <f>calcProd1Seg2Rep3CapR2</f>
        <v>0.5</v>
      </c>
      <c r="G350" s="442">
        <f>calcProd1Seg2Rep3CapR2</f>
        <v>0.5</v>
      </c>
      <c r="H350" s="442">
        <f>calcProd1Seg2Rep3CapR2</f>
        <v>0.5</v>
      </c>
      <c r="I350" s="442">
        <f>calcProd1Seg2Rep3CapR2</f>
        <v>0.5</v>
      </c>
      <c r="J350" s="387" t="s">
        <v>2329</v>
      </c>
      <c r="L350" s="546"/>
    </row>
    <row r="351" spans="1:12">
      <c r="A351" t="str">
        <f>nmProd1Seg3</f>
        <v>Lordfrey City</v>
      </c>
      <c r="C351" t="str">
        <f>nmProd1Seg3Rep1</f>
        <v>Rep Gregg</v>
      </c>
      <c r="E351" s="442">
        <f>calcProd1Seg3Rep1CapR2</f>
        <v>0.5</v>
      </c>
      <c r="F351" s="442">
        <f>calcProd1Seg3Rep1CapR2</f>
        <v>0.5</v>
      </c>
      <c r="G351" s="442">
        <f>calcProd1Seg3Rep1CapR2</f>
        <v>0.5</v>
      </c>
      <c r="H351" s="442">
        <f>calcProd1Seg3Rep1CapR2</f>
        <v>0.5</v>
      </c>
      <c r="I351" s="442">
        <f>calcProd1Seg3Rep1CapR2</f>
        <v>0.5</v>
      </c>
      <c r="J351" s="387" t="s">
        <v>2330</v>
      </c>
      <c r="L351" s="546"/>
    </row>
    <row r="352" spans="1:12">
      <c r="C352" t="str">
        <f>nmProd1Seg3Rep2</f>
        <v>Rep Howard</v>
      </c>
      <c r="E352" s="442">
        <f>calcProd1Seg3Rep2CapR2</f>
        <v>0.5</v>
      </c>
      <c r="F352" s="442">
        <f>calcProd1Seg3Rep2CapR2</f>
        <v>0.5</v>
      </c>
      <c r="G352" s="442">
        <f>calcProd1Seg3Rep2CapR2</f>
        <v>0.5</v>
      </c>
      <c r="H352" s="442">
        <f>calcProd1Seg3Rep2CapR2</f>
        <v>0.5</v>
      </c>
      <c r="I352" s="442">
        <f>calcProd1Seg3Rep2CapR2</f>
        <v>0.5</v>
      </c>
      <c r="J352" s="387" t="s">
        <v>2331</v>
      </c>
      <c r="L352" s="546"/>
    </row>
    <row r="353" spans="1:12">
      <c r="C353" t="str">
        <f>nmProd1Seg3Rep3</f>
        <v>Rep Isabelle</v>
      </c>
      <c r="E353" s="442">
        <f>calcProd1Seg3Rep3CapR2</f>
        <v>0.3</v>
      </c>
      <c r="F353" s="442">
        <f>calcProd1Seg3Rep3CapR2</f>
        <v>0.3</v>
      </c>
      <c r="G353" s="442">
        <f>calcProd1Seg3Rep3CapR2</f>
        <v>0.3</v>
      </c>
      <c r="H353" s="442">
        <f>calcProd1Seg3Rep3CapR2</f>
        <v>0.3</v>
      </c>
      <c r="I353" s="442">
        <f>calcProd1Seg3Rep3CapR2</f>
        <v>0.3</v>
      </c>
      <c r="J353" s="387" t="s">
        <v>2332</v>
      </c>
      <c r="L353" s="546"/>
    </row>
    <row r="354" spans="1:12">
      <c r="A354" t="str">
        <f>nmProd1Seg1</f>
        <v>Riverrun Central</v>
      </c>
      <c r="C354" t="str">
        <f>nmProd1Seg1Rep1</f>
        <v>Rep Allen</v>
      </c>
      <c r="E354" s="442">
        <f>calcReg1Seg1Rep1CapR2</f>
        <v>0.55000000000000004</v>
      </c>
      <c r="F354" s="442">
        <f>calcReg1Seg1Rep1CapR2</f>
        <v>0.55000000000000004</v>
      </c>
      <c r="G354" s="442">
        <f>calcReg1Seg1Rep1CapR2</f>
        <v>0.55000000000000004</v>
      </c>
      <c r="H354" s="442">
        <f>calcReg1Seg1Rep1CapR2</f>
        <v>0.55000000000000004</v>
      </c>
      <c r="I354" s="442">
        <f>calcReg1Seg1Rep1CapR2</f>
        <v>0.55000000000000004</v>
      </c>
      <c r="J354" s="380" t="s">
        <v>3401</v>
      </c>
      <c r="L354" s="443"/>
    </row>
    <row r="355" spans="1:12">
      <c r="C355" t="str">
        <f>nmProd1Seg1Rep2</f>
        <v>Rep Betty</v>
      </c>
      <c r="E355" s="442">
        <f>calcReg1Seg2Rep1CapR2</f>
        <v>0.5</v>
      </c>
      <c r="F355" s="442">
        <f>calcReg1Seg2Rep1CapR2</f>
        <v>0.5</v>
      </c>
      <c r="G355" s="442">
        <f>calcReg1Seg2Rep1CapR2</f>
        <v>0.5</v>
      </c>
      <c r="H355" s="442">
        <f>calcReg1Seg2Rep1CapR2</f>
        <v>0.5</v>
      </c>
      <c r="I355" s="442">
        <f>calcReg1Seg2Rep1CapR2</f>
        <v>0.5</v>
      </c>
      <c r="J355" s="380" t="s">
        <v>3402</v>
      </c>
      <c r="L355" s="443"/>
    </row>
    <row r="356" spans="1:12">
      <c r="C356" t="str">
        <f>nmProd1Seg1Rep3</f>
        <v>Rep Chris</v>
      </c>
      <c r="E356" s="442">
        <f>calcReg1Seg3Rep1CapR2</f>
        <v>0.55000000000000004</v>
      </c>
      <c r="F356" s="442">
        <f>calcReg1Seg3Rep1CapR2</f>
        <v>0.55000000000000004</v>
      </c>
      <c r="G356" s="442">
        <f>calcReg1Seg3Rep1CapR2</f>
        <v>0.55000000000000004</v>
      </c>
      <c r="H356" s="442">
        <f>calcReg1Seg3Rep1CapR2</f>
        <v>0.55000000000000004</v>
      </c>
      <c r="I356" s="442">
        <f>calcReg1Seg3Rep1CapR2</f>
        <v>0.55000000000000004</v>
      </c>
      <c r="J356" s="380" t="s">
        <v>3403</v>
      </c>
      <c r="L356" s="443"/>
    </row>
    <row r="357" spans="1:12">
      <c r="E357" s="451"/>
      <c r="F357" s="451"/>
      <c r="G357" s="451"/>
      <c r="H357" s="451"/>
      <c r="I357" s="451"/>
      <c r="J357" s="380"/>
      <c r="L357" s="546"/>
    </row>
    <row r="358" spans="1:12">
      <c r="A358" t="s">
        <v>2891</v>
      </c>
      <c r="C358" t="s">
        <v>1488</v>
      </c>
      <c r="E358" s="451"/>
      <c r="F358" s="451"/>
      <c r="G358" s="451"/>
      <c r="H358" s="451"/>
      <c r="I358" s="451"/>
      <c r="J358" s="380" t="s">
        <v>2896</v>
      </c>
      <c r="L358" s="546"/>
    </row>
    <row r="359" spans="1:12">
      <c r="A359" t="s">
        <v>2891</v>
      </c>
      <c r="C359" t="s">
        <v>1551</v>
      </c>
      <c r="E359" s="451"/>
      <c r="F359" s="451"/>
      <c r="G359" s="451"/>
      <c r="H359" s="451"/>
      <c r="I359" s="451"/>
      <c r="J359" s="380" t="s">
        <v>2897</v>
      </c>
      <c r="L359" s="546"/>
    </row>
    <row r="360" spans="1:12">
      <c r="A360" t="s">
        <v>2891</v>
      </c>
      <c r="C360" t="s">
        <v>1488</v>
      </c>
      <c r="E360" s="451"/>
      <c r="F360" s="451"/>
      <c r="G360" s="451"/>
      <c r="H360" s="451"/>
      <c r="I360" s="451"/>
      <c r="J360" s="380" t="s">
        <v>2898</v>
      </c>
      <c r="L360" s="546"/>
    </row>
    <row r="361" spans="1:12">
      <c r="A361" t="s">
        <v>2891</v>
      </c>
      <c r="C361" t="s">
        <v>1551</v>
      </c>
      <c r="E361" s="451"/>
      <c r="F361" s="451"/>
      <c r="G361" s="451"/>
      <c r="H361" s="451"/>
      <c r="I361" s="451"/>
      <c r="J361" s="380" t="s">
        <v>2899</v>
      </c>
      <c r="L361" s="546"/>
    </row>
    <row r="362" spans="1:12">
      <c r="A362" t="s">
        <v>2395</v>
      </c>
      <c r="E362" s="451">
        <f>calcBudgetLeftProd1R1</f>
        <v>2000</v>
      </c>
      <c r="F362" s="451">
        <f>calcBudgetLeftProd1R1</f>
        <v>2000</v>
      </c>
      <c r="G362" s="451">
        <f>calcBudgetLeftProd1R1</f>
        <v>2000</v>
      </c>
      <c r="H362" s="451">
        <f>calcBudgetLeftProd1R1</f>
        <v>2000</v>
      </c>
      <c r="I362" s="451">
        <f>calcBudgetLeftProd1R1</f>
        <v>2000</v>
      </c>
      <c r="J362" s="380" t="s">
        <v>2398</v>
      </c>
      <c r="L362" s="546"/>
    </row>
    <row r="363" spans="1:12">
      <c r="A363" t="s">
        <v>2395</v>
      </c>
      <c r="E363" s="451">
        <f>calcBudgetLeftReg1R1</f>
        <v>6000</v>
      </c>
      <c r="F363" s="451">
        <f>calcBudgetLeftReg1R1</f>
        <v>6000</v>
      </c>
      <c r="G363" s="451">
        <f>calcBudgetLeftReg1R1</f>
        <v>6000</v>
      </c>
      <c r="H363" s="451">
        <f>calcBudgetLeftReg1R1</f>
        <v>6000</v>
      </c>
      <c r="I363" s="451">
        <f>calcBudgetLeftReg1R1</f>
        <v>6000</v>
      </c>
      <c r="J363" s="380" t="s">
        <v>2399</v>
      </c>
      <c r="L363" s="546"/>
    </row>
    <row r="364" spans="1:12">
      <c r="A364" t="s">
        <v>2395</v>
      </c>
      <c r="C364" t="s">
        <v>1551</v>
      </c>
      <c r="E364" s="451">
        <f>calcBudgetLeftProd1R2</f>
        <v>1900</v>
      </c>
      <c r="F364" s="451">
        <f>calcBudgetLeftProd1R2</f>
        <v>1900</v>
      </c>
      <c r="G364" s="451">
        <f>calcBudgetLeftProd1R2</f>
        <v>1900</v>
      </c>
      <c r="H364" s="451">
        <f>calcBudgetLeftProd1R2</f>
        <v>1900</v>
      </c>
      <c r="I364" s="451">
        <f>calcBudgetLeftProd1R2</f>
        <v>1900</v>
      </c>
      <c r="J364" s="380" t="s">
        <v>2411</v>
      </c>
      <c r="L364" s="546"/>
    </row>
    <row r="365" spans="1:12">
      <c r="A365" t="s">
        <v>2395</v>
      </c>
      <c r="C365" t="s">
        <v>1551</v>
      </c>
      <c r="E365" s="451">
        <f>calcBudgetLeftReg1R2</f>
        <v>5700</v>
      </c>
      <c r="F365" s="451">
        <f>calcBudgetLeftReg1R2</f>
        <v>5700</v>
      </c>
      <c r="G365" s="451">
        <f>calcBudgetLeftReg1R2</f>
        <v>5700</v>
      </c>
      <c r="H365" s="451">
        <f>calcBudgetLeftReg1R2</f>
        <v>5700</v>
      </c>
      <c r="I365" s="451">
        <f>calcBudgetLeftReg1R2</f>
        <v>5700</v>
      </c>
      <c r="J365" s="380" t="s">
        <v>2412</v>
      </c>
      <c r="L365" s="546"/>
    </row>
    <row r="366" spans="1:12">
      <c r="E366" s="451"/>
      <c r="F366" s="451"/>
      <c r="G366" s="451"/>
      <c r="H366" s="451"/>
      <c r="I366" s="451"/>
      <c r="L366" s="546"/>
    </row>
    <row r="367" spans="1:12">
      <c r="A367" t="s">
        <v>158</v>
      </c>
      <c r="C367" t="s">
        <v>2416</v>
      </c>
      <c r="E367" s="451">
        <f>calcProd1FTEsLeftR2</f>
        <v>150</v>
      </c>
      <c r="F367" s="451">
        <f>calcProd1FTEsLeftR2</f>
        <v>150</v>
      </c>
      <c r="G367" s="451">
        <f>calcProd1FTEsLeftR2</f>
        <v>150</v>
      </c>
      <c r="H367" s="451">
        <f>calcProd1FTEsLeftR2</f>
        <v>150</v>
      </c>
      <c r="I367" s="451">
        <f>calcProd1FTEsLeftR2</f>
        <v>150</v>
      </c>
      <c r="J367" s="380" t="s">
        <v>2419</v>
      </c>
      <c r="L367" s="546"/>
    </row>
    <row r="368" spans="1:12">
      <c r="A368" t="s">
        <v>158</v>
      </c>
      <c r="C368" t="s">
        <v>2416</v>
      </c>
      <c r="E368" s="451">
        <f>calcReg1FTEsLeftR2</f>
        <v>150</v>
      </c>
      <c r="F368" s="451">
        <f>calcReg1FTEsLeftR2</f>
        <v>150</v>
      </c>
      <c r="G368" s="451">
        <f>calcReg1FTEsLeftR2</f>
        <v>150</v>
      </c>
      <c r="H368" s="451">
        <f>calcReg1FTEsLeftR2</f>
        <v>150</v>
      </c>
      <c r="I368" s="451">
        <f>calcReg1FTEsLeftR2</f>
        <v>150</v>
      </c>
      <c r="J368" s="380" t="s">
        <v>2420</v>
      </c>
      <c r="L368" s="546"/>
    </row>
    <row r="369" spans="1:12">
      <c r="E369" s="451"/>
      <c r="F369" s="451"/>
      <c r="G369" s="451"/>
      <c r="H369" s="451"/>
      <c r="I369" s="451"/>
      <c r="J369" s="380"/>
      <c r="L369" s="546"/>
    </row>
    <row r="370" spans="1:12">
      <c r="A370" s="4" t="str">
        <f>nmProd1</f>
        <v>Riverrun</v>
      </c>
      <c r="B370" t="str">
        <f>nmProd1Seg1</f>
        <v>Riverrun Central</v>
      </c>
      <c r="C370" t="s">
        <v>2717</v>
      </c>
      <c r="E370" s="451">
        <f>calcProd1Seg1PromotionAllocationR2</f>
        <v>62700</v>
      </c>
      <c r="F370" s="451">
        <f>calcProd1Seg1PromotionAllocationR2</f>
        <v>62700</v>
      </c>
      <c r="G370" s="451">
        <f>calcProd1Seg1PromotionAllocationR2</f>
        <v>62700</v>
      </c>
      <c r="H370" s="451">
        <f>calcProd1Seg1PromotionAllocationR2</f>
        <v>62700</v>
      </c>
      <c r="I370" s="451">
        <f>calcProd1Seg1PromotionAllocationR2</f>
        <v>62700</v>
      </c>
      <c r="J370" s="380" t="s">
        <v>2742</v>
      </c>
      <c r="L370" s="546"/>
    </row>
    <row r="371" spans="1:12">
      <c r="C371" t="s">
        <v>516</v>
      </c>
      <c r="E371" s="451">
        <f>calcProd1Seg1SampleAllocR2</f>
        <v>16500</v>
      </c>
      <c r="F371" s="451">
        <f>calcProd1Seg1SampleAllocR2</f>
        <v>16500</v>
      </c>
      <c r="G371" s="451">
        <f>calcProd1Seg1SampleAllocR2</f>
        <v>16500</v>
      </c>
      <c r="H371" s="451">
        <f>calcProd1Seg1SampleAllocR2</f>
        <v>16500</v>
      </c>
      <c r="I371" s="451">
        <f>calcProd1Seg1SampleAllocR2</f>
        <v>16500</v>
      </c>
      <c r="J371" s="380" t="s">
        <v>2743</v>
      </c>
      <c r="L371" s="546"/>
    </row>
    <row r="372" spans="1:12">
      <c r="C372" t="s">
        <v>517</v>
      </c>
      <c r="E372" s="451">
        <f>calcProd1Seg1SpeakerAllocR2</f>
        <v>31350</v>
      </c>
      <c r="F372" s="451">
        <f>calcProd1Seg1SpeakerAllocR2</f>
        <v>31350</v>
      </c>
      <c r="G372" s="451">
        <f>calcProd1Seg1SpeakerAllocR2</f>
        <v>31350</v>
      </c>
      <c r="H372" s="451">
        <f>calcProd1Seg1SpeakerAllocR2</f>
        <v>31350</v>
      </c>
      <c r="I372" s="451">
        <f>calcProd1Seg1SpeakerAllocR2</f>
        <v>31350</v>
      </c>
      <c r="J372" s="380" t="s">
        <v>2744</v>
      </c>
      <c r="L372" s="546"/>
    </row>
    <row r="373" spans="1:12">
      <c r="C373" t="s">
        <v>2446</v>
      </c>
      <c r="E373" s="451">
        <f>calcProd1Seg1PromotionAllocR2</f>
        <v>31350</v>
      </c>
      <c r="F373" s="451">
        <f>calcProd1Seg1PromotionAllocR2</f>
        <v>31350</v>
      </c>
      <c r="G373" s="451">
        <f>calcProd1Seg1PromotionAllocR2</f>
        <v>31350</v>
      </c>
      <c r="H373" s="451">
        <f>calcProd1Seg1PromotionAllocR2</f>
        <v>31350</v>
      </c>
      <c r="I373" s="451">
        <f>calcProd1Seg1PromotionAllocR2</f>
        <v>31350</v>
      </c>
      <c r="J373" s="380" t="s">
        <v>2745</v>
      </c>
      <c r="L373" s="546"/>
    </row>
    <row r="374" spans="1:12">
      <c r="A374" s="4" t="str">
        <f>nmProd1</f>
        <v>Riverrun</v>
      </c>
      <c r="B374" t="str">
        <f>nmProd1Seg2</f>
        <v>Tullyville</v>
      </c>
      <c r="C374" t="s">
        <v>2717</v>
      </c>
      <c r="E374" s="451">
        <f>calcProd1Seg2PromotionAllocationR2</f>
        <v>62700</v>
      </c>
      <c r="F374" s="451">
        <f>calcProd1Seg2PromotionAllocationR2</f>
        <v>62700</v>
      </c>
      <c r="G374" s="451">
        <f>calcProd1Seg2PromotionAllocationR2</f>
        <v>62700</v>
      </c>
      <c r="H374" s="451">
        <f>calcProd1Seg2PromotionAllocationR2</f>
        <v>62700</v>
      </c>
      <c r="I374" s="451">
        <f>calcProd1Seg2PromotionAllocationR2</f>
        <v>62700</v>
      </c>
      <c r="J374" s="380" t="s">
        <v>2746</v>
      </c>
      <c r="L374" s="546"/>
    </row>
    <row r="375" spans="1:12">
      <c r="C375" t="s">
        <v>516</v>
      </c>
      <c r="E375" s="451">
        <f>calcProd1Seg2SampleAllocR2</f>
        <v>16500</v>
      </c>
      <c r="F375" s="451">
        <f>calcProd1Seg2SampleAllocR2</f>
        <v>16500</v>
      </c>
      <c r="G375" s="451">
        <f>calcProd1Seg2SampleAllocR2</f>
        <v>16500</v>
      </c>
      <c r="H375" s="451">
        <f>calcProd1Seg2SampleAllocR2</f>
        <v>16500</v>
      </c>
      <c r="I375" s="451">
        <f>calcProd1Seg2SampleAllocR2</f>
        <v>16500</v>
      </c>
      <c r="J375" s="380" t="s">
        <v>2747</v>
      </c>
      <c r="L375" s="546"/>
    </row>
    <row r="376" spans="1:12">
      <c r="C376" t="s">
        <v>517</v>
      </c>
      <c r="E376" s="451">
        <f>calcProd1Seg2SpeakerAllocR2</f>
        <v>31350</v>
      </c>
      <c r="F376" s="451">
        <f>calcProd1Seg2SpeakerAllocR2</f>
        <v>31350</v>
      </c>
      <c r="G376" s="451">
        <f>calcProd1Seg2SpeakerAllocR2</f>
        <v>31350</v>
      </c>
      <c r="H376" s="451">
        <f>calcProd1Seg2SpeakerAllocR2</f>
        <v>31350</v>
      </c>
      <c r="I376" s="451">
        <f>calcProd1Seg2SpeakerAllocR2</f>
        <v>31350</v>
      </c>
      <c r="J376" s="380" t="s">
        <v>2748</v>
      </c>
      <c r="L376" s="546"/>
    </row>
    <row r="377" spans="1:12">
      <c r="C377" t="s">
        <v>2446</v>
      </c>
      <c r="E377" s="451">
        <f>calcProd1Seg2PromotionAllocR2</f>
        <v>31350</v>
      </c>
      <c r="F377" s="451">
        <f>calcProd1Seg2PromotionAllocR2</f>
        <v>31350</v>
      </c>
      <c r="G377" s="451">
        <f>calcProd1Seg2PromotionAllocR2</f>
        <v>31350</v>
      </c>
      <c r="H377" s="451">
        <f>calcProd1Seg2PromotionAllocR2</f>
        <v>31350</v>
      </c>
      <c r="I377" s="451">
        <f>calcProd1Seg2PromotionAllocR2</f>
        <v>31350</v>
      </c>
      <c r="J377" s="380" t="s">
        <v>2749</v>
      </c>
      <c r="L377" s="546"/>
    </row>
    <row r="378" spans="1:12">
      <c r="A378" s="4" t="str">
        <f>nmProd1</f>
        <v>Riverrun</v>
      </c>
      <c r="B378" t="str">
        <f>nmProd1Seg3</f>
        <v>Lordfrey City</v>
      </c>
      <c r="C378" t="s">
        <v>2717</v>
      </c>
      <c r="E378" s="451">
        <f>calcProd1Seg3PromotionAllocationR2</f>
        <v>62700</v>
      </c>
      <c r="F378" s="451">
        <f>calcProd1Seg3PromotionAllocationR2</f>
        <v>62700</v>
      </c>
      <c r="G378" s="451">
        <f>calcProd1Seg3PromotionAllocationR2</f>
        <v>62700</v>
      </c>
      <c r="H378" s="451">
        <f>calcProd1Seg3PromotionAllocationR2</f>
        <v>62700</v>
      </c>
      <c r="I378" s="451">
        <f>calcProd1Seg3PromotionAllocationR2</f>
        <v>62700</v>
      </c>
      <c r="J378" s="380" t="s">
        <v>2750</v>
      </c>
      <c r="L378" s="546"/>
    </row>
    <row r="379" spans="1:12">
      <c r="C379" t="s">
        <v>516</v>
      </c>
      <c r="E379" s="451">
        <f>calcProd1Seg3SampleAllocR2</f>
        <v>16500</v>
      </c>
      <c r="F379" s="451">
        <f>calcProd1Seg3SampleAllocR2</f>
        <v>16500</v>
      </c>
      <c r="G379" s="451">
        <f>calcProd1Seg3SampleAllocR2</f>
        <v>16500</v>
      </c>
      <c r="H379" s="451">
        <f>calcProd1Seg3SampleAllocR2</f>
        <v>16500</v>
      </c>
      <c r="I379" s="451">
        <f>calcProd1Seg3SampleAllocR2</f>
        <v>16500</v>
      </c>
      <c r="J379" s="380" t="s">
        <v>2751</v>
      </c>
      <c r="L379" s="546"/>
    </row>
    <row r="380" spans="1:12">
      <c r="C380" t="s">
        <v>517</v>
      </c>
      <c r="E380" s="451">
        <f>calcProd1Seg3SpeakerAllocR2</f>
        <v>31350</v>
      </c>
      <c r="F380" s="451">
        <f>calcProd1Seg3SpeakerAllocR2</f>
        <v>31350</v>
      </c>
      <c r="G380" s="451">
        <f>calcProd1Seg3SpeakerAllocR2</f>
        <v>31350</v>
      </c>
      <c r="H380" s="451">
        <f>calcProd1Seg3SpeakerAllocR2</f>
        <v>31350</v>
      </c>
      <c r="I380" s="451">
        <f>calcProd1Seg3SpeakerAllocR2</f>
        <v>31350</v>
      </c>
      <c r="J380" s="380" t="s">
        <v>2752</v>
      </c>
      <c r="L380" s="546"/>
    </row>
    <row r="381" spans="1:12">
      <c r="C381" t="s">
        <v>2446</v>
      </c>
      <c r="E381" s="451">
        <f>calcProd1Seg3PromotionAllocR2</f>
        <v>31350</v>
      </c>
      <c r="F381" s="451">
        <f>calcProd1Seg3PromotionAllocR2</f>
        <v>31350</v>
      </c>
      <c r="G381" s="451">
        <f>calcProd1Seg3PromotionAllocR2</f>
        <v>31350</v>
      </c>
      <c r="H381" s="451">
        <f>calcProd1Seg3PromotionAllocR2</f>
        <v>31350</v>
      </c>
      <c r="I381" s="451">
        <f>calcProd1Seg3PromotionAllocR2</f>
        <v>31350</v>
      </c>
      <c r="J381" s="380" t="s">
        <v>2753</v>
      </c>
      <c r="L381" s="546"/>
    </row>
    <row r="382" spans="1:12">
      <c r="A382" s="4" t="str">
        <f>nmReg1</f>
        <v>The Region</v>
      </c>
      <c r="B382" t="str">
        <f>nmReg1Seg1</f>
        <v>Riverrun</v>
      </c>
      <c r="C382" t="s">
        <v>2717</v>
      </c>
      <c r="E382" s="451">
        <f>calcReg1Seg1PromotionAllocationR2</f>
        <v>188100</v>
      </c>
      <c r="F382" s="451">
        <f>calcReg1Seg1PromotionAllocationR2</f>
        <v>188100</v>
      </c>
      <c r="G382" s="451">
        <f>calcReg1Seg1PromotionAllocationR2</f>
        <v>188100</v>
      </c>
      <c r="H382" s="451">
        <f>calcReg1Seg1PromotionAllocationR2</f>
        <v>188100</v>
      </c>
      <c r="I382" s="451">
        <f>calcReg1Seg1PromotionAllocationR2</f>
        <v>188100</v>
      </c>
      <c r="J382" s="380" t="s">
        <v>2754</v>
      </c>
      <c r="L382" s="546"/>
    </row>
    <row r="383" spans="1:12">
      <c r="C383" t="s">
        <v>516</v>
      </c>
      <c r="E383" s="451">
        <f>calcReg1Seg1SampleAllocR2</f>
        <v>49500</v>
      </c>
      <c r="F383" s="451">
        <f>calcReg1Seg1SampleAllocR2</f>
        <v>49500</v>
      </c>
      <c r="G383" s="451">
        <f>calcReg1Seg1SampleAllocR2</f>
        <v>49500</v>
      </c>
      <c r="H383" s="451">
        <f>calcReg1Seg1SampleAllocR2</f>
        <v>49500</v>
      </c>
      <c r="I383" s="451">
        <f>calcReg1Seg1SampleAllocR2</f>
        <v>49500</v>
      </c>
      <c r="J383" s="380" t="s">
        <v>2755</v>
      </c>
      <c r="L383" s="546"/>
    </row>
    <row r="384" spans="1:12">
      <c r="C384" t="s">
        <v>517</v>
      </c>
      <c r="E384" s="451">
        <f>calcReg1Seg1SpeakerAllocR2</f>
        <v>94050</v>
      </c>
      <c r="F384" s="451">
        <f>calcReg1Seg1SpeakerAllocR2</f>
        <v>94050</v>
      </c>
      <c r="G384" s="451">
        <f>calcReg1Seg1SpeakerAllocR2</f>
        <v>94050</v>
      </c>
      <c r="H384" s="451">
        <f>calcReg1Seg1SpeakerAllocR2</f>
        <v>94050</v>
      </c>
      <c r="I384" s="451">
        <f>calcReg1Seg1SpeakerAllocR2</f>
        <v>94050</v>
      </c>
      <c r="J384" s="380" t="s">
        <v>2756</v>
      </c>
      <c r="L384" s="546"/>
    </row>
    <row r="385" spans="1:12">
      <c r="C385" t="s">
        <v>2446</v>
      </c>
      <c r="E385" s="451">
        <f>calcReg1Seg1PromotionAllocR2</f>
        <v>94050</v>
      </c>
      <c r="F385" s="451">
        <f>calcReg1Seg1PromotionAllocR2</f>
        <v>94050</v>
      </c>
      <c r="G385" s="451">
        <f>calcReg1Seg1PromotionAllocR2</f>
        <v>94050</v>
      </c>
      <c r="H385" s="451">
        <f>calcReg1Seg1PromotionAllocR2</f>
        <v>94050</v>
      </c>
      <c r="I385" s="451">
        <f>calcReg1Seg1PromotionAllocR2</f>
        <v>94050</v>
      </c>
      <c r="J385" s="380" t="s">
        <v>2757</v>
      </c>
      <c r="L385" s="546"/>
    </row>
    <row r="386" spans="1:12">
      <c r="A386" s="4" t="str">
        <f>nmReg1</f>
        <v>The Region</v>
      </c>
      <c r="B386" t="str">
        <f>nmReg1Seg2</f>
        <v>Winterfell</v>
      </c>
      <c r="C386" t="s">
        <v>2717</v>
      </c>
      <c r="E386" s="451">
        <f>calcReg1Seg2PromotionAllocationR2</f>
        <v>188100</v>
      </c>
      <c r="F386" s="451">
        <f>calcReg1Seg2PromotionAllocationR2</f>
        <v>188100</v>
      </c>
      <c r="G386" s="451">
        <f>calcReg1Seg2PromotionAllocationR2</f>
        <v>188100</v>
      </c>
      <c r="H386" s="451">
        <f>calcReg1Seg2PromotionAllocationR2</f>
        <v>188100</v>
      </c>
      <c r="I386" s="451">
        <f>calcReg1Seg2PromotionAllocationR2</f>
        <v>188100</v>
      </c>
      <c r="J386" s="380" t="s">
        <v>2758</v>
      </c>
      <c r="L386" s="546"/>
    </row>
    <row r="387" spans="1:12">
      <c r="C387" t="s">
        <v>516</v>
      </c>
      <c r="E387" s="451">
        <f>calcReg1Seg2SampleAllocR2</f>
        <v>49500</v>
      </c>
      <c r="F387" s="451">
        <f>calcReg1Seg2SampleAllocR2</f>
        <v>49500</v>
      </c>
      <c r="G387" s="451">
        <f>calcReg1Seg2SampleAllocR2</f>
        <v>49500</v>
      </c>
      <c r="H387" s="451">
        <f>calcReg1Seg2SampleAllocR2</f>
        <v>49500</v>
      </c>
      <c r="I387" s="451">
        <f>calcReg1Seg2SampleAllocR2</f>
        <v>49500</v>
      </c>
      <c r="J387" s="380" t="s">
        <v>2759</v>
      </c>
      <c r="L387" s="546"/>
    </row>
    <row r="388" spans="1:12">
      <c r="C388" t="s">
        <v>517</v>
      </c>
      <c r="E388" s="451">
        <f>calcReg1Seg2SpeakerAllocR2</f>
        <v>94050</v>
      </c>
      <c r="F388" s="451">
        <f>calcReg1Seg2SpeakerAllocR2</f>
        <v>94050</v>
      </c>
      <c r="G388" s="451">
        <f>calcReg1Seg2SpeakerAllocR2</f>
        <v>94050</v>
      </c>
      <c r="H388" s="451">
        <f>calcReg1Seg2SpeakerAllocR2</f>
        <v>94050</v>
      </c>
      <c r="I388" s="451">
        <f>calcReg1Seg2SpeakerAllocR2</f>
        <v>94050</v>
      </c>
      <c r="J388" s="380" t="s">
        <v>2760</v>
      </c>
      <c r="L388" s="546"/>
    </row>
    <row r="389" spans="1:12">
      <c r="C389" t="s">
        <v>2446</v>
      </c>
      <c r="E389" s="451">
        <f>calcReg1Seg2PromotionAllocR2</f>
        <v>94050</v>
      </c>
      <c r="F389" s="451">
        <f>calcReg1Seg2PromotionAllocR2</f>
        <v>94050</v>
      </c>
      <c r="G389" s="451">
        <f>calcReg1Seg2PromotionAllocR2</f>
        <v>94050</v>
      </c>
      <c r="H389" s="451">
        <f>calcReg1Seg2PromotionAllocR2</f>
        <v>94050</v>
      </c>
      <c r="I389" s="451">
        <f>calcReg1Seg2PromotionAllocR2</f>
        <v>94050</v>
      </c>
      <c r="J389" s="380" t="s">
        <v>2761</v>
      </c>
      <c r="L389" s="546"/>
    </row>
    <row r="390" spans="1:12">
      <c r="A390" s="4" t="str">
        <f>nmReg1</f>
        <v>The Region</v>
      </c>
      <c r="B390" t="str">
        <f>nmReg1Seg3</f>
        <v>Harrenhal</v>
      </c>
      <c r="C390" t="s">
        <v>2717</v>
      </c>
      <c r="E390" s="451">
        <f>calcReg1Seg3PromotionAllocationR2</f>
        <v>188100</v>
      </c>
      <c r="F390" s="451">
        <f>calcReg1Seg3PromotionAllocationR2</f>
        <v>188100</v>
      </c>
      <c r="G390" s="451">
        <f>calcReg1Seg3PromotionAllocationR2</f>
        <v>188100</v>
      </c>
      <c r="H390" s="451">
        <f>calcReg1Seg3PromotionAllocationR2</f>
        <v>188100</v>
      </c>
      <c r="I390" s="451">
        <f>calcReg1Seg3PromotionAllocationR2</f>
        <v>188100</v>
      </c>
      <c r="J390" s="380" t="s">
        <v>2762</v>
      </c>
      <c r="L390" s="546"/>
    </row>
    <row r="391" spans="1:12">
      <c r="C391" t="s">
        <v>516</v>
      </c>
      <c r="E391" s="451">
        <f>calcReg1Seg3SampleAllocR2</f>
        <v>49500</v>
      </c>
      <c r="F391" s="451">
        <f>calcReg1Seg3SampleAllocR2</f>
        <v>49500</v>
      </c>
      <c r="G391" s="451">
        <f>calcReg1Seg3SampleAllocR2</f>
        <v>49500</v>
      </c>
      <c r="H391" s="451">
        <f>calcReg1Seg3SampleAllocR2</f>
        <v>49500</v>
      </c>
      <c r="I391" s="451">
        <f>calcReg1Seg3SampleAllocR2</f>
        <v>49500</v>
      </c>
      <c r="J391" s="380" t="s">
        <v>2763</v>
      </c>
      <c r="L391" s="546"/>
    </row>
    <row r="392" spans="1:12">
      <c r="C392" t="s">
        <v>517</v>
      </c>
      <c r="E392" s="451">
        <f>calcReg1Seg3SpeakerAllocR2</f>
        <v>94050</v>
      </c>
      <c r="F392" s="451">
        <f>calcReg1Seg3SpeakerAllocR2</f>
        <v>94050</v>
      </c>
      <c r="G392" s="451">
        <f>calcReg1Seg3SpeakerAllocR2</f>
        <v>94050</v>
      </c>
      <c r="H392" s="451">
        <f>calcReg1Seg3SpeakerAllocR2</f>
        <v>94050</v>
      </c>
      <c r="I392" s="451">
        <f>calcReg1Seg3SpeakerAllocR2</f>
        <v>94050</v>
      </c>
      <c r="J392" s="380" t="s">
        <v>2764</v>
      </c>
      <c r="L392" s="546"/>
    </row>
    <row r="393" spans="1:12">
      <c r="C393" t="s">
        <v>2446</v>
      </c>
      <c r="E393" s="451">
        <f>calcReg1Seg3PromotionAllocR1</f>
        <v>99000</v>
      </c>
      <c r="F393" s="451">
        <f>calcReg1Seg3PromotionAllocR2</f>
        <v>94050</v>
      </c>
      <c r="G393" s="451">
        <f>calcReg1Seg3PromotionAllocR2</f>
        <v>94050</v>
      </c>
      <c r="H393" s="451">
        <f>calcReg1Seg3PromotionAllocR2</f>
        <v>94050</v>
      </c>
      <c r="I393" s="451">
        <f>calcReg1Seg3PromotionAllocR2</f>
        <v>94050</v>
      </c>
      <c r="J393" s="380" t="s">
        <v>2765</v>
      </c>
      <c r="L393" s="546"/>
    </row>
    <row r="394" spans="1:12">
      <c r="A394" s="4" t="s">
        <v>2766</v>
      </c>
      <c r="C394" t="str">
        <f>nmProd1Seg1</f>
        <v>Riverrun Central</v>
      </c>
      <c r="E394" s="451">
        <f>calcProd1Seg1PromotionAllocationR2</f>
        <v>62700</v>
      </c>
      <c r="F394" s="451">
        <f>calcProd1Seg1PromotionAllocationR2</f>
        <v>62700</v>
      </c>
      <c r="G394" s="451">
        <f>calcProd1Seg1PromotionAllocationR2</f>
        <v>62700</v>
      </c>
      <c r="H394" s="451">
        <f>calcProd1Seg1PromotionAllocationR2</f>
        <v>62700</v>
      </c>
      <c r="I394" s="451">
        <f>calcProd1Seg1PromotionAllocationR2</f>
        <v>62700</v>
      </c>
      <c r="J394" s="380" t="s">
        <v>2773</v>
      </c>
      <c r="L394" s="546"/>
    </row>
    <row r="395" spans="1:12">
      <c r="A395" s="4" t="s">
        <v>2766</v>
      </c>
      <c r="C395" t="str">
        <f>nmProd1Seg2</f>
        <v>Tullyville</v>
      </c>
      <c r="E395" s="451">
        <f>calcProd1Seg2PromotionAllocationR2</f>
        <v>62700</v>
      </c>
      <c r="F395" s="451">
        <f>calcProd1Seg2PromotionAllocationR2</f>
        <v>62700</v>
      </c>
      <c r="G395" s="451">
        <f>calcProd1Seg2PromotionAllocationR2</f>
        <v>62700</v>
      </c>
      <c r="H395" s="451">
        <f>calcProd1Seg2PromotionAllocationR2</f>
        <v>62700</v>
      </c>
      <c r="I395" s="451">
        <f>calcProd1Seg2PromotionAllocationR2</f>
        <v>62700</v>
      </c>
      <c r="J395" s="380" t="s">
        <v>2774</v>
      </c>
      <c r="L395" s="546"/>
    </row>
    <row r="396" spans="1:12">
      <c r="A396" s="4" t="s">
        <v>2766</v>
      </c>
      <c r="C396" t="str">
        <f>nmProd1Seg3</f>
        <v>Lordfrey City</v>
      </c>
      <c r="E396" s="451">
        <f>calcProd1Seg3PromotionAllocationR2</f>
        <v>62700</v>
      </c>
      <c r="F396" s="451">
        <f>calcProd1Seg3PromotionAllocationR2</f>
        <v>62700</v>
      </c>
      <c r="G396" s="451">
        <f>calcProd1Seg3PromotionAllocationR2</f>
        <v>62700</v>
      </c>
      <c r="H396" s="451">
        <f>calcProd1Seg3PromotionAllocationR2</f>
        <v>62700</v>
      </c>
      <c r="I396" s="451">
        <f>calcProd1Seg3PromotionAllocationR2</f>
        <v>62700</v>
      </c>
      <c r="J396" s="380" t="s">
        <v>2775</v>
      </c>
      <c r="L396" s="546"/>
    </row>
    <row r="397" spans="1:12">
      <c r="A397" s="4" t="s">
        <v>2766</v>
      </c>
      <c r="C397" t="str">
        <f>nmReg1Seg1</f>
        <v>Riverrun</v>
      </c>
      <c r="E397" s="451">
        <f>calcReg1Seg1PromotionAllocationR2</f>
        <v>188100</v>
      </c>
      <c r="F397" s="451">
        <f>calcReg1Seg1PromotionAllocationR2</f>
        <v>188100</v>
      </c>
      <c r="G397" s="451">
        <f>calcReg1Seg1PromotionAllocationR2</f>
        <v>188100</v>
      </c>
      <c r="H397" s="451">
        <f>calcReg1Seg1PromotionAllocationR2</f>
        <v>188100</v>
      </c>
      <c r="I397" s="451">
        <f>calcReg1Seg1PromotionAllocationR2</f>
        <v>188100</v>
      </c>
      <c r="J397" s="380" t="s">
        <v>2776</v>
      </c>
      <c r="L397" s="546"/>
    </row>
    <row r="398" spans="1:12">
      <c r="A398" s="4" t="s">
        <v>2766</v>
      </c>
      <c r="C398" t="str">
        <f>nmReg1Seg2</f>
        <v>Winterfell</v>
      </c>
      <c r="E398" s="451">
        <f>calcReg1Seg2PromotionAllocationR2</f>
        <v>188100</v>
      </c>
      <c r="F398" s="451">
        <f>calcReg1Seg2PromotionAllocationR2</f>
        <v>188100</v>
      </c>
      <c r="G398" s="451">
        <f>calcReg1Seg2PromotionAllocationR2</f>
        <v>188100</v>
      </c>
      <c r="H398" s="451">
        <f>calcReg1Seg2PromotionAllocationR2</f>
        <v>188100</v>
      </c>
      <c r="I398" s="451">
        <f>calcReg1Seg2PromotionAllocationR2</f>
        <v>188100</v>
      </c>
      <c r="J398" s="380" t="s">
        <v>2777</v>
      </c>
      <c r="L398" s="546"/>
    </row>
    <row r="399" spans="1:12">
      <c r="A399" s="4" t="s">
        <v>2766</v>
      </c>
      <c r="C399" t="str">
        <f>nmReg1Seg3</f>
        <v>Harrenhal</v>
      </c>
      <c r="E399" s="451">
        <f>calcReg1Seg3PromotionAllocationR2</f>
        <v>188100</v>
      </c>
      <c r="F399" s="451">
        <f>calcReg1Seg3PromotionAllocationR2</f>
        <v>188100</v>
      </c>
      <c r="G399" s="451">
        <f>calcReg1Seg3PromotionAllocationR2</f>
        <v>188100</v>
      </c>
      <c r="H399" s="451">
        <f>calcReg1Seg3PromotionAllocationR2</f>
        <v>188100</v>
      </c>
      <c r="I399" s="451">
        <f>calcReg1Seg3PromotionAllocationR2</f>
        <v>188100</v>
      </c>
      <c r="J399" s="380" t="s">
        <v>2778</v>
      </c>
      <c r="L399" s="546"/>
    </row>
    <row r="400" spans="1:12">
      <c r="A400" s="4" t="s">
        <v>598</v>
      </c>
      <c r="E400" s="451"/>
      <c r="F400" s="451"/>
      <c r="G400" s="451"/>
      <c r="H400" s="451"/>
      <c r="I400" s="451"/>
      <c r="J400" s="380"/>
      <c r="L400" s="546"/>
    </row>
    <row r="401" spans="1:10" s="121" customFormat="1">
      <c r="A401" s="121" t="str">
        <f>nmProd1</f>
        <v>Riverrun</v>
      </c>
      <c r="B401" s="541" t="str">
        <f>nmProd1Seg1</f>
        <v>Riverrun Central</v>
      </c>
      <c r="C401" s="121" t="s">
        <v>2334</v>
      </c>
      <c r="D401" s="121" t="str">
        <f>nmProd1Rep1</f>
        <v>Rep Allen</v>
      </c>
      <c r="E401" s="121">
        <f>decInputProd1Seg1Therapy1Rep1Weight_R1</f>
        <v>0.4</v>
      </c>
      <c r="F401" s="121">
        <f>decInputProd1Seg1Therapy1Rep1Weight_R1</f>
        <v>0.4</v>
      </c>
      <c r="G401" s="121">
        <f>decInputProd1Seg1Therapy1Rep1Weight_R1</f>
        <v>0.4</v>
      </c>
      <c r="H401" s="121">
        <f>decInputProd1Seg1Therapy1Rep1Weight_R1</f>
        <v>0.4</v>
      </c>
      <c r="I401" s="121">
        <f>decInputProd1Seg1Therapy1Rep1Weight_R1</f>
        <v>0.4</v>
      </c>
      <c r="J401" s="541" t="s">
        <v>3485</v>
      </c>
    </row>
    <row r="402" spans="1:10" s="121" customFormat="1">
      <c r="B402" s="541"/>
      <c r="C402" s="121" t="s">
        <v>2334</v>
      </c>
      <c r="D402" s="121" t="str">
        <f>nmProd1Rep2</f>
        <v>Rep Betty</v>
      </c>
      <c r="E402" s="121">
        <f>decInputProd1Seg1Therapy1Rep2Weight_R1</f>
        <v>0.4</v>
      </c>
      <c r="F402" s="121">
        <f>decInputProd1Seg1Therapy1Rep2Weight_R1</f>
        <v>0.4</v>
      </c>
      <c r="G402" s="121">
        <f>decInputProd1Seg1Therapy1Rep2Weight_R1</f>
        <v>0.4</v>
      </c>
      <c r="H402" s="121">
        <f>decInputProd1Seg1Therapy1Rep2Weight_R1</f>
        <v>0.4</v>
      </c>
      <c r="I402" s="121">
        <f>decInputProd1Seg1Therapy1Rep2Weight_R1</f>
        <v>0.4</v>
      </c>
      <c r="J402" s="541" t="s">
        <v>3479</v>
      </c>
    </row>
    <row r="403" spans="1:10" s="121" customFormat="1">
      <c r="B403" s="541"/>
      <c r="C403" s="121" t="s">
        <v>2334</v>
      </c>
      <c r="D403" s="121" t="str">
        <f>nmProd1Rep3</f>
        <v>Rep Chris</v>
      </c>
      <c r="E403" s="121">
        <f>decInputProd1Seg1Therapy1Rep3Weight_R1</f>
        <v>0.6</v>
      </c>
      <c r="F403" s="121">
        <f>decInputProd1Seg1Therapy1Rep3Weight_R1</f>
        <v>0.6</v>
      </c>
      <c r="G403" s="121">
        <f>decInputProd1Seg1Therapy1Rep3Weight_R1</f>
        <v>0.6</v>
      </c>
      <c r="H403" s="121">
        <f>decInputProd1Seg1Therapy1Rep3Weight_R1</f>
        <v>0.6</v>
      </c>
      <c r="I403" s="121">
        <f>decInputProd1Seg1Therapy1Rep3Weight_R1</f>
        <v>0.6</v>
      </c>
      <c r="J403" s="541" t="s">
        <v>3491</v>
      </c>
    </row>
    <row r="404" spans="1:10" s="121" customFormat="1">
      <c r="B404" s="541"/>
      <c r="C404" s="121" t="s">
        <v>2334</v>
      </c>
      <c r="D404" s="121" t="str">
        <f>nmProd1Rep1</f>
        <v>Rep Allen</v>
      </c>
      <c r="E404" s="121">
        <f>decInputProd1Seg1Therapy1Rep1Weight_R2</f>
        <v>0.4</v>
      </c>
      <c r="F404" s="121">
        <f>decInputProd1Seg1Therapy1Rep1Weight_R2</f>
        <v>0.4</v>
      </c>
      <c r="G404" s="121">
        <f>decInputProd1Seg1Therapy1Rep1Weight_R2</f>
        <v>0.4</v>
      </c>
      <c r="H404" s="121">
        <f>decInputProd1Seg1Therapy1Rep1Weight_R2</f>
        <v>0.4</v>
      </c>
      <c r="I404" s="121">
        <f>decInputProd1Seg1Therapy1Rep1Weight_R2</f>
        <v>0.4</v>
      </c>
      <c r="J404" s="541" t="s">
        <v>3486</v>
      </c>
    </row>
    <row r="405" spans="1:10" s="121" customFormat="1">
      <c r="B405" s="541"/>
      <c r="C405" s="121" t="s">
        <v>2334</v>
      </c>
      <c r="D405" s="121" t="str">
        <f>nmProd1Rep2</f>
        <v>Rep Betty</v>
      </c>
      <c r="E405" s="121">
        <f>decInputProd1Seg1Therapy1Rep2Weight_R2</f>
        <v>0.4</v>
      </c>
      <c r="F405" s="121">
        <f>decInputProd1Seg1Therapy1Rep2Weight_R2</f>
        <v>0.4</v>
      </c>
      <c r="G405" s="121">
        <f>decInputProd1Seg1Therapy1Rep2Weight_R2</f>
        <v>0.4</v>
      </c>
      <c r="H405" s="121">
        <f>decInputProd1Seg1Therapy1Rep2Weight_R2</f>
        <v>0.4</v>
      </c>
      <c r="I405" s="121">
        <f>decInputProd1Seg1Therapy1Rep2Weight_R2</f>
        <v>0.4</v>
      </c>
      <c r="J405" s="541" t="s">
        <v>3480</v>
      </c>
    </row>
    <row r="406" spans="1:10" s="121" customFormat="1">
      <c r="B406" s="541"/>
      <c r="C406" s="121" t="s">
        <v>2334</v>
      </c>
      <c r="D406" s="121" t="str">
        <f>nmProd1Rep3</f>
        <v>Rep Chris</v>
      </c>
      <c r="E406" s="121">
        <f>decInputProd1Seg1Therapy1Rep3Weight_R2</f>
        <v>0.6</v>
      </c>
      <c r="F406" s="121">
        <f>decInputProd1Seg1Therapy1Rep3Weight_R2</f>
        <v>0.6</v>
      </c>
      <c r="G406" s="121">
        <f>decInputProd1Seg1Therapy1Rep3Weight_R2</f>
        <v>0.6</v>
      </c>
      <c r="H406" s="121">
        <f>decInputProd1Seg1Therapy1Rep3Weight_R2</f>
        <v>0.6</v>
      </c>
      <c r="I406" s="121">
        <f>decInputProd1Seg1Therapy1Rep3Weight_R2</f>
        <v>0.6</v>
      </c>
      <c r="J406" s="541" t="s">
        <v>3492</v>
      </c>
    </row>
    <row r="407" spans="1:10" s="121" customFormat="1">
      <c r="A407" s="121" t="str">
        <f>nmProd1</f>
        <v>Riverrun</v>
      </c>
      <c r="B407" s="541" t="str">
        <f>nmProd1Seg2</f>
        <v>Tullyville</v>
      </c>
      <c r="C407" s="121" t="s">
        <v>2334</v>
      </c>
      <c r="D407" s="121" t="str">
        <f>nmProd1Rep1</f>
        <v>Rep Allen</v>
      </c>
      <c r="E407" s="121">
        <f>decInputProd1Seg2Therapy1Rep1Weight_R1</f>
        <v>0.6</v>
      </c>
      <c r="F407" s="121">
        <f>decInputProd1Seg2Therapy1Rep1Weight_R1</f>
        <v>0.6</v>
      </c>
      <c r="G407" s="121">
        <f>decInputProd1Seg2Therapy1Rep1Weight_R1</f>
        <v>0.6</v>
      </c>
      <c r="H407" s="121">
        <f>decInputProd1Seg2Therapy1Rep1Weight_R1</f>
        <v>0.6</v>
      </c>
      <c r="I407" s="121">
        <f>decInputProd1Seg2Therapy1Rep1Weight_R1</f>
        <v>0.6</v>
      </c>
      <c r="J407" s="541" t="s">
        <v>3487</v>
      </c>
    </row>
    <row r="408" spans="1:10" s="121" customFormat="1">
      <c r="B408" s="541"/>
      <c r="C408" s="121" t="s">
        <v>2334</v>
      </c>
      <c r="D408" s="121" t="str">
        <f>nmProd1Rep2</f>
        <v>Rep Betty</v>
      </c>
      <c r="E408" s="121">
        <f>decInputProd1Seg2Therapy1Rep2Weight_R1</f>
        <v>0.5</v>
      </c>
      <c r="F408" s="121">
        <f>decInputProd1Seg2Therapy1Rep2Weight_R1</f>
        <v>0.5</v>
      </c>
      <c r="G408" s="121">
        <f>decInputProd1Seg2Therapy1Rep2Weight_R1</f>
        <v>0.5</v>
      </c>
      <c r="H408" s="121">
        <f>decInputProd1Seg2Therapy1Rep2Weight_R1</f>
        <v>0.5</v>
      </c>
      <c r="I408" s="121">
        <f>decInputProd1Seg2Therapy1Rep2Weight_R1</f>
        <v>0.5</v>
      </c>
      <c r="J408" s="541" t="s">
        <v>3481</v>
      </c>
    </row>
    <row r="409" spans="1:10" s="121" customFormat="1">
      <c r="B409" s="541"/>
      <c r="C409" s="121" t="s">
        <v>2334</v>
      </c>
      <c r="D409" s="121" t="str">
        <f>nmProd1Rep3</f>
        <v>Rep Chris</v>
      </c>
      <c r="E409" s="121">
        <f>decInputProd1Seg2Therapy1Rep3Weight_R1</f>
        <v>0.4</v>
      </c>
      <c r="F409" s="121">
        <f>decInputProd1Seg2Therapy1Rep3Weight_R1</f>
        <v>0.4</v>
      </c>
      <c r="G409" s="121">
        <f>decInputProd1Seg2Therapy1Rep3Weight_R1</f>
        <v>0.4</v>
      </c>
      <c r="H409" s="121">
        <f>decInputProd1Seg2Therapy1Rep3Weight_R1</f>
        <v>0.4</v>
      </c>
      <c r="I409" s="121">
        <f>decInputProd1Seg2Therapy1Rep3Weight_R1</f>
        <v>0.4</v>
      </c>
      <c r="J409" s="541" t="s">
        <v>3493</v>
      </c>
    </row>
    <row r="410" spans="1:10" s="121" customFormat="1">
      <c r="B410" s="541"/>
      <c r="C410" s="121" t="s">
        <v>2334</v>
      </c>
      <c r="D410" s="121" t="str">
        <f>nmProd1Rep1</f>
        <v>Rep Allen</v>
      </c>
      <c r="E410" s="121">
        <f>decInputProd1Seg2Therapy1Rep1Weight_R2</f>
        <v>0.6</v>
      </c>
      <c r="F410" s="121">
        <f>decInputProd1Seg2Therapy1Rep1Weight_R2</f>
        <v>0.6</v>
      </c>
      <c r="G410" s="121">
        <f>decInputProd1Seg2Therapy1Rep1Weight_R2</f>
        <v>0.6</v>
      </c>
      <c r="H410" s="121">
        <f>decInputProd1Seg2Therapy1Rep1Weight_R2</f>
        <v>0.6</v>
      </c>
      <c r="I410" s="121">
        <f>decInputProd1Seg2Therapy1Rep1Weight_R2</f>
        <v>0.6</v>
      </c>
      <c r="J410" s="541" t="s">
        <v>3488</v>
      </c>
    </row>
    <row r="411" spans="1:10" s="121" customFormat="1">
      <c r="B411" s="541"/>
      <c r="C411" s="121" t="s">
        <v>2334</v>
      </c>
      <c r="D411" s="121" t="str">
        <f>nmProd1Rep2</f>
        <v>Rep Betty</v>
      </c>
      <c r="E411" s="121">
        <f>decInputProd1Seg2Therapy1Rep2Weight_R2</f>
        <v>0.6</v>
      </c>
      <c r="F411" s="121">
        <f>decInputProd1Seg2Therapy1Rep2Weight_R2</f>
        <v>0.6</v>
      </c>
      <c r="G411" s="121">
        <f>decInputProd1Seg2Therapy1Rep2Weight_R2</f>
        <v>0.6</v>
      </c>
      <c r="H411" s="121">
        <f>decInputProd1Seg2Therapy1Rep2Weight_R2</f>
        <v>0.6</v>
      </c>
      <c r="I411" s="121">
        <f>decInputProd1Seg2Therapy1Rep2Weight_R2</f>
        <v>0.6</v>
      </c>
      <c r="J411" s="541" t="s">
        <v>3482</v>
      </c>
    </row>
    <row r="412" spans="1:10" s="121" customFormat="1">
      <c r="B412" s="541"/>
      <c r="C412" s="121" t="s">
        <v>2334</v>
      </c>
      <c r="D412" s="121" t="str">
        <f>nmProd1Rep3</f>
        <v>Rep Chris</v>
      </c>
      <c r="E412" s="121">
        <f>decInputProd1Seg2Therapy1Rep3Weight_R2</f>
        <v>0.4</v>
      </c>
      <c r="F412" s="121">
        <f>decInputProd1Seg2Therapy1Rep3Weight_R2</f>
        <v>0.4</v>
      </c>
      <c r="G412" s="121">
        <f>decInputProd1Seg2Therapy1Rep3Weight_R2</f>
        <v>0.4</v>
      </c>
      <c r="H412" s="121">
        <f>decInputProd1Seg2Therapy1Rep3Weight_R2</f>
        <v>0.4</v>
      </c>
      <c r="I412" s="121">
        <f>decInputProd1Seg2Therapy1Rep3Weight_R2</f>
        <v>0.4</v>
      </c>
      <c r="J412" s="541" t="s">
        <v>3494</v>
      </c>
    </row>
    <row r="413" spans="1:10" s="121" customFormat="1">
      <c r="A413" s="121" t="str">
        <f>nmProd1</f>
        <v>Riverrun</v>
      </c>
      <c r="B413" s="541" t="str">
        <f>nmProd1Seg3</f>
        <v>Lordfrey City</v>
      </c>
      <c r="C413" s="121" t="s">
        <v>2334</v>
      </c>
      <c r="D413" s="121" t="str">
        <f>nmProd1Rep1</f>
        <v>Rep Allen</v>
      </c>
      <c r="E413" s="121">
        <f>decInputProd1Seg3Therapy1Rep1Weight_R1</f>
        <v>0.5</v>
      </c>
      <c r="F413" s="121">
        <f>decInputProd1Seg3Therapy1Rep1Weight_R1</f>
        <v>0.5</v>
      </c>
      <c r="G413" s="121">
        <f>decInputProd1Seg3Therapy1Rep1Weight_R1</f>
        <v>0.5</v>
      </c>
      <c r="H413" s="121">
        <f>decInputProd1Seg3Therapy1Rep1Weight_R1</f>
        <v>0.5</v>
      </c>
      <c r="I413" s="121">
        <f>decInputProd1Seg3Therapy1Rep1Weight_R1</f>
        <v>0.5</v>
      </c>
      <c r="J413" s="541" t="s">
        <v>3489</v>
      </c>
    </row>
    <row r="414" spans="1:10" s="121" customFormat="1">
      <c r="B414" s="541"/>
      <c r="C414" s="121" t="s">
        <v>2334</v>
      </c>
      <c r="D414" s="121" t="str">
        <f>nmProd1Rep2</f>
        <v>Rep Betty</v>
      </c>
      <c r="E414" s="121">
        <f>decInputProd1Seg3Therapy1Rep2Weight_R1</f>
        <v>0.5</v>
      </c>
      <c r="F414" s="121">
        <f>decInputProd1Seg3Therapy1Rep2Weight_R1</f>
        <v>0.5</v>
      </c>
      <c r="G414" s="121">
        <f>decInputProd1Seg3Therapy1Rep2Weight_R1</f>
        <v>0.5</v>
      </c>
      <c r="H414" s="121">
        <f>decInputProd1Seg3Therapy1Rep2Weight_R1</f>
        <v>0.5</v>
      </c>
      <c r="I414" s="121">
        <f>decInputProd1Seg3Therapy1Rep2Weight_R1</f>
        <v>0.5</v>
      </c>
      <c r="J414" s="541" t="s">
        <v>3483</v>
      </c>
    </row>
    <row r="415" spans="1:10" s="121" customFormat="1">
      <c r="B415" s="541"/>
      <c r="C415" s="121" t="s">
        <v>2334</v>
      </c>
      <c r="D415" s="121" t="str">
        <f>nmProd1Rep3</f>
        <v>Rep Chris</v>
      </c>
      <c r="E415" s="121">
        <f>decInputProd1Seg3Therapy1Rep3Weight_R1</f>
        <v>0.5</v>
      </c>
      <c r="F415" s="121">
        <f>decInputProd1Seg3Therapy1Rep3Weight_R1</f>
        <v>0.5</v>
      </c>
      <c r="G415" s="121">
        <f>decInputProd1Seg3Therapy1Rep3Weight_R1</f>
        <v>0.5</v>
      </c>
      <c r="H415" s="121">
        <f>decInputProd1Seg3Therapy1Rep3Weight_R1</f>
        <v>0.5</v>
      </c>
      <c r="I415" s="121">
        <f>decInputProd1Seg3Therapy1Rep3Weight_R1</f>
        <v>0.5</v>
      </c>
      <c r="J415" s="541" t="s">
        <v>3495</v>
      </c>
    </row>
    <row r="416" spans="1:10" s="121" customFormat="1">
      <c r="B416" s="541"/>
      <c r="C416" s="121" t="s">
        <v>2334</v>
      </c>
      <c r="D416" s="121" t="str">
        <f>nmProd1Rep1</f>
        <v>Rep Allen</v>
      </c>
      <c r="E416" s="121">
        <f>decInputProd1Seg3Therapy1Rep1Weight_R2</f>
        <v>0.5</v>
      </c>
      <c r="F416" s="121">
        <f>decInputProd1Seg3Therapy1Rep1Weight_R2</f>
        <v>0.5</v>
      </c>
      <c r="G416" s="121">
        <f>decInputProd1Seg3Therapy1Rep1Weight_R2</f>
        <v>0.5</v>
      </c>
      <c r="H416" s="121">
        <f>decInputProd1Seg3Therapy1Rep1Weight_R2</f>
        <v>0.5</v>
      </c>
      <c r="I416" s="121">
        <f>decInputProd1Seg3Therapy1Rep1Weight_R2</f>
        <v>0.5</v>
      </c>
      <c r="J416" s="541" t="s">
        <v>3490</v>
      </c>
    </row>
    <row r="417" spans="1:12" s="121" customFormat="1">
      <c r="B417" s="541"/>
      <c r="C417" s="121" t="s">
        <v>2334</v>
      </c>
      <c r="D417" s="121" t="str">
        <f>nmProd1Rep2</f>
        <v>Rep Betty</v>
      </c>
      <c r="E417" s="121">
        <f>decInputProd1Seg3Therapy1Rep2Weight_R2</f>
        <v>0.5</v>
      </c>
      <c r="F417" s="121">
        <f>decInputProd1Seg3Therapy1Rep2Weight_R2</f>
        <v>0.5</v>
      </c>
      <c r="G417" s="121">
        <f>decInputProd1Seg3Therapy1Rep2Weight_R2</f>
        <v>0.5</v>
      </c>
      <c r="H417" s="121">
        <f>decInputProd1Seg3Therapy1Rep2Weight_R2</f>
        <v>0.5</v>
      </c>
      <c r="I417" s="121">
        <f>decInputProd1Seg3Therapy1Rep2Weight_R2</f>
        <v>0.5</v>
      </c>
      <c r="J417" s="541" t="s">
        <v>3484</v>
      </c>
    </row>
    <row r="418" spans="1:12" s="121" customFormat="1">
      <c r="B418" s="541"/>
      <c r="C418" s="121" t="s">
        <v>2334</v>
      </c>
      <c r="D418" s="121" t="str">
        <f>nmProd1Rep3</f>
        <v>Rep Chris</v>
      </c>
      <c r="E418" s="121">
        <f>decInputProd1Seg3Therapy1Rep3Weight_R2</f>
        <v>0.5</v>
      </c>
      <c r="F418" s="121">
        <f>decInputProd1Seg3Therapy1Rep3Weight_R2</f>
        <v>0.5</v>
      </c>
      <c r="G418" s="121">
        <f>decInputProd1Seg3Therapy1Rep3Weight_R2</f>
        <v>0.5</v>
      </c>
      <c r="H418" s="121">
        <f>decInputProd1Seg3Therapy1Rep3Weight_R2</f>
        <v>0.5</v>
      </c>
      <c r="I418" s="121">
        <f>decInputProd1Seg3Therapy1Rep3Weight_R2</f>
        <v>0.5</v>
      </c>
      <c r="J418" s="541" t="s">
        <v>3496</v>
      </c>
    </row>
    <row r="419" spans="1:12" s="121" customFormat="1">
      <c r="A419" s="121" t="str">
        <f>nmProd1</f>
        <v>Riverrun</v>
      </c>
      <c r="B419" s="541" t="str">
        <f>nmProd1Seg1</f>
        <v>Riverrun Central</v>
      </c>
      <c r="C419" s="121" t="str">
        <f>nmProd1Seg1Rep1</f>
        <v>Rep Allen</v>
      </c>
      <c r="E419" s="553">
        <v>0.1</v>
      </c>
      <c r="F419" s="553">
        <v>0.1</v>
      </c>
      <c r="G419" s="553">
        <v>0.1</v>
      </c>
      <c r="H419" s="553">
        <v>0.1</v>
      </c>
      <c r="I419" s="553">
        <v>0.1</v>
      </c>
      <c r="J419" s="541" t="s">
        <v>3230</v>
      </c>
      <c r="L419" s="553"/>
    </row>
    <row r="420" spans="1:12" s="121" customFormat="1">
      <c r="B420" s="541"/>
      <c r="C420" s="121" t="str">
        <f>nmProd1Seg1Rep2</f>
        <v>Rep Betty</v>
      </c>
      <c r="E420" s="553">
        <v>0.1</v>
      </c>
      <c r="F420" s="553">
        <v>0.1</v>
      </c>
      <c r="G420" s="553">
        <v>0.1</v>
      </c>
      <c r="H420" s="553">
        <v>0.1</v>
      </c>
      <c r="I420" s="553">
        <v>0.1</v>
      </c>
      <c r="J420" s="541" t="s">
        <v>3231</v>
      </c>
      <c r="L420" s="553"/>
    </row>
    <row r="421" spans="1:12" s="121" customFormat="1">
      <c r="B421" s="541"/>
      <c r="C421" s="121" t="str">
        <f>nmProd1Seg1Rep3</f>
        <v>Rep Chris</v>
      </c>
      <c r="E421" s="553">
        <v>0.1</v>
      </c>
      <c r="F421" s="553">
        <v>0.1</v>
      </c>
      <c r="G421" s="553">
        <v>0.1</v>
      </c>
      <c r="H421" s="553">
        <v>0.1</v>
      </c>
      <c r="I421" s="553">
        <v>0.1</v>
      </c>
      <c r="J421" s="541" t="s">
        <v>3232</v>
      </c>
      <c r="L421" s="553"/>
    </row>
    <row r="422" spans="1:12" s="121" customFormat="1">
      <c r="A422" s="121" t="str">
        <f>nmProd1</f>
        <v>Riverrun</v>
      </c>
      <c r="B422" s="541" t="str">
        <f>nmProd1Seg2</f>
        <v>Tullyville</v>
      </c>
      <c r="C422" s="121" t="str">
        <f>nmProd1Seg2Rep1</f>
        <v>Rep Danielle</v>
      </c>
      <c r="E422" s="553">
        <v>0.1</v>
      </c>
      <c r="F422" s="553">
        <v>0.1</v>
      </c>
      <c r="G422" s="553">
        <v>0.1</v>
      </c>
      <c r="H422" s="553">
        <v>0.1</v>
      </c>
      <c r="I422" s="553">
        <v>0.1</v>
      </c>
      <c r="J422" s="541" t="s">
        <v>3233</v>
      </c>
      <c r="L422" s="553"/>
    </row>
    <row r="423" spans="1:12" s="121" customFormat="1">
      <c r="B423" s="541"/>
      <c r="C423" s="121" t="str">
        <f>nmProd1Seg2Rep2</f>
        <v>Rep Elliot</v>
      </c>
      <c r="E423" s="553">
        <v>0.1</v>
      </c>
      <c r="F423" s="553">
        <v>0.1</v>
      </c>
      <c r="G423" s="553">
        <v>0.1</v>
      </c>
      <c r="H423" s="553">
        <v>0.1</v>
      </c>
      <c r="I423" s="553">
        <v>0.1</v>
      </c>
      <c r="J423" s="541" t="s">
        <v>3234</v>
      </c>
      <c r="L423" s="553"/>
    </row>
    <row r="424" spans="1:12" s="121" customFormat="1">
      <c r="B424" s="541"/>
      <c r="C424" s="121" t="str">
        <f>nmProd1Seg2Rep3</f>
        <v>Rep Fiona</v>
      </c>
      <c r="E424" s="553">
        <v>0.1</v>
      </c>
      <c r="F424" s="553">
        <v>0.1</v>
      </c>
      <c r="G424" s="553">
        <v>0.1</v>
      </c>
      <c r="H424" s="553">
        <v>0.1</v>
      </c>
      <c r="I424" s="553">
        <v>0.1</v>
      </c>
      <c r="J424" s="541" t="s">
        <v>3235</v>
      </c>
      <c r="L424" s="553"/>
    </row>
    <row r="425" spans="1:12" s="121" customFormat="1">
      <c r="A425" s="121" t="str">
        <f>nmProd1</f>
        <v>Riverrun</v>
      </c>
      <c r="B425" s="541" t="str">
        <f>nmProd1Seg3</f>
        <v>Lordfrey City</v>
      </c>
      <c r="C425" s="121" t="str">
        <f>nmProd1Seg3Rep1</f>
        <v>Rep Gregg</v>
      </c>
      <c r="E425" s="553">
        <v>0.1</v>
      </c>
      <c r="F425" s="553">
        <v>0.1</v>
      </c>
      <c r="G425" s="553">
        <v>0.1</v>
      </c>
      <c r="H425" s="553">
        <v>0.1</v>
      </c>
      <c r="I425" s="553">
        <v>0.1</v>
      </c>
      <c r="J425" s="541" t="s">
        <v>3236</v>
      </c>
      <c r="L425" s="553"/>
    </row>
    <row r="426" spans="1:12" s="121" customFormat="1">
      <c r="B426" s="541"/>
      <c r="C426" s="121" t="str">
        <f>nmProd1Seg3Rep2</f>
        <v>Rep Howard</v>
      </c>
      <c r="E426" s="553">
        <v>0.1</v>
      </c>
      <c r="F426" s="553">
        <v>0.1</v>
      </c>
      <c r="G426" s="553">
        <v>0.1</v>
      </c>
      <c r="H426" s="553">
        <v>0.1</v>
      </c>
      <c r="I426" s="553">
        <v>0.1</v>
      </c>
      <c r="J426" s="541" t="s">
        <v>3237</v>
      </c>
      <c r="L426" s="553"/>
    </row>
    <row r="427" spans="1:12" s="121" customFormat="1">
      <c r="B427" s="541"/>
      <c r="C427" s="121" t="str">
        <f>nmProd1Seg3Rep3</f>
        <v>Rep Isabelle</v>
      </c>
      <c r="E427" s="553">
        <v>0.1</v>
      </c>
      <c r="F427" s="553">
        <v>0.1</v>
      </c>
      <c r="G427" s="553">
        <v>0.1</v>
      </c>
      <c r="H427" s="553">
        <v>0.1</v>
      </c>
      <c r="I427" s="553">
        <v>0.1</v>
      </c>
      <c r="J427" s="541" t="s">
        <v>3238</v>
      </c>
      <c r="L427" s="553"/>
    </row>
    <row r="428" spans="1:12" s="121" customFormat="1">
      <c r="B428" s="541" t="str">
        <f>nmReg1Seg1</f>
        <v>Riverrun</v>
      </c>
      <c r="E428" s="553">
        <v>0.1</v>
      </c>
      <c r="F428" s="553">
        <v>0.1</v>
      </c>
      <c r="G428" s="553">
        <v>0.1</v>
      </c>
      <c r="H428" s="553">
        <v>0.1</v>
      </c>
      <c r="I428" s="553">
        <v>0.1</v>
      </c>
      <c r="J428" s="541" t="s">
        <v>3242</v>
      </c>
      <c r="L428" s="553"/>
    </row>
    <row r="429" spans="1:12" s="121" customFormat="1">
      <c r="B429" s="541" t="str">
        <f>nmReg1Seg2</f>
        <v>Winterfell</v>
      </c>
      <c r="E429" s="553">
        <v>0.1</v>
      </c>
      <c r="F429" s="553">
        <v>0.1</v>
      </c>
      <c r="G429" s="553">
        <v>0.1</v>
      </c>
      <c r="H429" s="553">
        <v>0.1</v>
      </c>
      <c r="I429" s="553">
        <v>0.1</v>
      </c>
      <c r="J429" s="541" t="s">
        <v>3243</v>
      </c>
      <c r="L429" s="553"/>
    </row>
    <row r="430" spans="1:12" s="121" customFormat="1">
      <c r="B430" s="541" t="str">
        <f>nmReg1Seg3</f>
        <v>Harrenhal</v>
      </c>
      <c r="E430" s="553">
        <v>0.1</v>
      </c>
      <c r="F430" s="553">
        <v>0.1</v>
      </c>
      <c r="G430" s="553">
        <v>0.1</v>
      </c>
      <c r="H430" s="553">
        <v>0.1</v>
      </c>
      <c r="I430" s="553">
        <v>0.1</v>
      </c>
      <c r="J430" s="541" t="s">
        <v>3244</v>
      </c>
      <c r="L430" s="553"/>
    </row>
    <row r="431" spans="1:12" s="1" customFormat="1">
      <c r="A431" s="1" t="s">
        <v>196</v>
      </c>
      <c r="C431" s="1" t="s">
        <v>1430</v>
      </c>
      <c r="E431" s="109"/>
      <c r="F431" s="109"/>
      <c r="G431" s="109"/>
      <c r="H431" s="109"/>
      <c r="I431" s="109"/>
      <c r="L431" s="542"/>
    </row>
    <row r="432" spans="1:12">
      <c r="A432" t="s">
        <v>677</v>
      </c>
    </row>
  </sheetData>
  <conditionalFormatting sqref="L401:M403">
    <cfRule type="cellIs" dxfId="50" priority="21" operator="equal">
      <formula>TRUE</formula>
    </cfRule>
  </conditionalFormatting>
  <conditionalFormatting sqref="L404:M406">
    <cfRule type="cellIs" dxfId="49" priority="20" operator="equal">
      <formula>TRUE</formula>
    </cfRule>
  </conditionalFormatting>
  <conditionalFormatting sqref="L407:M409">
    <cfRule type="cellIs" dxfId="48" priority="19" operator="equal">
      <formula>TRUE</formula>
    </cfRule>
  </conditionalFormatting>
  <conditionalFormatting sqref="L410:M412">
    <cfRule type="cellIs" dxfId="47" priority="18" operator="equal">
      <formula>TRUE</formula>
    </cfRule>
  </conditionalFormatting>
  <conditionalFormatting sqref="L413:M415">
    <cfRule type="cellIs" dxfId="46" priority="17" operator="equal">
      <formula>TRUE</formula>
    </cfRule>
  </conditionalFormatting>
  <conditionalFormatting sqref="L416:M418">
    <cfRule type="cellIs" dxfId="45" priority="16" operator="equal">
      <formula>TRUE</formula>
    </cfRule>
  </conditionalFormatting>
  <conditionalFormatting sqref="L419:M421">
    <cfRule type="cellIs" dxfId="44" priority="15" operator="equal">
      <formula>TRUE</formula>
    </cfRule>
  </conditionalFormatting>
  <conditionalFormatting sqref="E419:I421">
    <cfRule type="cellIs" dxfId="43" priority="14" operator="equal">
      <formula>TRUE</formula>
    </cfRule>
  </conditionalFormatting>
  <conditionalFormatting sqref="M425:M427">
    <cfRule type="cellIs" dxfId="42" priority="11" operator="equal">
      <formula>TRUE</formula>
    </cfRule>
  </conditionalFormatting>
  <conditionalFormatting sqref="E422:I424">
    <cfRule type="cellIs" dxfId="41" priority="12" operator="equal">
      <formula>TRUE</formula>
    </cfRule>
  </conditionalFormatting>
  <conditionalFormatting sqref="M422:M424">
    <cfRule type="cellIs" dxfId="40" priority="13" operator="equal">
      <formula>TRUE</formula>
    </cfRule>
  </conditionalFormatting>
  <conditionalFormatting sqref="E425:I427">
    <cfRule type="cellIs" dxfId="39" priority="10" operator="equal">
      <formula>TRUE</formula>
    </cfRule>
  </conditionalFormatting>
  <conditionalFormatting sqref="L422:L423">
    <cfRule type="cellIs" dxfId="38" priority="9" operator="equal">
      <formula>TRUE</formula>
    </cfRule>
  </conditionalFormatting>
  <conditionalFormatting sqref="L424">
    <cfRule type="cellIs" dxfId="37" priority="8" operator="equal">
      <formula>TRUE</formula>
    </cfRule>
  </conditionalFormatting>
  <conditionalFormatting sqref="L425:L427">
    <cfRule type="cellIs" dxfId="36" priority="7" operator="equal">
      <formula>TRUE</formula>
    </cfRule>
  </conditionalFormatting>
  <conditionalFormatting sqref="M428">
    <cfRule type="cellIs" dxfId="35" priority="6" operator="equal">
      <formula>TRUE</formula>
    </cfRule>
  </conditionalFormatting>
  <conditionalFormatting sqref="E428:I428">
    <cfRule type="cellIs" dxfId="34" priority="5" operator="equal">
      <formula>TRUE</formula>
    </cfRule>
  </conditionalFormatting>
  <conditionalFormatting sqref="L428">
    <cfRule type="cellIs" dxfId="33" priority="4" operator="equal">
      <formula>TRUE</formula>
    </cfRule>
  </conditionalFormatting>
  <conditionalFormatting sqref="M429:M430">
    <cfRule type="cellIs" dxfId="32" priority="3" operator="equal">
      <formula>TRUE</formula>
    </cfRule>
  </conditionalFormatting>
  <conditionalFormatting sqref="E429:I430">
    <cfRule type="cellIs" dxfId="31" priority="2" operator="equal">
      <formula>TRUE</formula>
    </cfRule>
  </conditionalFormatting>
  <conditionalFormatting sqref="L429:L430">
    <cfRule type="cellIs" dxfId="30" priority="1" operator="equal">
      <formula>TRUE</formula>
    </cfRule>
  </conditionalFormatting>
  <hyperlinks>
    <hyperlink ref="D3" r:id="rId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P431"/>
  <sheetViews>
    <sheetView topLeftCell="E308" workbookViewId="0">
      <selection activeCell="L316" sqref="L316"/>
    </sheetView>
  </sheetViews>
  <sheetFormatPr defaultRowHeight="14.25"/>
  <cols>
    <col min="1" max="1" width="8" customWidth="1"/>
    <col min="5" max="6" width="11.19921875" style="81" bestFit="1" customWidth="1"/>
    <col min="7" max="7" width="16.59765625" style="81" customWidth="1"/>
    <col min="8" max="9" width="11.19921875" style="81" bestFit="1" customWidth="1"/>
    <col min="10" max="10" width="31.796875" bestFit="1" customWidth="1"/>
    <col min="12" max="12" width="13.69921875" bestFit="1" customWidth="1"/>
  </cols>
  <sheetData>
    <row r="1" spans="1:12" s="1" customFormat="1">
      <c r="A1" s="111" t="s">
        <v>199</v>
      </c>
      <c r="G1" s="110"/>
      <c r="H1" s="109"/>
    </row>
    <row r="2" spans="1:12" s="133" customFormat="1" ht="12.75" customHeight="1">
      <c r="C2" s="137"/>
      <c r="F2" s="137"/>
      <c r="G2" s="97"/>
    </row>
    <row r="3" spans="1:12" s="133" customFormat="1" ht="12.75">
      <c r="B3" s="133" t="s">
        <v>138</v>
      </c>
      <c r="D3" s="136" t="s">
        <v>122</v>
      </c>
      <c r="F3" s="135"/>
      <c r="G3" s="134"/>
    </row>
    <row r="4" spans="1:12" s="6" customFormat="1" ht="12" customHeight="1">
      <c r="B4" s="98"/>
      <c r="G4" s="97"/>
    </row>
    <row r="5" spans="1:12" s="2" customFormat="1">
      <c r="C5" s="3"/>
      <c r="D5" s="3"/>
      <c r="E5" s="3"/>
      <c r="F5" s="3"/>
    </row>
    <row r="6" spans="1:12" s="124" customFormat="1" ht="12.75">
      <c r="G6" s="97"/>
    </row>
    <row r="7" spans="1:12" s="124" customFormat="1" ht="12.75">
      <c r="B7" s="132" t="s">
        <v>136</v>
      </c>
    </row>
    <row r="8" spans="1:12" s="124" customFormat="1" ht="12.75">
      <c r="B8" s="131"/>
      <c r="C8" s="126" t="s">
        <v>109</v>
      </c>
      <c r="G8" s="130" t="s">
        <v>135</v>
      </c>
    </row>
    <row r="9" spans="1:12" s="124" customFormat="1" ht="12.75">
      <c r="B9" s="129"/>
      <c r="C9" s="126" t="s">
        <v>106</v>
      </c>
      <c r="G9" s="128"/>
    </row>
    <row r="10" spans="1:12" s="124" customFormat="1" ht="12.75">
      <c r="B10" s="127"/>
      <c r="C10" s="126" t="s">
        <v>174</v>
      </c>
      <c r="E10" s="125"/>
      <c r="G10" s="97"/>
    </row>
    <row r="11" spans="1:12" s="6" customFormat="1"/>
    <row r="12" spans="1:12" s="1" customFormat="1">
      <c r="A12" s="1" t="s">
        <v>204</v>
      </c>
      <c r="E12" s="109" t="s">
        <v>172</v>
      </c>
      <c r="F12" s="109" t="s">
        <v>171</v>
      </c>
      <c r="G12" s="109" t="s">
        <v>170</v>
      </c>
      <c r="H12" s="109" t="s">
        <v>169</v>
      </c>
      <c r="I12" s="109" t="s">
        <v>168</v>
      </c>
    </row>
    <row r="13" spans="1:12" s="2" customFormat="1">
      <c r="E13" s="3"/>
      <c r="F13" s="3"/>
      <c r="G13" s="3"/>
      <c r="H13" s="3"/>
      <c r="I13" s="3"/>
      <c r="L13" s="2" t="s">
        <v>203</v>
      </c>
    </row>
    <row r="14" spans="1:12">
      <c r="E14" s="123"/>
      <c r="F14" s="123"/>
      <c r="G14" s="123"/>
      <c r="H14" s="123"/>
      <c r="I14" s="123"/>
      <c r="J14" t="s">
        <v>202</v>
      </c>
      <c r="L14" s="123"/>
    </row>
    <row r="15" spans="1:12" s="384" customFormat="1">
      <c r="A15" s="384" t="s">
        <v>1078</v>
      </c>
      <c r="E15" s="456"/>
      <c r="F15" s="456"/>
      <c r="G15" s="456"/>
      <c r="H15" s="456"/>
      <c r="I15" s="456"/>
      <c r="L15" s="456"/>
    </row>
    <row r="16" spans="1:12">
      <c r="A16" s="444" t="s">
        <v>841</v>
      </c>
      <c r="B16" s="138"/>
      <c r="C16" s="138"/>
      <c r="D16" s="138"/>
      <c r="E16" s="139" t="s">
        <v>1430</v>
      </c>
      <c r="F16" s="139"/>
      <c r="G16" s="139"/>
      <c r="H16" s="139"/>
      <c r="I16" s="139"/>
      <c r="L16" s="123"/>
    </row>
    <row r="17" spans="1:12">
      <c r="A17" s="4" t="str">
        <f>nmReg1</f>
        <v>The Region</v>
      </c>
      <c r="E17" s="442">
        <f t="shared" ref="E17:I20" si="0">$L17</f>
        <v>3.4354762713991183E-3</v>
      </c>
      <c r="F17" s="442">
        <f t="shared" si="0"/>
        <v>3.4354762713991183E-3</v>
      </c>
      <c r="G17" s="442">
        <f t="shared" si="0"/>
        <v>3.4354762713991183E-3</v>
      </c>
      <c r="H17" s="442">
        <f t="shared" si="0"/>
        <v>3.4354762713991183E-3</v>
      </c>
      <c r="I17" s="442">
        <f t="shared" si="0"/>
        <v>3.4354762713991183E-3</v>
      </c>
      <c r="J17" t="s">
        <v>851</v>
      </c>
      <c r="L17" s="443">
        <f>INDEX(dataReg1ActualShare,,xxRound+1)</f>
        <v>3.4354762713991183E-3</v>
      </c>
    </row>
    <row r="18" spans="1:12">
      <c r="A18" t="str">
        <f>nmReg1Seg1</f>
        <v>Riverrun</v>
      </c>
      <c r="E18" s="442">
        <f t="shared" si="0"/>
        <v>3.2432432432432426E-3</v>
      </c>
      <c r="F18" s="442">
        <f t="shared" si="0"/>
        <v>3.2432432432432426E-3</v>
      </c>
      <c r="G18" s="442">
        <f t="shared" si="0"/>
        <v>3.2432432432432426E-3</v>
      </c>
      <c r="H18" s="442">
        <f t="shared" si="0"/>
        <v>3.2432432432432426E-3</v>
      </c>
      <c r="I18" s="442">
        <f t="shared" si="0"/>
        <v>3.2432432432432426E-3</v>
      </c>
      <c r="J18" t="s">
        <v>852</v>
      </c>
      <c r="L18" s="443">
        <f>INDEX(dataReg1Seg1ActualShare,,xxRound+1)</f>
        <v>3.2432432432432426E-3</v>
      </c>
    </row>
    <row r="19" spans="1:12">
      <c r="A19" t="str">
        <f>nmReg1Seg2</f>
        <v>Winterfell</v>
      </c>
      <c r="E19" s="442">
        <f t="shared" si="0"/>
        <v>4.0000000000000001E-3</v>
      </c>
      <c r="F19" s="442">
        <f t="shared" si="0"/>
        <v>4.0000000000000001E-3</v>
      </c>
      <c r="G19" s="442">
        <f t="shared" si="0"/>
        <v>4.0000000000000001E-3</v>
      </c>
      <c r="H19" s="442">
        <f t="shared" si="0"/>
        <v>4.0000000000000001E-3</v>
      </c>
      <c r="I19" s="442">
        <f t="shared" si="0"/>
        <v>4.0000000000000001E-3</v>
      </c>
      <c r="J19" t="s">
        <v>853</v>
      </c>
      <c r="L19" s="443">
        <f>INDEX(dataReg1Seg2ActualShare,,xxRound+1)</f>
        <v>4.0000000000000001E-3</v>
      </c>
    </row>
    <row r="20" spans="1:12">
      <c r="A20" t="str">
        <f>nmReg1Seg3</f>
        <v>Harrenhal</v>
      </c>
      <c r="E20" s="442">
        <f t="shared" si="0"/>
        <v>3.1884057971014496E-3</v>
      </c>
      <c r="F20" s="442">
        <f t="shared" si="0"/>
        <v>3.1884057971014496E-3</v>
      </c>
      <c r="G20" s="442">
        <f t="shared" si="0"/>
        <v>3.1884057971014496E-3</v>
      </c>
      <c r="H20" s="442">
        <f t="shared" si="0"/>
        <v>3.1884057971014496E-3</v>
      </c>
      <c r="I20" s="442">
        <f t="shared" si="0"/>
        <v>3.1884057971014496E-3</v>
      </c>
      <c r="J20" t="s">
        <v>854</v>
      </c>
      <c r="L20" s="443">
        <f>INDEX(dataReg1Seg3ActualShare,,xxRound+1)</f>
        <v>3.1884057971014496E-3</v>
      </c>
    </row>
    <row r="21" spans="1:12">
      <c r="E21" s="442"/>
      <c r="F21" s="442"/>
      <c r="G21" s="442"/>
      <c r="H21" s="442"/>
      <c r="I21" s="442"/>
      <c r="L21" s="443"/>
    </row>
    <row r="22" spans="1:12">
      <c r="A22" s="4" t="s">
        <v>861</v>
      </c>
      <c r="L22" s="123"/>
    </row>
    <row r="23" spans="1:12">
      <c r="A23" s="4" t="str">
        <f>nmReg1</f>
        <v>The Region</v>
      </c>
      <c r="E23" s="442">
        <f t="shared" ref="E23:I26" si="1">$L23</f>
        <v>3.4354762713991183E-3</v>
      </c>
      <c r="F23" s="442">
        <f t="shared" si="1"/>
        <v>3.4354762713991183E-3</v>
      </c>
      <c r="G23" s="442">
        <f t="shared" si="1"/>
        <v>3.4354762713991183E-3</v>
      </c>
      <c r="H23" s="442">
        <f t="shared" si="1"/>
        <v>3.4354762713991183E-3</v>
      </c>
      <c r="I23" s="442">
        <f t="shared" si="1"/>
        <v>3.4354762713991183E-3</v>
      </c>
      <c r="J23" t="s">
        <v>862</v>
      </c>
      <c r="L23" s="443">
        <f>INDEX(dataReg1ActualShare,,xxRound+1)</f>
        <v>3.4354762713991183E-3</v>
      </c>
    </row>
    <row r="24" spans="1:12">
      <c r="A24" t="str">
        <f>nmReg1Seg1</f>
        <v>Riverrun</v>
      </c>
      <c r="E24" s="442">
        <f t="shared" si="1"/>
        <v>3.2432432432432426E-3</v>
      </c>
      <c r="F24" s="442">
        <f t="shared" si="1"/>
        <v>3.2432432432432426E-3</v>
      </c>
      <c r="G24" s="442">
        <f t="shared" si="1"/>
        <v>3.2432432432432426E-3</v>
      </c>
      <c r="H24" s="442">
        <f t="shared" si="1"/>
        <v>3.2432432432432426E-3</v>
      </c>
      <c r="I24" s="442">
        <f t="shared" si="1"/>
        <v>3.2432432432432426E-3</v>
      </c>
      <c r="J24" t="s">
        <v>863</v>
      </c>
      <c r="L24" s="443">
        <f>INDEX(dataReg1Seg1ActualShare,,xxRound+1)</f>
        <v>3.2432432432432426E-3</v>
      </c>
    </row>
    <row r="25" spans="1:12">
      <c r="A25" t="str">
        <f>nmReg1Seg2</f>
        <v>Winterfell</v>
      </c>
      <c r="E25" s="442">
        <f t="shared" si="1"/>
        <v>4.0000000000000001E-3</v>
      </c>
      <c r="F25" s="442">
        <f t="shared" si="1"/>
        <v>4.0000000000000001E-3</v>
      </c>
      <c r="G25" s="442">
        <f t="shared" si="1"/>
        <v>4.0000000000000001E-3</v>
      </c>
      <c r="H25" s="442">
        <f t="shared" si="1"/>
        <v>4.0000000000000001E-3</v>
      </c>
      <c r="I25" s="442">
        <f t="shared" si="1"/>
        <v>4.0000000000000001E-3</v>
      </c>
      <c r="J25" t="s">
        <v>864</v>
      </c>
      <c r="L25" s="443">
        <f>INDEX(dataReg1Seg2ActualShare,,xxRound+1)</f>
        <v>4.0000000000000001E-3</v>
      </c>
    </row>
    <row r="26" spans="1:12">
      <c r="A26" t="str">
        <f>nmReg1Seg3</f>
        <v>Harrenhal</v>
      </c>
      <c r="E26" s="442">
        <f t="shared" si="1"/>
        <v>3.1884057971014496E-3</v>
      </c>
      <c r="F26" s="442">
        <f t="shared" si="1"/>
        <v>3.1884057971014496E-3</v>
      </c>
      <c r="G26" s="442">
        <f t="shared" si="1"/>
        <v>3.1884057971014496E-3</v>
      </c>
      <c r="H26" s="442">
        <f t="shared" si="1"/>
        <v>3.1884057971014496E-3</v>
      </c>
      <c r="I26" s="442">
        <f t="shared" si="1"/>
        <v>3.1884057971014496E-3</v>
      </c>
      <c r="J26" t="s">
        <v>865</v>
      </c>
      <c r="L26" s="443">
        <f>INDEX(dataReg1Seg3ActualShare,,xxRound+1)</f>
        <v>3.1884057971014496E-3</v>
      </c>
    </row>
    <row r="27" spans="1:12">
      <c r="E27" s="442"/>
      <c r="F27" s="442"/>
      <c r="G27" s="442"/>
      <c r="H27" s="442"/>
      <c r="I27" s="442"/>
      <c r="L27" s="443"/>
    </row>
    <row r="28" spans="1:12">
      <c r="A28" s="4" t="s">
        <v>757</v>
      </c>
      <c r="E28" s="442"/>
      <c r="F28" s="442"/>
      <c r="G28" s="442"/>
      <c r="H28" s="442"/>
      <c r="I28" s="442"/>
      <c r="L28" s="443"/>
    </row>
    <row r="29" spans="1:12">
      <c r="A29" s="4" t="str">
        <f>nmComp1</f>
        <v>Vibrant</v>
      </c>
      <c r="E29" s="442"/>
      <c r="F29" s="442"/>
      <c r="G29" s="442"/>
      <c r="H29" s="442"/>
      <c r="I29" s="442"/>
      <c r="L29" s="443"/>
    </row>
    <row r="30" spans="1:12">
      <c r="A30" s="4" t="str">
        <f>nmReg1</f>
        <v>The Region</v>
      </c>
      <c r="E30" s="442">
        <f t="shared" ref="E30:I33" si="2">$L30</f>
        <v>9.3798929929805978E-3</v>
      </c>
      <c r="F30" s="442">
        <f t="shared" si="2"/>
        <v>9.3798929929805978E-3</v>
      </c>
      <c r="G30" s="442">
        <f t="shared" si="2"/>
        <v>9.3798929929805978E-3</v>
      </c>
      <c r="H30" s="442">
        <f t="shared" si="2"/>
        <v>9.3798929929805978E-3</v>
      </c>
      <c r="I30" s="442">
        <f t="shared" si="2"/>
        <v>9.3798929929805978E-3</v>
      </c>
      <c r="J30" t="s">
        <v>993</v>
      </c>
      <c r="L30" s="443">
        <f>INDEX(dataReg1Comp1ActualShare,,xxRound+1)</f>
        <v>9.3798929929805978E-3</v>
      </c>
    </row>
    <row r="31" spans="1:12">
      <c r="A31" t="str">
        <f>nmReg1Seg1</f>
        <v>Riverrun</v>
      </c>
      <c r="E31" s="442">
        <f t="shared" si="2"/>
        <v>9.3243243243243228E-3</v>
      </c>
      <c r="F31" s="442">
        <f t="shared" si="2"/>
        <v>9.3243243243243228E-3</v>
      </c>
      <c r="G31" s="442">
        <f t="shared" si="2"/>
        <v>9.3243243243243228E-3</v>
      </c>
      <c r="H31" s="442">
        <f t="shared" si="2"/>
        <v>9.3243243243243228E-3</v>
      </c>
      <c r="I31" s="442">
        <f t="shared" si="2"/>
        <v>9.3243243243243228E-3</v>
      </c>
      <c r="J31" t="s">
        <v>994</v>
      </c>
      <c r="L31" s="443">
        <f>INDEX(dataReg1Seg1Comp1ActualShare,,xxRound+1)</f>
        <v>9.3243243243243228E-3</v>
      </c>
    </row>
    <row r="32" spans="1:12">
      <c r="A32" t="str">
        <f>nmReg1Seg2</f>
        <v>Winterfell</v>
      </c>
      <c r="E32" s="442">
        <f t="shared" si="2"/>
        <v>8.624999999999999E-3</v>
      </c>
      <c r="F32" s="442">
        <f t="shared" si="2"/>
        <v>8.624999999999999E-3</v>
      </c>
      <c r="G32" s="442">
        <f t="shared" si="2"/>
        <v>8.624999999999999E-3</v>
      </c>
      <c r="H32" s="442">
        <f t="shared" si="2"/>
        <v>8.624999999999999E-3</v>
      </c>
      <c r="I32" s="442">
        <f t="shared" si="2"/>
        <v>8.624999999999999E-3</v>
      </c>
      <c r="J32" t="s">
        <v>995</v>
      </c>
      <c r="L32" s="443">
        <f>INDEX(dataReg1Seg2Comp1ActualShare,,xxRound+1)</f>
        <v>8.624999999999999E-3</v>
      </c>
    </row>
    <row r="33" spans="1:12">
      <c r="A33" t="str">
        <f>nmReg1Seg3</f>
        <v>Harrenhal</v>
      </c>
      <c r="E33" s="442">
        <f t="shared" si="2"/>
        <v>1.0000000000000002E-2</v>
      </c>
      <c r="F33" s="442">
        <f t="shared" si="2"/>
        <v>1.0000000000000002E-2</v>
      </c>
      <c r="G33" s="442">
        <f t="shared" si="2"/>
        <v>1.0000000000000002E-2</v>
      </c>
      <c r="H33" s="442">
        <f t="shared" si="2"/>
        <v>1.0000000000000002E-2</v>
      </c>
      <c r="I33" s="442">
        <f t="shared" si="2"/>
        <v>1.0000000000000002E-2</v>
      </c>
      <c r="J33" t="s">
        <v>996</v>
      </c>
      <c r="L33" s="443">
        <f>INDEX(dataReg1Seg3Comp1ActualShare,,xxRound+1)</f>
        <v>1.0000000000000002E-2</v>
      </c>
    </row>
    <row r="34" spans="1:12">
      <c r="E34" s="442"/>
      <c r="F34" s="442"/>
      <c r="G34" s="442"/>
      <c r="H34" s="442"/>
      <c r="I34" s="442"/>
      <c r="L34" s="443"/>
    </row>
    <row r="35" spans="1:12">
      <c r="A35" s="4" t="s">
        <v>861</v>
      </c>
      <c r="L35" s="123"/>
    </row>
    <row r="36" spans="1:12">
      <c r="A36" s="4" t="str">
        <f>nmReg1</f>
        <v>The Region</v>
      </c>
      <c r="E36" s="442">
        <f t="shared" ref="E36:I39" si="3">$L36</f>
        <v>9.3798929929805978E-3</v>
      </c>
      <c r="F36" s="442">
        <f t="shared" si="3"/>
        <v>9.3798929929805978E-3</v>
      </c>
      <c r="G36" s="442">
        <f t="shared" si="3"/>
        <v>9.3798929929805978E-3</v>
      </c>
      <c r="H36" s="442">
        <f t="shared" si="3"/>
        <v>9.3798929929805978E-3</v>
      </c>
      <c r="I36" s="442">
        <f t="shared" si="3"/>
        <v>9.3798929929805978E-3</v>
      </c>
      <c r="J36" t="s">
        <v>997</v>
      </c>
      <c r="L36" s="443">
        <f>INDEX(dataReg1Comp1ActualShare,,xxRound+1)</f>
        <v>9.3798929929805978E-3</v>
      </c>
    </row>
    <row r="37" spans="1:12">
      <c r="A37" t="str">
        <f>nmReg1Seg1</f>
        <v>Riverrun</v>
      </c>
      <c r="E37" s="442">
        <f t="shared" si="3"/>
        <v>9.3243243243243228E-3</v>
      </c>
      <c r="F37" s="442">
        <f t="shared" si="3"/>
        <v>9.3243243243243228E-3</v>
      </c>
      <c r="G37" s="442">
        <f t="shared" si="3"/>
        <v>9.3243243243243228E-3</v>
      </c>
      <c r="H37" s="442">
        <f t="shared" si="3"/>
        <v>9.3243243243243228E-3</v>
      </c>
      <c r="I37" s="442">
        <f t="shared" si="3"/>
        <v>9.3243243243243228E-3</v>
      </c>
      <c r="J37" t="s">
        <v>998</v>
      </c>
      <c r="L37" s="443">
        <f>INDEX(dataReg1Seg1Comp1ActualShare,,xxRound+1)</f>
        <v>9.3243243243243228E-3</v>
      </c>
    </row>
    <row r="38" spans="1:12">
      <c r="A38" t="str">
        <f>nmReg1Seg2</f>
        <v>Winterfell</v>
      </c>
      <c r="E38" s="442">
        <f t="shared" si="3"/>
        <v>8.624999999999999E-3</v>
      </c>
      <c r="F38" s="442">
        <f t="shared" si="3"/>
        <v>8.624999999999999E-3</v>
      </c>
      <c r="G38" s="442">
        <f t="shared" si="3"/>
        <v>8.624999999999999E-3</v>
      </c>
      <c r="H38" s="442">
        <f t="shared" si="3"/>
        <v>8.624999999999999E-3</v>
      </c>
      <c r="I38" s="442">
        <f t="shared" si="3"/>
        <v>8.624999999999999E-3</v>
      </c>
      <c r="J38" t="s">
        <v>999</v>
      </c>
      <c r="L38" s="443">
        <f>INDEX(dataReg1Seg2Comp1ActualShare,,xxRound+1)</f>
        <v>8.624999999999999E-3</v>
      </c>
    </row>
    <row r="39" spans="1:12">
      <c r="A39" t="str">
        <f>nmReg1Seg3</f>
        <v>Harrenhal</v>
      </c>
      <c r="E39" s="442">
        <f t="shared" si="3"/>
        <v>1.0000000000000002E-2</v>
      </c>
      <c r="F39" s="442">
        <f t="shared" si="3"/>
        <v>1.0000000000000002E-2</v>
      </c>
      <c r="G39" s="442">
        <f t="shared" si="3"/>
        <v>1.0000000000000002E-2</v>
      </c>
      <c r="H39" s="442">
        <f t="shared" si="3"/>
        <v>1.0000000000000002E-2</v>
      </c>
      <c r="I39" s="442">
        <f t="shared" si="3"/>
        <v>1.0000000000000002E-2</v>
      </c>
      <c r="J39" t="s">
        <v>1000</v>
      </c>
      <c r="L39" s="443">
        <f>INDEX(dataReg1Seg3Comp1ActualShare,,xxRound+1)</f>
        <v>1.0000000000000002E-2</v>
      </c>
    </row>
    <row r="40" spans="1:12">
      <c r="E40" s="442"/>
      <c r="F40" s="442"/>
      <c r="G40" s="442"/>
      <c r="H40" s="442"/>
      <c r="I40" s="442"/>
      <c r="L40" s="443"/>
    </row>
    <row r="41" spans="1:12">
      <c r="A41" s="4" t="str">
        <f>nmComp2</f>
        <v>Pristine</v>
      </c>
      <c r="E41" s="442"/>
      <c r="F41" s="442"/>
      <c r="G41" s="442"/>
      <c r="H41" s="442"/>
      <c r="I41" s="442"/>
      <c r="L41" s="443"/>
    </row>
    <row r="42" spans="1:12">
      <c r="A42" s="4" t="str">
        <f>nmReg1</f>
        <v>The Region</v>
      </c>
      <c r="E42" s="442">
        <f t="shared" ref="E42:I45" si="4">$L42</f>
        <v>2.5013047981281594E-2</v>
      </c>
      <c r="F42" s="442">
        <f t="shared" si="4"/>
        <v>2.5013047981281594E-2</v>
      </c>
      <c r="G42" s="442">
        <f t="shared" si="4"/>
        <v>2.5013047981281594E-2</v>
      </c>
      <c r="H42" s="442">
        <f t="shared" si="4"/>
        <v>2.5013047981281594E-2</v>
      </c>
      <c r="I42" s="442">
        <f t="shared" si="4"/>
        <v>2.5013047981281594E-2</v>
      </c>
      <c r="J42" t="s">
        <v>1001</v>
      </c>
      <c r="L42" s="443">
        <f>INDEX(dataReg1Comp2ActualShare,,xxRound+1)</f>
        <v>2.5013047981281594E-2</v>
      </c>
    </row>
    <row r="43" spans="1:12">
      <c r="A43" t="str">
        <f>nmReg1Seg1</f>
        <v>Riverrun</v>
      </c>
      <c r="E43" s="442">
        <f t="shared" si="4"/>
        <v>2.4864864864864868E-2</v>
      </c>
      <c r="F43" s="442">
        <f t="shared" si="4"/>
        <v>2.4864864864864868E-2</v>
      </c>
      <c r="G43" s="442">
        <f t="shared" si="4"/>
        <v>2.4864864864864868E-2</v>
      </c>
      <c r="H43" s="442">
        <f t="shared" si="4"/>
        <v>2.4864864864864868E-2</v>
      </c>
      <c r="I43" s="442">
        <f t="shared" si="4"/>
        <v>2.4864864864864868E-2</v>
      </c>
      <c r="J43" t="s">
        <v>1002</v>
      </c>
      <c r="L43" s="443">
        <f>INDEX(dataReg1Seg1Comp2ActualShare,,xxRound+1)</f>
        <v>2.4864864864864868E-2</v>
      </c>
    </row>
    <row r="44" spans="1:12">
      <c r="A44" t="str">
        <f>nmReg1Seg2</f>
        <v>Winterfell</v>
      </c>
      <c r="E44" s="442">
        <f t="shared" si="4"/>
        <v>2.3E-2</v>
      </c>
      <c r="F44" s="442">
        <f t="shared" si="4"/>
        <v>2.3E-2</v>
      </c>
      <c r="G44" s="442">
        <f t="shared" si="4"/>
        <v>2.3E-2</v>
      </c>
      <c r="H44" s="442">
        <f t="shared" si="4"/>
        <v>2.3E-2</v>
      </c>
      <c r="I44" s="442">
        <f t="shared" si="4"/>
        <v>2.3E-2</v>
      </c>
      <c r="J44" t="s">
        <v>1003</v>
      </c>
      <c r="L44" s="443">
        <f>INDEX(dataReg1Seg2Comp2ActualShare,,xxRound+1)</f>
        <v>2.3E-2</v>
      </c>
    </row>
    <row r="45" spans="1:12">
      <c r="A45" t="str">
        <f>nmReg1Seg3</f>
        <v>Harrenhal</v>
      </c>
      <c r="E45" s="442">
        <f t="shared" si="4"/>
        <v>2.6666666666666672E-2</v>
      </c>
      <c r="F45" s="442">
        <f t="shared" si="4"/>
        <v>2.6666666666666672E-2</v>
      </c>
      <c r="G45" s="442">
        <f t="shared" si="4"/>
        <v>2.6666666666666672E-2</v>
      </c>
      <c r="H45" s="442">
        <f t="shared" si="4"/>
        <v>2.6666666666666672E-2</v>
      </c>
      <c r="I45" s="442">
        <f t="shared" si="4"/>
        <v>2.6666666666666672E-2</v>
      </c>
      <c r="J45" t="s">
        <v>1004</v>
      </c>
      <c r="L45" s="443">
        <f>INDEX(dataReg1Seg3Comp2ActualShare,,xxRound+1)</f>
        <v>2.6666666666666672E-2</v>
      </c>
    </row>
    <row r="46" spans="1:12">
      <c r="E46" s="442"/>
      <c r="F46" s="442"/>
      <c r="G46" s="442"/>
      <c r="H46" s="442"/>
      <c r="I46" s="442"/>
      <c r="L46" s="443"/>
    </row>
    <row r="47" spans="1:12">
      <c r="A47" s="4" t="s">
        <v>861</v>
      </c>
      <c r="L47" s="123"/>
    </row>
    <row r="48" spans="1:12">
      <c r="A48" s="4" t="str">
        <f>nmReg1</f>
        <v>The Region</v>
      </c>
      <c r="E48" s="442">
        <f t="shared" ref="E48:I51" si="5">$L48</f>
        <v>2.5013047981281594E-2</v>
      </c>
      <c r="F48" s="442">
        <f t="shared" si="5"/>
        <v>2.5013047981281594E-2</v>
      </c>
      <c r="G48" s="442">
        <f t="shared" si="5"/>
        <v>2.5013047981281594E-2</v>
      </c>
      <c r="H48" s="442">
        <f t="shared" si="5"/>
        <v>2.5013047981281594E-2</v>
      </c>
      <c r="I48" s="442">
        <f t="shared" si="5"/>
        <v>2.5013047981281594E-2</v>
      </c>
      <c r="J48" t="s">
        <v>1005</v>
      </c>
      <c r="L48" s="443">
        <f>INDEX(dataReg1Comp2ActualShare,,xxRound+1)</f>
        <v>2.5013047981281594E-2</v>
      </c>
    </row>
    <row r="49" spans="1:12">
      <c r="A49" t="str">
        <f>nmReg1Seg1</f>
        <v>Riverrun</v>
      </c>
      <c r="E49" s="442">
        <f t="shared" si="5"/>
        <v>2.4864864864864868E-2</v>
      </c>
      <c r="F49" s="442">
        <f t="shared" si="5"/>
        <v>2.4864864864864868E-2</v>
      </c>
      <c r="G49" s="442">
        <f t="shared" si="5"/>
        <v>2.4864864864864868E-2</v>
      </c>
      <c r="H49" s="442">
        <f t="shared" si="5"/>
        <v>2.4864864864864868E-2</v>
      </c>
      <c r="I49" s="442">
        <f t="shared" si="5"/>
        <v>2.4864864864864868E-2</v>
      </c>
      <c r="J49" t="s">
        <v>1006</v>
      </c>
      <c r="L49" s="443">
        <f>INDEX(dataReg1Seg1Comp2ActualShare,,xxRound+1)</f>
        <v>2.4864864864864868E-2</v>
      </c>
    </row>
    <row r="50" spans="1:12">
      <c r="A50" t="str">
        <f>nmReg1Seg2</f>
        <v>Winterfell</v>
      </c>
      <c r="E50" s="442">
        <f t="shared" si="5"/>
        <v>2.3E-2</v>
      </c>
      <c r="F50" s="442">
        <f t="shared" si="5"/>
        <v>2.3E-2</v>
      </c>
      <c r="G50" s="442">
        <f t="shared" si="5"/>
        <v>2.3E-2</v>
      </c>
      <c r="H50" s="442">
        <f t="shared" si="5"/>
        <v>2.3E-2</v>
      </c>
      <c r="I50" s="442">
        <f t="shared" si="5"/>
        <v>2.3E-2</v>
      </c>
      <c r="J50" t="s">
        <v>1007</v>
      </c>
      <c r="L50" s="443">
        <f>INDEX(dataReg1Seg2Comp2ActualShare,,xxRound+1)</f>
        <v>2.3E-2</v>
      </c>
    </row>
    <row r="51" spans="1:12">
      <c r="A51" t="str">
        <f>nmReg1Seg3</f>
        <v>Harrenhal</v>
      </c>
      <c r="E51" s="442">
        <f t="shared" si="5"/>
        <v>2.6666666666666672E-2</v>
      </c>
      <c r="F51" s="442">
        <f t="shared" si="5"/>
        <v>2.6666666666666672E-2</v>
      </c>
      <c r="G51" s="442">
        <f t="shared" si="5"/>
        <v>2.6666666666666672E-2</v>
      </c>
      <c r="H51" s="442">
        <f t="shared" si="5"/>
        <v>2.6666666666666672E-2</v>
      </c>
      <c r="I51" s="442">
        <f t="shared" si="5"/>
        <v>2.6666666666666672E-2</v>
      </c>
      <c r="J51" t="s">
        <v>1008</v>
      </c>
      <c r="L51" s="443">
        <f>INDEX(dataReg1Seg3Comp2ActualShare,,xxRound+1)</f>
        <v>2.6666666666666672E-2</v>
      </c>
    </row>
    <row r="52" spans="1:12">
      <c r="E52" s="442"/>
      <c r="F52" s="442"/>
      <c r="G52" s="442"/>
      <c r="H52" s="442"/>
      <c r="I52" s="442"/>
      <c r="L52" s="443"/>
    </row>
    <row r="53" spans="1:12">
      <c r="A53" s="444" t="s">
        <v>1057</v>
      </c>
      <c r="B53" s="138"/>
      <c r="C53" s="138"/>
      <c r="D53" s="138"/>
      <c r="E53" s="139"/>
      <c r="F53" s="139"/>
      <c r="G53" s="139"/>
      <c r="H53" s="139"/>
      <c r="I53" s="139"/>
      <c r="L53" s="123"/>
    </row>
    <row r="54" spans="1:12">
      <c r="A54" s="4" t="str">
        <f>nmReg1</f>
        <v>The Region</v>
      </c>
      <c r="E54" s="451">
        <f t="shared" ref="E54:I57" si="6">$L54</f>
        <v>992.20319999999992</v>
      </c>
      <c r="F54" s="451">
        <f t="shared" si="6"/>
        <v>992.20319999999992</v>
      </c>
      <c r="G54" s="451">
        <f t="shared" si="6"/>
        <v>992.20319999999992</v>
      </c>
      <c r="H54" s="451">
        <f t="shared" si="6"/>
        <v>992.20319999999992</v>
      </c>
      <c r="I54" s="451">
        <f t="shared" si="6"/>
        <v>992.20319999999992</v>
      </c>
      <c r="J54" t="s">
        <v>1058</v>
      </c>
      <c r="L54" s="452">
        <f>INDEX(dataReg1TotalVolume,,xxRound+1)</f>
        <v>992.20319999999992</v>
      </c>
    </row>
    <row r="55" spans="1:12">
      <c r="A55" t="str">
        <f>nmReg1Seg1</f>
        <v>Riverrun</v>
      </c>
      <c r="E55" s="451">
        <f t="shared" si="6"/>
        <v>323.90399999999994</v>
      </c>
      <c r="F55" s="451">
        <f t="shared" si="6"/>
        <v>323.90399999999994</v>
      </c>
      <c r="G55" s="451">
        <f t="shared" si="6"/>
        <v>323.90399999999994</v>
      </c>
      <c r="H55" s="451">
        <f t="shared" si="6"/>
        <v>323.90399999999994</v>
      </c>
      <c r="I55" s="451">
        <f t="shared" si="6"/>
        <v>323.90399999999994</v>
      </c>
      <c r="J55" t="s">
        <v>1059</v>
      </c>
      <c r="L55" s="452">
        <f>INDEX(dataReg1Seg1TotalVolume,,xxRound+1)</f>
        <v>323.90399999999994</v>
      </c>
    </row>
    <row r="56" spans="1:12">
      <c r="A56" t="str">
        <f>nmReg1Seg2</f>
        <v>Winterfell</v>
      </c>
      <c r="E56" s="451">
        <f t="shared" si="6"/>
        <v>324.69440000000003</v>
      </c>
      <c r="F56" s="451">
        <f t="shared" si="6"/>
        <v>324.69440000000003</v>
      </c>
      <c r="G56" s="451">
        <f t="shared" si="6"/>
        <v>324.69440000000003</v>
      </c>
      <c r="H56" s="451">
        <f t="shared" si="6"/>
        <v>324.69440000000003</v>
      </c>
      <c r="I56" s="451">
        <f t="shared" si="6"/>
        <v>324.69440000000003</v>
      </c>
      <c r="J56" t="s">
        <v>1060</v>
      </c>
      <c r="L56" s="452">
        <f>INDEX(dataReg1Seg2TotalVolume,,xxRound+1)</f>
        <v>324.69440000000003</v>
      </c>
    </row>
    <row r="57" spans="1:12">
      <c r="A57" t="str">
        <f>nmReg1Seg3</f>
        <v>Harrenhal</v>
      </c>
      <c r="E57" s="451">
        <f t="shared" si="6"/>
        <v>343.60480000000001</v>
      </c>
      <c r="F57" s="451">
        <f t="shared" si="6"/>
        <v>343.60480000000001</v>
      </c>
      <c r="G57" s="451">
        <f t="shared" si="6"/>
        <v>343.60480000000001</v>
      </c>
      <c r="H57" s="451">
        <f t="shared" si="6"/>
        <v>343.60480000000001</v>
      </c>
      <c r="I57" s="451">
        <f t="shared" si="6"/>
        <v>343.60480000000001</v>
      </c>
      <c r="J57" t="s">
        <v>1061</v>
      </c>
      <c r="L57" s="452">
        <f>INDEX(dataReg1Seg3TotalVolume,,xxRound+1)</f>
        <v>343.60480000000001</v>
      </c>
    </row>
    <row r="58" spans="1:12">
      <c r="E58" s="442"/>
      <c r="F58" s="442"/>
      <c r="G58" s="442"/>
      <c r="H58" s="442"/>
      <c r="I58" s="442"/>
      <c r="L58" s="443"/>
    </row>
    <row r="59" spans="1:12">
      <c r="A59" s="4" t="s">
        <v>1066</v>
      </c>
      <c r="E59" s="442"/>
      <c r="F59" s="442"/>
      <c r="G59" s="442"/>
      <c r="H59" s="442"/>
      <c r="I59" s="442"/>
      <c r="L59" s="443"/>
    </row>
    <row r="60" spans="1:12">
      <c r="A60" s="4" t="str">
        <f>nmReg1</f>
        <v>The Region</v>
      </c>
      <c r="E60" s="451">
        <f t="shared" ref="E60:I63" si="7">$L60</f>
        <v>19.844064000000003</v>
      </c>
      <c r="F60" s="451">
        <f t="shared" si="7"/>
        <v>19.844064000000003</v>
      </c>
      <c r="G60" s="451">
        <f t="shared" si="7"/>
        <v>19.844064000000003</v>
      </c>
      <c r="H60" s="451">
        <f t="shared" si="7"/>
        <v>19.844064000000003</v>
      </c>
      <c r="I60" s="451">
        <f t="shared" si="7"/>
        <v>19.844064000000003</v>
      </c>
      <c r="J60" t="s">
        <v>1062</v>
      </c>
      <c r="L60" s="452">
        <f>INDEX(dataReg1NewVolume,,xxRound+1)</f>
        <v>19.844064000000003</v>
      </c>
    </row>
    <row r="61" spans="1:12">
      <c r="A61" t="str">
        <f>nmReg1Seg1</f>
        <v>Riverrun</v>
      </c>
      <c r="E61" s="451">
        <f t="shared" si="7"/>
        <v>6.4780800000000003</v>
      </c>
      <c r="F61" s="451">
        <f t="shared" si="7"/>
        <v>6.4780800000000003</v>
      </c>
      <c r="G61" s="451">
        <f t="shared" si="7"/>
        <v>6.4780800000000003</v>
      </c>
      <c r="H61" s="451">
        <f t="shared" si="7"/>
        <v>6.4780800000000003</v>
      </c>
      <c r="I61" s="451">
        <f t="shared" si="7"/>
        <v>6.4780800000000003</v>
      </c>
      <c r="J61" t="s">
        <v>1063</v>
      </c>
      <c r="L61" s="452">
        <f>INDEX(dataReg1Seg1GrowthCust,,xxRound+1)</f>
        <v>6.4780800000000003</v>
      </c>
    </row>
    <row r="62" spans="1:12">
      <c r="A62" t="str">
        <f>nmReg1Seg2</f>
        <v>Winterfell</v>
      </c>
      <c r="E62" s="451">
        <f t="shared" si="7"/>
        <v>6.493888000000001</v>
      </c>
      <c r="F62" s="451">
        <f t="shared" si="7"/>
        <v>6.493888000000001</v>
      </c>
      <c r="G62" s="451">
        <f t="shared" si="7"/>
        <v>6.493888000000001</v>
      </c>
      <c r="H62" s="451">
        <f t="shared" si="7"/>
        <v>6.493888000000001</v>
      </c>
      <c r="I62" s="451">
        <f t="shared" si="7"/>
        <v>6.493888000000001</v>
      </c>
      <c r="J62" t="s">
        <v>1064</v>
      </c>
      <c r="L62" s="452">
        <f>INDEX(dataReg1Seg2GrowthCust,,xxRound+1)</f>
        <v>6.493888000000001</v>
      </c>
    </row>
    <row r="63" spans="1:12">
      <c r="A63" t="str">
        <f>nmReg1Seg3</f>
        <v>Harrenhal</v>
      </c>
      <c r="E63" s="451">
        <f t="shared" si="7"/>
        <v>6.8720960000000009</v>
      </c>
      <c r="F63" s="451">
        <f t="shared" si="7"/>
        <v>6.8720960000000009</v>
      </c>
      <c r="G63" s="451">
        <f t="shared" si="7"/>
        <v>6.8720960000000009</v>
      </c>
      <c r="H63" s="451">
        <f t="shared" si="7"/>
        <v>6.8720960000000009</v>
      </c>
      <c r="I63" s="451">
        <f t="shared" si="7"/>
        <v>6.8720960000000009</v>
      </c>
      <c r="J63" t="s">
        <v>1065</v>
      </c>
      <c r="L63" s="452">
        <f>INDEX(dataReg1Seg3GrowthCust,,xxRound+1)</f>
        <v>6.8720960000000009</v>
      </c>
    </row>
    <row r="64" spans="1:12">
      <c r="E64" s="442"/>
      <c r="F64" s="442"/>
      <c r="G64" s="442"/>
      <c r="H64" s="442"/>
      <c r="I64" s="442"/>
      <c r="L64" s="443"/>
    </row>
    <row r="65" spans="1:12">
      <c r="A65" s="4" t="s">
        <v>631</v>
      </c>
      <c r="E65" s="451"/>
      <c r="F65" s="451"/>
      <c r="G65" s="451"/>
      <c r="H65" s="451"/>
      <c r="I65" s="451"/>
      <c r="L65" s="452"/>
    </row>
    <row r="66" spans="1:12">
      <c r="A66" s="4" t="str">
        <f>nmPayer1</f>
        <v>Blue Sword/Blue Shield</v>
      </c>
      <c r="E66" s="451"/>
      <c r="F66" s="451"/>
      <c r="G66" s="451"/>
      <c r="H66" s="451"/>
      <c r="I66" s="451"/>
      <c r="L66" s="452"/>
    </row>
    <row r="67" spans="1:12">
      <c r="A67" t="str">
        <f>nmReg1</f>
        <v>The Region</v>
      </c>
      <c r="E67" s="451">
        <f t="shared" ref="E67:I70" si="8">$L67</f>
        <v>110749.76000000001</v>
      </c>
      <c r="F67" s="451">
        <f t="shared" si="8"/>
        <v>110749.76000000001</v>
      </c>
      <c r="G67" s="451">
        <f t="shared" si="8"/>
        <v>110749.76000000001</v>
      </c>
      <c r="H67" s="451">
        <f t="shared" si="8"/>
        <v>110749.76000000001</v>
      </c>
      <c r="I67" s="451">
        <f t="shared" si="8"/>
        <v>110749.76000000001</v>
      </c>
      <c r="J67" t="s">
        <v>1206</v>
      </c>
      <c r="L67" s="452">
        <f>INDEX(dataReg1Payer1TotalVolume,,xxRound+1)</f>
        <v>110749.76000000001</v>
      </c>
    </row>
    <row r="68" spans="1:12">
      <c r="A68" t="str">
        <f>nmReg1Seg1</f>
        <v>Riverrun</v>
      </c>
      <c r="E68" s="451">
        <f t="shared" si="8"/>
        <v>40488</v>
      </c>
      <c r="F68" s="451">
        <f t="shared" si="8"/>
        <v>40488</v>
      </c>
      <c r="G68" s="451">
        <f t="shared" si="8"/>
        <v>40488</v>
      </c>
      <c r="H68" s="451">
        <f t="shared" si="8"/>
        <v>40488</v>
      </c>
      <c r="I68" s="451">
        <f t="shared" si="8"/>
        <v>40488</v>
      </c>
      <c r="J68" t="s">
        <v>1207</v>
      </c>
      <c r="L68" s="452">
        <f>INDEX(dataReg1Seg1Payer1TotalVolume,,xxRound+1)</f>
        <v>40488</v>
      </c>
    </row>
    <row r="69" spans="1:12">
      <c r="A69" t="str">
        <f>nmReg1Seg2</f>
        <v>Winterfell</v>
      </c>
      <c r="E69" s="451">
        <f t="shared" si="8"/>
        <v>40586.800000000003</v>
      </c>
      <c r="F69" s="451">
        <f t="shared" si="8"/>
        <v>40586.800000000003</v>
      </c>
      <c r="G69" s="451">
        <f t="shared" si="8"/>
        <v>40586.800000000003</v>
      </c>
      <c r="H69" s="451">
        <f t="shared" si="8"/>
        <v>40586.800000000003</v>
      </c>
      <c r="I69" s="451">
        <f t="shared" si="8"/>
        <v>40586.800000000003</v>
      </c>
      <c r="J69" t="s">
        <v>1208</v>
      </c>
      <c r="L69" s="452">
        <f>INDEX(dataReg1Seg2Payer1TotalVolume,,xxRound+1)</f>
        <v>40586.800000000003</v>
      </c>
    </row>
    <row r="70" spans="1:12">
      <c r="A70" t="str">
        <f>nmReg1Seg3</f>
        <v>Harrenhal</v>
      </c>
      <c r="E70" s="451">
        <f t="shared" si="8"/>
        <v>29674.959999999999</v>
      </c>
      <c r="F70" s="451">
        <f t="shared" si="8"/>
        <v>29674.959999999999</v>
      </c>
      <c r="G70" s="451">
        <f t="shared" si="8"/>
        <v>29674.959999999999</v>
      </c>
      <c r="H70" s="451">
        <f t="shared" si="8"/>
        <v>29674.959999999999</v>
      </c>
      <c r="I70" s="451">
        <f t="shared" si="8"/>
        <v>29674.959999999999</v>
      </c>
      <c r="J70" t="s">
        <v>1209</v>
      </c>
      <c r="L70" s="452">
        <f>INDEX(dataReg1Seg3Payer1TotalVolume,,xxRound+1)</f>
        <v>29674.959999999999</v>
      </c>
    </row>
    <row r="71" spans="1:12">
      <c r="E71" s="451"/>
      <c r="F71" s="451"/>
      <c r="G71" s="451"/>
      <c r="H71" s="451"/>
      <c r="I71" s="451"/>
      <c r="L71" s="452"/>
    </row>
    <row r="72" spans="1:12">
      <c r="A72" s="4" t="str">
        <f>nmPayer2</f>
        <v>WesterAid</v>
      </c>
      <c r="E72" s="451"/>
      <c r="F72" s="451"/>
      <c r="G72" s="451"/>
      <c r="H72" s="451"/>
      <c r="I72" s="451"/>
      <c r="L72" s="452"/>
    </row>
    <row r="73" spans="1:12">
      <c r="A73" t="str">
        <f>nmReg1</f>
        <v>The Region</v>
      </c>
      <c r="E73" s="451">
        <f t="shared" ref="E73:I76" si="9">$L73</f>
        <v>95225.060000000012</v>
      </c>
      <c r="F73" s="451">
        <f t="shared" si="9"/>
        <v>95225.060000000012</v>
      </c>
      <c r="G73" s="451">
        <f t="shared" si="9"/>
        <v>95225.060000000012</v>
      </c>
      <c r="H73" s="451">
        <f t="shared" si="9"/>
        <v>95225.060000000012</v>
      </c>
      <c r="I73" s="451">
        <f t="shared" si="9"/>
        <v>95225.060000000012</v>
      </c>
      <c r="J73" t="s">
        <v>1210</v>
      </c>
      <c r="L73" s="452">
        <f>INDEX(dataReg1Payer2TotalVolume,,xxRound+1)</f>
        <v>95225.060000000012</v>
      </c>
    </row>
    <row r="74" spans="1:12">
      <c r="A74" t="str">
        <f>nmReg1Seg1</f>
        <v>Riverrun</v>
      </c>
      <c r="E74" s="451">
        <f t="shared" si="9"/>
        <v>31040.800000000003</v>
      </c>
      <c r="F74" s="451">
        <f t="shared" si="9"/>
        <v>31040.800000000003</v>
      </c>
      <c r="G74" s="451">
        <f t="shared" si="9"/>
        <v>31040.800000000003</v>
      </c>
      <c r="H74" s="451">
        <f t="shared" si="9"/>
        <v>31040.800000000003</v>
      </c>
      <c r="I74" s="451">
        <f t="shared" si="9"/>
        <v>31040.800000000003</v>
      </c>
      <c r="J74" t="s">
        <v>1211</v>
      </c>
      <c r="L74" s="452">
        <f>INDEX(dataReg1Seg1Payer2TotalVolume,,xxRound+1)</f>
        <v>31040.800000000003</v>
      </c>
    </row>
    <row r="75" spans="1:12">
      <c r="A75" t="str">
        <f>nmReg1Seg2</f>
        <v>Winterfell</v>
      </c>
      <c r="E75" s="451">
        <f t="shared" si="9"/>
        <v>14205.380000000001</v>
      </c>
      <c r="F75" s="451">
        <f t="shared" si="9"/>
        <v>14205.380000000001</v>
      </c>
      <c r="G75" s="451">
        <f t="shared" si="9"/>
        <v>14205.380000000001</v>
      </c>
      <c r="H75" s="451">
        <f t="shared" si="9"/>
        <v>14205.380000000001</v>
      </c>
      <c r="I75" s="451">
        <f t="shared" si="9"/>
        <v>14205.380000000001</v>
      </c>
      <c r="J75" t="s">
        <v>1212</v>
      </c>
      <c r="L75" s="452">
        <f>INDEX(dataReg1Seg2Payer2TotalVolume,,xxRound+1)</f>
        <v>14205.380000000001</v>
      </c>
    </row>
    <row r="76" spans="1:12">
      <c r="A76" t="str">
        <f>nmReg1Seg3</f>
        <v>Harrenhal</v>
      </c>
      <c r="E76" s="451">
        <f t="shared" si="9"/>
        <v>49978.880000000005</v>
      </c>
      <c r="F76" s="451">
        <f t="shared" si="9"/>
        <v>49978.880000000005</v>
      </c>
      <c r="G76" s="451">
        <f t="shared" si="9"/>
        <v>49978.880000000005</v>
      </c>
      <c r="H76" s="451">
        <f t="shared" si="9"/>
        <v>49978.880000000005</v>
      </c>
      <c r="I76" s="451">
        <f t="shared" si="9"/>
        <v>49978.880000000005</v>
      </c>
      <c r="J76" t="s">
        <v>1213</v>
      </c>
      <c r="L76" s="452">
        <f>INDEX(dataReg1Seg3Payer2TotalVolume,,xxRound+1)</f>
        <v>49978.880000000005</v>
      </c>
    </row>
    <row r="77" spans="1:12">
      <c r="E77" s="451"/>
      <c r="F77" s="451"/>
      <c r="G77" s="451"/>
      <c r="H77" s="451"/>
      <c r="I77" s="451"/>
      <c r="L77" s="452"/>
    </row>
    <row r="78" spans="1:12">
      <c r="A78" s="4" t="str">
        <f>nmPayer3</f>
        <v>Dragon Health</v>
      </c>
      <c r="E78" s="451"/>
      <c r="F78" s="451"/>
      <c r="G78" s="451"/>
      <c r="H78" s="451"/>
      <c r="I78" s="451"/>
      <c r="L78" s="452"/>
    </row>
    <row r="79" spans="1:12">
      <c r="A79" t="str">
        <f>nmReg1</f>
        <v>The Region</v>
      </c>
      <c r="E79" s="451">
        <f t="shared" ref="E79:I82" si="10">$L79</f>
        <v>82836.14</v>
      </c>
      <c r="F79" s="451">
        <f t="shared" si="10"/>
        <v>82836.14</v>
      </c>
      <c r="G79" s="451">
        <f t="shared" si="10"/>
        <v>82836.14</v>
      </c>
      <c r="H79" s="451">
        <f t="shared" si="10"/>
        <v>82836.14</v>
      </c>
      <c r="I79" s="451">
        <f t="shared" si="10"/>
        <v>82836.14</v>
      </c>
      <c r="J79" t="s">
        <v>1214</v>
      </c>
      <c r="L79" s="452">
        <f>INDEX(dataReg1Payer3TotalVolume,,xxRound+1)</f>
        <v>82836.14</v>
      </c>
    </row>
    <row r="80" spans="1:12">
      <c r="A80" t="str">
        <f>nmReg1Seg1</f>
        <v>Riverrun</v>
      </c>
      <c r="E80" s="451">
        <f t="shared" si="10"/>
        <v>28341.599999999999</v>
      </c>
      <c r="F80" s="451">
        <f t="shared" si="10"/>
        <v>28341.599999999999</v>
      </c>
      <c r="G80" s="451">
        <f t="shared" si="10"/>
        <v>28341.599999999999</v>
      </c>
      <c r="H80" s="451">
        <f t="shared" si="10"/>
        <v>28341.599999999999</v>
      </c>
      <c r="I80" s="451">
        <f t="shared" si="10"/>
        <v>28341.599999999999</v>
      </c>
      <c r="J80" t="s">
        <v>1215</v>
      </c>
      <c r="L80" s="452">
        <f>INDEX(dataReg1Seg1Payer3TotalVolume,,xxRound+1)</f>
        <v>28341.599999999999</v>
      </c>
    </row>
    <row r="81" spans="1:12">
      <c r="A81" t="str">
        <f>nmReg1Seg2</f>
        <v>Winterfell</v>
      </c>
      <c r="E81" s="451">
        <f t="shared" si="10"/>
        <v>26381.420000000002</v>
      </c>
      <c r="F81" s="451">
        <f t="shared" si="10"/>
        <v>26381.420000000002</v>
      </c>
      <c r="G81" s="451">
        <f t="shared" si="10"/>
        <v>26381.420000000002</v>
      </c>
      <c r="H81" s="451">
        <f t="shared" si="10"/>
        <v>26381.420000000002</v>
      </c>
      <c r="I81" s="451">
        <f t="shared" si="10"/>
        <v>26381.420000000002</v>
      </c>
      <c r="J81" t="s">
        <v>1216</v>
      </c>
      <c r="L81" s="452">
        <f>INDEX(dataReg1Seg2Payer3TotalVolume,,xxRound+1)</f>
        <v>26381.420000000002</v>
      </c>
    </row>
    <row r="82" spans="1:12">
      <c r="A82" t="str">
        <f>nmReg1Seg3</f>
        <v>Harrenhal</v>
      </c>
      <c r="E82" s="451">
        <f t="shared" si="10"/>
        <v>28113.119999999999</v>
      </c>
      <c r="F82" s="451">
        <f t="shared" si="10"/>
        <v>28113.119999999999</v>
      </c>
      <c r="G82" s="451">
        <f t="shared" si="10"/>
        <v>28113.119999999999</v>
      </c>
      <c r="H82" s="451">
        <f t="shared" si="10"/>
        <v>28113.119999999999</v>
      </c>
      <c r="I82" s="451">
        <f t="shared" si="10"/>
        <v>28113.119999999999</v>
      </c>
      <c r="J82" t="s">
        <v>1217</v>
      </c>
      <c r="L82" s="452">
        <f>INDEX(dataReg1Seg3Payer3TotalVolume,,xxRound+1)</f>
        <v>28113.119999999999</v>
      </c>
    </row>
    <row r="83" spans="1:12">
      <c r="A83" s="4" t="s">
        <v>1230</v>
      </c>
      <c r="E83" s="451"/>
      <c r="F83" s="451"/>
      <c r="G83" s="451"/>
      <c r="H83" s="451"/>
      <c r="I83" s="451"/>
      <c r="L83" s="452"/>
    </row>
    <row r="84" spans="1:12">
      <c r="A84" s="4" t="str">
        <f>nmPayer1</f>
        <v>Blue Sword/Blue Shield</v>
      </c>
      <c r="E84" s="451"/>
      <c r="F84" s="451"/>
      <c r="G84" s="451"/>
      <c r="H84" s="451"/>
      <c r="I84" s="451"/>
      <c r="L84" s="452"/>
    </row>
    <row r="85" spans="1:12">
      <c r="A85" t="str">
        <f>nmReg1</f>
        <v>The Region</v>
      </c>
      <c r="E85" s="464">
        <f t="shared" ref="E85:I88" si="11">$L85</f>
        <v>4.572915227987852E-3</v>
      </c>
      <c r="F85" s="464">
        <f t="shared" si="11"/>
        <v>4.572915227987852E-3</v>
      </c>
      <c r="G85" s="464">
        <f t="shared" si="11"/>
        <v>4.572915227987852E-3</v>
      </c>
      <c r="H85" s="464">
        <f t="shared" si="11"/>
        <v>4.572915227987852E-3</v>
      </c>
      <c r="I85" s="464">
        <f t="shared" si="11"/>
        <v>4.572915227987852E-3</v>
      </c>
      <c r="J85" s="465" t="s">
        <v>1218</v>
      </c>
      <c r="K85" s="465"/>
      <c r="L85" s="443">
        <f>INDEX(dataReg1Payer1TotalShare,,xxRound+1)</f>
        <v>4.572915227987852E-3</v>
      </c>
    </row>
    <row r="86" spans="1:12">
      <c r="A86" t="str">
        <f>nmReg1Seg1</f>
        <v>Riverrun</v>
      </c>
      <c r="E86" s="464">
        <f t="shared" si="11"/>
        <v>3.5999999999999995E-3</v>
      </c>
      <c r="F86" s="464">
        <f t="shared" si="11"/>
        <v>3.5999999999999995E-3</v>
      </c>
      <c r="G86" s="464">
        <f t="shared" si="11"/>
        <v>3.5999999999999995E-3</v>
      </c>
      <c r="H86" s="464">
        <f t="shared" si="11"/>
        <v>3.5999999999999995E-3</v>
      </c>
      <c r="I86" s="464">
        <f t="shared" si="11"/>
        <v>3.5999999999999995E-3</v>
      </c>
      <c r="J86" s="465" t="s">
        <v>1219</v>
      </c>
      <c r="K86" s="465"/>
      <c r="L86" s="443">
        <f>INDEX(dataReg1Seg1Payer1TotalShare,,xxRound+1)</f>
        <v>3.5999999999999995E-3</v>
      </c>
    </row>
    <row r="87" spans="1:12">
      <c r="A87" t="str">
        <f>nmReg1Seg2</f>
        <v>Winterfell</v>
      </c>
      <c r="E87" s="464">
        <f t="shared" si="11"/>
        <v>4.4000000000000003E-3</v>
      </c>
      <c r="F87" s="464">
        <f t="shared" si="11"/>
        <v>4.4000000000000003E-3</v>
      </c>
      <c r="G87" s="464">
        <f t="shared" si="11"/>
        <v>4.4000000000000003E-3</v>
      </c>
      <c r="H87" s="464">
        <f t="shared" si="11"/>
        <v>4.4000000000000003E-3</v>
      </c>
      <c r="I87" s="464">
        <f t="shared" si="11"/>
        <v>4.4000000000000003E-3</v>
      </c>
      <c r="J87" s="465" t="s">
        <v>1220</v>
      </c>
      <c r="K87" s="465"/>
      <c r="L87" s="443">
        <f>INDEX(dataReg1Seg2Payer1TotalShare,,xxRound+1)</f>
        <v>4.4000000000000003E-3</v>
      </c>
    </row>
    <row r="88" spans="1:12">
      <c r="A88" t="str">
        <f>nmReg1Seg3</f>
        <v>Harrenhal</v>
      </c>
      <c r="E88" s="464">
        <f t="shared" si="11"/>
        <v>6.1368421052631584E-3</v>
      </c>
      <c r="F88" s="464">
        <f t="shared" si="11"/>
        <v>6.1368421052631584E-3</v>
      </c>
      <c r="G88" s="464">
        <f t="shared" si="11"/>
        <v>6.1368421052631584E-3</v>
      </c>
      <c r="H88" s="464">
        <f t="shared" si="11"/>
        <v>6.1368421052631584E-3</v>
      </c>
      <c r="I88" s="464">
        <f t="shared" si="11"/>
        <v>6.1368421052631584E-3</v>
      </c>
      <c r="J88" s="465" t="s">
        <v>1221</v>
      </c>
      <c r="K88" s="465"/>
      <c r="L88" s="443">
        <f>INDEX(dataReg1Seg3Payer1TotalShare,,xxRound+1)</f>
        <v>6.1368421052631584E-3</v>
      </c>
    </row>
    <row r="89" spans="1:12">
      <c r="E89" s="451"/>
      <c r="F89" s="451"/>
      <c r="G89" s="451"/>
      <c r="H89" s="451"/>
      <c r="I89" s="451"/>
      <c r="L89" s="452"/>
    </row>
    <row r="90" spans="1:12">
      <c r="A90" s="4" t="str">
        <f>nmPayer2</f>
        <v>WesterAid</v>
      </c>
      <c r="E90" s="451"/>
      <c r="F90" s="451"/>
      <c r="G90" s="451"/>
      <c r="H90" s="451"/>
      <c r="I90" s="451"/>
      <c r="L90" s="452"/>
    </row>
    <row r="91" spans="1:12">
      <c r="A91" t="str">
        <f>nmReg1</f>
        <v>The Region</v>
      </c>
      <c r="E91" s="464">
        <f t="shared" ref="E91:I94" si="12">$L91</f>
        <v>0</v>
      </c>
      <c r="F91" s="464">
        <f t="shared" si="12"/>
        <v>0</v>
      </c>
      <c r="G91" s="464">
        <f t="shared" si="12"/>
        <v>0</v>
      </c>
      <c r="H91" s="464">
        <f t="shared" si="12"/>
        <v>0</v>
      </c>
      <c r="I91" s="464">
        <f t="shared" si="12"/>
        <v>0</v>
      </c>
      <c r="J91" s="465" t="s">
        <v>1222</v>
      </c>
      <c r="K91" s="465"/>
      <c r="L91" s="443">
        <f>INDEX(dataReg1Payer2TotalShare,,xxRound+1)</f>
        <v>0</v>
      </c>
    </row>
    <row r="92" spans="1:12">
      <c r="A92" t="str">
        <f>nmReg1Seg1</f>
        <v>Riverrun</v>
      </c>
      <c r="E92" s="464">
        <f t="shared" si="12"/>
        <v>0</v>
      </c>
      <c r="F92" s="464">
        <f t="shared" si="12"/>
        <v>0</v>
      </c>
      <c r="G92" s="464">
        <f t="shared" si="12"/>
        <v>0</v>
      </c>
      <c r="H92" s="464">
        <f t="shared" si="12"/>
        <v>0</v>
      </c>
      <c r="I92" s="464">
        <f t="shared" si="12"/>
        <v>0</v>
      </c>
      <c r="J92" s="465" t="s">
        <v>1223</v>
      </c>
      <c r="K92" s="465"/>
      <c r="L92" s="443">
        <f>INDEX(dataReg1Seg1Payer2TotalShare,,xxRound+1)</f>
        <v>0</v>
      </c>
    </row>
    <row r="93" spans="1:12">
      <c r="A93" t="str">
        <f>nmReg1Seg2</f>
        <v>Winterfell</v>
      </c>
      <c r="E93" s="464">
        <f t="shared" si="12"/>
        <v>0</v>
      </c>
      <c r="F93" s="464">
        <f t="shared" si="12"/>
        <v>0</v>
      </c>
      <c r="G93" s="464">
        <f t="shared" si="12"/>
        <v>0</v>
      </c>
      <c r="H93" s="464">
        <f t="shared" si="12"/>
        <v>0</v>
      </c>
      <c r="I93" s="464">
        <f t="shared" si="12"/>
        <v>0</v>
      </c>
      <c r="J93" s="465" t="s">
        <v>1224</v>
      </c>
      <c r="K93" s="465"/>
      <c r="L93" s="443">
        <f>INDEX(dataReg1Seg2Payer2TotalShare,,xxRound+1)</f>
        <v>0</v>
      </c>
    </row>
    <row r="94" spans="1:12">
      <c r="A94" t="str">
        <f>nmReg1Seg3</f>
        <v>Harrenhal</v>
      </c>
      <c r="E94" s="464">
        <f t="shared" si="12"/>
        <v>0</v>
      </c>
      <c r="F94" s="464">
        <f t="shared" si="12"/>
        <v>0</v>
      </c>
      <c r="G94" s="464">
        <f t="shared" si="12"/>
        <v>0</v>
      </c>
      <c r="H94" s="464">
        <f t="shared" si="12"/>
        <v>0</v>
      </c>
      <c r="I94" s="464">
        <f t="shared" si="12"/>
        <v>0</v>
      </c>
      <c r="J94" s="465" t="s">
        <v>1225</v>
      </c>
      <c r="K94" s="465"/>
      <c r="L94" s="443">
        <f>INDEX(dataReg1Seg3Payer2TotalShare,,xxRound+1)</f>
        <v>0</v>
      </c>
    </row>
    <row r="95" spans="1:12">
      <c r="E95" s="451"/>
      <c r="F95" s="451"/>
      <c r="G95" s="451"/>
      <c r="H95" s="451"/>
      <c r="I95" s="451"/>
      <c r="L95" s="452"/>
    </row>
    <row r="96" spans="1:12">
      <c r="A96" s="4" t="str">
        <f>nmPayer3</f>
        <v>Dragon Health</v>
      </c>
      <c r="E96" s="451"/>
      <c r="F96" s="451"/>
      <c r="G96" s="451"/>
      <c r="H96" s="451"/>
      <c r="I96" s="451"/>
      <c r="L96" s="452"/>
    </row>
    <row r="97" spans="1:12">
      <c r="A97" t="str">
        <f>nmReg1</f>
        <v>The Region</v>
      </c>
      <c r="E97" s="464">
        <f t="shared" ref="E97:I100" si="13">$L97</f>
        <v>5.8640339349467514E-3</v>
      </c>
      <c r="F97" s="464">
        <f t="shared" si="13"/>
        <v>5.8640339349467514E-3</v>
      </c>
      <c r="G97" s="464">
        <f t="shared" si="13"/>
        <v>5.8640339349467514E-3</v>
      </c>
      <c r="H97" s="464">
        <f t="shared" si="13"/>
        <v>5.8640339349467514E-3</v>
      </c>
      <c r="I97" s="464">
        <f t="shared" si="13"/>
        <v>5.8640339349467514E-3</v>
      </c>
      <c r="J97" s="465" t="s">
        <v>1226</v>
      </c>
      <c r="K97" s="465"/>
      <c r="L97" s="443">
        <f>INDEX(dataReg1Payer3TotalShare,,xxRound+1)</f>
        <v>5.8640339349467514E-3</v>
      </c>
    </row>
    <row r="98" spans="1:12">
      <c r="A98" t="str">
        <f>nmReg1Seg1</f>
        <v>Riverrun</v>
      </c>
      <c r="E98" s="464">
        <f t="shared" si="13"/>
        <v>6.2857142857142851E-3</v>
      </c>
      <c r="F98" s="464">
        <f t="shared" si="13"/>
        <v>6.2857142857142851E-3</v>
      </c>
      <c r="G98" s="464">
        <f t="shared" si="13"/>
        <v>6.2857142857142851E-3</v>
      </c>
      <c r="H98" s="464">
        <f t="shared" si="13"/>
        <v>6.2857142857142851E-3</v>
      </c>
      <c r="I98" s="464">
        <f t="shared" si="13"/>
        <v>6.2857142857142851E-3</v>
      </c>
      <c r="J98" s="465" t="s">
        <v>1227</v>
      </c>
      <c r="K98" s="465"/>
      <c r="L98" s="443">
        <f>INDEX(dataReg1Seg1Payer3TotalShare,,xxRound+1)</f>
        <v>6.2857142857142851E-3</v>
      </c>
    </row>
    <row r="99" spans="1:12">
      <c r="A99" t="str">
        <f>nmReg1Seg2</f>
        <v>Winterfell</v>
      </c>
      <c r="E99" s="464">
        <f t="shared" si="13"/>
        <v>5.5384615384615381E-3</v>
      </c>
      <c r="F99" s="464">
        <f t="shared" si="13"/>
        <v>5.5384615384615381E-3</v>
      </c>
      <c r="G99" s="464">
        <f t="shared" si="13"/>
        <v>5.5384615384615381E-3</v>
      </c>
      <c r="H99" s="464">
        <f t="shared" si="13"/>
        <v>5.5384615384615381E-3</v>
      </c>
      <c r="I99" s="464">
        <f t="shared" si="13"/>
        <v>5.5384615384615381E-3</v>
      </c>
      <c r="J99" s="465" t="s">
        <v>1228</v>
      </c>
      <c r="K99" s="465"/>
      <c r="L99" s="443">
        <f>INDEX(dataReg1Seg2Payer3TotalShare,,xxRound+1)</f>
        <v>5.5384615384615381E-3</v>
      </c>
    </row>
    <row r="100" spans="1:12">
      <c r="A100" t="str">
        <f>nmReg1Seg3</f>
        <v>Harrenhal</v>
      </c>
      <c r="E100" s="464">
        <f t="shared" si="13"/>
        <v>5.7444444444444452E-3</v>
      </c>
      <c r="F100" s="464">
        <f t="shared" si="13"/>
        <v>5.7444444444444452E-3</v>
      </c>
      <c r="G100" s="464">
        <f t="shared" si="13"/>
        <v>5.7444444444444452E-3</v>
      </c>
      <c r="H100" s="464">
        <f t="shared" si="13"/>
        <v>5.7444444444444452E-3</v>
      </c>
      <c r="I100" s="464">
        <f t="shared" si="13"/>
        <v>5.7444444444444452E-3</v>
      </c>
      <c r="J100" s="465" t="s">
        <v>1229</v>
      </c>
      <c r="K100" s="465"/>
      <c r="L100" s="443">
        <f>INDEX(dataReg1Seg3Payer3TotalShare,,xxRound+1)</f>
        <v>5.7444444444444452E-3</v>
      </c>
    </row>
    <row r="101" spans="1:12">
      <c r="E101" s="451"/>
      <c r="F101" s="451"/>
      <c r="G101" s="451"/>
      <c r="H101" s="451"/>
      <c r="I101" s="451"/>
      <c r="L101" s="452"/>
    </row>
    <row r="102" spans="1:12">
      <c r="A102" s="4" t="str">
        <f>nmComp1</f>
        <v>Vibrant</v>
      </c>
      <c r="E102" s="451"/>
      <c r="F102" s="451"/>
      <c r="G102" s="451"/>
      <c r="H102" s="451"/>
      <c r="I102" s="451"/>
      <c r="L102" s="452"/>
    </row>
    <row r="103" spans="1:12">
      <c r="A103" s="4" t="str">
        <f>nmPayer1</f>
        <v>Blue Sword/Blue Shield</v>
      </c>
      <c r="E103" s="451"/>
      <c r="F103" s="451"/>
      <c r="G103" s="451"/>
      <c r="H103" s="451"/>
      <c r="I103" s="451"/>
      <c r="L103" s="452"/>
    </row>
    <row r="104" spans="1:12">
      <c r="A104" t="str">
        <f>nmReg1</f>
        <v>The Region</v>
      </c>
      <c r="E104" s="464">
        <f t="shared" ref="E104:I107" si="14">$L104</f>
        <v>1.2230346593979074E-2</v>
      </c>
      <c r="F104" s="464">
        <f t="shared" si="14"/>
        <v>1.2230346593979074E-2</v>
      </c>
      <c r="G104" s="464">
        <f t="shared" si="14"/>
        <v>1.2230346593979074E-2</v>
      </c>
      <c r="H104" s="464">
        <f t="shared" si="14"/>
        <v>1.2230346593979074E-2</v>
      </c>
      <c r="I104" s="464">
        <f t="shared" si="14"/>
        <v>1.2230346593979074E-2</v>
      </c>
      <c r="J104" s="465" t="s">
        <v>1234</v>
      </c>
      <c r="K104" s="465"/>
      <c r="L104" s="443">
        <f>INDEX(dataReg1Comp1Payer1TotalShare,,xxRound+1)</f>
        <v>1.2230346593979074E-2</v>
      </c>
    </row>
    <row r="105" spans="1:12">
      <c r="A105" t="str">
        <f>nmReg1Seg1</f>
        <v>Riverrun</v>
      </c>
      <c r="E105" s="464">
        <f t="shared" si="14"/>
        <v>1.1499999999999998E-2</v>
      </c>
      <c r="F105" s="464">
        <f t="shared" si="14"/>
        <v>1.1499999999999998E-2</v>
      </c>
      <c r="G105" s="464">
        <f t="shared" si="14"/>
        <v>1.1499999999999998E-2</v>
      </c>
      <c r="H105" s="464">
        <f t="shared" si="14"/>
        <v>1.1499999999999998E-2</v>
      </c>
      <c r="I105" s="464">
        <f t="shared" si="14"/>
        <v>1.1499999999999998E-2</v>
      </c>
      <c r="J105" s="465" t="s">
        <v>1233</v>
      </c>
      <c r="K105" s="465"/>
      <c r="L105" s="443">
        <f>INDEX(dataReg1Seg1Comp1Payer1TotalShare,,xxRound+1)</f>
        <v>1.1499999999999998E-2</v>
      </c>
    </row>
    <row r="106" spans="1:12">
      <c r="A106" t="str">
        <f>nmReg1Seg2</f>
        <v>Winterfell</v>
      </c>
      <c r="E106" s="464">
        <f t="shared" si="14"/>
        <v>8.624999999999999E-3</v>
      </c>
      <c r="F106" s="464">
        <f t="shared" si="14"/>
        <v>8.624999999999999E-3</v>
      </c>
      <c r="G106" s="464">
        <f t="shared" si="14"/>
        <v>8.624999999999999E-3</v>
      </c>
      <c r="H106" s="464">
        <f t="shared" si="14"/>
        <v>8.624999999999999E-3</v>
      </c>
      <c r="I106" s="464">
        <f t="shared" si="14"/>
        <v>8.624999999999999E-3</v>
      </c>
      <c r="J106" s="465" t="s">
        <v>1232</v>
      </c>
      <c r="K106" s="465"/>
      <c r="L106" s="443">
        <f>INDEX(dataReg1Seg2Comp1Payer1TotalShare,,xxRound+1)</f>
        <v>8.624999999999999E-3</v>
      </c>
    </row>
    <row r="107" spans="1:12">
      <c r="A107" t="str">
        <f>nmReg1Seg3</f>
        <v>Harrenhal</v>
      </c>
      <c r="E107" s="464">
        <f t="shared" si="14"/>
        <v>1.8157894736842109E-2</v>
      </c>
      <c r="F107" s="464">
        <f t="shared" si="14"/>
        <v>1.8157894736842109E-2</v>
      </c>
      <c r="G107" s="464">
        <f t="shared" si="14"/>
        <v>1.8157894736842109E-2</v>
      </c>
      <c r="H107" s="464">
        <f t="shared" si="14"/>
        <v>1.8157894736842109E-2</v>
      </c>
      <c r="I107" s="464">
        <f t="shared" si="14"/>
        <v>1.8157894736842109E-2</v>
      </c>
      <c r="J107" s="465" t="s">
        <v>1231</v>
      </c>
      <c r="K107" s="465"/>
      <c r="L107" s="443">
        <f>INDEX(dataReg1Seg3Comp1Payer1TotalShare,,xxRound+1)</f>
        <v>1.8157894736842109E-2</v>
      </c>
    </row>
    <row r="108" spans="1:12">
      <c r="E108" s="451"/>
      <c r="F108" s="451"/>
      <c r="G108" s="451"/>
      <c r="H108" s="451"/>
      <c r="I108" s="451" t="s">
        <v>677</v>
      </c>
      <c r="L108" s="452"/>
    </row>
    <row r="109" spans="1:12">
      <c r="A109" s="4" t="str">
        <f>nmPayer2</f>
        <v>WesterAid</v>
      </c>
      <c r="E109" s="451"/>
      <c r="F109" s="451"/>
      <c r="G109" s="451"/>
      <c r="H109" s="451"/>
      <c r="I109" s="451"/>
      <c r="L109" s="452"/>
    </row>
    <row r="110" spans="1:12">
      <c r="A110" t="str">
        <f>nmReg1</f>
        <v>The Region</v>
      </c>
      <c r="E110" s="464">
        <f t="shared" ref="E110:I113" si="15">$L110</f>
        <v>7.112140176125905E-3</v>
      </c>
      <c r="F110" s="464">
        <f t="shared" si="15"/>
        <v>7.112140176125905E-3</v>
      </c>
      <c r="G110" s="464">
        <f t="shared" si="15"/>
        <v>7.112140176125905E-3</v>
      </c>
      <c r="H110" s="464">
        <f t="shared" si="15"/>
        <v>7.112140176125905E-3</v>
      </c>
      <c r="I110" s="464">
        <f t="shared" si="15"/>
        <v>7.112140176125905E-3</v>
      </c>
      <c r="J110" s="465" t="s">
        <v>1235</v>
      </c>
      <c r="K110" s="465"/>
      <c r="L110" s="443">
        <f>INDEX(dataReg1Comp1Payer2TotalShare,,xxRound+1)</f>
        <v>7.112140176125905E-3</v>
      </c>
    </row>
    <row r="111" spans="1:12">
      <c r="A111" t="str">
        <f>nmReg1Seg1</f>
        <v>Riverrun</v>
      </c>
      <c r="E111" s="464">
        <f t="shared" si="15"/>
        <v>7.499999999999998E-3</v>
      </c>
      <c r="F111" s="464">
        <f t="shared" si="15"/>
        <v>7.499999999999998E-3</v>
      </c>
      <c r="G111" s="464">
        <f t="shared" si="15"/>
        <v>7.499999999999998E-3</v>
      </c>
      <c r="H111" s="464">
        <f t="shared" si="15"/>
        <v>7.499999999999998E-3</v>
      </c>
      <c r="I111" s="464">
        <f t="shared" si="15"/>
        <v>7.499999999999998E-3</v>
      </c>
      <c r="J111" s="465" t="s">
        <v>1236</v>
      </c>
      <c r="K111" s="465"/>
      <c r="L111" s="443">
        <f>INDEX(dataReg1Seg1Comp1Payer2TotalShare,,xxRound+1)</f>
        <v>7.499999999999998E-3</v>
      </c>
    </row>
    <row r="112" spans="1:12">
      <c r="A112" t="str">
        <f>nmReg1Seg2</f>
        <v>Winterfell</v>
      </c>
      <c r="E112" s="464">
        <f t="shared" si="15"/>
        <v>1.232142857142857E-2</v>
      </c>
      <c r="F112" s="464">
        <f t="shared" si="15"/>
        <v>1.232142857142857E-2</v>
      </c>
      <c r="G112" s="464">
        <f t="shared" si="15"/>
        <v>1.232142857142857E-2</v>
      </c>
      <c r="H112" s="464">
        <f t="shared" si="15"/>
        <v>1.232142857142857E-2</v>
      </c>
      <c r="I112" s="464">
        <f t="shared" si="15"/>
        <v>1.232142857142857E-2</v>
      </c>
      <c r="J112" s="465" t="s">
        <v>1237</v>
      </c>
      <c r="K112" s="465"/>
      <c r="L112" s="443">
        <f>INDEX(dataReg1Seg2Comp1Payer2TotalShare,,xxRound+1)</f>
        <v>1.232142857142857E-2</v>
      </c>
    </row>
    <row r="113" spans="1:12">
      <c r="A113" t="str">
        <f>nmReg1Seg3</f>
        <v>Harrenhal</v>
      </c>
      <c r="E113" s="464">
        <f t="shared" si="15"/>
        <v>5.3906250000000005E-3</v>
      </c>
      <c r="F113" s="464">
        <f t="shared" si="15"/>
        <v>5.3906250000000005E-3</v>
      </c>
      <c r="G113" s="464">
        <f t="shared" si="15"/>
        <v>5.3906250000000005E-3</v>
      </c>
      <c r="H113" s="464">
        <f t="shared" si="15"/>
        <v>5.3906250000000005E-3</v>
      </c>
      <c r="I113" s="464">
        <f t="shared" si="15"/>
        <v>5.3906250000000005E-3</v>
      </c>
      <c r="J113" s="465" t="s">
        <v>1238</v>
      </c>
      <c r="K113" s="465"/>
      <c r="L113" s="443">
        <f>INDEX(dataReg1Seg3Comp1Payer2TotalShare,,xxRound+1)</f>
        <v>5.3906250000000005E-3</v>
      </c>
    </row>
    <row r="114" spans="1:12">
      <c r="E114" s="451"/>
      <c r="F114" s="451"/>
      <c r="G114" s="451"/>
      <c r="H114" s="451"/>
      <c r="I114" s="451" t="s">
        <v>677</v>
      </c>
      <c r="L114" s="452"/>
    </row>
    <row r="115" spans="1:12">
      <c r="A115" s="4" t="str">
        <f>nmPayer3</f>
        <v>Dragon Health</v>
      </c>
      <c r="E115" s="451"/>
      <c r="F115" s="451"/>
      <c r="G115" s="451"/>
      <c r="H115" s="451"/>
      <c r="I115" s="451"/>
      <c r="L115" s="452"/>
    </row>
    <row r="116" spans="1:12">
      <c r="A116" t="str">
        <f>nmReg1</f>
        <v>The Region</v>
      </c>
      <c r="E116" s="464">
        <f t="shared" ref="E116:I119" si="16">$L116</f>
        <v>8.1758273019481593E-3</v>
      </c>
      <c r="F116" s="464">
        <f t="shared" si="16"/>
        <v>8.1758273019481593E-3</v>
      </c>
      <c r="G116" s="464">
        <f t="shared" si="16"/>
        <v>8.1758273019481593E-3</v>
      </c>
      <c r="H116" s="464">
        <f t="shared" si="16"/>
        <v>8.1758273019481593E-3</v>
      </c>
      <c r="I116" s="464">
        <f t="shared" si="16"/>
        <v>8.1758273019481593E-3</v>
      </c>
      <c r="J116" s="465" t="s">
        <v>1239</v>
      </c>
      <c r="K116" s="465"/>
      <c r="L116" s="443">
        <f>INDEX(dataReg1Comp1Payer3TotalShare,,xxRound+1)</f>
        <v>8.1758273019481593E-3</v>
      </c>
    </row>
    <row r="117" spans="1:12">
      <c r="A117" t="str">
        <f>nmReg1Seg1</f>
        <v>Riverrun</v>
      </c>
      <c r="E117" s="464">
        <f t="shared" si="16"/>
        <v>8.2142857142857139E-3</v>
      </c>
      <c r="F117" s="464">
        <f t="shared" si="16"/>
        <v>8.2142857142857139E-3</v>
      </c>
      <c r="G117" s="464">
        <f t="shared" si="16"/>
        <v>8.2142857142857139E-3</v>
      </c>
      <c r="H117" s="464">
        <f t="shared" si="16"/>
        <v>8.2142857142857139E-3</v>
      </c>
      <c r="I117" s="464">
        <f t="shared" si="16"/>
        <v>8.2142857142857139E-3</v>
      </c>
      <c r="J117" s="465" t="s">
        <v>1240</v>
      </c>
      <c r="K117" s="465"/>
      <c r="L117" s="443">
        <f>INDEX(dataReg1Seg1Comp1Payer3TotalShare,,xxRound+1)</f>
        <v>8.2142857142857139E-3</v>
      </c>
    </row>
    <row r="118" spans="1:12">
      <c r="A118" t="str">
        <f>nmReg1Seg2</f>
        <v>Winterfell</v>
      </c>
      <c r="E118" s="464">
        <f t="shared" si="16"/>
        <v>6.6346153846153838E-3</v>
      </c>
      <c r="F118" s="464">
        <f t="shared" si="16"/>
        <v>6.6346153846153838E-3</v>
      </c>
      <c r="G118" s="464">
        <f t="shared" si="16"/>
        <v>6.6346153846153838E-3</v>
      </c>
      <c r="H118" s="464">
        <f t="shared" si="16"/>
        <v>6.6346153846153838E-3</v>
      </c>
      <c r="I118" s="464">
        <f t="shared" si="16"/>
        <v>6.6346153846153838E-3</v>
      </c>
      <c r="J118" s="465" t="s">
        <v>1241</v>
      </c>
      <c r="K118" s="465"/>
      <c r="L118" s="443">
        <f>INDEX(dataReg1Seg2Comp1Payer3TotalShare,,xxRound+1)</f>
        <v>6.6346153846153838E-3</v>
      </c>
    </row>
    <row r="119" spans="1:12">
      <c r="A119" t="str">
        <f>nmReg1Seg3</f>
        <v>Harrenhal</v>
      </c>
      <c r="E119" s="464">
        <f t="shared" si="16"/>
        <v>9.5833333333333361E-3</v>
      </c>
      <c r="F119" s="464">
        <f t="shared" si="16"/>
        <v>9.5833333333333361E-3</v>
      </c>
      <c r="G119" s="464">
        <f t="shared" si="16"/>
        <v>9.5833333333333361E-3</v>
      </c>
      <c r="H119" s="464">
        <f t="shared" si="16"/>
        <v>9.5833333333333361E-3</v>
      </c>
      <c r="I119" s="464">
        <f t="shared" si="16"/>
        <v>9.5833333333333361E-3</v>
      </c>
      <c r="J119" s="465" t="s">
        <v>1242</v>
      </c>
      <c r="K119" s="465"/>
      <c r="L119" s="443">
        <f>INDEX(dataReg1Seg3Comp1Payer3TotalShare,,xxRound+1)</f>
        <v>9.5833333333333361E-3</v>
      </c>
    </row>
    <row r="120" spans="1:12">
      <c r="E120" s="451"/>
      <c r="F120" s="451"/>
      <c r="G120" s="451"/>
      <c r="H120" s="451"/>
      <c r="I120" s="451" t="s">
        <v>677</v>
      </c>
      <c r="L120" s="452"/>
    </row>
    <row r="121" spans="1:12">
      <c r="A121" s="4" t="str">
        <f>nmComp2</f>
        <v>Pristine</v>
      </c>
      <c r="E121" s="451"/>
      <c r="F121" s="451"/>
      <c r="G121" s="451"/>
      <c r="H121" s="451"/>
      <c r="I121" s="451"/>
      <c r="L121" s="452"/>
    </row>
    <row r="122" spans="1:12">
      <c r="A122" s="4" t="str">
        <f>nmPayer1</f>
        <v>Blue Sword/Blue Shield</v>
      </c>
      <c r="E122" s="451"/>
      <c r="F122" s="451"/>
      <c r="G122" s="451"/>
      <c r="H122" s="451"/>
      <c r="I122" s="451"/>
      <c r="L122" s="452"/>
    </row>
    <row r="123" spans="1:12">
      <c r="A123" t="str">
        <f>nmReg1</f>
        <v>The Region</v>
      </c>
      <c r="E123" s="464">
        <f t="shared" ref="E123:I126" si="17">$L123</f>
        <v>3.2614257583944199E-2</v>
      </c>
      <c r="F123" s="464">
        <f t="shared" si="17"/>
        <v>3.2614257583944199E-2</v>
      </c>
      <c r="G123" s="464">
        <f t="shared" si="17"/>
        <v>3.2614257583944199E-2</v>
      </c>
      <c r="H123" s="464">
        <f t="shared" si="17"/>
        <v>3.2614257583944199E-2</v>
      </c>
      <c r="I123" s="464">
        <f t="shared" si="17"/>
        <v>3.2614257583944199E-2</v>
      </c>
      <c r="J123" s="465" t="s">
        <v>1243</v>
      </c>
      <c r="K123" s="465"/>
      <c r="L123" s="443">
        <f>INDEX(dataReg1Comp2Payer1TotalShare,,xxRound+1)</f>
        <v>3.2614257583944199E-2</v>
      </c>
    </row>
    <row r="124" spans="1:12">
      <c r="A124" t="str">
        <f>nmReg1Seg1</f>
        <v>Riverrun</v>
      </c>
      <c r="E124" s="464">
        <f t="shared" si="17"/>
        <v>3.0666666666666668E-2</v>
      </c>
      <c r="F124" s="464">
        <f t="shared" si="17"/>
        <v>3.0666666666666668E-2</v>
      </c>
      <c r="G124" s="464">
        <f t="shared" si="17"/>
        <v>3.0666666666666668E-2</v>
      </c>
      <c r="H124" s="464">
        <f t="shared" si="17"/>
        <v>3.0666666666666668E-2</v>
      </c>
      <c r="I124" s="464">
        <f t="shared" si="17"/>
        <v>3.0666666666666668E-2</v>
      </c>
      <c r="J124" s="465" t="s">
        <v>1244</v>
      </c>
      <c r="K124" s="465"/>
      <c r="L124" s="443">
        <f>INDEX(dataReg1Seg1Comp2Payer1TotalShare,,xxRound+1)</f>
        <v>3.0666666666666668E-2</v>
      </c>
    </row>
    <row r="125" spans="1:12">
      <c r="A125" t="str">
        <f>nmReg1Seg2</f>
        <v>Winterfell</v>
      </c>
      <c r="E125" s="464">
        <f t="shared" si="17"/>
        <v>2.3E-2</v>
      </c>
      <c r="F125" s="464">
        <f t="shared" si="17"/>
        <v>2.3E-2</v>
      </c>
      <c r="G125" s="464">
        <f t="shared" si="17"/>
        <v>2.3E-2</v>
      </c>
      <c r="H125" s="464">
        <f t="shared" si="17"/>
        <v>2.3E-2</v>
      </c>
      <c r="I125" s="464">
        <f t="shared" si="17"/>
        <v>2.3E-2</v>
      </c>
      <c r="J125" s="465" t="s">
        <v>1245</v>
      </c>
      <c r="K125" s="465"/>
      <c r="L125" s="443">
        <f>INDEX(dataReg1Seg2Comp2Payer1TotalShare,,xxRound+1)</f>
        <v>2.3E-2</v>
      </c>
    </row>
    <row r="126" spans="1:12">
      <c r="A126" t="str">
        <f>nmReg1Seg3</f>
        <v>Harrenhal</v>
      </c>
      <c r="E126" s="464">
        <f t="shared" si="17"/>
        <v>4.8421052631578948E-2</v>
      </c>
      <c r="F126" s="464">
        <f t="shared" si="17"/>
        <v>4.8421052631578948E-2</v>
      </c>
      <c r="G126" s="464">
        <f t="shared" si="17"/>
        <v>4.8421052631578948E-2</v>
      </c>
      <c r="H126" s="464">
        <f t="shared" si="17"/>
        <v>4.8421052631578948E-2</v>
      </c>
      <c r="I126" s="464">
        <f t="shared" si="17"/>
        <v>4.8421052631578948E-2</v>
      </c>
      <c r="J126" s="465" t="s">
        <v>1246</v>
      </c>
      <c r="K126" s="465"/>
      <c r="L126" s="443">
        <f>INDEX(dataReg1Seg3Comp2Payer1TotalShare,,xxRound+1)</f>
        <v>4.8421052631578948E-2</v>
      </c>
    </row>
    <row r="127" spans="1:12">
      <c r="E127" s="451"/>
      <c r="F127" s="451"/>
      <c r="G127" s="451"/>
      <c r="H127" s="451"/>
      <c r="I127" s="451" t="s">
        <v>677</v>
      </c>
      <c r="L127" s="452"/>
    </row>
    <row r="128" spans="1:12">
      <c r="A128" s="4" t="str">
        <f>nmPayer2</f>
        <v>WesterAid</v>
      </c>
      <c r="E128" s="451"/>
      <c r="F128" s="451"/>
      <c r="G128" s="451"/>
      <c r="H128" s="451"/>
      <c r="I128" s="451"/>
      <c r="L128" s="452"/>
    </row>
    <row r="129" spans="1:15">
      <c r="A129" t="str">
        <f>nmReg1</f>
        <v>The Region</v>
      </c>
      <c r="E129" s="464">
        <f t="shared" ref="E129:I132" si="18">$L129</f>
        <v>1.896570713633575E-2</v>
      </c>
      <c r="F129" s="464">
        <f t="shared" si="18"/>
        <v>1.896570713633575E-2</v>
      </c>
      <c r="G129" s="464">
        <f t="shared" si="18"/>
        <v>1.896570713633575E-2</v>
      </c>
      <c r="H129" s="464">
        <f t="shared" si="18"/>
        <v>1.896570713633575E-2</v>
      </c>
      <c r="I129" s="464">
        <f t="shared" si="18"/>
        <v>1.896570713633575E-2</v>
      </c>
      <c r="J129" s="465" t="s">
        <v>1247</v>
      </c>
      <c r="K129" s="465"/>
      <c r="L129" s="443">
        <f>INDEX(dataReg1Comp2Payer2TotalShare,,xxRound+1)</f>
        <v>1.896570713633575E-2</v>
      </c>
    </row>
    <row r="130" spans="1:15">
      <c r="A130" t="str">
        <f>nmReg1Seg1</f>
        <v>Riverrun</v>
      </c>
      <c r="E130" s="464">
        <f t="shared" si="18"/>
        <v>0.02</v>
      </c>
      <c r="F130" s="464">
        <f t="shared" si="18"/>
        <v>0.02</v>
      </c>
      <c r="G130" s="464">
        <f t="shared" si="18"/>
        <v>0.02</v>
      </c>
      <c r="H130" s="464">
        <f t="shared" si="18"/>
        <v>0.02</v>
      </c>
      <c r="I130" s="464">
        <f t="shared" si="18"/>
        <v>0.02</v>
      </c>
      <c r="J130" s="465" t="s">
        <v>1248</v>
      </c>
      <c r="K130" s="465"/>
      <c r="L130" s="443">
        <f>INDEX(dataReg1Seg1Comp2Payer2TotalShare,,xxRound+1)</f>
        <v>0.02</v>
      </c>
    </row>
    <row r="131" spans="1:15">
      <c r="A131" t="str">
        <f>nmReg1Seg2</f>
        <v>Winterfell</v>
      </c>
      <c r="E131" s="464">
        <f t="shared" si="18"/>
        <v>3.2857142857142856E-2</v>
      </c>
      <c r="F131" s="464">
        <f t="shared" si="18"/>
        <v>3.2857142857142856E-2</v>
      </c>
      <c r="G131" s="464">
        <f t="shared" si="18"/>
        <v>3.2857142857142856E-2</v>
      </c>
      <c r="H131" s="464">
        <f t="shared" si="18"/>
        <v>3.2857142857142856E-2</v>
      </c>
      <c r="I131" s="464">
        <f t="shared" si="18"/>
        <v>3.2857142857142856E-2</v>
      </c>
      <c r="J131" s="465" t="s">
        <v>1249</v>
      </c>
      <c r="K131" s="465"/>
      <c r="L131" s="443">
        <f>INDEX(dataReg1Seg2Comp2Payer2TotalShare,,xxRound+1)</f>
        <v>3.2857142857142856E-2</v>
      </c>
    </row>
    <row r="132" spans="1:15">
      <c r="A132" t="str">
        <f>nmReg1Seg3</f>
        <v>Harrenhal</v>
      </c>
      <c r="E132" s="464">
        <f t="shared" si="18"/>
        <v>1.4374999999999999E-2</v>
      </c>
      <c r="F132" s="464">
        <f t="shared" si="18"/>
        <v>1.4374999999999999E-2</v>
      </c>
      <c r="G132" s="464">
        <f t="shared" si="18"/>
        <v>1.4374999999999999E-2</v>
      </c>
      <c r="H132" s="464">
        <f t="shared" si="18"/>
        <v>1.4374999999999999E-2</v>
      </c>
      <c r="I132" s="464">
        <f t="shared" si="18"/>
        <v>1.4374999999999999E-2</v>
      </c>
      <c r="J132" s="465" t="s">
        <v>1250</v>
      </c>
      <c r="K132" s="465"/>
      <c r="L132" s="443">
        <f>INDEX(dataReg1Seg3Comp2Payer2TotalShare,,xxRound+1)</f>
        <v>1.4374999999999999E-2</v>
      </c>
    </row>
    <row r="133" spans="1:15">
      <c r="E133" s="451"/>
      <c r="F133" s="451"/>
      <c r="G133" s="451"/>
      <c r="H133" s="451"/>
      <c r="I133" s="451" t="s">
        <v>677</v>
      </c>
      <c r="L133" s="452"/>
    </row>
    <row r="134" spans="1:15">
      <c r="A134" s="4" t="str">
        <f>nmPayer3</f>
        <v>Dragon Health</v>
      </c>
      <c r="E134" s="451"/>
      <c r="F134" s="451"/>
      <c r="G134" s="451"/>
      <c r="H134" s="451"/>
      <c r="I134" s="451"/>
      <c r="L134" s="452"/>
    </row>
    <row r="135" spans="1:15">
      <c r="A135" t="str">
        <f>nmReg1</f>
        <v>The Region</v>
      </c>
      <c r="E135" s="464">
        <f t="shared" ref="E135:I138" si="19">$L135</f>
        <v>2.1802206138528426E-2</v>
      </c>
      <c r="F135" s="464">
        <f t="shared" si="19"/>
        <v>2.1802206138528426E-2</v>
      </c>
      <c r="G135" s="464">
        <f t="shared" si="19"/>
        <v>2.1802206138528426E-2</v>
      </c>
      <c r="H135" s="464">
        <f t="shared" si="19"/>
        <v>2.1802206138528426E-2</v>
      </c>
      <c r="I135" s="464">
        <f t="shared" si="19"/>
        <v>2.1802206138528426E-2</v>
      </c>
      <c r="J135" s="465" t="s">
        <v>1251</v>
      </c>
      <c r="K135" s="465"/>
      <c r="L135" s="443">
        <f>INDEX(dataReg1Comp2Payer3TotalShare,,xxRound+1)</f>
        <v>2.1802206138528426E-2</v>
      </c>
    </row>
    <row r="136" spans="1:15">
      <c r="A136" t="str">
        <f>nmReg1Seg1</f>
        <v>Riverrun</v>
      </c>
      <c r="E136" s="464">
        <f t="shared" si="19"/>
        <v>2.1904761904761906E-2</v>
      </c>
      <c r="F136" s="464">
        <f t="shared" si="19"/>
        <v>2.1904761904761906E-2</v>
      </c>
      <c r="G136" s="464">
        <f t="shared" si="19"/>
        <v>2.1904761904761906E-2</v>
      </c>
      <c r="H136" s="464">
        <f t="shared" si="19"/>
        <v>2.1904761904761906E-2</v>
      </c>
      <c r="I136" s="464">
        <f t="shared" si="19"/>
        <v>2.1904761904761906E-2</v>
      </c>
      <c r="J136" s="465" t="s">
        <v>1252</v>
      </c>
      <c r="K136" s="465"/>
      <c r="L136" s="443">
        <f>INDEX(dataReg1Seg1Comp2Payer3TotalShare,,xxRound+1)</f>
        <v>2.1904761904761906E-2</v>
      </c>
    </row>
    <row r="137" spans="1:15">
      <c r="A137" t="str">
        <f>nmReg1Seg2</f>
        <v>Winterfell</v>
      </c>
      <c r="E137" s="464">
        <f t="shared" si="19"/>
        <v>1.7692307692307691E-2</v>
      </c>
      <c r="F137" s="464">
        <f t="shared" si="19"/>
        <v>1.7692307692307691E-2</v>
      </c>
      <c r="G137" s="464">
        <f t="shared" si="19"/>
        <v>1.7692307692307691E-2</v>
      </c>
      <c r="H137" s="464">
        <f t="shared" si="19"/>
        <v>1.7692307692307691E-2</v>
      </c>
      <c r="I137" s="464">
        <f t="shared" si="19"/>
        <v>1.7692307692307691E-2</v>
      </c>
      <c r="J137" s="465" t="s">
        <v>1253</v>
      </c>
      <c r="K137" s="465"/>
      <c r="L137" s="443">
        <f>INDEX(dataReg1Seg2Comp2Payer3TotalShare,,xxRound+1)</f>
        <v>1.7692307692307691E-2</v>
      </c>
    </row>
    <row r="138" spans="1:15">
      <c r="A138" t="str">
        <f>nmReg1Seg3</f>
        <v>Harrenhal</v>
      </c>
      <c r="E138" s="464">
        <f t="shared" si="19"/>
        <v>2.5555555555555557E-2</v>
      </c>
      <c r="F138" s="464">
        <f t="shared" si="19"/>
        <v>2.5555555555555557E-2</v>
      </c>
      <c r="G138" s="464">
        <f t="shared" si="19"/>
        <v>2.5555555555555557E-2</v>
      </c>
      <c r="H138" s="464">
        <f t="shared" si="19"/>
        <v>2.5555555555555557E-2</v>
      </c>
      <c r="I138" s="464">
        <f t="shared" si="19"/>
        <v>2.5555555555555557E-2</v>
      </c>
      <c r="J138" s="465" t="s">
        <v>1254</v>
      </c>
      <c r="K138" s="465"/>
      <c r="L138" s="443">
        <f>INDEX(dataReg1Seg3Comp2Payer3TotalShare,,xxRound+1)</f>
        <v>2.5555555555555557E-2</v>
      </c>
    </row>
    <row r="139" spans="1:15">
      <c r="E139" s="451"/>
      <c r="F139" s="451"/>
      <c r="G139" s="451"/>
      <c r="H139" s="451"/>
      <c r="I139" s="451" t="s">
        <v>677</v>
      </c>
      <c r="L139" s="452"/>
    </row>
    <row r="140" spans="1:15">
      <c r="A140" s="4" t="s">
        <v>1417</v>
      </c>
      <c r="E140" s="451"/>
      <c r="F140" s="451"/>
      <c r="G140" s="451"/>
      <c r="H140" s="451"/>
      <c r="I140" s="451"/>
      <c r="L140" s="452"/>
    </row>
    <row r="141" spans="1:15">
      <c r="A141" s="4" t="str">
        <f>nmPayer1</f>
        <v>Blue Sword/Blue Shield</v>
      </c>
      <c r="E141" s="451"/>
      <c r="F141" s="451"/>
      <c r="G141" s="451"/>
      <c r="H141" s="451"/>
      <c r="I141" s="451"/>
      <c r="L141" s="452"/>
    </row>
    <row r="142" spans="1:15">
      <c r="A142" t="str">
        <f>nmReg1</f>
        <v>The Region</v>
      </c>
      <c r="E142" s="451">
        <f t="shared" ref="E142:I145" si="20">$L142</f>
        <v>506.44926399999997</v>
      </c>
      <c r="F142" s="451">
        <f t="shared" si="20"/>
        <v>506.44926399999997</v>
      </c>
      <c r="G142" s="451">
        <f t="shared" si="20"/>
        <v>506.44926399999997</v>
      </c>
      <c r="H142" s="451">
        <f t="shared" si="20"/>
        <v>506.44926399999997</v>
      </c>
      <c r="I142" s="451">
        <f t="shared" si="20"/>
        <v>506.44926399999997</v>
      </c>
      <c r="J142" s="465" t="s">
        <v>1194</v>
      </c>
      <c r="K142" s="465"/>
      <c r="L142" s="452">
        <f>SUM(M142:O142)</f>
        <v>506.44926399999997</v>
      </c>
      <c r="M142" s="452">
        <f>INDEX(dataReg1Seg1Payer1Volume,,xxRound+1)</f>
        <v>145.75679999999997</v>
      </c>
      <c r="N142" s="452">
        <f>INDEX(dataReg1Seg2Payer1Volume,,xxRound+1)</f>
        <v>178.58192000000003</v>
      </c>
      <c r="O142" s="452">
        <f>INDEX(dataReg1Seg3Payer1Volume,,xxRound+1)</f>
        <v>182.110544</v>
      </c>
    </row>
    <row r="143" spans="1:15">
      <c r="A143" t="str">
        <f>nmReg1Seg1</f>
        <v>Riverrun</v>
      </c>
      <c r="E143" s="451">
        <f t="shared" si="20"/>
        <v>145.75679999999997</v>
      </c>
      <c r="F143" s="451">
        <f t="shared" si="20"/>
        <v>145.75679999999997</v>
      </c>
      <c r="G143" s="451">
        <f t="shared" si="20"/>
        <v>145.75679999999997</v>
      </c>
      <c r="H143" s="451">
        <f t="shared" si="20"/>
        <v>145.75679999999997</v>
      </c>
      <c r="I143" s="451">
        <f t="shared" si="20"/>
        <v>145.75679999999997</v>
      </c>
      <c r="J143" s="465" t="s">
        <v>1195</v>
      </c>
      <c r="K143" s="465"/>
      <c r="L143" s="452">
        <f>INDEX(dataReg1Seg1Payer1Volume,,xxRound+1)</f>
        <v>145.75679999999997</v>
      </c>
    </row>
    <row r="144" spans="1:15">
      <c r="A144" t="str">
        <f>nmReg1Seg2</f>
        <v>Winterfell</v>
      </c>
      <c r="E144" s="451">
        <f t="shared" si="20"/>
        <v>178.58192000000003</v>
      </c>
      <c r="F144" s="451">
        <f t="shared" si="20"/>
        <v>178.58192000000003</v>
      </c>
      <c r="G144" s="451">
        <f t="shared" si="20"/>
        <v>178.58192000000003</v>
      </c>
      <c r="H144" s="451">
        <f t="shared" si="20"/>
        <v>178.58192000000003</v>
      </c>
      <c r="I144" s="451">
        <f t="shared" si="20"/>
        <v>178.58192000000003</v>
      </c>
      <c r="J144" s="465" t="s">
        <v>1196</v>
      </c>
      <c r="K144" s="465"/>
      <c r="L144" s="452">
        <f>INDEX(dataReg1Seg2Payer1Volume,,xxRound+1)</f>
        <v>178.58192000000003</v>
      </c>
    </row>
    <row r="145" spans="1:15">
      <c r="A145" t="str">
        <f>nmReg1Seg3</f>
        <v>Harrenhal</v>
      </c>
      <c r="E145" s="451">
        <f t="shared" si="20"/>
        <v>182.110544</v>
      </c>
      <c r="F145" s="451">
        <f t="shared" si="20"/>
        <v>182.110544</v>
      </c>
      <c r="G145" s="451">
        <f t="shared" si="20"/>
        <v>182.110544</v>
      </c>
      <c r="H145" s="451">
        <f t="shared" si="20"/>
        <v>182.110544</v>
      </c>
      <c r="I145" s="451">
        <f t="shared" si="20"/>
        <v>182.110544</v>
      </c>
      <c r="J145" s="465" t="s">
        <v>1197</v>
      </c>
      <c r="K145" s="465"/>
      <c r="L145" s="452">
        <f>INDEX(dataReg1Seg3Payer1Volume,,xxRound+1)</f>
        <v>182.110544</v>
      </c>
    </row>
    <row r="146" spans="1:15">
      <c r="E146" s="451"/>
      <c r="F146" s="451"/>
      <c r="G146" s="451"/>
      <c r="H146" s="451"/>
      <c r="I146" s="451"/>
      <c r="L146" s="452"/>
    </row>
    <row r="147" spans="1:15">
      <c r="A147" s="4" t="str">
        <f>nmPayer2</f>
        <v>WesterAid</v>
      </c>
      <c r="E147" s="451"/>
      <c r="F147" s="451"/>
      <c r="G147" s="451"/>
      <c r="H147" s="451"/>
      <c r="I147" s="451"/>
      <c r="L147" s="452"/>
    </row>
    <row r="148" spans="1:15">
      <c r="A148" t="str">
        <f>nmReg1</f>
        <v>The Region</v>
      </c>
      <c r="E148" s="451">
        <f t="shared" ref="E148:I151" si="21">$L148</f>
        <v>0</v>
      </c>
      <c r="F148" s="451">
        <f t="shared" si="21"/>
        <v>0</v>
      </c>
      <c r="G148" s="451">
        <f t="shared" si="21"/>
        <v>0</v>
      </c>
      <c r="H148" s="451">
        <f t="shared" si="21"/>
        <v>0</v>
      </c>
      <c r="I148" s="451">
        <f t="shared" si="21"/>
        <v>0</v>
      </c>
      <c r="J148" s="465" t="s">
        <v>1202</v>
      </c>
      <c r="K148" s="465"/>
      <c r="L148" s="452">
        <f>SUM(M148:O148)</f>
        <v>0</v>
      </c>
      <c r="M148" s="452">
        <f>INDEX(dataReg1Seg1Payer2Volume,,xxRound+1)</f>
        <v>0</v>
      </c>
      <c r="N148" s="452">
        <f>INDEX(dataReg1Seg2Payer2Volume,,xxRound+1)</f>
        <v>0</v>
      </c>
      <c r="O148" s="452">
        <f>INDEX(dataReg1Seg3Payer2Volume,,xxRound+1)</f>
        <v>0</v>
      </c>
    </row>
    <row r="149" spans="1:15">
      <c r="A149" t="str">
        <f>nmReg1Seg1</f>
        <v>Riverrun</v>
      </c>
      <c r="E149" s="451">
        <f t="shared" si="21"/>
        <v>0</v>
      </c>
      <c r="F149" s="451">
        <f t="shared" si="21"/>
        <v>0</v>
      </c>
      <c r="G149" s="451">
        <f t="shared" si="21"/>
        <v>0</v>
      </c>
      <c r="H149" s="451">
        <f t="shared" si="21"/>
        <v>0</v>
      </c>
      <c r="I149" s="451">
        <f t="shared" si="21"/>
        <v>0</v>
      </c>
      <c r="J149" s="465" t="s">
        <v>1203</v>
      </c>
      <c r="K149" s="465"/>
      <c r="L149" s="452">
        <f>INDEX(dataReg1Seg1Payer2Volume,,xxRound+1)</f>
        <v>0</v>
      </c>
    </row>
    <row r="150" spans="1:15">
      <c r="A150" t="str">
        <f>nmReg1Seg2</f>
        <v>Winterfell</v>
      </c>
      <c r="E150" s="451">
        <f t="shared" si="21"/>
        <v>0</v>
      </c>
      <c r="F150" s="451">
        <f t="shared" si="21"/>
        <v>0</v>
      </c>
      <c r="G150" s="451">
        <f t="shared" si="21"/>
        <v>0</v>
      </c>
      <c r="H150" s="451">
        <f t="shared" si="21"/>
        <v>0</v>
      </c>
      <c r="I150" s="451">
        <f t="shared" si="21"/>
        <v>0</v>
      </c>
      <c r="J150" s="465" t="s">
        <v>1204</v>
      </c>
      <c r="K150" s="465"/>
      <c r="L150" s="452">
        <f>INDEX(dataReg1Seg2Payer2Volume,,xxRound+1)</f>
        <v>0</v>
      </c>
    </row>
    <row r="151" spans="1:15">
      <c r="A151" t="str">
        <f>nmReg1Seg3</f>
        <v>Harrenhal</v>
      </c>
      <c r="E151" s="451">
        <f t="shared" si="21"/>
        <v>0</v>
      </c>
      <c r="F151" s="451">
        <f t="shared" si="21"/>
        <v>0</v>
      </c>
      <c r="G151" s="451">
        <f t="shared" si="21"/>
        <v>0</v>
      </c>
      <c r="H151" s="451">
        <f t="shared" si="21"/>
        <v>0</v>
      </c>
      <c r="I151" s="451">
        <f t="shared" si="21"/>
        <v>0</v>
      </c>
      <c r="J151" s="465" t="s">
        <v>1205</v>
      </c>
      <c r="K151" s="465"/>
      <c r="L151" s="452">
        <f>INDEX(dataReg1Seg3Payer2Volume,,xxRound+1)</f>
        <v>0</v>
      </c>
    </row>
    <row r="152" spans="1:15">
      <c r="E152" s="451"/>
      <c r="F152" s="451"/>
      <c r="G152" s="451"/>
      <c r="H152" s="451"/>
      <c r="I152" s="451"/>
      <c r="L152" s="452"/>
    </row>
    <row r="153" spans="1:15">
      <c r="A153" s="4" t="str">
        <f>nmPayer3</f>
        <v>Dragon Health</v>
      </c>
      <c r="E153" s="451"/>
      <c r="F153" s="451"/>
      <c r="G153" s="451"/>
      <c r="H153" s="451"/>
      <c r="I153" s="451"/>
      <c r="L153" s="452"/>
    </row>
    <row r="154" spans="1:15">
      <c r="A154" t="str">
        <f>nmReg1</f>
        <v>The Region</v>
      </c>
      <c r="E154" s="451">
        <f t="shared" ref="E154:I157" si="22">$L154</f>
        <v>485.75393600000001</v>
      </c>
      <c r="F154" s="451">
        <f t="shared" si="22"/>
        <v>485.75393600000001</v>
      </c>
      <c r="G154" s="451">
        <f t="shared" si="22"/>
        <v>485.75393600000001</v>
      </c>
      <c r="H154" s="451">
        <f t="shared" si="22"/>
        <v>485.75393600000001</v>
      </c>
      <c r="I154" s="451">
        <f t="shared" si="22"/>
        <v>485.75393600000001</v>
      </c>
      <c r="J154" s="465" t="s">
        <v>1198</v>
      </c>
      <c r="K154" s="465"/>
      <c r="L154" s="452">
        <f>SUM(M154:O154)</f>
        <v>485.75393600000001</v>
      </c>
      <c r="M154" s="452">
        <f>INDEX(dataReg1Seg1Payer3Volume,,xxRound+1)</f>
        <v>178.14719999999997</v>
      </c>
      <c r="N154" s="452">
        <f>INDEX(dataReg1Seg2Payer3Volume,,xxRound+1)</f>
        <v>146.11248000000001</v>
      </c>
      <c r="O154" s="452">
        <f>INDEX(dataReg1Seg3Payer3Volume,,xxRound+1)</f>
        <v>161.49425600000001</v>
      </c>
    </row>
    <row r="155" spans="1:15">
      <c r="A155" t="str">
        <f>nmReg1Seg1</f>
        <v>Riverrun</v>
      </c>
      <c r="E155" s="451">
        <f t="shared" si="22"/>
        <v>178.14719999999997</v>
      </c>
      <c r="F155" s="451">
        <f t="shared" si="22"/>
        <v>178.14719999999997</v>
      </c>
      <c r="G155" s="451">
        <f t="shared" si="22"/>
        <v>178.14719999999997</v>
      </c>
      <c r="H155" s="451">
        <f t="shared" si="22"/>
        <v>178.14719999999997</v>
      </c>
      <c r="I155" s="451">
        <f t="shared" si="22"/>
        <v>178.14719999999997</v>
      </c>
      <c r="J155" s="465" t="s">
        <v>1199</v>
      </c>
      <c r="K155" s="465"/>
      <c r="L155" s="452">
        <f>INDEX(dataReg1Seg1Payer3Volume,,xxRound+1)</f>
        <v>178.14719999999997</v>
      </c>
    </row>
    <row r="156" spans="1:15">
      <c r="A156" t="str">
        <f>nmReg1Seg2</f>
        <v>Winterfell</v>
      </c>
      <c r="E156" s="451">
        <f t="shared" si="22"/>
        <v>146.11248000000001</v>
      </c>
      <c r="F156" s="451">
        <f t="shared" si="22"/>
        <v>146.11248000000001</v>
      </c>
      <c r="G156" s="451">
        <f t="shared" si="22"/>
        <v>146.11248000000001</v>
      </c>
      <c r="H156" s="451">
        <f t="shared" si="22"/>
        <v>146.11248000000001</v>
      </c>
      <c r="I156" s="451">
        <f t="shared" si="22"/>
        <v>146.11248000000001</v>
      </c>
      <c r="J156" s="465" t="s">
        <v>1200</v>
      </c>
      <c r="K156" s="465"/>
      <c r="L156" s="452">
        <f>INDEX(dataReg1Seg2Payer3Volume,,xxRound+1)</f>
        <v>146.11248000000001</v>
      </c>
    </row>
    <row r="157" spans="1:15">
      <c r="A157" t="str">
        <f>nmReg1Seg3</f>
        <v>Harrenhal</v>
      </c>
      <c r="E157" s="451">
        <f t="shared" si="22"/>
        <v>161.49425600000001</v>
      </c>
      <c r="F157" s="451">
        <f t="shared" si="22"/>
        <v>161.49425600000001</v>
      </c>
      <c r="G157" s="451">
        <f t="shared" si="22"/>
        <v>161.49425600000001</v>
      </c>
      <c r="H157" s="451">
        <f t="shared" si="22"/>
        <v>161.49425600000001</v>
      </c>
      <c r="I157" s="451">
        <f t="shared" si="22"/>
        <v>161.49425600000001</v>
      </c>
      <c r="J157" s="465" t="s">
        <v>1201</v>
      </c>
      <c r="K157" s="465"/>
      <c r="L157" s="452">
        <f>INDEX(dataReg1Seg3Payer3Volume,,xxRound+1)</f>
        <v>161.49425600000001</v>
      </c>
    </row>
    <row r="158" spans="1:15">
      <c r="E158" s="451"/>
      <c r="F158" s="451"/>
      <c r="G158" s="451"/>
      <c r="H158" s="451"/>
      <c r="I158" s="451"/>
      <c r="L158" s="452"/>
    </row>
    <row r="159" spans="1:15" s="453" customFormat="1">
      <c r="A159" s="453" t="s">
        <v>1077</v>
      </c>
      <c r="E159" s="454"/>
      <c r="F159" s="454"/>
      <c r="G159" s="454"/>
      <c r="H159" s="454"/>
      <c r="I159" s="454"/>
      <c r="L159" s="455"/>
    </row>
    <row r="160" spans="1:15">
      <c r="A160" s="444" t="s">
        <v>841</v>
      </c>
      <c r="L160" s="123"/>
    </row>
    <row r="161" spans="1:12">
      <c r="A161" s="16" t="str">
        <f>nmProd1</f>
        <v>Riverrun</v>
      </c>
      <c r="E161" s="442">
        <f t="shared" ref="E161:I164" si="23">$L161</f>
        <v>3.2236400268636669E-3</v>
      </c>
      <c r="F161" s="442">
        <f t="shared" si="23"/>
        <v>3.2236400268636669E-3</v>
      </c>
      <c r="G161" s="442">
        <f t="shared" si="23"/>
        <v>3.2236400268636669E-3</v>
      </c>
      <c r="H161" s="442">
        <f t="shared" si="23"/>
        <v>3.2236400268636669E-3</v>
      </c>
      <c r="I161" s="442">
        <f t="shared" si="23"/>
        <v>3.2236400268636669E-3</v>
      </c>
      <c r="J161" t="s">
        <v>855</v>
      </c>
      <c r="L161" s="443">
        <f>INDEX(dataProd1ActualShare,,xxRound+1)</f>
        <v>3.2236400268636669E-3</v>
      </c>
    </row>
    <row r="162" spans="1:12">
      <c r="A162" t="str">
        <f>nmProd1Seg1</f>
        <v>Riverrun Central</v>
      </c>
      <c r="E162" s="442">
        <f t="shared" si="23"/>
        <v>3.2000000000000002E-3</v>
      </c>
      <c r="F162" s="442">
        <f t="shared" si="23"/>
        <v>3.2000000000000002E-3</v>
      </c>
      <c r="G162" s="442">
        <f t="shared" si="23"/>
        <v>3.2000000000000002E-3</v>
      </c>
      <c r="H162" s="442">
        <f t="shared" si="23"/>
        <v>3.2000000000000002E-3</v>
      </c>
      <c r="I162" s="442">
        <f t="shared" si="23"/>
        <v>3.2000000000000002E-3</v>
      </c>
      <c r="J162" t="s">
        <v>856</v>
      </c>
      <c r="L162" s="443">
        <f>INDEX(dataProd1Seg1ActualShare,,xxRound+1)</f>
        <v>3.2000000000000002E-3</v>
      </c>
    </row>
    <row r="163" spans="1:12">
      <c r="A163" t="str">
        <f>nmProd1Seg2</f>
        <v>Tullyville</v>
      </c>
      <c r="E163" s="442">
        <f t="shared" si="23"/>
        <v>3.3333333333333335E-3</v>
      </c>
      <c r="F163" s="442">
        <f t="shared" si="23"/>
        <v>3.3333333333333335E-3</v>
      </c>
      <c r="G163" s="442">
        <f t="shared" si="23"/>
        <v>3.3333333333333335E-3</v>
      </c>
      <c r="H163" s="442">
        <f t="shared" si="23"/>
        <v>3.3333333333333335E-3</v>
      </c>
      <c r="I163" s="442">
        <f t="shared" si="23"/>
        <v>3.3333333333333335E-3</v>
      </c>
      <c r="J163" t="s">
        <v>857</v>
      </c>
      <c r="L163" s="443">
        <f>INDEX(dataProd1Seg2ActualShare,,xxRound+1)</f>
        <v>3.3333333333333335E-3</v>
      </c>
    </row>
    <row r="164" spans="1:12">
      <c r="A164" t="str">
        <f>nmProd1Seg3</f>
        <v>Lordfrey City</v>
      </c>
      <c r="E164" s="442">
        <f t="shared" si="23"/>
        <v>3.116883116883116E-3</v>
      </c>
      <c r="F164" s="442">
        <f t="shared" si="23"/>
        <v>3.116883116883116E-3</v>
      </c>
      <c r="G164" s="442">
        <f t="shared" si="23"/>
        <v>3.116883116883116E-3</v>
      </c>
      <c r="H164" s="442">
        <f t="shared" si="23"/>
        <v>3.116883116883116E-3</v>
      </c>
      <c r="I164" s="442">
        <f t="shared" si="23"/>
        <v>3.116883116883116E-3</v>
      </c>
      <c r="J164" t="s">
        <v>858</v>
      </c>
      <c r="L164" s="443">
        <f>INDEX(dataProd1Seg3ActualShare,,xxRound+1)</f>
        <v>3.116883116883116E-3</v>
      </c>
    </row>
    <row r="165" spans="1:12">
      <c r="E165" s="442"/>
      <c r="F165" s="442"/>
      <c r="G165" s="442"/>
      <c r="H165" s="442"/>
      <c r="I165" s="442"/>
      <c r="L165" s="443"/>
    </row>
    <row r="166" spans="1:12">
      <c r="A166" s="4" t="s">
        <v>861</v>
      </c>
      <c r="L166" s="123"/>
    </row>
    <row r="167" spans="1:12">
      <c r="A167" s="16" t="str">
        <f>nmProd1</f>
        <v>Riverrun</v>
      </c>
      <c r="E167" s="442">
        <f>$L167</f>
        <v>3.2236400268636669E-3</v>
      </c>
      <c r="F167" s="442">
        <f>$L167</f>
        <v>3.2236400268636669E-3</v>
      </c>
      <c r="G167" s="442">
        <f>$L167</f>
        <v>3.2236400268636669E-3</v>
      </c>
      <c r="H167" s="442">
        <f>$L167</f>
        <v>3.2236400268636669E-3</v>
      </c>
      <c r="I167" s="442">
        <f>$L167</f>
        <v>3.2236400268636669E-3</v>
      </c>
      <c r="J167" t="s">
        <v>866</v>
      </c>
      <c r="L167" s="443">
        <f>INDEX(dataProd1ActualShare,,xxRound+1)</f>
        <v>3.2236400268636669E-3</v>
      </c>
    </row>
    <row r="168" spans="1:12">
      <c r="A168" t="str">
        <f>nmProd1Seg1</f>
        <v>Riverrun Central</v>
      </c>
      <c r="E168" s="442">
        <f t="shared" ref="E168:I170" si="24">$L168</f>
        <v>3.2000000000000002E-3</v>
      </c>
      <c r="F168" s="442">
        <f t="shared" si="24"/>
        <v>3.2000000000000002E-3</v>
      </c>
      <c r="G168" s="442">
        <f t="shared" si="24"/>
        <v>3.2000000000000002E-3</v>
      </c>
      <c r="H168" s="442">
        <f t="shared" si="24"/>
        <v>3.2000000000000002E-3</v>
      </c>
      <c r="I168" s="442">
        <f t="shared" si="24"/>
        <v>3.2000000000000002E-3</v>
      </c>
      <c r="J168" t="s">
        <v>867</v>
      </c>
      <c r="L168" s="443">
        <f>INDEX(dataProd1Seg1ActualShare,,xxRound+1)</f>
        <v>3.2000000000000002E-3</v>
      </c>
    </row>
    <row r="169" spans="1:12">
      <c r="A169" t="str">
        <f>nmProd1Seg2</f>
        <v>Tullyville</v>
      </c>
      <c r="E169" s="442">
        <f t="shared" si="24"/>
        <v>3.3333333333333335E-3</v>
      </c>
      <c r="F169" s="442">
        <f t="shared" si="24"/>
        <v>3.3333333333333335E-3</v>
      </c>
      <c r="G169" s="442">
        <f t="shared" si="24"/>
        <v>3.3333333333333335E-3</v>
      </c>
      <c r="H169" s="442">
        <f t="shared" si="24"/>
        <v>3.3333333333333335E-3</v>
      </c>
      <c r="I169" s="442">
        <f t="shared" si="24"/>
        <v>3.3333333333333335E-3</v>
      </c>
      <c r="J169" t="s">
        <v>868</v>
      </c>
      <c r="L169" s="443">
        <f>INDEX(dataProd1Seg2ActualShare,,xxRound+1)</f>
        <v>3.3333333333333335E-3</v>
      </c>
    </row>
    <row r="170" spans="1:12">
      <c r="A170" t="str">
        <f>nmProd1Seg3</f>
        <v>Lordfrey City</v>
      </c>
      <c r="E170" s="442">
        <f t="shared" si="24"/>
        <v>3.116883116883116E-3</v>
      </c>
      <c r="F170" s="442">
        <f t="shared" si="24"/>
        <v>3.116883116883116E-3</v>
      </c>
      <c r="G170" s="442">
        <f t="shared" si="24"/>
        <v>3.116883116883116E-3</v>
      </c>
      <c r="H170" s="442">
        <f t="shared" si="24"/>
        <v>3.116883116883116E-3</v>
      </c>
      <c r="I170" s="442">
        <f t="shared" si="24"/>
        <v>3.116883116883116E-3</v>
      </c>
      <c r="J170" t="s">
        <v>869</v>
      </c>
      <c r="L170" s="443">
        <f>INDEX(dataProd1Seg3ActualShare,,xxRound+1)</f>
        <v>3.116883116883116E-3</v>
      </c>
    </row>
    <row r="171" spans="1:12">
      <c r="L171" s="123"/>
    </row>
    <row r="172" spans="1:12">
      <c r="A172" s="4" t="s">
        <v>757</v>
      </c>
      <c r="E172" s="442"/>
      <c r="F172" s="442"/>
      <c r="G172" s="442"/>
      <c r="H172" s="442"/>
      <c r="I172" s="442"/>
      <c r="L172" s="443"/>
    </row>
    <row r="173" spans="1:12">
      <c r="A173" s="4" t="str">
        <f>nmComp1</f>
        <v>Vibrant</v>
      </c>
      <c r="E173" s="442"/>
      <c r="F173" s="442"/>
      <c r="G173" s="442"/>
      <c r="H173" s="442"/>
      <c r="I173" s="442"/>
      <c r="L173" s="443"/>
    </row>
    <row r="174" spans="1:12">
      <c r="A174" s="4" t="str">
        <f>nmProd1</f>
        <v>Riverrun</v>
      </c>
      <c r="E174" s="442">
        <f>$L174</f>
        <v>9.2679650772330407E-3</v>
      </c>
      <c r="F174" s="442">
        <f t="shared" ref="F174:I195" si="25">$L174</f>
        <v>9.2679650772330407E-3</v>
      </c>
      <c r="G174" s="442">
        <f t="shared" si="25"/>
        <v>9.2679650772330407E-3</v>
      </c>
      <c r="H174" s="442">
        <f t="shared" si="25"/>
        <v>9.2679650772330407E-3</v>
      </c>
      <c r="I174" s="442">
        <f t="shared" si="25"/>
        <v>9.2679650772330407E-3</v>
      </c>
      <c r="J174" t="s">
        <v>1009</v>
      </c>
      <c r="L174" s="443">
        <f>INDEX(dataProd1Comp1ActualShare,,xxRound+1)</f>
        <v>9.2679650772330407E-3</v>
      </c>
    </row>
    <row r="175" spans="1:12">
      <c r="A175" t="str">
        <f>nmProd1Seg1</f>
        <v>Riverrun Central</v>
      </c>
      <c r="E175" s="442">
        <f>$L175</f>
        <v>9.1999999999999998E-3</v>
      </c>
      <c r="F175" s="442">
        <f t="shared" si="25"/>
        <v>9.1999999999999998E-3</v>
      </c>
      <c r="G175" s="442">
        <f t="shared" si="25"/>
        <v>9.1999999999999998E-3</v>
      </c>
      <c r="H175" s="442">
        <f t="shared" si="25"/>
        <v>9.1999999999999998E-3</v>
      </c>
      <c r="I175" s="442">
        <f t="shared" si="25"/>
        <v>9.1999999999999998E-3</v>
      </c>
      <c r="J175" t="s">
        <v>1010</v>
      </c>
      <c r="L175" s="443">
        <f>INDEX(dataProd1Seg1Comp1ActualShare,,xxRound+1)</f>
        <v>9.1999999999999998E-3</v>
      </c>
    </row>
    <row r="176" spans="1:12">
      <c r="A176" t="str">
        <f>nmProd1Seg2</f>
        <v>Tullyville</v>
      </c>
      <c r="E176" s="442">
        <f>$L176</f>
        <v>9.5833333333333343E-3</v>
      </c>
      <c r="F176" s="442">
        <f t="shared" si="25"/>
        <v>9.5833333333333343E-3</v>
      </c>
      <c r="G176" s="442">
        <f t="shared" si="25"/>
        <v>9.5833333333333343E-3</v>
      </c>
      <c r="H176" s="442">
        <f t="shared" si="25"/>
        <v>9.5833333333333343E-3</v>
      </c>
      <c r="I176" s="442">
        <f t="shared" si="25"/>
        <v>9.5833333333333343E-3</v>
      </c>
      <c r="J176" t="s">
        <v>1011</v>
      </c>
      <c r="L176" s="443">
        <f>INDEX(dataProd1Seg2Comp1ActualShare,,xxRound+1)</f>
        <v>9.5833333333333343E-3</v>
      </c>
    </row>
    <row r="177" spans="1:12">
      <c r="A177" t="str">
        <f>nmProd1Seg3</f>
        <v>Lordfrey City</v>
      </c>
      <c r="E177" s="442">
        <f>$L177</f>
        <v>8.9610389610389578E-3</v>
      </c>
      <c r="F177" s="442">
        <f t="shared" si="25"/>
        <v>8.9610389610389578E-3</v>
      </c>
      <c r="G177" s="442">
        <f t="shared" si="25"/>
        <v>8.9610389610389578E-3</v>
      </c>
      <c r="H177" s="442">
        <f t="shared" si="25"/>
        <v>8.9610389610389578E-3</v>
      </c>
      <c r="I177" s="442">
        <f t="shared" si="25"/>
        <v>8.9610389610389578E-3</v>
      </c>
      <c r="J177" t="s">
        <v>1012</v>
      </c>
      <c r="L177" s="443">
        <f>INDEX(dataProd1Seg3Comp1ActualShare,,xxRound+1)</f>
        <v>8.9610389610389578E-3</v>
      </c>
    </row>
    <row r="178" spans="1:12">
      <c r="E178" s="442"/>
      <c r="F178" s="442"/>
      <c r="G178" s="442"/>
      <c r="H178" s="442"/>
      <c r="I178" s="442"/>
      <c r="L178" s="443"/>
    </row>
    <row r="179" spans="1:12">
      <c r="A179" s="4" t="s">
        <v>861</v>
      </c>
      <c r="L179" s="123"/>
    </row>
    <row r="180" spans="1:12">
      <c r="A180" s="4" t="str">
        <f>nmProd1</f>
        <v>Riverrun</v>
      </c>
      <c r="E180" s="442">
        <f>$L180</f>
        <v>9.2679650772330407E-3</v>
      </c>
      <c r="F180" s="442">
        <f t="shared" si="25"/>
        <v>9.2679650772330407E-3</v>
      </c>
      <c r="G180" s="442">
        <f t="shared" si="25"/>
        <v>9.2679650772330407E-3</v>
      </c>
      <c r="H180" s="442">
        <f t="shared" si="25"/>
        <v>9.2679650772330407E-3</v>
      </c>
      <c r="I180" s="442">
        <f t="shared" si="25"/>
        <v>9.2679650772330407E-3</v>
      </c>
      <c r="J180" t="s">
        <v>1013</v>
      </c>
      <c r="L180" s="443">
        <f>INDEX(dataProd1Comp1ActualShare,,xxRound+1)</f>
        <v>9.2679650772330407E-3</v>
      </c>
    </row>
    <row r="181" spans="1:12">
      <c r="A181" t="str">
        <f>nmProd1Seg1</f>
        <v>Riverrun Central</v>
      </c>
      <c r="E181" s="442">
        <f>$L181</f>
        <v>9.1999999999999998E-3</v>
      </c>
      <c r="F181" s="442">
        <f t="shared" si="25"/>
        <v>9.1999999999999998E-3</v>
      </c>
      <c r="G181" s="442">
        <f t="shared" si="25"/>
        <v>9.1999999999999998E-3</v>
      </c>
      <c r="H181" s="442">
        <f t="shared" si="25"/>
        <v>9.1999999999999998E-3</v>
      </c>
      <c r="I181" s="442">
        <f t="shared" si="25"/>
        <v>9.1999999999999998E-3</v>
      </c>
      <c r="J181" t="s">
        <v>1014</v>
      </c>
      <c r="L181" s="443">
        <f>INDEX(dataProd1Seg1Comp1ActualShare,,xxRound+1)</f>
        <v>9.1999999999999998E-3</v>
      </c>
    </row>
    <row r="182" spans="1:12">
      <c r="A182" t="str">
        <f>nmProd1Seg2</f>
        <v>Tullyville</v>
      </c>
      <c r="E182" s="442">
        <f>$L182</f>
        <v>9.5833333333333343E-3</v>
      </c>
      <c r="F182" s="442">
        <f t="shared" si="25"/>
        <v>9.5833333333333343E-3</v>
      </c>
      <c r="G182" s="442">
        <f t="shared" si="25"/>
        <v>9.5833333333333343E-3</v>
      </c>
      <c r="H182" s="442">
        <f t="shared" si="25"/>
        <v>9.5833333333333343E-3</v>
      </c>
      <c r="I182" s="442">
        <f t="shared" si="25"/>
        <v>9.5833333333333343E-3</v>
      </c>
      <c r="J182" t="s">
        <v>1015</v>
      </c>
      <c r="L182" s="443">
        <f>INDEX(dataProd1Seg2Comp1ActualShare,,xxRound+1)</f>
        <v>9.5833333333333343E-3</v>
      </c>
    </row>
    <row r="183" spans="1:12">
      <c r="A183" t="str">
        <f>nmProd1Seg3</f>
        <v>Lordfrey City</v>
      </c>
      <c r="E183" s="442">
        <f>$L183</f>
        <v>8.9610389610389578E-3</v>
      </c>
      <c r="F183" s="442">
        <f t="shared" si="25"/>
        <v>8.9610389610389578E-3</v>
      </c>
      <c r="G183" s="442">
        <f t="shared" si="25"/>
        <v>8.9610389610389578E-3</v>
      </c>
      <c r="H183" s="442">
        <f t="shared" si="25"/>
        <v>8.9610389610389578E-3</v>
      </c>
      <c r="I183" s="442">
        <f t="shared" si="25"/>
        <v>8.9610389610389578E-3</v>
      </c>
      <c r="J183" t="s">
        <v>1016</v>
      </c>
      <c r="L183" s="443">
        <f>INDEX(dataProd1Seg3Comp1ActualShare,,xxRound+1)</f>
        <v>8.9610389610389578E-3</v>
      </c>
    </row>
    <row r="184" spans="1:12">
      <c r="E184" s="442"/>
      <c r="F184" s="442"/>
      <c r="G184" s="442"/>
      <c r="H184" s="442"/>
      <c r="I184" s="442"/>
      <c r="L184" s="443"/>
    </row>
    <row r="185" spans="1:12">
      <c r="A185" s="4" t="str">
        <f>nmComp2</f>
        <v>Pristine</v>
      </c>
      <c r="E185" s="442"/>
      <c r="F185" s="442"/>
      <c r="G185" s="442"/>
      <c r="H185" s="442"/>
      <c r="I185" s="442"/>
      <c r="L185" s="443"/>
    </row>
    <row r="186" spans="1:12">
      <c r="A186" s="4" t="str">
        <f>nmProd1</f>
        <v>Riverrun</v>
      </c>
      <c r="E186" s="442">
        <f>$L186</f>
        <v>2.4714573539288114E-2</v>
      </c>
      <c r="F186" s="442">
        <f t="shared" si="25"/>
        <v>2.4714573539288114E-2</v>
      </c>
      <c r="G186" s="442">
        <f t="shared" si="25"/>
        <v>2.4714573539288114E-2</v>
      </c>
      <c r="H186" s="442">
        <f t="shared" si="25"/>
        <v>2.4714573539288114E-2</v>
      </c>
      <c r="I186" s="442">
        <f t="shared" si="25"/>
        <v>2.4714573539288114E-2</v>
      </c>
      <c r="J186" t="s">
        <v>1017</v>
      </c>
      <c r="L186" s="443">
        <f>INDEX(dataProd1Comp2ActualShare,,xxRound+1)</f>
        <v>2.4714573539288114E-2</v>
      </c>
    </row>
    <row r="187" spans="1:12">
      <c r="A187" t="str">
        <f>nmProd1Seg1</f>
        <v>Riverrun Central</v>
      </c>
      <c r="E187" s="442">
        <f>$L187</f>
        <v>2.4533333333333334E-2</v>
      </c>
      <c r="F187" s="442">
        <f t="shared" si="25"/>
        <v>2.4533333333333334E-2</v>
      </c>
      <c r="G187" s="442">
        <f t="shared" si="25"/>
        <v>2.4533333333333334E-2</v>
      </c>
      <c r="H187" s="442">
        <f t="shared" si="25"/>
        <v>2.4533333333333334E-2</v>
      </c>
      <c r="I187" s="442">
        <f t="shared" si="25"/>
        <v>2.4533333333333334E-2</v>
      </c>
      <c r="J187" t="s">
        <v>1018</v>
      </c>
      <c r="L187" s="443">
        <f>INDEX(dataProd1Seg1Comp2ActualShare,,xxRound+1)</f>
        <v>2.4533333333333334E-2</v>
      </c>
    </row>
    <row r="188" spans="1:12">
      <c r="A188" t="str">
        <f>nmProd1Seg2</f>
        <v>Tullyville</v>
      </c>
      <c r="E188" s="442">
        <f>$L188</f>
        <v>2.5555555555555557E-2</v>
      </c>
      <c r="F188" s="442">
        <f t="shared" si="25"/>
        <v>2.5555555555555557E-2</v>
      </c>
      <c r="G188" s="442">
        <f t="shared" si="25"/>
        <v>2.5555555555555557E-2</v>
      </c>
      <c r="H188" s="442">
        <f t="shared" si="25"/>
        <v>2.5555555555555557E-2</v>
      </c>
      <c r="I188" s="442">
        <f t="shared" si="25"/>
        <v>2.5555555555555557E-2</v>
      </c>
      <c r="J188" t="s">
        <v>1019</v>
      </c>
      <c r="L188" s="443">
        <f>INDEX(dataProd1Seg2Comp2ActualShare,,xxRound+1)</f>
        <v>2.5555555555555557E-2</v>
      </c>
    </row>
    <row r="189" spans="1:12">
      <c r="A189" t="str">
        <f>nmProd1Seg3</f>
        <v>Lordfrey City</v>
      </c>
      <c r="E189" s="442">
        <f>$L189</f>
        <v>2.3896103896103894E-2</v>
      </c>
      <c r="F189" s="442">
        <f t="shared" si="25"/>
        <v>2.3896103896103894E-2</v>
      </c>
      <c r="G189" s="442">
        <f t="shared" si="25"/>
        <v>2.3896103896103894E-2</v>
      </c>
      <c r="H189" s="442">
        <f t="shared" si="25"/>
        <v>2.3896103896103894E-2</v>
      </c>
      <c r="I189" s="442">
        <f t="shared" si="25"/>
        <v>2.3896103896103894E-2</v>
      </c>
      <c r="J189" t="s">
        <v>1020</v>
      </c>
      <c r="L189" s="443">
        <f>INDEX(dataProd1Seg3Comp2ActualShare,,xxRound+1)</f>
        <v>2.3896103896103894E-2</v>
      </c>
    </row>
    <row r="190" spans="1:12">
      <c r="E190" s="442"/>
      <c r="F190" s="442"/>
      <c r="G190" s="442"/>
      <c r="H190" s="442"/>
      <c r="I190" s="442"/>
      <c r="L190" s="443"/>
    </row>
    <row r="191" spans="1:12">
      <c r="A191" s="4" t="s">
        <v>861</v>
      </c>
      <c r="L191" s="123"/>
    </row>
    <row r="192" spans="1:12">
      <c r="A192" s="4" t="str">
        <f>nmProd1</f>
        <v>Riverrun</v>
      </c>
      <c r="E192" s="442">
        <f>$L192</f>
        <v>2.4714573539288114E-2</v>
      </c>
      <c r="F192" s="442">
        <f t="shared" si="25"/>
        <v>2.4714573539288114E-2</v>
      </c>
      <c r="G192" s="442">
        <f t="shared" si="25"/>
        <v>2.4714573539288114E-2</v>
      </c>
      <c r="H192" s="442">
        <f t="shared" si="25"/>
        <v>2.4714573539288114E-2</v>
      </c>
      <c r="I192" s="442">
        <f t="shared" si="25"/>
        <v>2.4714573539288114E-2</v>
      </c>
      <c r="J192" t="s">
        <v>1021</v>
      </c>
      <c r="L192" s="443">
        <f>INDEX(dataProd1Comp2ActualShare,,xxRound+1)</f>
        <v>2.4714573539288114E-2</v>
      </c>
    </row>
    <row r="193" spans="1:12">
      <c r="A193" t="str">
        <f>nmProd1Seg1</f>
        <v>Riverrun Central</v>
      </c>
      <c r="E193" s="442">
        <f>$L193</f>
        <v>2.4533333333333334E-2</v>
      </c>
      <c r="F193" s="442">
        <f t="shared" si="25"/>
        <v>2.4533333333333334E-2</v>
      </c>
      <c r="G193" s="442">
        <f t="shared" si="25"/>
        <v>2.4533333333333334E-2</v>
      </c>
      <c r="H193" s="442">
        <f t="shared" si="25"/>
        <v>2.4533333333333334E-2</v>
      </c>
      <c r="I193" s="442">
        <f t="shared" si="25"/>
        <v>2.4533333333333334E-2</v>
      </c>
      <c r="J193" t="s">
        <v>1022</v>
      </c>
      <c r="L193" s="443">
        <f>INDEX(dataProd1Seg1Comp2ActualShare,,xxRound+1)</f>
        <v>2.4533333333333334E-2</v>
      </c>
    </row>
    <row r="194" spans="1:12">
      <c r="A194" t="str">
        <f>nmProd1Seg2</f>
        <v>Tullyville</v>
      </c>
      <c r="E194" s="442">
        <f>$L194</f>
        <v>2.5555555555555557E-2</v>
      </c>
      <c r="F194" s="442">
        <f t="shared" si="25"/>
        <v>2.5555555555555557E-2</v>
      </c>
      <c r="G194" s="442">
        <f t="shared" si="25"/>
        <v>2.5555555555555557E-2</v>
      </c>
      <c r="H194" s="442">
        <f t="shared" si="25"/>
        <v>2.5555555555555557E-2</v>
      </c>
      <c r="I194" s="442">
        <f t="shared" si="25"/>
        <v>2.5555555555555557E-2</v>
      </c>
      <c r="J194" t="s">
        <v>1023</v>
      </c>
      <c r="L194" s="443">
        <f>INDEX(dataProd1Seg2Comp2ActualShare,,xxRound+1)</f>
        <v>2.5555555555555557E-2</v>
      </c>
    </row>
    <row r="195" spans="1:12">
      <c r="A195" t="str">
        <f>nmProd1Seg3</f>
        <v>Lordfrey City</v>
      </c>
      <c r="E195" s="442">
        <f>$L195</f>
        <v>2.3896103896103894E-2</v>
      </c>
      <c r="F195" s="442">
        <f t="shared" si="25"/>
        <v>2.3896103896103894E-2</v>
      </c>
      <c r="G195" s="442">
        <f t="shared" si="25"/>
        <v>2.3896103896103894E-2</v>
      </c>
      <c r="H195" s="442">
        <f t="shared" si="25"/>
        <v>2.3896103896103894E-2</v>
      </c>
      <c r="I195" s="442">
        <f t="shared" si="25"/>
        <v>2.3896103896103894E-2</v>
      </c>
      <c r="J195" t="s">
        <v>1024</v>
      </c>
      <c r="L195" s="443">
        <f>INDEX(dataProd1Seg3Comp2ActualShare,,xxRound+1)</f>
        <v>2.3896103896103894E-2</v>
      </c>
    </row>
    <row r="196" spans="1:12">
      <c r="E196" s="442"/>
      <c r="F196" s="442"/>
      <c r="G196" s="442"/>
      <c r="H196" s="442"/>
      <c r="I196" s="442"/>
      <c r="L196" s="443"/>
    </row>
    <row r="197" spans="1:12">
      <c r="A197" s="444" t="s">
        <v>1057</v>
      </c>
      <c r="B197" s="138"/>
      <c r="C197" s="138"/>
      <c r="D197" s="138"/>
      <c r="E197" s="139"/>
      <c r="F197" s="139"/>
      <c r="G197" s="139"/>
      <c r="H197" s="139"/>
      <c r="I197" s="139"/>
      <c r="L197" s="123"/>
    </row>
    <row r="198" spans="1:12">
      <c r="A198" s="4" t="str">
        <f>nmProd1</f>
        <v>Riverrun</v>
      </c>
      <c r="E198" s="451">
        <f>$L198</f>
        <v>323.904</v>
      </c>
      <c r="F198" s="451">
        <f t="shared" ref="F198:I207" si="26">$L198</f>
        <v>323.904</v>
      </c>
      <c r="G198" s="451">
        <f t="shared" si="26"/>
        <v>323.904</v>
      </c>
      <c r="H198" s="451">
        <f t="shared" si="26"/>
        <v>323.904</v>
      </c>
      <c r="I198" s="451">
        <f t="shared" si="26"/>
        <v>323.904</v>
      </c>
      <c r="J198" t="s">
        <v>1069</v>
      </c>
      <c r="L198" s="452">
        <f>INDEX(dataProd1TotalVolume,,xxRound+1)</f>
        <v>323.904</v>
      </c>
    </row>
    <row r="199" spans="1:12">
      <c r="A199" t="str">
        <f>nmProd1Seg1</f>
        <v>Riverrun Central</v>
      </c>
      <c r="E199" s="451">
        <f>$L199</f>
        <v>129.5616</v>
      </c>
      <c r="F199" s="451">
        <f t="shared" si="26"/>
        <v>129.5616</v>
      </c>
      <c r="G199" s="451">
        <f t="shared" si="26"/>
        <v>129.5616</v>
      </c>
      <c r="H199" s="451">
        <f t="shared" si="26"/>
        <v>129.5616</v>
      </c>
      <c r="I199" s="451">
        <f t="shared" si="26"/>
        <v>129.5616</v>
      </c>
      <c r="J199" t="s">
        <v>1070</v>
      </c>
      <c r="L199" s="452">
        <f>INDEX(dataProd1Seg1TotalVolume,,xxRound+1)</f>
        <v>129.5616</v>
      </c>
    </row>
    <row r="200" spans="1:12">
      <c r="A200" t="str">
        <f>nmProd1Seg2</f>
        <v>Tullyville</v>
      </c>
      <c r="E200" s="451">
        <f>$L200</f>
        <v>113.3664</v>
      </c>
      <c r="F200" s="451">
        <f t="shared" si="26"/>
        <v>113.3664</v>
      </c>
      <c r="G200" s="451">
        <f t="shared" si="26"/>
        <v>113.3664</v>
      </c>
      <c r="H200" s="451">
        <f t="shared" si="26"/>
        <v>113.3664</v>
      </c>
      <c r="I200" s="451">
        <f t="shared" si="26"/>
        <v>113.3664</v>
      </c>
      <c r="J200" t="s">
        <v>1071</v>
      </c>
      <c r="L200" s="452">
        <f>INDEX(dataProd1Seg2TotalVolume,,xxRound+1)</f>
        <v>113.3664</v>
      </c>
    </row>
    <row r="201" spans="1:12">
      <c r="A201" t="str">
        <f>nmProd1Seg3</f>
        <v>Lordfrey City</v>
      </c>
      <c r="E201" s="451">
        <f>$L201</f>
        <v>80.975999999999985</v>
      </c>
      <c r="F201" s="451">
        <f t="shared" si="26"/>
        <v>80.975999999999985</v>
      </c>
      <c r="G201" s="451">
        <f t="shared" si="26"/>
        <v>80.975999999999985</v>
      </c>
      <c r="H201" s="451">
        <f t="shared" si="26"/>
        <v>80.975999999999985</v>
      </c>
      <c r="I201" s="451">
        <f t="shared" si="26"/>
        <v>80.975999999999985</v>
      </c>
      <c r="J201" t="s">
        <v>1072</v>
      </c>
      <c r="L201" s="452">
        <f>INDEX(dataProd1Seg3TotalVolume,,xxRound+1)</f>
        <v>80.975999999999985</v>
      </c>
    </row>
    <row r="202" spans="1:12">
      <c r="E202" s="442"/>
      <c r="F202" s="442"/>
      <c r="G202" s="442"/>
      <c r="H202" s="442"/>
      <c r="I202" s="442"/>
      <c r="L202" s="443"/>
    </row>
    <row r="203" spans="1:12">
      <c r="A203" s="4" t="s">
        <v>1066</v>
      </c>
      <c r="E203" s="442"/>
      <c r="F203" s="442"/>
      <c r="G203" s="442"/>
      <c r="H203" s="442"/>
      <c r="I203" s="442"/>
      <c r="L203" s="443"/>
    </row>
    <row r="204" spans="1:12">
      <c r="A204" s="4" t="str">
        <f>nmProd1</f>
        <v>Riverrun</v>
      </c>
      <c r="E204" s="451">
        <f>$L204</f>
        <v>6.4780800000000003</v>
      </c>
      <c r="F204" s="451">
        <f t="shared" si="26"/>
        <v>6.4780800000000003</v>
      </c>
      <c r="G204" s="451">
        <f t="shared" si="26"/>
        <v>6.4780800000000003</v>
      </c>
      <c r="H204" s="451">
        <f t="shared" si="26"/>
        <v>6.4780800000000003</v>
      </c>
      <c r="I204" s="451">
        <f t="shared" si="26"/>
        <v>6.4780800000000003</v>
      </c>
      <c r="J204" t="s">
        <v>1073</v>
      </c>
      <c r="L204" s="452">
        <f>INDEX(dataProd1NewVolume,,xxRound+1)</f>
        <v>6.4780800000000003</v>
      </c>
    </row>
    <row r="205" spans="1:12">
      <c r="A205" t="str">
        <f>nmProd1Seg1</f>
        <v>Riverrun Central</v>
      </c>
      <c r="E205" s="451">
        <f>$L205</f>
        <v>2.5912319999999998</v>
      </c>
      <c r="F205" s="451">
        <f t="shared" si="26"/>
        <v>2.5912319999999998</v>
      </c>
      <c r="G205" s="451">
        <f t="shared" si="26"/>
        <v>2.5912319999999998</v>
      </c>
      <c r="H205" s="451">
        <f t="shared" si="26"/>
        <v>2.5912319999999998</v>
      </c>
      <c r="I205" s="451">
        <f t="shared" si="26"/>
        <v>2.5912319999999998</v>
      </c>
      <c r="J205" t="s">
        <v>1074</v>
      </c>
      <c r="L205" s="452">
        <f>INDEX(dataProd1Seg1NewCust,,xxRound+1)</f>
        <v>2.5912319999999998</v>
      </c>
    </row>
    <row r="206" spans="1:12">
      <c r="A206" t="str">
        <f>nmProd1Seg2</f>
        <v>Tullyville</v>
      </c>
      <c r="E206" s="451">
        <f>$L206</f>
        <v>2.267328</v>
      </c>
      <c r="F206" s="451">
        <f t="shared" si="26"/>
        <v>2.267328</v>
      </c>
      <c r="G206" s="451">
        <f t="shared" si="26"/>
        <v>2.267328</v>
      </c>
      <c r="H206" s="451">
        <f t="shared" si="26"/>
        <v>2.267328</v>
      </c>
      <c r="I206" s="451">
        <f t="shared" si="26"/>
        <v>2.267328</v>
      </c>
      <c r="J206" t="s">
        <v>1075</v>
      </c>
      <c r="L206" s="452">
        <f>INDEX(dataProd1Seg2NewCust,,xxRound+1)</f>
        <v>2.267328</v>
      </c>
    </row>
    <row r="207" spans="1:12">
      <c r="A207" t="str">
        <f>nmProd1Seg3</f>
        <v>Lordfrey City</v>
      </c>
      <c r="E207" s="451">
        <f>$L207</f>
        <v>1.6195200000000001</v>
      </c>
      <c r="F207" s="451">
        <f t="shared" si="26"/>
        <v>1.6195200000000001</v>
      </c>
      <c r="G207" s="451">
        <f t="shared" si="26"/>
        <v>1.6195200000000001</v>
      </c>
      <c r="H207" s="451">
        <f t="shared" si="26"/>
        <v>1.6195200000000001</v>
      </c>
      <c r="I207" s="451">
        <f t="shared" si="26"/>
        <v>1.6195200000000001</v>
      </c>
      <c r="J207" t="s">
        <v>1076</v>
      </c>
      <c r="L207" s="452">
        <f>INDEX(dataProd1Seg3NewCust,,xxRound+1)</f>
        <v>1.6195200000000001</v>
      </c>
    </row>
    <row r="208" spans="1:12">
      <c r="E208" s="442"/>
      <c r="F208" s="442"/>
      <c r="G208" s="442"/>
      <c r="H208" s="442"/>
      <c r="I208" s="442"/>
      <c r="L208" s="443"/>
    </row>
    <row r="209" spans="1:12">
      <c r="A209" s="4" t="s">
        <v>631</v>
      </c>
      <c r="E209" s="451"/>
      <c r="F209" s="451"/>
      <c r="G209" s="451"/>
      <c r="H209" s="451"/>
      <c r="I209" s="451"/>
      <c r="L209" s="452"/>
    </row>
    <row r="210" spans="1:12">
      <c r="A210" s="4" t="str">
        <f>nmPayer1</f>
        <v>Blue Sword/Blue Shield</v>
      </c>
      <c r="E210" s="451"/>
      <c r="F210" s="451"/>
      <c r="G210" s="451"/>
      <c r="H210" s="451"/>
      <c r="I210" s="451"/>
      <c r="L210" s="452"/>
    </row>
    <row r="211" spans="1:12">
      <c r="A211" t="str">
        <f>nmProd1</f>
        <v>Riverrun</v>
      </c>
      <c r="E211" s="451">
        <f t="shared" ref="E211:I214" si="27">$L211</f>
        <v>39475.800000000003</v>
      </c>
      <c r="F211" s="451">
        <f t="shared" si="27"/>
        <v>39475.800000000003</v>
      </c>
      <c r="G211" s="451">
        <f t="shared" si="27"/>
        <v>39475.800000000003</v>
      </c>
      <c r="H211" s="451">
        <f t="shared" si="27"/>
        <v>39475.800000000003</v>
      </c>
      <c r="I211" s="451">
        <f t="shared" si="27"/>
        <v>39475.800000000003</v>
      </c>
      <c r="J211" t="s">
        <v>1255</v>
      </c>
      <c r="L211" s="452">
        <f>INDEX(dataProd1Payer1TotalVolume,,xxRound+1)</f>
        <v>39475.800000000003</v>
      </c>
    </row>
    <row r="212" spans="1:12">
      <c r="A212" t="str">
        <f>nmProd1Seg1</f>
        <v>Riverrun Central</v>
      </c>
      <c r="E212" s="451">
        <f t="shared" si="27"/>
        <v>17814.72</v>
      </c>
      <c r="F212" s="451">
        <f t="shared" si="27"/>
        <v>17814.72</v>
      </c>
      <c r="G212" s="451">
        <f t="shared" si="27"/>
        <v>17814.72</v>
      </c>
      <c r="H212" s="451">
        <f t="shared" si="27"/>
        <v>17814.72</v>
      </c>
      <c r="I212" s="451">
        <f t="shared" si="27"/>
        <v>17814.72</v>
      </c>
      <c r="J212" t="s">
        <v>1256</v>
      </c>
      <c r="L212" s="452">
        <f>INDEX(dataProd1Seg1Payer1TotalVolume,,xxRound+1)</f>
        <v>17814.72</v>
      </c>
    </row>
    <row r="213" spans="1:12">
      <c r="A213" t="str">
        <f>nmProd1Seg2</f>
        <v>Tullyville</v>
      </c>
      <c r="E213" s="451">
        <f t="shared" si="27"/>
        <v>13226.080000000002</v>
      </c>
      <c r="F213" s="451">
        <f t="shared" si="27"/>
        <v>13226.080000000002</v>
      </c>
      <c r="G213" s="451">
        <f t="shared" si="27"/>
        <v>13226.080000000002</v>
      </c>
      <c r="H213" s="451">
        <f t="shared" si="27"/>
        <v>13226.080000000002</v>
      </c>
      <c r="I213" s="451">
        <f t="shared" si="27"/>
        <v>13226.080000000002</v>
      </c>
      <c r="J213" t="s">
        <v>1257</v>
      </c>
      <c r="L213" s="452">
        <f>INDEX(dataProd1Seg2Payer1TotalVolume,,xxRound+1)</f>
        <v>13226.080000000002</v>
      </c>
    </row>
    <row r="214" spans="1:12">
      <c r="A214" t="str">
        <f>nmProd1Seg3</f>
        <v>Lordfrey City</v>
      </c>
      <c r="E214" s="451">
        <f t="shared" si="27"/>
        <v>8435</v>
      </c>
      <c r="F214" s="451">
        <f t="shared" si="27"/>
        <v>8435</v>
      </c>
      <c r="G214" s="451">
        <f t="shared" si="27"/>
        <v>8435</v>
      </c>
      <c r="H214" s="451">
        <f t="shared" si="27"/>
        <v>8435</v>
      </c>
      <c r="I214" s="451">
        <f t="shared" si="27"/>
        <v>8435</v>
      </c>
      <c r="J214" t="s">
        <v>1258</v>
      </c>
      <c r="L214" s="452">
        <f>INDEX(dataProd1Seg3Payer1TotalVolume,,xxRound+1)</f>
        <v>8435</v>
      </c>
    </row>
    <row r="215" spans="1:12">
      <c r="E215" s="451"/>
      <c r="F215" s="451"/>
      <c r="G215" s="451"/>
      <c r="H215" s="451"/>
      <c r="I215" s="451"/>
      <c r="L215" s="452"/>
    </row>
    <row r="216" spans="1:12">
      <c r="A216" s="4" t="str">
        <f>nmPayer2</f>
        <v>WesterAid</v>
      </c>
      <c r="E216" s="451"/>
      <c r="F216" s="451"/>
      <c r="G216" s="451"/>
      <c r="H216" s="451"/>
      <c r="I216" s="451"/>
      <c r="L216" s="452"/>
    </row>
    <row r="217" spans="1:12">
      <c r="A217" t="str">
        <f>nmProd1</f>
        <v>Riverrun</v>
      </c>
      <c r="E217" s="451">
        <f t="shared" ref="E217:I220" si="28">$L217</f>
        <v>26182.240000000002</v>
      </c>
      <c r="F217" s="451">
        <f t="shared" si="28"/>
        <v>26182.240000000002</v>
      </c>
      <c r="G217" s="451">
        <f t="shared" si="28"/>
        <v>26182.240000000002</v>
      </c>
      <c r="H217" s="451">
        <f t="shared" si="28"/>
        <v>26182.240000000002</v>
      </c>
      <c r="I217" s="451">
        <f t="shared" si="28"/>
        <v>26182.240000000002</v>
      </c>
      <c r="J217" t="s">
        <v>1259</v>
      </c>
      <c r="L217" s="452">
        <f>INDEX(dataProd1Payer2TotalVolume,,xxRound+1)</f>
        <v>26182.240000000002</v>
      </c>
    </row>
    <row r="218" spans="1:12">
      <c r="A218" t="str">
        <f>nmProd1Seg1</f>
        <v>Riverrun Central</v>
      </c>
      <c r="E218" s="451">
        <f t="shared" si="28"/>
        <v>10796.800000000001</v>
      </c>
      <c r="F218" s="451">
        <f t="shared" si="28"/>
        <v>10796.800000000001</v>
      </c>
      <c r="G218" s="451">
        <f t="shared" si="28"/>
        <v>10796.800000000001</v>
      </c>
      <c r="H218" s="451">
        <f t="shared" si="28"/>
        <v>10796.800000000001</v>
      </c>
      <c r="I218" s="451">
        <f t="shared" si="28"/>
        <v>10796.800000000001</v>
      </c>
      <c r="J218" t="s">
        <v>1260</v>
      </c>
      <c r="L218" s="452">
        <f>INDEX(dataProd1Seg1Payer2TotalVolume,,xxRound+1)</f>
        <v>10796.800000000001</v>
      </c>
    </row>
    <row r="219" spans="1:12">
      <c r="A219" t="str">
        <f>nmProd1Seg2</f>
        <v>Tullyville</v>
      </c>
      <c r="E219" s="451">
        <f t="shared" si="28"/>
        <v>4251.24</v>
      </c>
      <c r="F219" s="451">
        <f t="shared" si="28"/>
        <v>4251.24</v>
      </c>
      <c r="G219" s="451">
        <f t="shared" si="28"/>
        <v>4251.24</v>
      </c>
      <c r="H219" s="451">
        <f t="shared" si="28"/>
        <v>4251.24</v>
      </c>
      <c r="I219" s="451">
        <f t="shared" si="28"/>
        <v>4251.24</v>
      </c>
      <c r="J219" t="s">
        <v>1261</v>
      </c>
      <c r="L219" s="452">
        <f>INDEX(dataProd1Seg2Payer2TotalVolume,,xxRound+1)</f>
        <v>4251.24</v>
      </c>
    </row>
    <row r="220" spans="1:12">
      <c r="A220" t="str">
        <f>nmProd1Seg3</f>
        <v>Lordfrey City</v>
      </c>
      <c r="E220" s="451">
        <f t="shared" si="28"/>
        <v>11134.2</v>
      </c>
      <c r="F220" s="451">
        <f t="shared" si="28"/>
        <v>11134.2</v>
      </c>
      <c r="G220" s="451">
        <f t="shared" si="28"/>
        <v>11134.2</v>
      </c>
      <c r="H220" s="451">
        <f t="shared" si="28"/>
        <v>11134.2</v>
      </c>
      <c r="I220" s="451">
        <f t="shared" si="28"/>
        <v>11134.2</v>
      </c>
      <c r="J220" t="s">
        <v>1262</v>
      </c>
      <c r="L220" s="452">
        <f>INDEX(dataProd1Seg3Payer2TotalVolume,,xxRound+1)</f>
        <v>11134.2</v>
      </c>
    </row>
    <row r="221" spans="1:12">
      <c r="E221" s="451"/>
      <c r="F221" s="451"/>
      <c r="G221" s="451"/>
      <c r="H221" s="451"/>
      <c r="I221" s="451"/>
      <c r="L221" s="452"/>
    </row>
    <row r="222" spans="1:12">
      <c r="A222" s="4" t="str">
        <f>nmPayer3</f>
        <v>Dragon Health</v>
      </c>
      <c r="E222" s="451"/>
      <c r="F222" s="451"/>
      <c r="G222" s="451"/>
      <c r="H222" s="451"/>
      <c r="I222" s="451"/>
      <c r="L222" s="452"/>
    </row>
    <row r="223" spans="1:12">
      <c r="A223" t="str">
        <f>nmProd1</f>
        <v>Riverrun</v>
      </c>
      <c r="E223" s="451">
        <f t="shared" ref="E223:I226" si="29">$L223</f>
        <v>34819.68</v>
      </c>
      <c r="F223" s="451">
        <f t="shared" si="29"/>
        <v>34819.68</v>
      </c>
      <c r="G223" s="451">
        <f t="shared" si="29"/>
        <v>34819.68</v>
      </c>
      <c r="H223" s="451">
        <f t="shared" si="29"/>
        <v>34819.68</v>
      </c>
      <c r="I223" s="451">
        <f t="shared" si="29"/>
        <v>34819.68</v>
      </c>
      <c r="J223" t="s">
        <v>1263</v>
      </c>
      <c r="L223" s="452">
        <f>INDEX(dataProd1Payer3TotalVolume,,xxRound+1)</f>
        <v>34819.68</v>
      </c>
    </row>
    <row r="224" spans="1:12">
      <c r="A224" t="str">
        <f>nmProd1Seg1</f>
        <v>Riverrun Central</v>
      </c>
      <c r="E224" s="451">
        <f t="shared" si="29"/>
        <v>11876.48</v>
      </c>
      <c r="F224" s="451">
        <f t="shared" si="29"/>
        <v>11876.48</v>
      </c>
      <c r="G224" s="451">
        <f t="shared" si="29"/>
        <v>11876.48</v>
      </c>
      <c r="H224" s="451">
        <f t="shared" si="29"/>
        <v>11876.48</v>
      </c>
      <c r="I224" s="451">
        <f t="shared" si="29"/>
        <v>11876.48</v>
      </c>
      <c r="J224" t="s">
        <v>1264</v>
      </c>
      <c r="L224" s="452">
        <f>INDEX(dataProd1Seg1Payer3TotalVolume,,xxRound+1)</f>
        <v>11876.48</v>
      </c>
    </row>
    <row r="225" spans="1:12">
      <c r="A225" t="str">
        <f>nmProd1Seg2</f>
        <v>Tullyville</v>
      </c>
      <c r="E225" s="451">
        <f t="shared" si="29"/>
        <v>16532.599999999999</v>
      </c>
      <c r="F225" s="451">
        <f t="shared" si="29"/>
        <v>16532.599999999999</v>
      </c>
      <c r="G225" s="451">
        <f t="shared" si="29"/>
        <v>16532.599999999999</v>
      </c>
      <c r="H225" s="451">
        <f t="shared" si="29"/>
        <v>16532.599999999999</v>
      </c>
      <c r="I225" s="451">
        <f t="shared" si="29"/>
        <v>16532.599999999999</v>
      </c>
      <c r="J225" t="s">
        <v>1265</v>
      </c>
      <c r="L225" s="452">
        <f>INDEX(dataProd1Seg2Payer3TotalVolume,,xxRound+1)</f>
        <v>16532.599999999999</v>
      </c>
    </row>
    <row r="226" spans="1:12">
      <c r="A226" t="str">
        <f>nmProd1Seg3</f>
        <v>Lordfrey City</v>
      </c>
      <c r="E226" s="451">
        <f t="shared" si="29"/>
        <v>6410.6</v>
      </c>
      <c r="F226" s="451">
        <f t="shared" si="29"/>
        <v>6410.6</v>
      </c>
      <c r="G226" s="451">
        <f t="shared" si="29"/>
        <v>6410.6</v>
      </c>
      <c r="H226" s="451">
        <f t="shared" si="29"/>
        <v>6410.6</v>
      </c>
      <c r="I226" s="451">
        <f t="shared" si="29"/>
        <v>6410.6</v>
      </c>
      <c r="J226" t="s">
        <v>1266</v>
      </c>
      <c r="L226" s="452">
        <f>INDEX(dataProd1Seg3Payer3TotalVolume,,xxRound+1)</f>
        <v>6410.6</v>
      </c>
    </row>
    <row r="227" spans="1:12">
      <c r="A227" s="4" t="s">
        <v>1230</v>
      </c>
      <c r="E227" s="451"/>
      <c r="F227" s="451"/>
      <c r="G227" s="451"/>
      <c r="H227" s="451"/>
      <c r="I227" s="451"/>
      <c r="L227" s="452"/>
    </row>
    <row r="228" spans="1:12">
      <c r="A228" s="4" t="str">
        <f>nmPayer1</f>
        <v>Blue Sword/Blue Shield</v>
      </c>
      <c r="E228" s="451"/>
      <c r="F228" s="451"/>
      <c r="G228" s="451"/>
      <c r="H228" s="451"/>
      <c r="I228" s="451"/>
      <c r="L228" s="452"/>
    </row>
    <row r="229" spans="1:12">
      <c r="A229" t="str">
        <f>nmProd1</f>
        <v>Riverrun</v>
      </c>
      <c r="E229" s="464">
        <f t="shared" ref="E229:I232" si="30">$L229</f>
        <v>5.7435897435897431E-3</v>
      </c>
      <c r="F229" s="464">
        <f t="shared" si="30"/>
        <v>5.7435897435897431E-3</v>
      </c>
      <c r="G229" s="464">
        <f t="shared" si="30"/>
        <v>5.7435897435897431E-3</v>
      </c>
      <c r="H229" s="464">
        <f t="shared" si="30"/>
        <v>5.7435897435897431E-3</v>
      </c>
      <c r="I229" s="464">
        <f t="shared" si="30"/>
        <v>5.7435897435897431E-3</v>
      </c>
      <c r="J229" s="465" t="s">
        <v>1267</v>
      </c>
      <c r="K229" s="465"/>
      <c r="L229" s="443">
        <f>INDEX(dataProd1Payer1TotalShare,,xxRound+1)</f>
        <v>5.7435897435897431E-3</v>
      </c>
    </row>
    <row r="230" spans="1:12">
      <c r="A230" t="str">
        <f>nmProd1Seg1</f>
        <v>Riverrun Central</v>
      </c>
      <c r="E230" s="464">
        <f t="shared" si="30"/>
        <v>5.0909090909090904E-3</v>
      </c>
      <c r="F230" s="464">
        <f t="shared" si="30"/>
        <v>5.0909090909090904E-3</v>
      </c>
      <c r="G230" s="464">
        <f t="shared" si="30"/>
        <v>5.0909090909090904E-3</v>
      </c>
      <c r="H230" s="464">
        <f t="shared" si="30"/>
        <v>5.0909090909090904E-3</v>
      </c>
      <c r="I230" s="464">
        <f t="shared" si="30"/>
        <v>5.0909090909090904E-3</v>
      </c>
      <c r="J230" s="465" t="s">
        <v>1268</v>
      </c>
      <c r="K230" s="465"/>
      <c r="L230" s="443">
        <f>INDEX(dataProd1Seg1Payer1TotalShare,,xxRound+1)</f>
        <v>5.0909090909090904E-3</v>
      </c>
    </row>
    <row r="231" spans="1:12">
      <c r="A231" t="str">
        <f>nmProd1Seg2</f>
        <v>Tullyville</v>
      </c>
      <c r="E231" s="464">
        <f t="shared" si="30"/>
        <v>5.9999999999999984E-3</v>
      </c>
      <c r="F231" s="464">
        <f t="shared" si="30"/>
        <v>5.9999999999999984E-3</v>
      </c>
      <c r="G231" s="464">
        <f t="shared" si="30"/>
        <v>5.9999999999999984E-3</v>
      </c>
      <c r="H231" s="464">
        <f t="shared" si="30"/>
        <v>5.9999999999999984E-3</v>
      </c>
      <c r="I231" s="464">
        <f t="shared" si="30"/>
        <v>5.9999999999999984E-3</v>
      </c>
      <c r="J231" s="465" t="s">
        <v>1269</v>
      </c>
      <c r="K231" s="465"/>
      <c r="L231" s="443">
        <f>INDEX(dataProd1Seg2Payer1TotalShare,,xxRound+1)</f>
        <v>5.9999999999999984E-3</v>
      </c>
    </row>
    <row r="232" spans="1:12">
      <c r="A232" t="str">
        <f>nmProd1Seg3</f>
        <v>Lordfrey City</v>
      </c>
      <c r="E232" s="464">
        <f t="shared" si="30"/>
        <v>6.7199999999999985E-3</v>
      </c>
      <c r="F232" s="464">
        <f t="shared" si="30"/>
        <v>6.7199999999999985E-3</v>
      </c>
      <c r="G232" s="464">
        <f t="shared" si="30"/>
        <v>6.7199999999999985E-3</v>
      </c>
      <c r="H232" s="464">
        <f t="shared" si="30"/>
        <v>6.7199999999999985E-3</v>
      </c>
      <c r="I232" s="464">
        <f t="shared" si="30"/>
        <v>6.7199999999999985E-3</v>
      </c>
      <c r="J232" s="465" t="s">
        <v>1270</v>
      </c>
      <c r="K232" s="465"/>
      <c r="L232" s="443">
        <f>INDEX(dataProd1Seg3Payer1TotalShare,,xxRound+1)</f>
        <v>6.7199999999999985E-3</v>
      </c>
    </row>
    <row r="233" spans="1:12">
      <c r="E233" s="451"/>
      <c r="F233" s="451"/>
      <c r="G233" s="451"/>
      <c r="H233" s="451"/>
      <c r="I233" s="451"/>
      <c r="L233" s="452"/>
    </row>
    <row r="234" spans="1:12">
      <c r="A234" s="4" t="str">
        <f>nmPayer2</f>
        <v>WesterAid</v>
      </c>
      <c r="E234" s="451"/>
      <c r="F234" s="451"/>
      <c r="G234" s="451"/>
      <c r="H234" s="451"/>
      <c r="I234" s="451"/>
      <c r="L234" s="452"/>
    </row>
    <row r="235" spans="1:12">
      <c r="A235" t="str">
        <f>nmProd1</f>
        <v>Riverrun</v>
      </c>
      <c r="E235" s="464">
        <f t="shared" ref="E235:I238" si="31">$L235</f>
        <v>0</v>
      </c>
      <c r="F235" s="464">
        <f t="shared" si="31"/>
        <v>0</v>
      </c>
      <c r="G235" s="464">
        <f t="shared" si="31"/>
        <v>0</v>
      </c>
      <c r="H235" s="464">
        <f t="shared" si="31"/>
        <v>0</v>
      </c>
      <c r="I235" s="464">
        <f t="shared" si="31"/>
        <v>0</v>
      </c>
      <c r="J235" s="465" t="s">
        <v>1271</v>
      </c>
      <c r="K235" s="465"/>
      <c r="L235" s="443">
        <f>INDEX(dataProd1Payer2TotalShare,,xxRound+1)</f>
        <v>0</v>
      </c>
    </row>
    <row r="236" spans="1:12">
      <c r="A236" t="str">
        <f>nmProd1Seg1</f>
        <v>Riverrun Central</v>
      </c>
      <c r="E236" s="464">
        <f t="shared" si="31"/>
        <v>0</v>
      </c>
      <c r="F236" s="464">
        <f t="shared" si="31"/>
        <v>0</v>
      </c>
      <c r="G236" s="464">
        <f t="shared" si="31"/>
        <v>0</v>
      </c>
      <c r="H236" s="464">
        <f t="shared" si="31"/>
        <v>0</v>
      </c>
      <c r="I236" s="464">
        <f t="shared" si="31"/>
        <v>0</v>
      </c>
      <c r="J236" s="465" t="s">
        <v>1272</v>
      </c>
      <c r="K236" s="465"/>
      <c r="L236" s="443">
        <f>INDEX(dataProd1Seg1Payer2TotalShare,,xxRound+1)</f>
        <v>0</v>
      </c>
    </row>
    <row r="237" spans="1:12">
      <c r="A237" t="str">
        <f>nmProd1Seg2</f>
        <v>Tullyville</v>
      </c>
      <c r="E237" s="464">
        <f t="shared" si="31"/>
        <v>0</v>
      </c>
      <c r="F237" s="464">
        <f t="shared" si="31"/>
        <v>0</v>
      </c>
      <c r="G237" s="464">
        <f t="shared" si="31"/>
        <v>0</v>
      </c>
      <c r="H237" s="464">
        <f t="shared" si="31"/>
        <v>0</v>
      </c>
      <c r="I237" s="464">
        <f t="shared" si="31"/>
        <v>0</v>
      </c>
      <c r="J237" s="465" t="s">
        <v>1273</v>
      </c>
      <c r="K237" s="465"/>
      <c r="L237" s="443">
        <f>INDEX(dataProd1Seg2Payer2TotalShare,,xxRound+1)</f>
        <v>0</v>
      </c>
    </row>
    <row r="238" spans="1:12">
      <c r="A238" t="str">
        <f>nmProd1Seg3</f>
        <v>Lordfrey City</v>
      </c>
      <c r="E238" s="464">
        <f t="shared" si="31"/>
        <v>0</v>
      </c>
      <c r="F238" s="464">
        <f t="shared" si="31"/>
        <v>0</v>
      </c>
      <c r="G238" s="464">
        <f t="shared" si="31"/>
        <v>0</v>
      </c>
      <c r="H238" s="464">
        <f t="shared" si="31"/>
        <v>0</v>
      </c>
      <c r="I238" s="464">
        <f t="shared" si="31"/>
        <v>0</v>
      </c>
      <c r="J238" s="465" t="s">
        <v>1274</v>
      </c>
      <c r="K238" s="465"/>
      <c r="L238" s="443">
        <f>INDEX(dataProd1Seg3Payer2TotalShare,,xxRound+1)</f>
        <v>0</v>
      </c>
    </row>
    <row r="239" spans="1:12">
      <c r="E239" s="451"/>
      <c r="F239" s="451"/>
      <c r="G239" s="451"/>
      <c r="H239" s="451"/>
      <c r="I239" s="451"/>
      <c r="L239" s="452"/>
    </row>
    <row r="240" spans="1:12">
      <c r="A240" s="4" t="str">
        <f>nmPayer3</f>
        <v>Dragon Health</v>
      </c>
      <c r="E240" s="451"/>
      <c r="F240" s="451"/>
      <c r="G240" s="451"/>
      <c r="H240" s="451"/>
      <c r="I240" s="451"/>
      <c r="L240" s="452"/>
    </row>
    <row r="241" spans="1:12">
      <c r="A241" t="str">
        <f>nmProd1</f>
        <v>Riverrun</v>
      </c>
      <c r="E241" s="464">
        <f t="shared" ref="E241:I244" si="32">$L241</f>
        <v>2.7906976744186051E-3</v>
      </c>
      <c r="F241" s="464">
        <f t="shared" si="32"/>
        <v>2.7906976744186051E-3</v>
      </c>
      <c r="G241" s="464">
        <f t="shared" si="32"/>
        <v>2.7906976744186051E-3</v>
      </c>
      <c r="H241" s="464">
        <f t="shared" si="32"/>
        <v>2.7906976744186051E-3</v>
      </c>
      <c r="I241" s="464">
        <f t="shared" si="32"/>
        <v>2.7906976744186051E-3</v>
      </c>
      <c r="J241" s="465" t="s">
        <v>1275</v>
      </c>
      <c r="K241" s="465"/>
      <c r="L241" s="443">
        <f>INDEX(dataProd1Payer3TotalShare,,xxRound+1)</f>
        <v>2.7906976744186051E-3</v>
      </c>
    </row>
    <row r="242" spans="1:12">
      <c r="A242" t="str">
        <f>nmProd1Seg1</f>
        <v>Riverrun Central</v>
      </c>
      <c r="E242" s="464">
        <f t="shared" si="32"/>
        <v>3.2727272727272735E-3</v>
      </c>
      <c r="F242" s="464">
        <f t="shared" si="32"/>
        <v>3.2727272727272735E-3</v>
      </c>
      <c r="G242" s="464">
        <f t="shared" si="32"/>
        <v>3.2727272727272735E-3</v>
      </c>
      <c r="H242" s="464">
        <f t="shared" si="32"/>
        <v>3.2727272727272735E-3</v>
      </c>
      <c r="I242" s="464">
        <f t="shared" si="32"/>
        <v>3.2727272727272735E-3</v>
      </c>
      <c r="J242" s="465" t="s">
        <v>1276</v>
      </c>
      <c r="K242" s="465"/>
      <c r="L242" s="443">
        <f>INDEX(dataProd1Seg1Payer3TotalShare,,xxRound+1)</f>
        <v>3.2727272727272735E-3</v>
      </c>
    </row>
    <row r="243" spans="1:12">
      <c r="A243" t="str">
        <f>nmProd1Seg2</f>
        <v>Tullyville</v>
      </c>
      <c r="E243" s="464">
        <f t="shared" si="32"/>
        <v>2.0571428571428576E-3</v>
      </c>
      <c r="F243" s="464">
        <f t="shared" si="32"/>
        <v>2.0571428571428576E-3</v>
      </c>
      <c r="G243" s="464">
        <f t="shared" si="32"/>
        <v>2.0571428571428576E-3</v>
      </c>
      <c r="H243" s="464">
        <f t="shared" si="32"/>
        <v>2.0571428571428576E-3</v>
      </c>
      <c r="I243" s="464">
        <f t="shared" si="32"/>
        <v>2.0571428571428576E-3</v>
      </c>
      <c r="J243" s="465" t="s">
        <v>1277</v>
      </c>
      <c r="K243" s="465"/>
      <c r="L243" s="443">
        <f>INDEX(dataProd1Seg2Payer3TotalShare,,xxRound+1)</f>
        <v>2.0571428571428576E-3</v>
      </c>
    </row>
    <row r="244" spans="1:12">
      <c r="A244" t="str">
        <f>nmProd1Seg3</f>
        <v>Lordfrey City</v>
      </c>
      <c r="E244" s="464">
        <f t="shared" si="32"/>
        <v>3.7894736842105261E-3</v>
      </c>
      <c r="F244" s="464">
        <f t="shared" si="32"/>
        <v>3.7894736842105261E-3</v>
      </c>
      <c r="G244" s="464">
        <f t="shared" si="32"/>
        <v>3.7894736842105261E-3</v>
      </c>
      <c r="H244" s="464">
        <f t="shared" si="32"/>
        <v>3.7894736842105261E-3</v>
      </c>
      <c r="I244" s="464">
        <f t="shared" si="32"/>
        <v>3.7894736842105261E-3</v>
      </c>
      <c r="J244" s="465" t="s">
        <v>1278</v>
      </c>
      <c r="K244" s="465"/>
      <c r="L244" s="443">
        <f>INDEX(dataProd1Seg3Payer3TotalShare,,xxRound+1)</f>
        <v>3.7894736842105261E-3</v>
      </c>
    </row>
    <row r="245" spans="1:12">
      <c r="E245" s="451"/>
      <c r="F245" s="451"/>
      <c r="G245" s="451"/>
      <c r="H245" s="451"/>
      <c r="I245" s="451"/>
      <c r="L245" s="452"/>
    </row>
    <row r="246" spans="1:12">
      <c r="A246" s="4" t="str">
        <f>nmComp1</f>
        <v>Vibrant</v>
      </c>
      <c r="E246" s="451"/>
      <c r="F246" s="451"/>
      <c r="G246" s="451"/>
      <c r="H246" s="451"/>
      <c r="I246" s="451"/>
      <c r="L246" s="452"/>
    </row>
    <row r="247" spans="1:12">
      <c r="A247" s="4" t="str">
        <f>nmPayer1</f>
        <v>Blue Sword/Blue Shield</v>
      </c>
      <c r="E247" s="451"/>
      <c r="F247" s="451"/>
      <c r="G247" s="451"/>
      <c r="H247" s="451"/>
      <c r="I247" s="451"/>
      <c r="L247" s="452"/>
    </row>
    <row r="248" spans="1:12">
      <c r="A248" t="str">
        <f>nmProd1</f>
        <v>Riverrun</v>
      </c>
      <c r="E248" s="464">
        <f t="shared" ref="E248:I251" si="33">$L248</f>
        <v>1.1794871794871794E-2</v>
      </c>
      <c r="F248" s="464">
        <f t="shared" si="33"/>
        <v>1.1794871794871794E-2</v>
      </c>
      <c r="G248" s="464">
        <f t="shared" si="33"/>
        <v>1.1794871794871794E-2</v>
      </c>
      <c r="H248" s="464">
        <f t="shared" si="33"/>
        <v>1.1794871794871794E-2</v>
      </c>
      <c r="I248" s="464">
        <f t="shared" si="33"/>
        <v>1.1794871794871794E-2</v>
      </c>
      <c r="J248" s="465" t="s">
        <v>1279</v>
      </c>
      <c r="K248" s="465"/>
      <c r="L248" s="443">
        <f>INDEX(dataProd1Comp1Payer1TotalShare,,xxRound+1)</f>
        <v>1.1794871794871794E-2</v>
      </c>
    </row>
    <row r="249" spans="1:12">
      <c r="A249" t="str">
        <f>nmProd1Seg1</f>
        <v>Riverrun Central</v>
      </c>
      <c r="E249" s="464">
        <f t="shared" si="33"/>
        <v>1.0454545454545454E-2</v>
      </c>
      <c r="F249" s="464">
        <f t="shared" si="33"/>
        <v>1.0454545454545454E-2</v>
      </c>
      <c r="G249" s="464">
        <f t="shared" si="33"/>
        <v>1.0454545454545454E-2</v>
      </c>
      <c r="H249" s="464">
        <f t="shared" si="33"/>
        <v>1.0454545454545454E-2</v>
      </c>
      <c r="I249" s="464">
        <f t="shared" si="33"/>
        <v>1.0454545454545454E-2</v>
      </c>
      <c r="J249" s="465" t="s">
        <v>1280</v>
      </c>
      <c r="K249" s="465"/>
      <c r="L249" s="443">
        <f>INDEX(dataProd1Seg1Comp1Payer1TotalShare,,xxRound+1)</f>
        <v>1.0454545454545454E-2</v>
      </c>
    </row>
    <row r="250" spans="1:12">
      <c r="A250" t="str">
        <f>nmProd1Seg2</f>
        <v>Tullyville</v>
      </c>
      <c r="E250" s="464">
        <f t="shared" si="33"/>
        <v>1.232142857142857E-2</v>
      </c>
      <c r="F250" s="464">
        <f t="shared" si="33"/>
        <v>1.232142857142857E-2</v>
      </c>
      <c r="G250" s="464">
        <f t="shared" si="33"/>
        <v>1.232142857142857E-2</v>
      </c>
      <c r="H250" s="464">
        <f t="shared" si="33"/>
        <v>1.232142857142857E-2</v>
      </c>
      <c r="I250" s="464">
        <f t="shared" si="33"/>
        <v>1.232142857142857E-2</v>
      </c>
      <c r="J250" s="465" t="s">
        <v>1281</v>
      </c>
      <c r="K250" s="465"/>
      <c r="L250" s="443">
        <f>INDEX(dataProd1Seg2Comp1Payer1TotalShare,,xxRound+1)</f>
        <v>1.232142857142857E-2</v>
      </c>
    </row>
    <row r="251" spans="1:12">
      <c r="A251" t="str">
        <f>nmProd1Seg3</f>
        <v>Lordfrey City</v>
      </c>
      <c r="E251" s="464">
        <f t="shared" si="33"/>
        <v>1.3799999999999998E-2</v>
      </c>
      <c r="F251" s="464">
        <f t="shared" si="33"/>
        <v>1.3799999999999998E-2</v>
      </c>
      <c r="G251" s="464">
        <f t="shared" si="33"/>
        <v>1.3799999999999998E-2</v>
      </c>
      <c r="H251" s="464">
        <f t="shared" si="33"/>
        <v>1.3799999999999998E-2</v>
      </c>
      <c r="I251" s="464">
        <f t="shared" si="33"/>
        <v>1.3799999999999998E-2</v>
      </c>
      <c r="J251" s="465" t="s">
        <v>1282</v>
      </c>
      <c r="K251" s="465"/>
      <c r="L251" s="443">
        <f>INDEX(dataProd1Seg3Comp1Payer1TotalShare,,xxRound+1)</f>
        <v>1.3799999999999998E-2</v>
      </c>
    </row>
    <row r="252" spans="1:12">
      <c r="E252" s="451"/>
      <c r="F252" s="451"/>
      <c r="G252" s="451"/>
      <c r="H252" s="451"/>
      <c r="I252" s="451" t="s">
        <v>677</v>
      </c>
      <c r="L252" s="452"/>
    </row>
    <row r="253" spans="1:12">
      <c r="A253" s="4" t="str">
        <f>nmPayer2</f>
        <v>WesterAid</v>
      </c>
      <c r="E253" s="451"/>
      <c r="F253" s="451"/>
      <c r="G253" s="451"/>
      <c r="H253" s="451"/>
      <c r="I253" s="451"/>
      <c r="L253" s="452"/>
    </row>
    <row r="254" spans="1:12">
      <c r="A254" t="str">
        <f>nmProd1</f>
        <v>Riverrun</v>
      </c>
      <c r="E254" s="464">
        <f t="shared" ref="E254:I257" si="34">$L254</f>
        <v>8.8917525773195873E-3</v>
      </c>
      <c r="F254" s="464">
        <f t="shared" si="34"/>
        <v>8.8917525773195873E-3</v>
      </c>
      <c r="G254" s="464">
        <f t="shared" si="34"/>
        <v>8.8917525773195873E-3</v>
      </c>
      <c r="H254" s="464">
        <f t="shared" si="34"/>
        <v>8.8917525773195873E-3</v>
      </c>
      <c r="I254" s="464">
        <f t="shared" si="34"/>
        <v>8.8917525773195873E-3</v>
      </c>
      <c r="J254" s="465" t="s">
        <v>1283</v>
      </c>
      <c r="K254" s="465"/>
      <c r="L254" s="443">
        <f>INDEX(dataProd1Comp1Payer2TotalShare,,xxRound+1)</f>
        <v>8.8917525773195873E-3</v>
      </c>
    </row>
    <row r="255" spans="1:12">
      <c r="A255" t="str">
        <f>nmProd1Seg1</f>
        <v>Riverrun Central</v>
      </c>
      <c r="E255" s="464">
        <f t="shared" si="34"/>
        <v>8.624999999999999E-3</v>
      </c>
      <c r="F255" s="464">
        <f t="shared" si="34"/>
        <v>8.624999999999999E-3</v>
      </c>
      <c r="G255" s="464">
        <f t="shared" si="34"/>
        <v>8.624999999999999E-3</v>
      </c>
      <c r="H255" s="464">
        <f t="shared" si="34"/>
        <v>8.624999999999999E-3</v>
      </c>
      <c r="I255" s="464">
        <f t="shared" si="34"/>
        <v>8.624999999999999E-3</v>
      </c>
      <c r="J255" s="465" t="s">
        <v>1284</v>
      </c>
      <c r="K255" s="465"/>
      <c r="L255" s="443">
        <f>INDEX(dataProd1Seg1Comp1Payer2TotalShare,,xxRound+1)</f>
        <v>8.624999999999999E-3</v>
      </c>
    </row>
    <row r="256" spans="1:12">
      <c r="A256" t="str">
        <f>nmProd1Seg2</f>
        <v>Tullyville</v>
      </c>
      <c r="E256" s="464">
        <f t="shared" si="34"/>
        <v>1.9166666666666669E-2</v>
      </c>
      <c r="F256" s="464">
        <f t="shared" si="34"/>
        <v>1.9166666666666669E-2</v>
      </c>
      <c r="G256" s="464">
        <f t="shared" si="34"/>
        <v>1.9166666666666669E-2</v>
      </c>
      <c r="H256" s="464">
        <f t="shared" si="34"/>
        <v>1.9166666666666669E-2</v>
      </c>
      <c r="I256" s="464">
        <f t="shared" si="34"/>
        <v>1.9166666666666669E-2</v>
      </c>
      <c r="J256" s="465" t="s">
        <v>1285</v>
      </c>
      <c r="K256" s="465"/>
      <c r="L256" s="443">
        <f>INDEX(dataProd1Seg2Comp1Payer2TotalShare,,xxRound+1)</f>
        <v>1.9166666666666669E-2</v>
      </c>
    </row>
    <row r="257" spans="1:12">
      <c r="A257" t="str">
        <f>nmProd1Seg3</f>
        <v>Lordfrey City</v>
      </c>
      <c r="E257" s="464">
        <f t="shared" si="34"/>
        <v>5.2272727272727262E-3</v>
      </c>
      <c r="F257" s="464">
        <f t="shared" si="34"/>
        <v>5.2272727272727262E-3</v>
      </c>
      <c r="G257" s="464">
        <f t="shared" si="34"/>
        <v>5.2272727272727262E-3</v>
      </c>
      <c r="H257" s="464">
        <f t="shared" si="34"/>
        <v>5.2272727272727262E-3</v>
      </c>
      <c r="I257" s="464">
        <f t="shared" si="34"/>
        <v>5.2272727272727262E-3</v>
      </c>
      <c r="J257" s="465" t="s">
        <v>1286</v>
      </c>
      <c r="K257" s="465"/>
      <c r="L257" s="443">
        <f>INDEX(dataProd1Seg3Comp1Payer2TotalShare,,xxRound+1)</f>
        <v>5.2272727272727262E-3</v>
      </c>
    </row>
    <row r="258" spans="1:12">
      <c r="E258" s="451"/>
      <c r="F258" s="451"/>
      <c r="G258" s="451"/>
      <c r="H258" s="451"/>
      <c r="I258" s="451" t="s">
        <v>677</v>
      </c>
      <c r="L258" s="452"/>
    </row>
    <row r="259" spans="1:12">
      <c r="A259" s="4" t="str">
        <f>nmPayer3</f>
        <v>Dragon Health</v>
      </c>
      <c r="E259" s="451"/>
      <c r="F259" s="451"/>
      <c r="G259" s="451"/>
      <c r="H259" s="451"/>
      <c r="I259" s="451"/>
      <c r="L259" s="452"/>
    </row>
    <row r="260" spans="1:12">
      <c r="A260" t="str">
        <f>nmProd1</f>
        <v>Riverrun</v>
      </c>
      <c r="E260" s="464">
        <f t="shared" ref="E260:I263" si="35">$L260</f>
        <v>6.686046511627906E-3</v>
      </c>
      <c r="F260" s="464">
        <f t="shared" si="35"/>
        <v>6.686046511627906E-3</v>
      </c>
      <c r="G260" s="464">
        <f t="shared" si="35"/>
        <v>6.686046511627906E-3</v>
      </c>
      <c r="H260" s="464">
        <f t="shared" si="35"/>
        <v>6.686046511627906E-3</v>
      </c>
      <c r="I260" s="464">
        <f t="shared" si="35"/>
        <v>6.686046511627906E-3</v>
      </c>
      <c r="J260" s="465" t="s">
        <v>1287</v>
      </c>
      <c r="K260" s="465"/>
      <c r="L260" s="443">
        <f>INDEX(dataProd1Comp1Payer3TotalShare,,xxRound+1)</f>
        <v>6.686046511627906E-3</v>
      </c>
    </row>
    <row r="261" spans="1:12">
      <c r="A261" t="str">
        <f>nmProd1Seg1</f>
        <v>Riverrun Central</v>
      </c>
      <c r="E261" s="464">
        <f t="shared" si="35"/>
        <v>7.8409090909090911E-3</v>
      </c>
      <c r="F261" s="464">
        <f t="shared" si="35"/>
        <v>7.8409090909090911E-3</v>
      </c>
      <c r="G261" s="464">
        <f t="shared" si="35"/>
        <v>7.8409090909090911E-3</v>
      </c>
      <c r="H261" s="464">
        <f t="shared" si="35"/>
        <v>7.8409090909090911E-3</v>
      </c>
      <c r="I261" s="464">
        <f t="shared" si="35"/>
        <v>7.8409090909090911E-3</v>
      </c>
      <c r="J261" s="465" t="s">
        <v>1288</v>
      </c>
      <c r="K261" s="465"/>
      <c r="L261" s="443">
        <f>INDEX(dataProd1Seg1Comp1Payer3TotalShare,,xxRound+1)</f>
        <v>7.8409090909090911E-3</v>
      </c>
    </row>
    <row r="262" spans="1:12">
      <c r="A262" t="str">
        <f>nmProd1Seg2</f>
        <v>Tullyville</v>
      </c>
      <c r="E262" s="464">
        <f t="shared" si="35"/>
        <v>4.9285714285714289E-3</v>
      </c>
      <c r="F262" s="464">
        <f t="shared" si="35"/>
        <v>4.9285714285714289E-3</v>
      </c>
      <c r="G262" s="464">
        <f t="shared" si="35"/>
        <v>4.9285714285714289E-3</v>
      </c>
      <c r="H262" s="464">
        <f t="shared" si="35"/>
        <v>4.9285714285714289E-3</v>
      </c>
      <c r="I262" s="464">
        <f t="shared" si="35"/>
        <v>4.9285714285714289E-3</v>
      </c>
      <c r="J262" s="465" t="s">
        <v>1289</v>
      </c>
      <c r="K262" s="465"/>
      <c r="L262" s="443">
        <f>INDEX(dataProd1Seg2Comp1Payer3TotalShare,,xxRound+1)</f>
        <v>4.9285714285714289E-3</v>
      </c>
    </row>
    <row r="263" spans="1:12">
      <c r="A263" t="str">
        <f>nmProd1Seg3</f>
        <v>Lordfrey City</v>
      </c>
      <c r="E263" s="464">
        <f t="shared" si="35"/>
        <v>9.078947368421051E-3</v>
      </c>
      <c r="F263" s="464">
        <f t="shared" si="35"/>
        <v>9.078947368421051E-3</v>
      </c>
      <c r="G263" s="464">
        <f t="shared" si="35"/>
        <v>9.078947368421051E-3</v>
      </c>
      <c r="H263" s="464">
        <f t="shared" si="35"/>
        <v>9.078947368421051E-3</v>
      </c>
      <c r="I263" s="464">
        <f t="shared" si="35"/>
        <v>9.078947368421051E-3</v>
      </c>
      <c r="J263" s="465" t="s">
        <v>1290</v>
      </c>
      <c r="K263" s="465"/>
      <c r="L263" s="443">
        <f>INDEX(dataProd1Seg3Comp1Payer3TotalShare,,xxRound+1)</f>
        <v>9.078947368421051E-3</v>
      </c>
    </row>
    <row r="264" spans="1:12">
      <c r="E264" s="451"/>
      <c r="F264" s="451"/>
      <c r="G264" s="451"/>
      <c r="H264" s="451"/>
      <c r="I264" s="451" t="s">
        <v>677</v>
      </c>
      <c r="L264" s="452"/>
    </row>
    <row r="265" spans="1:12">
      <c r="A265" s="4" t="str">
        <f>nmComp2</f>
        <v>Pristine</v>
      </c>
      <c r="E265" s="451"/>
      <c r="F265" s="451"/>
      <c r="G265" s="451"/>
      <c r="H265" s="451"/>
      <c r="I265" s="451"/>
      <c r="L265" s="452"/>
    </row>
    <row r="266" spans="1:12">
      <c r="A266" s="4" t="str">
        <f>nmPayer1</f>
        <v>Blue Sword/Blue Shield</v>
      </c>
      <c r="E266" s="451"/>
      <c r="F266" s="451"/>
      <c r="G266" s="451"/>
      <c r="H266" s="451"/>
      <c r="I266" s="451"/>
      <c r="L266" s="452"/>
    </row>
    <row r="267" spans="1:12">
      <c r="A267" t="str">
        <f>nmProd1</f>
        <v>Riverrun</v>
      </c>
      <c r="E267" s="464">
        <f t="shared" ref="E267:I270" si="36">$L267</f>
        <v>3.1452991452991449E-2</v>
      </c>
      <c r="F267" s="464">
        <f t="shared" si="36"/>
        <v>3.1452991452991449E-2</v>
      </c>
      <c r="G267" s="464">
        <f t="shared" si="36"/>
        <v>3.1452991452991449E-2</v>
      </c>
      <c r="H267" s="464">
        <f t="shared" si="36"/>
        <v>3.1452991452991449E-2</v>
      </c>
      <c r="I267" s="464">
        <f t="shared" si="36"/>
        <v>3.1452991452991449E-2</v>
      </c>
      <c r="J267" s="465" t="s">
        <v>1291</v>
      </c>
      <c r="K267" s="465"/>
      <c r="L267" s="443">
        <f>INDEX(dataProd1Comp2Payer1TotalShare,,xxRound+1)</f>
        <v>3.1452991452991449E-2</v>
      </c>
    </row>
    <row r="268" spans="1:12">
      <c r="A268" t="str">
        <f>nmProd1Seg1</f>
        <v>Riverrun Central</v>
      </c>
      <c r="E268" s="464">
        <f t="shared" si="36"/>
        <v>2.7878787878787878E-2</v>
      </c>
      <c r="F268" s="464">
        <f t="shared" si="36"/>
        <v>2.7878787878787878E-2</v>
      </c>
      <c r="G268" s="464">
        <f t="shared" si="36"/>
        <v>2.7878787878787878E-2</v>
      </c>
      <c r="H268" s="464">
        <f t="shared" si="36"/>
        <v>2.7878787878787878E-2</v>
      </c>
      <c r="I268" s="464">
        <f t="shared" si="36"/>
        <v>2.7878787878787878E-2</v>
      </c>
      <c r="J268" s="465" t="s">
        <v>1292</v>
      </c>
      <c r="K268" s="465"/>
      <c r="L268" s="443">
        <f>INDEX(dataProd1Seg1Comp2Payer1TotalShare,,xxRound+1)</f>
        <v>2.7878787878787878E-2</v>
      </c>
    </row>
    <row r="269" spans="1:12">
      <c r="A269" t="str">
        <f>nmProd1Seg2</f>
        <v>Tullyville</v>
      </c>
      <c r="E269" s="464">
        <f t="shared" si="36"/>
        <v>3.2857142857142849E-2</v>
      </c>
      <c r="F269" s="464">
        <f t="shared" si="36"/>
        <v>3.2857142857142849E-2</v>
      </c>
      <c r="G269" s="464">
        <f t="shared" si="36"/>
        <v>3.2857142857142849E-2</v>
      </c>
      <c r="H269" s="464">
        <f t="shared" si="36"/>
        <v>3.2857142857142849E-2</v>
      </c>
      <c r="I269" s="464">
        <f t="shared" si="36"/>
        <v>3.2857142857142849E-2</v>
      </c>
      <c r="J269" s="465" t="s">
        <v>1293</v>
      </c>
      <c r="K269" s="465"/>
      <c r="L269" s="443">
        <f>INDEX(dataProd1Seg2Comp2Payer1TotalShare,,xxRound+1)</f>
        <v>3.2857142857142849E-2</v>
      </c>
    </row>
    <row r="270" spans="1:12">
      <c r="A270" t="str">
        <f>nmProd1Seg3</f>
        <v>Lordfrey City</v>
      </c>
      <c r="E270" s="464">
        <f t="shared" si="36"/>
        <v>3.6799999999999999E-2</v>
      </c>
      <c r="F270" s="464">
        <f t="shared" si="36"/>
        <v>3.6799999999999999E-2</v>
      </c>
      <c r="G270" s="464">
        <f t="shared" si="36"/>
        <v>3.6799999999999999E-2</v>
      </c>
      <c r="H270" s="464">
        <f t="shared" si="36"/>
        <v>3.6799999999999999E-2</v>
      </c>
      <c r="I270" s="464">
        <f t="shared" si="36"/>
        <v>3.6799999999999999E-2</v>
      </c>
      <c r="J270" s="465" t="s">
        <v>1294</v>
      </c>
      <c r="K270" s="465"/>
      <c r="L270" s="443">
        <f>INDEX(dataProd1Seg3Comp2Payer1TotalShare,,xxRound+1)</f>
        <v>3.6799999999999999E-2</v>
      </c>
    </row>
    <row r="271" spans="1:12">
      <c r="E271" s="451"/>
      <c r="F271" s="451"/>
      <c r="G271" s="451"/>
      <c r="H271" s="451"/>
      <c r="I271" s="451" t="s">
        <v>677</v>
      </c>
      <c r="L271" s="452"/>
    </row>
    <row r="272" spans="1:12">
      <c r="A272" s="4" t="str">
        <f>nmPayer2</f>
        <v>WesterAid</v>
      </c>
      <c r="E272" s="451"/>
      <c r="F272" s="451"/>
      <c r="G272" s="451"/>
      <c r="H272" s="451"/>
      <c r="I272" s="451"/>
      <c r="L272" s="452"/>
    </row>
    <row r="273" spans="1:16">
      <c r="A273" t="str">
        <f>nmProd1</f>
        <v>Riverrun</v>
      </c>
      <c r="E273" s="464">
        <f t="shared" ref="E273:I276" si="37">$L273</f>
        <v>2.3711340206185566E-2</v>
      </c>
      <c r="F273" s="464">
        <f t="shared" si="37"/>
        <v>2.3711340206185566E-2</v>
      </c>
      <c r="G273" s="464">
        <f t="shared" si="37"/>
        <v>2.3711340206185566E-2</v>
      </c>
      <c r="H273" s="464">
        <f t="shared" si="37"/>
        <v>2.3711340206185566E-2</v>
      </c>
      <c r="I273" s="464">
        <f t="shared" si="37"/>
        <v>2.3711340206185566E-2</v>
      </c>
      <c r="J273" s="465" t="s">
        <v>1295</v>
      </c>
      <c r="K273" s="465"/>
      <c r="L273" s="443">
        <f>INDEX(dataProd1Comp2Payer2TotalShare,,xxRound+1)</f>
        <v>2.3711340206185566E-2</v>
      </c>
    </row>
    <row r="274" spans="1:16">
      <c r="A274" t="str">
        <f>nmProd1Seg1</f>
        <v>Riverrun Central</v>
      </c>
      <c r="E274" s="464">
        <f t="shared" si="37"/>
        <v>2.3E-2</v>
      </c>
      <c r="F274" s="464">
        <f t="shared" si="37"/>
        <v>2.3E-2</v>
      </c>
      <c r="G274" s="464">
        <f t="shared" si="37"/>
        <v>2.3E-2</v>
      </c>
      <c r="H274" s="464">
        <f t="shared" si="37"/>
        <v>2.3E-2</v>
      </c>
      <c r="I274" s="464">
        <f t="shared" si="37"/>
        <v>2.3E-2</v>
      </c>
      <c r="J274" s="465" t="s">
        <v>1296</v>
      </c>
      <c r="K274" s="465"/>
      <c r="L274" s="443">
        <f>INDEX(dataProd1Seg1Comp2Payer2TotalShare,,xxRound+1)</f>
        <v>2.3E-2</v>
      </c>
    </row>
    <row r="275" spans="1:16">
      <c r="A275" t="str">
        <f>nmProd1Seg2</f>
        <v>Tullyville</v>
      </c>
      <c r="E275" s="464">
        <f t="shared" si="37"/>
        <v>5.1111111111111114E-2</v>
      </c>
      <c r="F275" s="464">
        <f t="shared" si="37"/>
        <v>5.1111111111111114E-2</v>
      </c>
      <c r="G275" s="464">
        <f t="shared" si="37"/>
        <v>5.1111111111111114E-2</v>
      </c>
      <c r="H275" s="464">
        <f t="shared" si="37"/>
        <v>5.1111111111111114E-2</v>
      </c>
      <c r="I275" s="464">
        <f t="shared" si="37"/>
        <v>5.1111111111111114E-2</v>
      </c>
      <c r="J275" s="465" t="s">
        <v>1297</v>
      </c>
      <c r="K275" s="465"/>
      <c r="L275" s="443">
        <f>INDEX(dataProd1Seg2Comp2Payer2TotalShare,,xxRound+1)</f>
        <v>5.1111111111111114E-2</v>
      </c>
    </row>
    <row r="276" spans="1:16">
      <c r="A276" t="str">
        <f>nmProd1Seg3</f>
        <v>Lordfrey City</v>
      </c>
      <c r="E276" s="464">
        <f t="shared" si="37"/>
        <v>1.3939393939393939E-2</v>
      </c>
      <c r="F276" s="464">
        <f t="shared" si="37"/>
        <v>1.3939393939393939E-2</v>
      </c>
      <c r="G276" s="464">
        <f t="shared" si="37"/>
        <v>1.3939393939393939E-2</v>
      </c>
      <c r="H276" s="464">
        <f t="shared" si="37"/>
        <v>1.3939393939393939E-2</v>
      </c>
      <c r="I276" s="464">
        <f t="shared" si="37"/>
        <v>1.3939393939393939E-2</v>
      </c>
      <c r="J276" s="465" t="s">
        <v>1298</v>
      </c>
      <c r="K276" s="465"/>
      <c r="L276" s="443">
        <f>INDEX(dataProd1Seg3Comp2Payer2TotalShare,,xxRound+1)</f>
        <v>1.3939393939393939E-2</v>
      </c>
    </row>
    <row r="277" spans="1:16">
      <c r="E277" s="451"/>
      <c r="F277" s="451"/>
      <c r="G277" s="451"/>
      <c r="H277" s="451"/>
      <c r="I277" s="451" t="s">
        <v>677</v>
      </c>
      <c r="L277" s="452"/>
    </row>
    <row r="278" spans="1:16">
      <c r="A278" s="4" t="str">
        <f>nmPayer3</f>
        <v>Dragon Health</v>
      </c>
      <c r="E278" s="451"/>
      <c r="F278" s="451"/>
      <c r="G278" s="451"/>
      <c r="H278" s="451"/>
      <c r="I278" s="451"/>
      <c r="L278" s="452"/>
    </row>
    <row r="279" spans="1:16">
      <c r="A279" t="str">
        <f>nmProd1</f>
        <v>Riverrun</v>
      </c>
      <c r="E279" s="464">
        <f t="shared" ref="E279:I282" si="38">$L279</f>
        <v>1.7829457364341085E-2</v>
      </c>
      <c r="F279" s="464">
        <f t="shared" si="38"/>
        <v>1.7829457364341085E-2</v>
      </c>
      <c r="G279" s="464">
        <f t="shared" si="38"/>
        <v>1.7829457364341085E-2</v>
      </c>
      <c r="H279" s="464">
        <f t="shared" si="38"/>
        <v>1.7829457364341085E-2</v>
      </c>
      <c r="I279" s="464">
        <f t="shared" si="38"/>
        <v>1.7829457364341085E-2</v>
      </c>
      <c r="J279" s="465" t="s">
        <v>1299</v>
      </c>
      <c r="K279" s="465"/>
      <c r="L279" s="443">
        <f>INDEX(dataProd1Comp2Payer3TotalShare,,xxRound+1)</f>
        <v>1.7829457364341085E-2</v>
      </c>
    </row>
    <row r="280" spans="1:16">
      <c r="A280" t="str">
        <f>nmProd1Seg1</f>
        <v>Riverrun Central</v>
      </c>
      <c r="E280" s="464">
        <f t="shared" si="38"/>
        <v>2.0909090909090912E-2</v>
      </c>
      <c r="F280" s="464">
        <f t="shared" si="38"/>
        <v>2.0909090909090912E-2</v>
      </c>
      <c r="G280" s="464">
        <f t="shared" si="38"/>
        <v>2.0909090909090912E-2</v>
      </c>
      <c r="H280" s="464">
        <f t="shared" si="38"/>
        <v>2.0909090909090912E-2</v>
      </c>
      <c r="I280" s="464">
        <f t="shared" si="38"/>
        <v>2.0909090909090912E-2</v>
      </c>
      <c r="J280" s="465" t="s">
        <v>1300</v>
      </c>
      <c r="K280" s="465"/>
      <c r="L280" s="443">
        <f>INDEX(dataProd1Seg1Comp2Payer3TotalShare,,xxRound+1)</f>
        <v>2.0909090909090912E-2</v>
      </c>
    </row>
    <row r="281" spans="1:16">
      <c r="A281" t="str">
        <f>nmProd1Seg2</f>
        <v>Tullyville</v>
      </c>
      <c r="E281" s="464">
        <f t="shared" si="38"/>
        <v>1.3142857142857144E-2</v>
      </c>
      <c r="F281" s="464">
        <f t="shared" si="38"/>
        <v>1.3142857142857144E-2</v>
      </c>
      <c r="G281" s="464">
        <f t="shared" si="38"/>
        <v>1.3142857142857144E-2</v>
      </c>
      <c r="H281" s="464">
        <f t="shared" si="38"/>
        <v>1.3142857142857144E-2</v>
      </c>
      <c r="I281" s="464">
        <f t="shared" si="38"/>
        <v>1.3142857142857144E-2</v>
      </c>
      <c r="J281" s="465" t="s">
        <v>1301</v>
      </c>
      <c r="K281" s="465"/>
      <c r="L281" s="443">
        <f>INDEX(dataProd1Seg2Comp2Payer3TotalShare,,xxRound+1)</f>
        <v>1.3142857142857144E-2</v>
      </c>
    </row>
    <row r="282" spans="1:16">
      <c r="A282" t="str">
        <f>nmProd1Seg3</f>
        <v>Lordfrey City</v>
      </c>
      <c r="E282" s="464">
        <f t="shared" si="38"/>
        <v>2.4210526315789474E-2</v>
      </c>
      <c r="F282" s="464">
        <f t="shared" si="38"/>
        <v>2.4210526315789474E-2</v>
      </c>
      <c r="G282" s="464">
        <f t="shared" si="38"/>
        <v>2.4210526315789474E-2</v>
      </c>
      <c r="H282" s="464">
        <f t="shared" si="38"/>
        <v>2.4210526315789474E-2</v>
      </c>
      <c r="I282" s="464">
        <f t="shared" si="38"/>
        <v>2.4210526315789474E-2</v>
      </c>
      <c r="J282" s="465" t="s">
        <v>1302</v>
      </c>
      <c r="K282" s="465"/>
      <c r="L282" s="443">
        <f>INDEX(dataProd1Seg3Comp2Payer3TotalShare,,xxRound+1)</f>
        <v>2.4210526315789474E-2</v>
      </c>
    </row>
    <row r="283" spans="1:16">
      <c r="E283" s="451"/>
      <c r="F283" s="451"/>
      <c r="G283" s="451"/>
      <c r="H283" s="451"/>
      <c r="I283" s="451" t="s">
        <v>677</v>
      </c>
      <c r="L283" s="452"/>
    </row>
    <row r="284" spans="1:16">
      <c r="A284" s="4" t="s">
        <v>1417</v>
      </c>
      <c r="E284" s="451"/>
      <c r="F284" s="451"/>
      <c r="G284" s="451"/>
      <c r="H284" s="451"/>
      <c r="I284" s="451"/>
      <c r="L284" s="452"/>
    </row>
    <row r="285" spans="1:16">
      <c r="A285" s="4" t="str">
        <f>nmPayer1</f>
        <v>Blue Sword/Blue Shield</v>
      </c>
      <c r="E285" s="451"/>
      <c r="F285" s="451"/>
      <c r="G285" s="451"/>
      <c r="H285" s="451"/>
      <c r="I285" s="451"/>
      <c r="L285" s="452"/>
    </row>
    <row r="286" spans="1:16">
      <c r="A286" t="str">
        <f>nmProd1</f>
        <v>Riverrun</v>
      </c>
      <c r="E286" s="451">
        <f t="shared" ref="E286:I289" si="39">$L286</f>
        <v>226.7328</v>
      </c>
      <c r="F286" s="451">
        <f t="shared" si="39"/>
        <v>226.7328</v>
      </c>
      <c r="G286" s="451">
        <f t="shared" si="39"/>
        <v>226.7328</v>
      </c>
      <c r="H286" s="451">
        <f t="shared" si="39"/>
        <v>226.7328</v>
      </c>
      <c r="I286" s="451">
        <f t="shared" si="39"/>
        <v>226.7328</v>
      </c>
      <c r="J286" s="465" t="s">
        <v>1418</v>
      </c>
      <c r="K286" s="465"/>
      <c r="L286" s="452">
        <f>SUM(M286:O286)</f>
        <v>226.7328</v>
      </c>
      <c r="M286" s="452">
        <f>INDEX(dataProd1Seg1Payer1Volume,,xxRound+1)</f>
        <v>90.693119999999993</v>
      </c>
      <c r="N286" s="452">
        <f>INDEX(dataProd1Seg2Payer1Volume,,xxRound+1)</f>
        <v>79.356479999999991</v>
      </c>
      <c r="O286" s="452">
        <f>INDEX(dataProd1Seg3Payer1Volume,,xxRound+1)</f>
        <v>56.683199999999985</v>
      </c>
      <c r="P286" s="452"/>
    </row>
    <row r="287" spans="1:16">
      <c r="A287" t="str">
        <f>nmProd1Seg1</f>
        <v>Riverrun Central</v>
      </c>
      <c r="E287" s="451">
        <f t="shared" si="39"/>
        <v>90.693119999999993</v>
      </c>
      <c r="F287" s="451">
        <f t="shared" si="39"/>
        <v>90.693119999999993</v>
      </c>
      <c r="G287" s="451">
        <f t="shared" si="39"/>
        <v>90.693119999999993</v>
      </c>
      <c r="H287" s="451">
        <f t="shared" si="39"/>
        <v>90.693119999999993</v>
      </c>
      <c r="I287" s="451">
        <f t="shared" si="39"/>
        <v>90.693119999999993</v>
      </c>
      <c r="J287" s="465" t="s">
        <v>1419</v>
      </c>
      <c r="K287" s="465"/>
      <c r="L287" s="452">
        <f>INDEX(dataProd1Seg1Payer1Volume,,xxRound+1)</f>
        <v>90.693119999999993</v>
      </c>
    </row>
    <row r="288" spans="1:16">
      <c r="A288" t="str">
        <f>nmProd1Seg2</f>
        <v>Tullyville</v>
      </c>
      <c r="E288" s="451">
        <f t="shared" si="39"/>
        <v>79.356479999999991</v>
      </c>
      <c r="F288" s="451">
        <f t="shared" si="39"/>
        <v>79.356479999999991</v>
      </c>
      <c r="G288" s="451">
        <f t="shared" si="39"/>
        <v>79.356479999999991</v>
      </c>
      <c r="H288" s="451">
        <f t="shared" si="39"/>
        <v>79.356479999999991</v>
      </c>
      <c r="I288" s="451">
        <f t="shared" si="39"/>
        <v>79.356479999999991</v>
      </c>
      <c r="J288" s="465" t="s">
        <v>1420</v>
      </c>
      <c r="K288" s="465"/>
      <c r="L288" s="452">
        <f>INDEX(dataProd1Seg2Payer1Volume,,xxRound+1)</f>
        <v>79.356479999999991</v>
      </c>
    </row>
    <row r="289" spans="1:15">
      <c r="A289" t="str">
        <f>nmProd1Seg3</f>
        <v>Lordfrey City</v>
      </c>
      <c r="E289" s="451">
        <f t="shared" si="39"/>
        <v>56.683199999999985</v>
      </c>
      <c r="F289" s="451">
        <f t="shared" si="39"/>
        <v>56.683199999999985</v>
      </c>
      <c r="G289" s="451">
        <f t="shared" si="39"/>
        <v>56.683199999999985</v>
      </c>
      <c r="H289" s="451">
        <f t="shared" si="39"/>
        <v>56.683199999999985</v>
      </c>
      <c r="I289" s="451">
        <f t="shared" si="39"/>
        <v>56.683199999999985</v>
      </c>
      <c r="J289" s="465" t="s">
        <v>1421</v>
      </c>
      <c r="K289" s="465"/>
      <c r="L289" s="452">
        <f>INDEX(dataProd1Seg3Payer1Volume,,xxRound+1)</f>
        <v>56.683199999999985</v>
      </c>
    </row>
    <row r="290" spans="1:15">
      <c r="E290" s="451"/>
      <c r="F290" s="451"/>
      <c r="G290" s="451"/>
      <c r="H290" s="451"/>
      <c r="I290" s="451"/>
      <c r="L290" s="452"/>
    </row>
    <row r="291" spans="1:15">
      <c r="A291" s="4" t="str">
        <f>nmPayer2</f>
        <v>WesterAid</v>
      </c>
      <c r="E291" s="451"/>
      <c r="F291" s="451"/>
      <c r="G291" s="451"/>
      <c r="H291" s="451"/>
      <c r="I291" s="451"/>
      <c r="L291" s="452"/>
    </row>
    <row r="292" spans="1:15">
      <c r="A292" t="str">
        <f>nmProd1</f>
        <v>Riverrun</v>
      </c>
      <c r="E292" s="451">
        <f t="shared" ref="E292:I295" si="40">$L292</f>
        <v>0</v>
      </c>
      <c r="F292" s="451">
        <f t="shared" si="40"/>
        <v>0</v>
      </c>
      <c r="G292" s="451">
        <f t="shared" si="40"/>
        <v>0</v>
      </c>
      <c r="H292" s="451">
        <f t="shared" si="40"/>
        <v>0</v>
      </c>
      <c r="I292" s="451">
        <f t="shared" si="40"/>
        <v>0</v>
      </c>
      <c r="J292" s="465" t="s">
        <v>1422</v>
      </c>
      <c r="K292" s="465"/>
      <c r="L292" s="452">
        <f>SUM(M292:O292)</f>
        <v>0</v>
      </c>
      <c r="M292" s="452">
        <f>INDEX(dataProd1Seg1Payer2Volume,,xxRound+1)</f>
        <v>0</v>
      </c>
      <c r="N292" s="452">
        <f>INDEX(dataProd1Seg2Payer2Volume,,xxRound+1)</f>
        <v>0</v>
      </c>
      <c r="O292" s="452">
        <f>INDEX(dataProd1Seg3Payer2Volume,,xxRound+1)</f>
        <v>0</v>
      </c>
    </row>
    <row r="293" spans="1:15">
      <c r="A293" t="str">
        <f>nmProd1Seg1</f>
        <v>Riverrun Central</v>
      </c>
      <c r="E293" s="451">
        <f t="shared" si="40"/>
        <v>0</v>
      </c>
      <c r="F293" s="451">
        <f t="shared" si="40"/>
        <v>0</v>
      </c>
      <c r="G293" s="451">
        <f t="shared" si="40"/>
        <v>0</v>
      </c>
      <c r="H293" s="451">
        <f t="shared" si="40"/>
        <v>0</v>
      </c>
      <c r="I293" s="451">
        <f t="shared" si="40"/>
        <v>0</v>
      </c>
      <c r="J293" s="465" t="s">
        <v>1423</v>
      </c>
      <c r="K293" s="465"/>
      <c r="L293" s="452">
        <f>INDEX(dataProd1Seg1Payer2Volume,,xxRound+1)</f>
        <v>0</v>
      </c>
    </row>
    <row r="294" spans="1:15">
      <c r="A294" t="str">
        <f>nmProd1Seg2</f>
        <v>Tullyville</v>
      </c>
      <c r="E294" s="451">
        <f t="shared" si="40"/>
        <v>0</v>
      </c>
      <c r="F294" s="451">
        <f t="shared" si="40"/>
        <v>0</v>
      </c>
      <c r="G294" s="451">
        <f t="shared" si="40"/>
        <v>0</v>
      </c>
      <c r="H294" s="451">
        <f t="shared" si="40"/>
        <v>0</v>
      </c>
      <c r="I294" s="451">
        <f t="shared" si="40"/>
        <v>0</v>
      </c>
      <c r="J294" s="465" t="s">
        <v>1424</v>
      </c>
      <c r="K294" s="465"/>
      <c r="L294" s="452">
        <f>INDEX(dataProd1Seg2Payer2Volume,,xxRound+1)</f>
        <v>0</v>
      </c>
    </row>
    <row r="295" spans="1:15">
      <c r="A295" t="str">
        <f>nmProd1Seg3</f>
        <v>Lordfrey City</v>
      </c>
      <c r="E295" s="451">
        <f t="shared" si="40"/>
        <v>0</v>
      </c>
      <c r="F295" s="451">
        <f t="shared" si="40"/>
        <v>0</v>
      </c>
      <c r="G295" s="451">
        <f t="shared" si="40"/>
        <v>0</v>
      </c>
      <c r="H295" s="451">
        <f t="shared" si="40"/>
        <v>0</v>
      </c>
      <c r="I295" s="451">
        <f t="shared" si="40"/>
        <v>0</v>
      </c>
      <c r="J295" s="465" t="s">
        <v>1425</v>
      </c>
      <c r="K295" s="465"/>
      <c r="L295" s="452">
        <f>INDEX(dataProd1Seg3Payer2Volume,,xxRound+1)</f>
        <v>0</v>
      </c>
    </row>
    <row r="296" spans="1:15">
      <c r="E296" s="451"/>
      <c r="F296" s="451"/>
      <c r="G296" s="451"/>
      <c r="H296" s="451"/>
      <c r="I296" s="451"/>
      <c r="L296" s="452"/>
    </row>
    <row r="297" spans="1:15">
      <c r="A297" s="4" t="str">
        <f>nmPayer3</f>
        <v>Dragon Health</v>
      </c>
      <c r="E297" s="451"/>
      <c r="F297" s="451"/>
      <c r="G297" s="451"/>
      <c r="H297" s="451"/>
      <c r="I297" s="451"/>
      <c r="L297" s="452"/>
    </row>
    <row r="298" spans="1:15">
      <c r="A298" t="str">
        <f>nmProd1</f>
        <v>Riverrun</v>
      </c>
      <c r="E298" s="451">
        <f t="shared" ref="E298:I301" si="41">$L298</f>
        <v>97.171200000000013</v>
      </c>
      <c r="F298" s="451">
        <f t="shared" si="41"/>
        <v>97.171200000000013</v>
      </c>
      <c r="G298" s="451">
        <f t="shared" si="41"/>
        <v>97.171200000000013</v>
      </c>
      <c r="H298" s="451">
        <f t="shared" si="41"/>
        <v>97.171200000000013</v>
      </c>
      <c r="I298" s="451">
        <f t="shared" si="41"/>
        <v>97.171200000000013</v>
      </c>
      <c r="J298" s="465" t="s">
        <v>1426</v>
      </c>
      <c r="K298" s="465"/>
      <c r="L298" s="452">
        <f>SUM(M298:O298)</f>
        <v>97.171200000000013</v>
      </c>
      <c r="M298" s="452">
        <f>INDEX(dataProd1Seg1Payer3Volume,,xxRound+1)</f>
        <v>38.868480000000005</v>
      </c>
      <c r="N298" s="452">
        <f>INDEX(dataProd1Seg2Payer3Volume,,xxRound+1)</f>
        <v>34.009920000000008</v>
      </c>
      <c r="O298" s="452">
        <f>INDEX(dataProd1Seg3Payer3Volume,,xxRound+1)</f>
        <v>24.2928</v>
      </c>
    </row>
    <row r="299" spans="1:15">
      <c r="A299" t="str">
        <f>nmProd1Seg1</f>
        <v>Riverrun Central</v>
      </c>
      <c r="E299" s="451">
        <f t="shared" si="41"/>
        <v>38.868480000000005</v>
      </c>
      <c r="F299" s="451">
        <f t="shared" si="41"/>
        <v>38.868480000000005</v>
      </c>
      <c r="G299" s="451">
        <f t="shared" si="41"/>
        <v>38.868480000000005</v>
      </c>
      <c r="H299" s="451">
        <f t="shared" si="41"/>
        <v>38.868480000000005</v>
      </c>
      <c r="I299" s="451">
        <f t="shared" si="41"/>
        <v>38.868480000000005</v>
      </c>
      <c r="J299" s="465" t="s">
        <v>1427</v>
      </c>
      <c r="K299" s="465"/>
      <c r="L299" s="452">
        <f>INDEX(dataProd1Seg1Payer3Volume,,xxRound+1)</f>
        <v>38.868480000000005</v>
      </c>
    </row>
    <row r="300" spans="1:15">
      <c r="A300" t="str">
        <f>nmProd1Seg2</f>
        <v>Tullyville</v>
      </c>
      <c r="E300" s="451">
        <f t="shared" si="41"/>
        <v>34.009920000000008</v>
      </c>
      <c r="F300" s="451">
        <f t="shared" si="41"/>
        <v>34.009920000000008</v>
      </c>
      <c r="G300" s="451">
        <f t="shared" si="41"/>
        <v>34.009920000000008</v>
      </c>
      <c r="H300" s="451">
        <f t="shared" si="41"/>
        <v>34.009920000000008</v>
      </c>
      <c r="I300" s="451">
        <f t="shared" si="41"/>
        <v>34.009920000000008</v>
      </c>
      <c r="J300" s="465" t="s">
        <v>1428</v>
      </c>
      <c r="K300" s="465"/>
      <c r="L300" s="452">
        <f>INDEX(dataProd1Seg2Payer3Volume,,xxRound+1)</f>
        <v>34.009920000000008</v>
      </c>
    </row>
    <row r="301" spans="1:15">
      <c r="A301" t="str">
        <f>nmProd1Seg3</f>
        <v>Lordfrey City</v>
      </c>
      <c r="E301" s="451">
        <f t="shared" si="41"/>
        <v>24.2928</v>
      </c>
      <c r="F301" s="451">
        <f t="shared" si="41"/>
        <v>24.2928</v>
      </c>
      <c r="G301" s="451">
        <f t="shared" si="41"/>
        <v>24.2928</v>
      </c>
      <c r="H301" s="451">
        <f t="shared" si="41"/>
        <v>24.2928</v>
      </c>
      <c r="I301" s="451">
        <f t="shared" si="41"/>
        <v>24.2928</v>
      </c>
      <c r="J301" s="465" t="s">
        <v>1429</v>
      </c>
      <c r="K301" s="465"/>
      <c r="L301" s="452">
        <f>INDEX(dataProd1Seg3Payer3Volume,,xxRound+1)</f>
        <v>24.2928</v>
      </c>
    </row>
    <row r="302" spans="1:15">
      <c r="E302" s="451"/>
      <c r="F302" s="451"/>
      <c r="G302" s="451"/>
      <c r="H302" s="451"/>
      <c r="I302" s="451"/>
      <c r="L302" s="452"/>
    </row>
    <row r="303" spans="1:15">
      <c r="E303" s="451"/>
      <c r="F303" s="451"/>
      <c r="G303" s="451"/>
      <c r="H303" s="451"/>
      <c r="I303" s="451"/>
      <c r="L303" s="452"/>
    </row>
    <row r="304" spans="1:15">
      <c r="A304" t="s">
        <v>557</v>
      </c>
      <c r="E304" s="451"/>
      <c r="F304" s="451"/>
      <c r="G304" s="451"/>
      <c r="H304" s="451"/>
      <c r="I304" s="451"/>
      <c r="L304" s="452"/>
    </row>
    <row r="305" spans="1:12">
      <c r="B305" t="s">
        <v>592</v>
      </c>
      <c r="E305" s="495">
        <f t="shared" ref="E305:I308" si="42">$L305</f>
        <v>60</v>
      </c>
      <c r="F305" s="495">
        <f t="shared" si="42"/>
        <v>60</v>
      </c>
      <c r="G305" s="495">
        <f t="shared" si="42"/>
        <v>60</v>
      </c>
      <c r="H305" s="495">
        <f t="shared" si="42"/>
        <v>60</v>
      </c>
      <c r="I305" s="495">
        <f t="shared" si="42"/>
        <v>60</v>
      </c>
      <c r="J305" s="465" t="s">
        <v>1456</v>
      </c>
      <c r="L305" s="452">
        <v>60</v>
      </c>
    </row>
    <row r="306" spans="1:12">
      <c r="B306" t="s">
        <v>592</v>
      </c>
      <c r="E306" s="495">
        <f t="shared" si="42"/>
        <v>60</v>
      </c>
      <c r="F306" s="495">
        <f t="shared" si="42"/>
        <v>60</v>
      </c>
      <c r="G306" s="495">
        <f t="shared" si="42"/>
        <v>60</v>
      </c>
      <c r="H306" s="495">
        <f t="shared" si="42"/>
        <v>60</v>
      </c>
      <c r="I306" s="495">
        <f t="shared" si="42"/>
        <v>60</v>
      </c>
      <c r="J306" s="465" t="s">
        <v>1458</v>
      </c>
      <c r="L306" s="452">
        <v>60</v>
      </c>
    </row>
    <row r="307" spans="1:12">
      <c r="B307" t="s">
        <v>1460</v>
      </c>
      <c r="E307" s="495">
        <f t="shared" si="42"/>
        <v>60</v>
      </c>
      <c r="F307" s="495">
        <f t="shared" si="42"/>
        <v>60</v>
      </c>
      <c r="G307" s="495">
        <f t="shared" si="42"/>
        <v>60</v>
      </c>
      <c r="H307" s="495">
        <f t="shared" si="42"/>
        <v>60</v>
      </c>
      <c r="I307" s="495">
        <f t="shared" si="42"/>
        <v>60</v>
      </c>
      <c r="J307" s="465" t="s">
        <v>1461</v>
      </c>
      <c r="L307" s="452">
        <v>60</v>
      </c>
    </row>
    <row r="308" spans="1:12">
      <c r="B308" t="s">
        <v>1460</v>
      </c>
      <c r="E308" s="495">
        <f t="shared" si="42"/>
        <v>60</v>
      </c>
      <c r="F308" s="495">
        <f t="shared" si="42"/>
        <v>60</v>
      </c>
      <c r="G308" s="495">
        <f t="shared" si="42"/>
        <v>60</v>
      </c>
      <c r="H308" s="495">
        <f t="shared" si="42"/>
        <v>60</v>
      </c>
      <c r="I308" s="495">
        <f t="shared" si="42"/>
        <v>60</v>
      </c>
      <c r="J308" s="465" t="s">
        <v>1462</v>
      </c>
      <c r="L308" s="452">
        <v>60</v>
      </c>
    </row>
    <row r="309" spans="1:12">
      <c r="E309" s="495"/>
      <c r="F309" s="495"/>
      <c r="G309" s="495"/>
      <c r="H309" s="495"/>
      <c r="I309" s="495"/>
      <c r="J309" s="465"/>
      <c r="L309" s="452"/>
    </row>
    <row r="310" spans="1:12">
      <c r="A310" t="s">
        <v>1465</v>
      </c>
      <c r="E310" s="495"/>
      <c r="F310" s="495"/>
      <c r="G310" s="495"/>
      <c r="H310" s="495"/>
      <c r="I310" s="495"/>
      <c r="J310" s="465"/>
      <c r="L310" s="452"/>
    </row>
    <row r="311" spans="1:12">
      <c r="B311" t="str">
        <f>nmPayer1</f>
        <v>Blue Sword/Blue Shield</v>
      </c>
      <c r="E311" s="495" t="str">
        <f t="shared" ref="E311:I325" si="43">$L311</f>
        <v>T2 DGSE</v>
      </c>
      <c r="F311" s="495" t="str">
        <f t="shared" si="43"/>
        <v>T2 DGSE</v>
      </c>
      <c r="G311" s="495" t="str">
        <f t="shared" si="43"/>
        <v>T2 DGSE</v>
      </c>
      <c r="H311" s="495" t="str">
        <f t="shared" si="43"/>
        <v>T2 DGSE</v>
      </c>
      <c r="I311" s="495" t="str">
        <f t="shared" si="43"/>
        <v>T2 DGSE</v>
      </c>
      <c r="J311" s="465" t="s">
        <v>1466</v>
      </c>
      <c r="L311" s="452" t="str">
        <f>dataTierStatusPayer1</f>
        <v>T2 DGSE</v>
      </c>
    </row>
    <row r="312" spans="1:12">
      <c r="B312" t="str">
        <f>nmPayer2</f>
        <v>WesterAid</v>
      </c>
      <c r="E312" s="495" t="str">
        <f t="shared" si="43"/>
        <v>T1 NR</v>
      </c>
      <c r="F312" s="495" t="str">
        <f t="shared" si="43"/>
        <v>T1 NR</v>
      </c>
      <c r="G312" s="495" t="str">
        <f t="shared" si="43"/>
        <v>T1 NR</v>
      </c>
      <c r="H312" s="495" t="str">
        <f t="shared" si="43"/>
        <v>T1 NR</v>
      </c>
      <c r="I312" s="495" t="str">
        <f t="shared" si="43"/>
        <v>T1 NR</v>
      </c>
      <c r="J312" s="465" t="s">
        <v>1467</v>
      </c>
      <c r="L312" s="452" t="str">
        <f>dataTierStatusPayer2</f>
        <v>T1 NR</v>
      </c>
    </row>
    <row r="313" spans="1:12">
      <c r="B313" t="str">
        <f>nmPayer3</f>
        <v>Dragon Health</v>
      </c>
      <c r="E313" s="495" t="str">
        <f t="shared" si="43"/>
        <v>T3 SGSE</v>
      </c>
      <c r="F313" s="495" t="str">
        <f t="shared" si="43"/>
        <v>T3 SGSE</v>
      </c>
      <c r="G313" s="495" t="str">
        <f t="shared" si="43"/>
        <v>T3 SGSE</v>
      </c>
      <c r="H313" s="495" t="str">
        <f t="shared" si="43"/>
        <v>T3 SGSE</v>
      </c>
      <c r="I313" s="495" t="str">
        <f t="shared" si="43"/>
        <v>T3 SGSE</v>
      </c>
      <c r="J313" s="465" t="s">
        <v>1468</v>
      </c>
      <c r="L313" s="452" t="str">
        <f>dataTierStatusPayer3</f>
        <v>T3 SGSE</v>
      </c>
    </row>
    <row r="314" spans="1:12">
      <c r="E314" s="495"/>
      <c r="F314" s="495"/>
      <c r="G314" s="495"/>
      <c r="H314" s="495"/>
      <c r="I314" s="495"/>
      <c r="J314" s="465"/>
      <c r="L314" s="452"/>
    </row>
    <row r="315" spans="1:12">
      <c r="B315" t="str">
        <f>nmPayer1</f>
        <v>Blue Sword/Blue Shield</v>
      </c>
      <c r="E315" s="495" t="str">
        <f t="shared" si="43"/>
        <v>T2 DGSE</v>
      </c>
      <c r="F315" s="495" t="str">
        <f t="shared" si="43"/>
        <v>T2 DGSE</v>
      </c>
      <c r="G315" s="495" t="str">
        <f t="shared" si="43"/>
        <v>T2 DGSE</v>
      </c>
      <c r="H315" s="495" t="str">
        <f t="shared" si="43"/>
        <v>T2 DGSE</v>
      </c>
      <c r="I315" s="495" t="str">
        <f t="shared" si="43"/>
        <v>T2 DGSE</v>
      </c>
      <c r="J315" s="465" t="s">
        <v>1469</v>
      </c>
      <c r="L315" s="452" t="str">
        <f>dataTierStatusPayer1</f>
        <v>T2 DGSE</v>
      </c>
    </row>
    <row r="316" spans="1:12">
      <c r="B316" t="str">
        <f>nmPayer2</f>
        <v>WesterAid</v>
      </c>
      <c r="E316" s="495" t="str">
        <f t="shared" si="43"/>
        <v>T1 NR</v>
      </c>
      <c r="F316" s="495" t="str">
        <f t="shared" si="43"/>
        <v>T1 NR</v>
      </c>
      <c r="G316" s="495" t="str">
        <f t="shared" si="43"/>
        <v>T1 NR</v>
      </c>
      <c r="H316" s="495" t="str">
        <f t="shared" si="43"/>
        <v>T1 NR</v>
      </c>
      <c r="I316" s="495" t="str">
        <f t="shared" si="43"/>
        <v>T1 NR</v>
      </c>
      <c r="J316" s="465" t="s">
        <v>1470</v>
      </c>
      <c r="L316" s="452" t="str">
        <f>dataTierStatusPayer2</f>
        <v>T1 NR</v>
      </c>
    </row>
    <row r="317" spans="1:12">
      <c r="B317" t="str">
        <f>nmPayer3</f>
        <v>Dragon Health</v>
      </c>
      <c r="E317" s="495" t="str">
        <f t="shared" si="43"/>
        <v>T3 SGSE</v>
      </c>
      <c r="F317" s="495" t="str">
        <f t="shared" si="43"/>
        <v>T3 SGSE</v>
      </c>
      <c r="G317" s="495" t="str">
        <f t="shared" si="43"/>
        <v>T3 SGSE</v>
      </c>
      <c r="H317" s="495" t="str">
        <f t="shared" si="43"/>
        <v>T3 SGSE</v>
      </c>
      <c r="I317" s="495" t="str">
        <f t="shared" si="43"/>
        <v>T3 SGSE</v>
      </c>
      <c r="J317" s="465" t="s">
        <v>1471</v>
      </c>
      <c r="L317" s="452" t="str">
        <f>dataTierStatusPayer3</f>
        <v>T3 SGSE</v>
      </c>
    </row>
    <row r="318" spans="1:12">
      <c r="E318" s="495"/>
      <c r="F318" s="495"/>
      <c r="G318" s="495"/>
      <c r="H318" s="495"/>
      <c r="I318" s="495"/>
      <c r="J318" s="465"/>
      <c r="L318" s="452"/>
    </row>
    <row r="319" spans="1:12">
      <c r="B319" t="str">
        <f>nmPayer1</f>
        <v>Blue Sword/Blue Shield</v>
      </c>
      <c r="E319" s="495" t="str">
        <f t="shared" si="43"/>
        <v>T2 DGSE</v>
      </c>
      <c r="F319" s="495" t="str">
        <f t="shared" si="43"/>
        <v>T2 DGSE</v>
      </c>
      <c r="G319" s="495" t="str">
        <f t="shared" si="43"/>
        <v>T2 DGSE</v>
      </c>
      <c r="H319" s="495" t="str">
        <f t="shared" si="43"/>
        <v>T2 DGSE</v>
      </c>
      <c r="I319" s="495" t="str">
        <f t="shared" si="43"/>
        <v>T2 DGSE</v>
      </c>
      <c r="J319" s="465" t="s">
        <v>1472</v>
      </c>
      <c r="L319" s="452" t="str">
        <f>dataTierStatusPayer1</f>
        <v>T2 DGSE</v>
      </c>
    </row>
    <row r="320" spans="1:12">
      <c r="B320" t="str">
        <f>nmPayer2</f>
        <v>WesterAid</v>
      </c>
      <c r="E320" s="495" t="str">
        <f t="shared" si="43"/>
        <v>T1 NR</v>
      </c>
      <c r="F320" s="495" t="str">
        <f t="shared" si="43"/>
        <v>T1 NR</v>
      </c>
      <c r="G320" s="495" t="str">
        <f t="shared" si="43"/>
        <v>T1 NR</v>
      </c>
      <c r="H320" s="495" t="str">
        <f t="shared" si="43"/>
        <v>T1 NR</v>
      </c>
      <c r="I320" s="495" t="str">
        <f t="shared" si="43"/>
        <v>T1 NR</v>
      </c>
      <c r="J320" s="465" t="s">
        <v>1473</v>
      </c>
      <c r="L320" s="452" t="str">
        <f>dataTierStatusPayer2</f>
        <v>T1 NR</v>
      </c>
    </row>
    <row r="321" spans="2:12">
      <c r="B321" t="str">
        <f>nmPayer3</f>
        <v>Dragon Health</v>
      </c>
      <c r="E321" s="495" t="str">
        <f t="shared" si="43"/>
        <v>T3 SGSE</v>
      </c>
      <c r="F321" s="495" t="str">
        <f t="shared" si="43"/>
        <v>T3 SGSE</v>
      </c>
      <c r="G321" s="495" t="str">
        <f t="shared" si="43"/>
        <v>T3 SGSE</v>
      </c>
      <c r="H321" s="495" t="str">
        <f t="shared" si="43"/>
        <v>T3 SGSE</v>
      </c>
      <c r="I321" s="495" t="str">
        <f t="shared" si="43"/>
        <v>T3 SGSE</v>
      </c>
      <c r="J321" s="465" t="s">
        <v>1474</v>
      </c>
      <c r="L321" s="452" t="str">
        <f>dataTierStatusPayer3</f>
        <v>T3 SGSE</v>
      </c>
    </row>
    <row r="322" spans="2:12">
      <c r="E322" s="495"/>
      <c r="F322" s="495"/>
      <c r="G322" s="495"/>
      <c r="H322" s="495"/>
      <c r="I322" s="495"/>
      <c r="J322" s="465"/>
      <c r="L322" s="452"/>
    </row>
    <row r="323" spans="2:12">
      <c r="B323" t="str">
        <f>nmPayer1</f>
        <v>Blue Sword/Blue Shield</v>
      </c>
      <c r="E323" s="495" t="str">
        <f t="shared" si="43"/>
        <v>T2 DGSE</v>
      </c>
      <c r="F323" s="495" t="str">
        <f t="shared" si="43"/>
        <v>T2 DGSE</v>
      </c>
      <c r="G323" s="495" t="str">
        <f t="shared" si="43"/>
        <v>T2 DGSE</v>
      </c>
      <c r="H323" s="495" t="str">
        <f t="shared" si="43"/>
        <v>T2 DGSE</v>
      </c>
      <c r="I323" s="495" t="str">
        <f t="shared" si="43"/>
        <v>T2 DGSE</v>
      </c>
      <c r="J323" s="465" t="s">
        <v>2629</v>
      </c>
      <c r="L323" s="452" t="str">
        <f>dataTierStatusPayer1</f>
        <v>T2 DGSE</v>
      </c>
    </row>
    <row r="324" spans="2:12">
      <c r="B324" t="str">
        <f>nmPayer2</f>
        <v>WesterAid</v>
      </c>
      <c r="E324" s="495" t="str">
        <f t="shared" si="43"/>
        <v>T1 NR</v>
      </c>
      <c r="F324" s="495" t="str">
        <f t="shared" si="43"/>
        <v>T1 NR</v>
      </c>
      <c r="G324" s="495" t="str">
        <f t="shared" si="43"/>
        <v>T1 NR</v>
      </c>
      <c r="H324" s="495" t="str">
        <f t="shared" si="43"/>
        <v>T1 NR</v>
      </c>
      <c r="I324" s="495" t="str">
        <f t="shared" si="43"/>
        <v>T1 NR</v>
      </c>
      <c r="J324" s="465" t="s">
        <v>2630</v>
      </c>
      <c r="L324" s="452" t="str">
        <f>dataTierStatusPayer2</f>
        <v>T1 NR</v>
      </c>
    </row>
    <row r="325" spans="2:12">
      <c r="B325" t="str">
        <f>nmPayer3</f>
        <v>Dragon Health</v>
      </c>
      <c r="E325" s="495" t="str">
        <f t="shared" si="43"/>
        <v>T3 SGSE</v>
      </c>
      <c r="F325" s="495" t="str">
        <f t="shared" si="43"/>
        <v>T3 SGSE</v>
      </c>
      <c r="G325" s="495" t="str">
        <f t="shared" si="43"/>
        <v>T3 SGSE</v>
      </c>
      <c r="H325" s="495" t="str">
        <f t="shared" si="43"/>
        <v>T3 SGSE</v>
      </c>
      <c r="I325" s="495" t="str">
        <f t="shared" si="43"/>
        <v>T3 SGSE</v>
      </c>
      <c r="J325" s="465" t="s">
        <v>2631</v>
      </c>
      <c r="L325" s="452" t="str">
        <f>dataTierStatusPayer3</f>
        <v>T3 SGSE</v>
      </c>
    </row>
    <row r="326" spans="2:12">
      <c r="E326" s="495"/>
      <c r="F326" s="495"/>
      <c r="G326" s="495"/>
      <c r="H326" s="495"/>
      <c r="I326" s="495"/>
      <c r="J326" s="465"/>
      <c r="L326" s="452"/>
    </row>
    <row r="327" spans="2:12">
      <c r="B327" t="str">
        <f>nmPayer1</f>
        <v>Blue Sword/Blue Shield</v>
      </c>
      <c r="E327" s="495" t="str">
        <f t="shared" ref="E327:I333" si="44">$L327</f>
        <v>T2 DGSE</v>
      </c>
      <c r="F327" s="495" t="str">
        <f t="shared" si="44"/>
        <v>T2 DGSE</v>
      </c>
      <c r="G327" s="495" t="str">
        <f t="shared" si="44"/>
        <v>T2 DGSE</v>
      </c>
      <c r="H327" s="495" t="str">
        <f t="shared" si="44"/>
        <v>T2 DGSE</v>
      </c>
      <c r="I327" s="495" t="str">
        <f t="shared" si="44"/>
        <v>T2 DGSE</v>
      </c>
      <c r="J327" s="465" t="s">
        <v>2632</v>
      </c>
      <c r="L327" s="452" t="str">
        <f>dataTierStatusPayer1</f>
        <v>T2 DGSE</v>
      </c>
    </row>
    <row r="328" spans="2:12">
      <c r="B328" t="str">
        <f>nmPayer2</f>
        <v>WesterAid</v>
      </c>
      <c r="E328" s="495" t="str">
        <f t="shared" si="44"/>
        <v>T1 NR</v>
      </c>
      <c r="F328" s="495" t="str">
        <f t="shared" si="44"/>
        <v>T1 NR</v>
      </c>
      <c r="G328" s="495" t="str">
        <f t="shared" si="44"/>
        <v>T1 NR</v>
      </c>
      <c r="H328" s="495" t="str">
        <f t="shared" si="44"/>
        <v>T1 NR</v>
      </c>
      <c r="I328" s="495" t="str">
        <f t="shared" si="44"/>
        <v>T1 NR</v>
      </c>
      <c r="J328" s="465" t="s">
        <v>2633</v>
      </c>
      <c r="L328" s="452" t="str">
        <f>dataTierStatusPayer2</f>
        <v>T1 NR</v>
      </c>
    </row>
    <row r="329" spans="2:12">
      <c r="B329" t="str">
        <f>nmPayer3</f>
        <v>Dragon Health</v>
      </c>
      <c r="E329" s="495" t="str">
        <f t="shared" si="44"/>
        <v>T3 SGSE</v>
      </c>
      <c r="F329" s="495" t="str">
        <f t="shared" si="44"/>
        <v>T3 SGSE</v>
      </c>
      <c r="G329" s="495" t="str">
        <f t="shared" si="44"/>
        <v>T3 SGSE</v>
      </c>
      <c r="H329" s="495" t="str">
        <f t="shared" si="44"/>
        <v>T3 SGSE</v>
      </c>
      <c r="I329" s="495" t="str">
        <f t="shared" si="44"/>
        <v>T3 SGSE</v>
      </c>
      <c r="J329" s="465" t="s">
        <v>2634</v>
      </c>
      <c r="L329" s="452" t="str">
        <f>dataTierStatusPayer3</f>
        <v>T3 SGSE</v>
      </c>
    </row>
    <row r="330" spans="2:12">
      <c r="E330" s="495"/>
      <c r="F330" s="495"/>
      <c r="G330" s="495"/>
      <c r="H330" s="495"/>
      <c r="I330" s="495"/>
      <c r="J330" s="465"/>
      <c r="L330" s="452"/>
    </row>
    <row r="331" spans="2:12">
      <c r="B331" t="str">
        <f>nmPayer1</f>
        <v>Blue Sword/Blue Shield</v>
      </c>
      <c r="E331" s="495" t="str">
        <f t="shared" si="44"/>
        <v>T2 DGSE</v>
      </c>
      <c r="F331" s="495" t="str">
        <f t="shared" si="44"/>
        <v>T2 DGSE</v>
      </c>
      <c r="G331" s="495" t="str">
        <f t="shared" si="44"/>
        <v>T2 DGSE</v>
      </c>
      <c r="H331" s="495" t="str">
        <f t="shared" si="44"/>
        <v>T2 DGSE</v>
      </c>
      <c r="I331" s="495" t="str">
        <f t="shared" si="44"/>
        <v>T2 DGSE</v>
      </c>
      <c r="J331" s="465" t="s">
        <v>2635</v>
      </c>
      <c r="L331" s="452" t="str">
        <f>dataTierStatusPayer1</f>
        <v>T2 DGSE</v>
      </c>
    </row>
    <row r="332" spans="2:12">
      <c r="B332" t="str">
        <f>nmPayer2</f>
        <v>WesterAid</v>
      </c>
      <c r="E332" s="495" t="str">
        <f t="shared" si="44"/>
        <v>T1 NR</v>
      </c>
      <c r="F332" s="495" t="str">
        <f t="shared" si="44"/>
        <v>T1 NR</v>
      </c>
      <c r="G332" s="495" t="str">
        <f t="shared" si="44"/>
        <v>T1 NR</v>
      </c>
      <c r="H332" s="495" t="str">
        <f t="shared" si="44"/>
        <v>T1 NR</v>
      </c>
      <c r="I332" s="495" t="str">
        <f t="shared" si="44"/>
        <v>T1 NR</v>
      </c>
      <c r="J332" s="465" t="s">
        <v>2636</v>
      </c>
      <c r="L332" s="452" t="str">
        <f>dataTierStatusPayer2</f>
        <v>T1 NR</v>
      </c>
    </row>
    <row r="333" spans="2:12">
      <c r="B333" t="str">
        <f>nmPayer3</f>
        <v>Dragon Health</v>
      </c>
      <c r="E333" s="495" t="str">
        <f t="shared" si="44"/>
        <v>T3 SGSE</v>
      </c>
      <c r="F333" s="495" t="str">
        <f t="shared" si="44"/>
        <v>T3 SGSE</v>
      </c>
      <c r="G333" s="495" t="str">
        <f t="shared" si="44"/>
        <v>T3 SGSE</v>
      </c>
      <c r="H333" s="495" t="str">
        <f t="shared" si="44"/>
        <v>T3 SGSE</v>
      </c>
      <c r="I333" s="495" t="str">
        <f t="shared" si="44"/>
        <v>T3 SGSE</v>
      </c>
      <c r="J333" s="465" t="s">
        <v>2637</v>
      </c>
      <c r="L333" s="452" t="str">
        <f>dataTierStatusPayer3</f>
        <v>T3 SGSE</v>
      </c>
    </row>
    <row r="334" spans="2:12">
      <c r="E334" s="495"/>
      <c r="F334" s="495"/>
      <c r="G334" s="495"/>
      <c r="H334" s="495"/>
      <c r="I334" s="495"/>
      <c r="J334" s="465"/>
      <c r="L334" s="452"/>
    </row>
    <row r="335" spans="2:12">
      <c r="C335" t="s">
        <v>1537</v>
      </c>
      <c r="E335" s="380">
        <f>obalReg1Payer1TotalVolume+obalReg1Payer2TotalVolume+obalReg1Payer3TotalVolume</f>
        <v>288810.96000000002</v>
      </c>
      <c r="F335" s="380">
        <f>obalReg1Payer1TotalVolume+obalReg1Payer2TotalVolume+obalReg1Payer3TotalVolume</f>
        <v>288810.96000000002</v>
      </c>
      <c r="G335" s="380">
        <f>obalReg1Payer1TotalVolume+obalReg1Payer2TotalVolume+obalReg1Payer3TotalVolume</f>
        <v>288810.96000000002</v>
      </c>
      <c r="H335" s="380">
        <f>obalReg1Payer1TotalVolume+obalReg1Payer2TotalVolume+obalReg1Payer3TotalVolume</f>
        <v>288810.96000000002</v>
      </c>
      <c r="I335" s="380">
        <f>obalReg1Payer1TotalVolume+obalReg1Payer2TotalVolume+obalReg1Payer3TotalVolume</f>
        <v>288810.96000000002</v>
      </c>
      <c r="J335" s="380" t="s">
        <v>2210</v>
      </c>
      <c r="L335">
        <v>417759.69775899994</v>
      </c>
    </row>
    <row r="336" spans="2:12">
      <c r="C336" t="s">
        <v>1537</v>
      </c>
      <c r="E336" s="380">
        <f>obalReg1Seg1Payer1TotalVolume+obalReg1Seg1Payer2TotalVolume+obalReg1Seg1Payer3TotalVolume</f>
        <v>99870.399999999994</v>
      </c>
      <c r="F336" s="380">
        <f>obalReg1Seg1Payer1TotalVolume+obalReg1Seg1Payer2TotalVolume+obalReg1Seg1Payer3TotalVolume</f>
        <v>99870.399999999994</v>
      </c>
      <c r="G336" s="380">
        <f>obalReg1Seg1Payer1TotalVolume+obalReg1Seg1Payer2TotalVolume+obalReg1Seg1Payer3TotalVolume</f>
        <v>99870.399999999994</v>
      </c>
      <c r="H336" s="380">
        <f>obalReg1Seg1Payer1TotalVolume+obalReg1Seg1Payer2TotalVolume+obalReg1Seg1Payer3TotalVolume</f>
        <v>99870.399999999994</v>
      </c>
      <c r="I336" s="380">
        <f>obalReg1Seg1Payer1TotalVolume+obalReg1Seg1Payer2TotalVolume+obalReg1Seg1Payer3TotalVolume</f>
        <v>99870.399999999994</v>
      </c>
      <c r="J336" s="380" t="s">
        <v>2211</v>
      </c>
      <c r="L336">
        <v>147474.43591999996</v>
      </c>
    </row>
    <row r="337" spans="1:12">
      <c r="C337" t="s">
        <v>1537</v>
      </c>
      <c r="E337" s="380">
        <f>obalReg1Seg2Payer1TotalVolume+obalReg1Seg2Payer2TotalVolume+obalReg1Seg2Payer3TotalVolume</f>
        <v>81173.600000000006</v>
      </c>
      <c r="F337" s="380">
        <f>obalReg1Seg2Payer1TotalVolume+obalReg1Seg2Payer2TotalVolume+obalReg1Seg2Payer3TotalVolume</f>
        <v>81173.600000000006</v>
      </c>
      <c r="G337" s="380">
        <f>obalReg1Seg2Payer1TotalVolume+obalReg1Seg2Payer2TotalVolume+obalReg1Seg2Payer3TotalVolume</f>
        <v>81173.600000000006</v>
      </c>
      <c r="H337" s="380">
        <f>obalReg1Seg2Payer1TotalVolume+obalReg1Seg2Payer2TotalVolume+obalReg1Seg2Payer3TotalVolume</f>
        <v>81173.600000000006</v>
      </c>
      <c r="I337" s="380">
        <f>obalReg1Seg2Payer1TotalVolume+obalReg1Seg2Payer2TotalVolume+obalReg1Seg2Payer3TotalVolume</f>
        <v>81173.600000000006</v>
      </c>
      <c r="J337" s="380" t="s">
        <v>2212</v>
      </c>
      <c r="L337">
        <v>104541.55156699999</v>
      </c>
    </row>
    <row r="338" spans="1:12">
      <c r="C338" t="s">
        <v>1537</v>
      </c>
      <c r="E338" s="380">
        <f>obalReg1Seg3Payer1TotalVolume+obalReg1Seg3Payer2TotalVolume+obalReg1Seg3Payer3TotalVolume</f>
        <v>107766.95999999999</v>
      </c>
      <c r="F338" s="380">
        <f>obalReg1Seg3Payer1TotalVolume+obalReg1Seg3Payer2TotalVolume+obalReg1Seg3Payer3TotalVolume</f>
        <v>107766.95999999999</v>
      </c>
      <c r="G338" s="380">
        <f>obalReg1Seg3Payer1TotalVolume+obalReg1Seg3Payer2TotalVolume+obalReg1Seg3Payer3TotalVolume</f>
        <v>107766.95999999999</v>
      </c>
      <c r="H338" s="380">
        <f>obalReg1Seg3Payer1TotalVolume+obalReg1Seg3Payer2TotalVolume+obalReg1Seg3Payer3TotalVolume</f>
        <v>107766.95999999999</v>
      </c>
      <c r="I338" s="380">
        <f>obalReg1Seg3Payer1TotalVolume+obalReg1Seg3Payer2TotalVolume+obalReg1Seg3Payer3TotalVolume</f>
        <v>107766.95999999999</v>
      </c>
      <c r="J338" s="380" t="s">
        <v>2213</v>
      </c>
      <c r="L338">
        <v>165743.710272</v>
      </c>
    </row>
    <row r="339" spans="1:12">
      <c r="E339" s="451"/>
      <c r="F339" s="451"/>
      <c r="G339" s="451"/>
      <c r="H339" s="451"/>
      <c r="I339" s="451"/>
      <c r="L339" s="452"/>
    </row>
    <row r="340" spans="1:12">
      <c r="C340" t="s">
        <v>1537</v>
      </c>
      <c r="E340" s="380">
        <f>obalProd1Payer1TotalVolume+obalProd1Payer2TotalVolume+obalProd1Payer3TotalVolume</f>
        <v>100477.72</v>
      </c>
      <c r="F340" s="380">
        <f>obalProd1Payer1TotalVolume+obalProd1Payer2TotalVolume+obalProd1Payer3TotalVolume</f>
        <v>100477.72</v>
      </c>
      <c r="G340" s="380">
        <f>obalProd1Payer1TotalVolume+obalProd1Payer2TotalVolume+obalProd1Payer3TotalVolume</f>
        <v>100477.72</v>
      </c>
      <c r="H340" s="380">
        <f>obalProd1Payer1TotalVolume+obalProd1Payer2TotalVolume+obalProd1Payer3TotalVolume</f>
        <v>100477.72</v>
      </c>
      <c r="I340" s="380">
        <f>obalProd1Payer1TotalVolume+obalProd1Payer2TotalVolume+obalProd1Payer3TotalVolume</f>
        <v>100477.72</v>
      </c>
      <c r="J340" s="380" t="s">
        <v>2214</v>
      </c>
      <c r="L340">
        <v>147474.43591999996</v>
      </c>
    </row>
    <row r="341" spans="1:12">
      <c r="C341" t="s">
        <v>1537</v>
      </c>
      <c r="E341" s="380">
        <f>obalProd1Seg1Payer1TotalVolume+obalProd1Seg1Payer2TotalVolume+obalProd1Seg1Payer3TotalVolume</f>
        <v>40488</v>
      </c>
      <c r="F341" s="380">
        <f>obalProd1Seg1Payer1TotalVolume+obalProd1Seg1Payer2TotalVolume+obalProd1Seg1Payer3TotalVolume</f>
        <v>40488</v>
      </c>
      <c r="G341" s="380">
        <f>obalProd1Seg1Payer1TotalVolume+obalProd1Seg1Payer2TotalVolume+obalProd1Seg1Payer3TotalVolume</f>
        <v>40488</v>
      </c>
      <c r="H341" s="380">
        <f>obalProd1Seg1Payer1TotalVolume+obalProd1Seg1Payer2TotalVolume+obalProd1Seg1Payer3TotalVolume</f>
        <v>40488</v>
      </c>
      <c r="I341" s="380">
        <f>obalProd1Seg1Payer1TotalVolume+obalProd1Seg1Payer2TotalVolume+obalProd1Seg1Payer3TotalVolume</f>
        <v>40488</v>
      </c>
      <c r="J341" s="380" t="s">
        <v>2215</v>
      </c>
      <c r="L341">
        <v>58989.774367999991</v>
      </c>
    </row>
    <row r="342" spans="1:12">
      <c r="C342" t="s">
        <v>1537</v>
      </c>
      <c r="E342" s="380">
        <f>obalProd1Seg2Payer1TotalVolume+obalProd1Seg2Payer2TotalVolume+obalProd1Seg2Payer3TotalVolume</f>
        <v>34009.919999999998</v>
      </c>
      <c r="F342" s="380">
        <f>obalProd1Seg2Payer1TotalVolume+obalProd1Seg2Payer2TotalVolume+obalProd1Seg2Payer3TotalVolume</f>
        <v>34009.919999999998</v>
      </c>
      <c r="G342" s="380">
        <f>obalProd1Seg2Payer1TotalVolume+obalProd1Seg2Payer2TotalVolume+obalProd1Seg2Payer3TotalVolume</f>
        <v>34009.919999999998</v>
      </c>
      <c r="H342" s="380">
        <f>obalProd1Seg2Payer1TotalVolume+obalProd1Seg2Payer2TotalVolume+obalProd1Seg2Payer3TotalVolume</f>
        <v>34009.919999999998</v>
      </c>
      <c r="I342" s="380">
        <f>obalProd1Seg2Payer1TotalVolume+obalProd1Seg2Payer2TotalVolume+obalProd1Seg2Payer3TotalVolume</f>
        <v>34009.919999999998</v>
      </c>
      <c r="J342" s="380" t="s">
        <v>2216</v>
      </c>
      <c r="L342">
        <v>51616.052571999986</v>
      </c>
    </row>
    <row r="343" spans="1:12">
      <c r="C343" t="s">
        <v>1537</v>
      </c>
      <c r="E343" s="380">
        <f>obalProd1Seg3Payer1TotalVolume+obalProd1Seg3Payer2TotalVolume+obalProd1Seg3Payer3TotalVolume</f>
        <v>25979.800000000003</v>
      </c>
      <c r="F343" s="380">
        <f>obalProd1Seg3Payer1TotalVolume+obalProd1Seg3Payer2TotalVolume+obalProd1Seg3Payer3TotalVolume</f>
        <v>25979.800000000003</v>
      </c>
      <c r="G343" s="380">
        <f>obalProd1Seg3Payer1TotalVolume+obalProd1Seg3Payer2TotalVolume+obalProd1Seg3Payer3TotalVolume</f>
        <v>25979.800000000003</v>
      </c>
      <c r="H343" s="380">
        <f>obalProd1Seg3Payer1TotalVolume+obalProd1Seg3Payer2TotalVolume+obalProd1Seg3Payer3TotalVolume</f>
        <v>25979.800000000003</v>
      </c>
      <c r="I343" s="380">
        <f>obalProd1Seg3Payer1TotalVolume+obalProd1Seg3Payer2TotalVolume+obalProd1Seg3Payer3TotalVolume</f>
        <v>25979.800000000003</v>
      </c>
      <c r="J343" s="380" t="s">
        <v>2217</v>
      </c>
      <c r="L343">
        <v>36868.60897999999</v>
      </c>
    </row>
    <row r="344" spans="1:12">
      <c r="A344" t="s">
        <v>2305</v>
      </c>
      <c r="E344" s="451"/>
      <c r="F344" s="451"/>
      <c r="G344" s="451"/>
      <c r="H344" s="451"/>
      <c r="I344" s="451"/>
      <c r="L344" s="452"/>
    </row>
    <row r="345" spans="1:12">
      <c r="A345" t="str">
        <f>nmProd1Seg1</f>
        <v>Riverrun Central</v>
      </c>
      <c r="C345" t="str">
        <f>nmProd1Seg1Rep1</f>
        <v>Rep Allen</v>
      </c>
      <c r="E345" s="442">
        <f>$L345</f>
        <v>0.5</v>
      </c>
      <c r="F345" s="442">
        <f t="shared" ref="F345:I368" si="45">$L345</f>
        <v>0.5</v>
      </c>
      <c r="G345" s="442">
        <f t="shared" si="45"/>
        <v>0.5</v>
      </c>
      <c r="H345" s="442">
        <f t="shared" si="45"/>
        <v>0.5</v>
      </c>
      <c r="I345" s="442">
        <f t="shared" si="45"/>
        <v>0.5</v>
      </c>
      <c r="J345" s="380" t="s">
        <v>2306</v>
      </c>
      <c r="L345" s="443">
        <v>0.5</v>
      </c>
    </row>
    <row r="346" spans="1:12">
      <c r="C346" t="str">
        <f>nmProd1Seg1Rep2</f>
        <v>Rep Betty</v>
      </c>
      <c r="E346" s="442">
        <f t="shared" ref="E346:E368" si="46">$L346</f>
        <v>0.5</v>
      </c>
      <c r="F346" s="442">
        <f t="shared" si="45"/>
        <v>0.5</v>
      </c>
      <c r="G346" s="442">
        <f t="shared" si="45"/>
        <v>0.5</v>
      </c>
      <c r="H346" s="442">
        <f t="shared" si="45"/>
        <v>0.5</v>
      </c>
      <c r="I346" s="442">
        <f t="shared" si="45"/>
        <v>0.5</v>
      </c>
      <c r="J346" s="380" t="s">
        <v>2316</v>
      </c>
      <c r="L346" s="443">
        <v>0.5</v>
      </c>
    </row>
    <row r="347" spans="1:12">
      <c r="C347" t="str">
        <f>nmProd1Seg1Rep3</f>
        <v>Rep Chris</v>
      </c>
      <c r="E347" s="442">
        <f t="shared" si="46"/>
        <v>0.9</v>
      </c>
      <c r="F347" s="442">
        <f t="shared" si="45"/>
        <v>0.9</v>
      </c>
      <c r="G347" s="442">
        <f t="shared" si="45"/>
        <v>0.9</v>
      </c>
      <c r="H347" s="442">
        <f t="shared" si="45"/>
        <v>0.9</v>
      </c>
      <c r="I347" s="442">
        <f t="shared" si="45"/>
        <v>0.9</v>
      </c>
      <c r="J347" s="380" t="s">
        <v>2317</v>
      </c>
      <c r="L347" s="443">
        <v>0.9</v>
      </c>
    </row>
    <row r="348" spans="1:12">
      <c r="A348" t="str">
        <f>nmProd1Seg2</f>
        <v>Tullyville</v>
      </c>
      <c r="C348" t="str">
        <f>nmProd1Seg2Rep1</f>
        <v>Rep Danielle</v>
      </c>
      <c r="E348" s="442">
        <f>$L348</f>
        <v>0.8</v>
      </c>
      <c r="F348" s="442">
        <f t="shared" si="45"/>
        <v>0.8</v>
      </c>
      <c r="G348" s="442">
        <f t="shared" si="45"/>
        <v>0.8</v>
      </c>
      <c r="H348" s="442">
        <f t="shared" si="45"/>
        <v>0.8</v>
      </c>
      <c r="I348" s="442">
        <f t="shared" si="45"/>
        <v>0.8</v>
      </c>
      <c r="J348" s="380" t="s">
        <v>2318</v>
      </c>
      <c r="L348" s="443">
        <v>0.8</v>
      </c>
    </row>
    <row r="349" spans="1:12">
      <c r="C349" t="str">
        <f>nmProd1Seg2Rep2</f>
        <v>Rep Elliot</v>
      </c>
      <c r="E349" s="442">
        <f t="shared" si="46"/>
        <v>0.8</v>
      </c>
      <c r="F349" s="442">
        <f t="shared" si="45"/>
        <v>0.8</v>
      </c>
      <c r="G349" s="442">
        <f t="shared" si="45"/>
        <v>0.8</v>
      </c>
      <c r="H349" s="442">
        <f t="shared" si="45"/>
        <v>0.8</v>
      </c>
      <c r="I349" s="442">
        <f t="shared" si="45"/>
        <v>0.8</v>
      </c>
      <c r="J349" s="380" t="s">
        <v>2319</v>
      </c>
      <c r="L349" s="443">
        <v>0.8</v>
      </c>
    </row>
    <row r="350" spans="1:12">
      <c r="C350" t="str">
        <f>nmProd1Seg2Rep3</f>
        <v>Rep Fiona</v>
      </c>
      <c r="E350" s="442">
        <f t="shared" si="46"/>
        <v>0.5</v>
      </c>
      <c r="F350" s="442">
        <f t="shared" si="45"/>
        <v>0.5</v>
      </c>
      <c r="G350" s="442">
        <f t="shared" si="45"/>
        <v>0.5</v>
      </c>
      <c r="H350" s="442">
        <f t="shared" si="45"/>
        <v>0.5</v>
      </c>
      <c r="I350" s="442">
        <f t="shared" si="45"/>
        <v>0.5</v>
      </c>
      <c r="J350" s="380" t="s">
        <v>2320</v>
      </c>
      <c r="L350" s="443">
        <v>0.5</v>
      </c>
    </row>
    <row r="351" spans="1:12">
      <c r="A351" t="str">
        <f>nmProd1Seg3</f>
        <v>Lordfrey City</v>
      </c>
      <c r="C351" t="str">
        <f>nmProd1Seg3Rep1</f>
        <v>Rep Gregg</v>
      </c>
      <c r="E351" s="442">
        <f>$L351</f>
        <v>0.5</v>
      </c>
      <c r="F351" s="442">
        <f t="shared" si="45"/>
        <v>0.5</v>
      </c>
      <c r="G351" s="442">
        <f t="shared" si="45"/>
        <v>0.5</v>
      </c>
      <c r="H351" s="442">
        <f t="shared" si="45"/>
        <v>0.5</v>
      </c>
      <c r="I351" s="442">
        <f t="shared" si="45"/>
        <v>0.5</v>
      </c>
      <c r="J351" s="380" t="s">
        <v>2321</v>
      </c>
      <c r="L351" s="443">
        <v>0.5</v>
      </c>
    </row>
    <row r="352" spans="1:12">
      <c r="C352" t="str">
        <f>nmProd1Seg3Rep2</f>
        <v>Rep Howard</v>
      </c>
      <c r="E352" s="442">
        <f t="shared" si="46"/>
        <v>0.5</v>
      </c>
      <c r="F352" s="442">
        <f t="shared" si="45"/>
        <v>0.5</v>
      </c>
      <c r="G352" s="442">
        <f t="shared" si="45"/>
        <v>0.5</v>
      </c>
      <c r="H352" s="442">
        <f t="shared" si="45"/>
        <v>0.5</v>
      </c>
      <c r="I352" s="442">
        <f t="shared" si="45"/>
        <v>0.5</v>
      </c>
      <c r="J352" s="380" t="s">
        <v>2322</v>
      </c>
      <c r="L352" s="443">
        <v>0.5</v>
      </c>
    </row>
    <row r="353" spans="1:12">
      <c r="C353" t="str">
        <f>nmProd1Seg3Rep3</f>
        <v>Rep Isabelle</v>
      </c>
      <c r="E353" s="442">
        <f t="shared" si="46"/>
        <v>0.3</v>
      </c>
      <c r="F353" s="442">
        <f t="shared" si="45"/>
        <v>0.3</v>
      </c>
      <c r="G353" s="442">
        <f t="shared" si="45"/>
        <v>0.3</v>
      </c>
      <c r="H353" s="442">
        <f t="shared" si="45"/>
        <v>0.3</v>
      </c>
      <c r="I353" s="442">
        <f t="shared" si="45"/>
        <v>0.3</v>
      </c>
      <c r="J353" s="380" t="s">
        <v>2323</v>
      </c>
      <c r="L353" s="443">
        <v>0.3</v>
      </c>
    </row>
    <row r="354" spans="1:12">
      <c r="A354" t="str">
        <f>nmReg1Seg1</f>
        <v>Riverrun</v>
      </c>
      <c r="E354" s="442">
        <v>0.55000000000000004</v>
      </c>
      <c r="F354" s="442">
        <v>0.55000000000000004</v>
      </c>
      <c r="G354" s="442">
        <v>0.55000000000000004</v>
      </c>
      <c r="H354" s="442">
        <v>0.55000000000000004</v>
      </c>
      <c r="I354" s="442">
        <v>0.55000000000000004</v>
      </c>
      <c r="J354" s="380" t="s">
        <v>3398</v>
      </c>
      <c r="L354" s="443">
        <v>0.55000000000000004</v>
      </c>
    </row>
    <row r="355" spans="1:12">
      <c r="A355" t="str">
        <f>nmReg1Seg2</f>
        <v>Winterfell</v>
      </c>
      <c r="E355" s="442">
        <v>0.5</v>
      </c>
      <c r="F355" s="442">
        <v>0.5</v>
      </c>
      <c r="G355" s="442">
        <v>0.5</v>
      </c>
      <c r="H355" s="442">
        <v>0.5</v>
      </c>
      <c r="I355" s="442">
        <v>0.5</v>
      </c>
      <c r="J355" s="380" t="s">
        <v>3399</v>
      </c>
      <c r="L355" s="443">
        <v>0.5</v>
      </c>
    </row>
    <row r="356" spans="1:12">
      <c r="A356" t="str">
        <f>nmReg1Seg3</f>
        <v>Harrenhal</v>
      </c>
      <c r="E356" s="442">
        <v>0.55000000000000004</v>
      </c>
      <c r="F356" s="442">
        <v>0.55000000000000004</v>
      </c>
      <c r="G356" s="442">
        <v>0.55000000000000004</v>
      </c>
      <c r="H356" s="442">
        <v>0.55000000000000004</v>
      </c>
      <c r="I356" s="442">
        <v>0.55000000000000004</v>
      </c>
      <c r="J356" s="380" t="s">
        <v>3400</v>
      </c>
      <c r="L356" s="443">
        <v>0.55000000000000004</v>
      </c>
    </row>
    <row r="357" spans="1:12">
      <c r="E357" s="451"/>
      <c r="F357" s="451"/>
      <c r="G357" s="451"/>
      <c r="H357" s="451"/>
      <c r="I357" s="451"/>
      <c r="J357" s="380"/>
      <c r="L357" s="452"/>
    </row>
    <row r="358" spans="1:12">
      <c r="A358" t="s">
        <v>2891</v>
      </c>
      <c r="C358" t="s">
        <v>1488</v>
      </c>
      <c r="E358" s="451">
        <f t="shared" si="46"/>
        <v>50000</v>
      </c>
      <c r="F358" s="451">
        <f t="shared" si="45"/>
        <v>50000</v>
      </c>
      <c r="G358" s="451">
        <f t="shared" si="45"/>
        <v>50000</v>
      </c>
      <c r="H358" s="451">
        <f t="shared" si="45"/>
        <v>50000</v>
      </c>
      <c r="I358" s="451">
        <f t="shared" si="45"/>
        <v>50000</v>
      </c>
      <c r="J358" s="380" t="s">
        <v>2892</v>
      </c>
      <c r="L358" s="452">
        <v>50000</v>
      </c>
    </row>
    <row r="359" spans="1:12">
      <c r="A359" t="s">
        <v>2891</v>
      </c>
      <c r="C359" t="s">
        <v>1551</v>
      </c>
      <c r="E359" s="451">
        <f t="shared" si="46"/>
        <v>50000</v>
      </c>
      <c r="F359" s="451">
        <f t="shared" si="45"/>
        <v>50000</v>
      </c>
      <c r="G359" s="451">
        <f t="shared" si="45"/>
        <v>50000</v>
      </c>
      <c r="H359" s="451">
        <f t="shared" si="45"/>
        <v>50000</v>
      </c>
      <c r="I359" s="451">
        <f t="shared" si="45"/>
        <v>50000</v>
      </c>
      <c r="J359" s="380" t="s">
        <v>2893</v>
      </c>
      <c r="L359" s="452">
        <v>50000</v>
      </c>
    </row>
    <row r="360" spans="1:12">
      <c r="A360" t="s">
        <v>2891</v>
      </c>
      <c r="C360" t="s">
        <v>1488</v>
      </c>
      <c r="E360" s="451">
        <f t="shared" si="46"/>
        <v>150000</v>
      </c>
      <c r="F360" s="451">
        <f t="shared" si="45"/>
        <v>150000</v>
      </c>
      <c r="G360" s="451">
        <f t="shared" si="45"/>
        <v>150000</v>
      </c>
      <c r="H360" s="451">
        <f t="shared" si="45"/>
        <v>150000</v>
      </c>
      <c r="I360" s="451">
        <f t="shared" si="45"/>
        <v>150000</v>
      </c>
      <c r="J360" s="380" t="s">
        <v>2894</v>
      </c>
      <c r="L360" s="452">
        <v>150000</v>
      </c>
    </row>
    <row r="361" spans="1:12">
      <c r="A361" t="s">
        <v>2891</v>
      </c>
      <c r="C361" t="s">
        <v>1551</v>
      </c>
      <c r="E361" s="451">
        <f t="shared" si="46"/>
        <v>150000</v>
      </c>
      <c r="F361" s="451">
        <f t="shared" si="45"/>
        <v>150000</v>
      </c>
      <c r="G361" s="451">
        <f t="shared" si="45"/>
        <v>150000</v>
      </c>
      <c r="H361" s="451">
        <f t="shared" si="45"/>
        <v>150000</v>
      </c>
      <c r="I361" s="451">
        <f t="shared" si="45"/>
        <v>150000</v>
      </c>
      <c r="J361" s="380" t="s">
        <v>2895</v>
      </c>
      <c r="L361" s="452">
        <v>150000</v>
      </c>
    </row>
    <row r="362" spans="1:12">
      <c r="A362" t="s">
        <v>2395</v>
      </c>
      <c r="C362" t="s">
        <v>1488</v>
      </c>
      <c r="E362" s="451">
        <f t="shared" si="46"/>
        <v>200000</v>
      </c>
      <c r="F362" s="451">
        <f t="shared" si="45"/>
        <v>200000</v>
      </c>
      <c r="G362" s="451">
        <f t="shared" si="45"/>
        <v>200000</v>
      </c>
      <c r="H362" s="451">
        <f t="shared" si="45"/>
        <v>200000</v>
      </c>
      <c r="I362" s="451">
        <f t="shared" si="45"/>
        <v>200000</v>
      </c>
      <c r="J362" s="380" t="s">
        <v>2396</v>
      </c>
      <c r="L362" s="452">
        <v>200000</v>
      </c>
    </row>
    <row r="363" spans="1:12">
      <c r="A363" t="s">
        <v>2395</v>
      </c>
      <c r="C363" t="s">
        <v>1488</v>
      </c>
      <c r="E363" s="451">
        <f t="shared" si="46"/>
        <v>600000</v>
      </c>
      <c r="F363" s="451">
        <f t="shared" si="45"/>
        <v>600000</v>
      </c>
      <c r="G363" s="451">
        <f t="shared" si="45"/>
        <v>600000</v>
      </c>
      <c r="H363" s="451">
        <f t="shared" si="45"/>
        <v>600000</v>
      </c>
      <c r="I363" s="451">
        <f t="shared" si="45"/>
        <v>600000</v>
      </c>
      <c r="J363" s="380" t="s">
        <v>2397</v>
      </c>
      <c r="L363" s="452">
        <v>600000</v>
      </c>
    </row>
    <row r="364" spans="1:12">
      <c r="A364" t="s">
        <v>2395</v>
      </c>
      <c r="C364" t="s">
        <v>1551</v>
      </c>
      <c r="E364" s="451">
        <f t="shared" si="46"/>
        <v>190000</v>
      </c>
      <c r="F364" s="451">
        <f t="shared" si="45"/>
        <v>190000</v>
      </c>
      <c r="G364" s="451">
        <f t="shared" si="45"/>
        <v>190000</v>
      </c>
      <c r="H364" s="451">
        <f t="shared" si="45"/>
        <v>190000</v>
      </c>
      <c r="I364" s="451">
        <f t="shared" si="45"/>
        <v>190000</v>
      </c>
      <c r="J364" s="380" t="s">
        <v>2409</v>
      </c>
      <c r="L364" s="452">
        <f>L362*0.95</f>
        <v>190000</v>
      </c>
    </row>
    <row r="365" spans="1:12">
      <c r="A365" t="s">
        <v>2395</v>
      </c>
      <c r="C365" t="s">
        <v>1551</v>
      </c>
      <c r="E365" s="451">
        <f t="shared" si="46"/>
        <v>570000</v>
      </c>
      <c r="F365" s="451">
        <f t="shared" si="45"/>
        <v>570000</v>
      </c>
      <c r="G365" s="451">
        <f t="shared" si="45"/>
        <v>570000</v>
      </c>
      <c r="H365" s="451">
        <f t="shared" si="45"/>
        <v>570000</v>
      </c>
      <c r="I365" s="451">
        <f t="shared" si="45"/>
        <v>570000</v>
      </c>
      <c r="J365" s="380" t="s">
        <v>2410</v>
      </c>
      <c r="L365" s="452">
        <f>L363*0.95</f>
        <v>570000</v>
      </c>
    </row>
    <row r="366" spans="1:12">
      <c r="E366" s="451"/>
      <c r="F366" s="451"/>
      <c r="G366" s="451"/>
      <c r="H366" s="451"/>
      <c r="I366" s="451"/>
      <c r="J366" s="380"/>
      <c r="L366" s="452"/>
    </row>
    <row r="367" spans="1:12">
      <c r="A367" t="s">
        <v>158</v>
      </c>
      <c r="C367" t="s">
        <v>2416</v>
      </c>
      <c r="E367" s="451">
        <f t="shared" si="46"/>
        <v>150</v>
      </c>
      <c r="F367" s="451">
        <f t="shared" si="45"/>
        <v>150</v>
      </c>
      <c r="G367" s="451">
        <f t="shared" si="45"/>
        <v>150</v>
      </c>
      <c r="H367" s="451">
        <f t="shared" si="45"/>
        <v>150</v>
      </c>
      <c r="I367" s="451">
        <f t="shared" si="45"/>
        <v>150</v>
      </c>
      <c r="J367" s="380" t="s">
        <v>2417</v>
      </c>
      <c r="L367" s="452">
        <v>150</v>
      </c>
    </row>
    <row r="368" spans="1:12">
      <c r="A368" t="s">
        <v>158</v>
      </c>
      <c r="C368" t="s">
        <v>2416</v>
      </c>
      <c r="E368" s="451">
        <f t="shared" si="46"/>
        <v>150</v>
      </c>
      <c r="F368" s="451">
        <f t="shared" si="45"/>
        <v>150</v>
      </c>
      <c r="G368" s="451">
        <f t="shared" si="45"/>
        <v>150</v>
      </c>
      <c r="H368" s="451">
        <f t="shared" si="45"/>
        <v>150</v>
      </c>
      <c r="I368" s="451">
        <f t="shared" si="45"/>
        <v>150</v>
      </c>
      <c r="J368" s="380" t="s">
        <v>2418</v>
      </c>
      <c r="L368" s="452">
        <v>150</v>
      </c>
    </row>
    <row r="369" spans="1:12">
      <c r="E369" s="451"/>
      <c r="F369" s="451"/>
      <c r="G369" s="451"/>
      <c r="H369" s="451"/>
      <c r="I369" s="451"/>
      <c r="J369" s="380"/>
      <c r="L369" s="452"/>
    </row>
    <row r="370" spans="1:12">
      <c r="A370" s="4" t="str">
        <f>nmProd1</f>
        <v>Riverrun</v>
      </c>
      <c r="B370" t="str">
        <f>nmProd1Seg1</f>
        <v>Riverrun Central</v>
      </c>
      <c r="C370" t="s">
        <v>2717</v>
      </c>
      <c r="E370" s="451">
        <v>66000</v>
      </c>
      <c r="F370" s="451">
        <v>66000</v>
      </c>
      <c r="G370" s="451">
        <v>66000</v>
      </c>
      <c r="H370" s="451">
        <v>66000</v>
      </c>
      <c r="I370" s="451">
        <v>66000</v>
      </c>
      <c r="J370" s="380" t="s">
        <v>2718</v>
      </c>
      <c r="L370" s="452">
        <v>66000</v>
      </c>
    </row>
    <row r="371" spans="1:12">
      <c r="C371" t="s">
        <v>516</v>
      </c>
      <c r="E371" s="451">
        <v>16500</v>
      </c>
      <c r="F371" s="451">
        <v>16500</v>
      </c>
      <c r="G371" s="451">
        <v>16500</v>
      </c>
      <c r="H371" s="451">
        <v>16500</v>
      </c>
      <c r="I371" s="451">
        <v>16500</v>
      </c>
      <c r="J371" s="380" t="s">
        <v>2719</v>
      </c>
      <c r="L371" s="452">
        <v>15000</v>
      </c>
    </row>
    <row r="372" spans="1:12">
      <c r="C372" t="s">
        <v>517</v>
      </c>
      <c r="E372" s="451">
        <v>33000</v>
      </c>
      <c r="F372" s="451">
        <v>33000</v>
      </c>
      <c r="G372" s="451">
        <v>33000</v>
      </c>
      <c r="H372" s="451">
        <v>33000</v>
      </c>
      <c r="I372" s="451">
        <v>33000</v>
      </c>
      <c r="J372" s="380" t="s">
        <v>2720</v>
      </c>
      <c r="L372" s="452">
        <v>33000</v>
      </c>
    </row>
    <row r="373" spans="1:12">
      <c r="C373" t="s">
        <v>2446</v>
      </c>
      <c r="E373" s="451">
        <v>33000</v>
      </c>
      <c r="F373" s="451">
        <v>33000</v>
      </c>
      <c r="G373" s="451">
        <v>33000</v>
      </c>
      <c r="H373" s="451">
        <v>33000</v>
      </c>
      <c r="I373" s="451">
        <v>33000</v>
      </c>
      <c r="J373" s="380" t="s">
        <v>2721</v>
      </c>
      <c r="L373" s="452">
        <v>33000</v>
      </c>
    </row>
    <row r="374" spans="1:12">
      <c r="A374" s="4" t="str">
        <f>nmProd1</f>
        <v>Riverrun</v>
      </c>
      <c r="B374" t="str">
        <f>nmProd1Seg2</f>
        <v>Tullyville</v>
      </c>
      <c r="C374" t="s">
        <v>2717</v>
      </c>
      <c r="E374" s="451">
        <v>66000</v>
      </c>
      <c r="F374" s="451">
        <v>66000</v>
      </c>
      <c r="G374" s="451">
        <v>66000</v>
      </c>
      <c r="H374" s="451">
        <v>66000</v>
      </c>
      <c r="I374" s="451">
        <v>66000</v>
      </c>
      <c r="J374" s="380" t="s">
        <v>2722</v>
      </c>
      <c r="L374" s="452">
        <v>66000</v>
      </c>
    </row>
    <row r="375" spans="1:12">
      <c r="C375" t="s">
        <v>516</v>
      </c>
      <c r="E375" s="451">
        <v>16500</v>
      </c>
      <c r="F375" s="451">
        <v>16500</v>
      </c>
      <c r="G375" s="451">
        <v>16500</v>
      </c>
      <c r="H375" s="451">
        <v>16500</v>
      </c>
      <c r="I375" s="451">
        <v>16500</v>
      </c>
      <c r="J375" s="380" t="s">
        <v>2723</v>
      </c>
      <c r="L375" s="452">
        <v>15000</v>
      </c>
    </row>
    <row r="376" spans="1:12">
      <c r="C376" t="s">
        <v>517</v>
      </c>
      <c r="E376" s="451">
        <v>33000</v>
      </c>
      <c r="F376" s="451">
        <v>33000</v>
      </c>
      <c r="G376" s="451">
        <v>33000</v>
      </c>
      <c r="H376" s="451">
        <v>33000</v>
      </c>
      <c r="I376" s="451">
        <v>33000</v>
      </c>
      <c r="J376" s="380" t="s">
        <v>2724</v>
      </c>
      <c r="L376" s="452">
        <v>33000</v>
      </c>
    </row>
    <row r="377" spans="1:12">
      <c r="C377" t="s">
        <v>2446</v>
      </c>
      <c r="E377" s="451">
        <v>33000</v>
      </c>
      <c r="F377" s="451">
        <v>33000</v>
      </c>
      <c r="G377" s="451">
        <v>33000</v>
      </c>
      <c r="H377" s="451">
        <v>33000</v>
      </c>
      <c r="I377" s="451">
        <v>33000</v>
      </c>
      <c r="J377" s="380" t="s">
        <v>2725</v>
      </c>
      <c r="L377" s="452">
        <v>33000</v>
      </c>
    </row>
    <row r="378" spans="1:12">
      <c r="A378" s="4" t="str">
        <f>nmProd1</f>
        <v>Riverrun</v>
      </c>
      <c r="B378" t="str">
        <f>nmProd1Seg3</f>
        <v>Lordfrey City</v>
      </c>
      <c r="C378" t="s">
        <v>2717</v>
      </c>
      <c r="E378" s="451">
        <v>66000</v>
      </c>
      <c r="F378" s="451">
        <v>66000</v>
      </c>
      <c r="G378" s="451">
        <v>66000</v>
      </c>
      <c r="H378" s="451">
        <v>66000</v>
      </c>
      <c r="I378" s="451">
        <v>66000</v>
      </c>
      <c r="J378" s="380" t="s">
        <v>2726</v>
      </c>
      <c r="L378" s="452">
        <v>67999.999999999985</v>
      </c>
    </row>
    <row r="379" spans="1:12">
      <c r="C379" t="s">
        <v>516</v>
      </c>
      <c r="E379" s="451">
        <v>16500</v>
      </c>
      <c r="F379" s="451">
        <v>16500</v>
      </c>
      <c r="G379" s="451">
        <v>16500</v>
      </c>
      <c r="H379" s="451">
        <v>16500</v>
      </c>
      <c r="I379" s="451">
        <v>16500</v>
      </c>
      <c r="J379" s="380" t="s">
        <v>2727</v>
      </c>
      <c r="L379" s="452">
        <v>20000</v>
      </c>
    </row>
    <row r="380" spans="1:12">
      <c r="C380" t="s">
        <v>517</v>
      </c>
      <c r="E380" s="451">
        <v>33000</v>
      </c>
      <c r="F380" s="451">
        <v>33000</v>
      </c>
      <c r="G380" s="451">
        <v>33000</v>
      </c>
      <c r="H380" s="451">
        <v>33000</v>
      </c>
      <c r="I380" s="451">
        <v>33000</v>
      </c>
      <c r="J380" s="380" t="s">
        <v>2728</v>
      </c>
      <c r="L380" s="452">
        <v>33999.999999999993</v>
      </c>
    </row>
    <row r="381" spans="1:12">
      <c r="C381" t="s">
        <v>2446</v>
      </c>
      <c r="E381" s="451">
        <v>33000</v>
      </c>
      <c r="F381" s="451">
        <v>33000</v>
      </c>
      <c r="G381" s="451">
        <v>33000</v>
      </c>
      <c r="H381" s="451">
        <v>33000</v>
      </c>
      <c r="I381" s="451">
        <v>33000</v>
      </c>
      <c r="J381" s="380" t="s">
        <v>2729</v>
      </c>
      <c r="L381" s="452">
        <v>33999.999999999993</v>
      </c>
    </row>
    <row r="382" spans="1:12">
      <c r="A382" s="4" t="str">
        <f>nmReg1</f>
        <v>The Region</v>
      </c>
      <c r="B382" t="str">
        <f>nmReg1Seg1</f>
        <v>Riverrun</v>
      </c>
      <c r="C382" t="s">
        <v>2717</v>
      </c>
      <c r="E382" s="451">
        <v>198000</v>
      </c>
      <c r="F382" s="451">
        <v>198000</v>
      </c>
      <c r="G382" s="451">
        <v>198000</v>
      </c>
      <c r="H382" s="451">
        <v>198000</v>
      </c>
      <c r="I382" s="451">
        <v>198000</v>
      </c>
      <c r="J382" s="380" t="s">
        <v>2730</v>
      </c>
      <c r="L382" s="452">
        <v>198000</v>
      </c>
    </row>
    <row r="383" spans="1:12">
      <c r="C383" t="s">
        <v>516</v>
      </c>
      <c r="E383" s="451">
        <v>49500</v>
      </c>
      <c r="F383" s="451">
        <v>49500</v>
      </c>
      <c r="G383" s="451">
        <v>49500</v>
      </c>
      <c r="H383" s="451">
        <v>49500</v>
      </c>
      <c r="I383" s="451">
        <v>49500</v>
      </c>
      <c r="J383" s="380" t="s">
        <v>2731</v>
      </c>
      <c r="L383" s="452">
        <v>45000</v>
      </c>
    </row>
    <row r="384" spans="1:12">
      <c r="C384" t="s">
        <v>517</v>
      </c>
      <c r="E384" s="451">
        <v>99000</v>
      </c>
      <c r="F384" s="451">
        <v>99000</v>
      </c>
      <c r="G384" s="451">
        <v>99000</v>
      </c>
      <c r="H384" s="451">
        <v>99000</v>
      </c>
      <c r="I384" s="451">
        <v>99000</v>
      </c>
      <c r="J384" s="380" t="s">
        <v>2732</v>
      </c>
      <c r="L384" s="452">
        <v>99000</v>
      </c>
    </row>
    <row r="385" spans="1:12">
      <c r="C385" t="s">
        <v>2446</v>
      </c>
      <c r="E385" s="451">
        <v>99000</v>
      </c>
      <c r="F385" s="451">
        <v>99000</v>
      </c>
      <c r="G385" s="451">
        <v>99000</v>
      </c>
      <c r="H385" s="451">
        <v>99000</v>
      </c>
      <c r="I385" s="451">
        <v>99000</v>
      </c>
      <c r="J385" s="380" t="s">
        <v>2733</v>
      </c>
      <c r="L385" s="452">
        <v>99000</v>
      </c>
    </row>
    <row r="386" spans="1:12">
      <c r="A386" s="4" t="str">
        <f>nmReg1</f>
        <v>The Region</v>
      </c>
      <c r="B386" t="str">
        <f>nmReg1Seg2</f>
        <v>Winterfell</v>
      </c>
      <c r="C386" t="s">
        <v>2717</v>
      </c>
      <c r="E386" s="451">
        <v>198000</v>
      </c>
      <c r="F386" s="451">
        <v>198000</v>
      </c>
      <c r="G386" s="451">
        <v>198000</v>
      </c>
      <c r="H386" s="451">
        <v>198000</v>
      </c>
      <c r="I386" s="451">
        <v>198000</v>
      </c>
      <c r="J386" s="380" t="s">
        <v>2734</v>
      </c>
      <c r="L386" s="452">
        <v>198000</v>
      </c>
    </row>
    <row r="387" spans="1:12">
      <c r="C387" t="s">
        <v>516</v>
      </c>
      <c r="E387" s="451">
        <v>49500</v>
      </c>
      <c r="F387" s="451">
        <v>49500</v>
      </c>
      <c r="G387" s="451">
        <v>49500</v>
      </c>
      <c r="H387" s="451">
        <v>49500</v>
      </c>
      <c r="I387" s="451">
        <v>49500</v>
      </c>
      <c r="J387" s="380" t="s">
        <v>2735</v>
      </c>
      <c r="L387" s="452">
        <v>45000</v>
      </c>
    </row>
    <row r="388" spans="1:12">
      <c r="C388" t="s">
        <v>517</v>
      </c>
      <c r="E388" s="451">
        <v>99000</v>
      </c>
      <c r="F388" s="451">
        <v>99000</v>
      </c>
      <c r="G388" s="451">
        <v>99000</v>
      </c>
      <c r="H388" s="451">
        <v>99000</v>
      </c>
      <c r="I388" s="451">
        <v>99000</v>
      </c>
      <c r="J388" s="380" t="s">
        <v>2736</v>
      </c>
      <c r="L388" s="452">
        <v>99000</v>
      </c>
    </row>
    <row r="389" spans="1:12">
      <c r="C389" t="s">
        <v>2446</v>
      </c>
      <c r="E389" s="451">
        <v>99000</v>
      </c>
      <c r="F389" s="451">
        <v>99000</v>
      </c>
      <c r="G389" s="451">
        <v>99000</v>
      </c>
      <c r="H389" s="451">
        <v>99000</v>
      </c>
      <c r="I389" s="451">
        <v>99000</v>
      </c>
      <c r="J389" s="380" t="s">
        <v>2737</v>
      </c>
      <c r="L389" s="452">
        <v>99000</v>
      </c>
    </row>
    <row r="390" spans="1:12">
      <c r="A390" s="4" t="str">
        <f>nmReg1</f>
        <v>The Region</v>
      </c>
      <c r="B390" t="str">
        <f>nmReg1Seg3</f>
        <v>Harrenhal</v>
      </c>
      <c r="C390" t="s">
        <v>2717</v>
      </c>
      <c r="E390" s="451">
        <v>198000</v>
      </c>
      <c r="F390" s="451">
        <v>198000</v>
      </c>
      <c r="G390" s="451">
        <v>198000</v>
      </c>
      <c r="H390" s="451">
        <v>198000</v>
      </c>
      <c r="I390" s="451">
        <v>198000</v>
      </c>
      <c r="J390" s="380" t="s">
        <v>2738</v>
      </c>
      <c r="L390" s="452">
        <v>203999.99999999994</v>
      </c>
    </row>
    <row r="391" spans="1:12">
      <c r="C391" t="s">
        <v>516</v>
      </c>
      <c r="E391" s="451">
        <v>49500</v>
      </c>
      <c r="F391" s="451">
        <v>49500</v>
      </c>
      <c r="G391" s="451">
        <v>49500</v>
      </c>
      <c r="H391" s="451">
        <v>49500</v>
      </c>
      <c r="I391" s="451">
        <v>49500</v>
      </c>
      <c r="J391" s="380" t="s">
        <v>2739</v>
      </c>
      <c r="L391" s="452">
        <v>59999.999999999993</v>
      </c>
    </row>
    <row r="392" spans="1:12">
      <c r="C392" t="s">
        <v>517</v>
      </c>
      <c r="E392" s="451">
        <v>99000</v>
      </c>
      <c r="F392" s="451">
        <v>99000</v>
      </c>
      <c r="G392" s="451">
        <v>99000</v>
      </c>
      <c r="H392" s="451">
        <v>99000</v>
      </c>
      <c r="I392" s="451">
        <v>99000</v>
      </c>
      <c r="J392" s="380" t="s">
        <v>2740</v>
      </c>
      <c r="L392" s="452">
        <v>101999.99999999997</v>
      </c>
    </row>
    <row r="393" spans="1:12">
      <c r="C393" t="s">
        <v>2446</v>
      </c>
      <c r="E393" s="451">
        <v>99000</v>
      </c>
      <c r="F393" s="451">
        <v>99000</v>
      </c>
      <c r="G393" s="451">
        <v>99000</v>
      </c>
      <c r="H393" s="451">
        <v>99000</v>
      </c>
      <c r="I393" s="451">
        <v>99000</v>
      </c>
      <c r="J393" s="380" t="s">
        <v>2741</v>
      </c>
      <c r="L393" s="452">
        <v>101999.99999999997</v>
      </c>
    </row>
    <row r="394" spans="1:12">
      <c r="A394" s="4" t="s">
        <v>2766</v>
      </c>
      <c r="C394" t="str">
        <f>nmProd1Seg1</f>
        <v>Riverrun Central</v>
      </c>
      <c r="E394" s="451">
        <v>66000</v>
      </c>
      <c r="F394" s="451">
        <v>66000</v>
      </c>
      <c r="G394" s="451">
        <v>66000</v>
      </c>
      <c r="H394" s="451">
        <v>66000</v>
      </c>
      <c r="I394" s="451">
        <v>66000</v>
      </c>
      <c r="J394" s="380" t="s">
        <v>2767</v>
      </c>
      <c r="L394" s="452">
        <v>66000</v>
      </c>
    </row>
    <row r="395" spans="1:12">
      <c r="A395" s="4" t="s">
        <v>2766</v>
      </c>
      <c r="C395" t="str">
        <f>nmProd1Seg2</f>
        <v>Tullyville</v>
      </c>
      <c r="E395" s="451">
        <v>66000</v>
      </c>
      <c r="F395" s="451">
        <v>66000</v>
      </c>
      <c r="G395" s="451">
        <v>66000</v>
      </c>
      <c r="H395" s="451">
        <v>66000</v>
      </c>
      <c r="I395" s="451">
        <v>66000</v>
      </c>
      <c r="J395" s="380" t="s">
        <v>2768</v>
      </c>
      <c r="L395" s="452">
        <v>66000</v>
      </c>
    </row>
    <row r="396" spans="1:12">
      <c r="A396" s="4" t="s">
        <v>2766</v>
      </c>
      <c r="C396" t="str">
        <f>nmProd1Seg3</f>
        <v>Lordfrey City</v>
      </c>
      <c r="E396" s="451">
        <v>66000</v>
      </c>
      <c r="F396" s="451">
        <v>66000</v>
      </c>
      <c r="G396" s="451">
        <v>66000</v>
      </c>
      <c r="H396" s="451">
        <v>66000</v>
      </c>
      <c r="I396" s="451">
        <v>66000</v>
      </c>
      <c r="J396" s="380" t="s">
        <v>2769</v>
      </c>
      <c r="L396" s="452">
        <v>67999.999999999985</v>
      </c>
    </row>
    <row r="397" spans="1:12">
      <c r="A397" s="4" t="s">
        <v>2766</v>
      </c>
      <c r="C397" t="str">
        <f>nmReg1Seg1</f>
        <v>Riverrun</v>
      </c>
      <c r="E397" s="451">
        <v>198000</v>
      </c>
      <c r="F397" s="451">
        <v>198000</v>
      </c>
      <c r="G397" s="451">
        <v>198000</v>
      </c>
      <c r="H397" s="451">
        <v>198000</v>
      </c>
      <c r="I397" s="451">
        <v>198000</v>
      </c>
      <c r="J397" s="380" t="s">
        <v>2770</v>
      </c>
      <c r="L397" s="452">
        <v>198000</v>
      </c>
    </row>
    <row r="398" spans="1:12">
      <c r="A398" s="4" t="s">
        <v>2766</v>
      </c>
      <c r="C398" t="str">
        <f>nmReg1Seg2</f>
        <v>Winterfell</v>
      </c>
      <c r="E398" s="451">
        <v>198000</v>
      </c>
      <c r="F398" s="451">
        <v>198000</v>
      </c>
      <c r="G398" s="451">
        <v>198000</v>
      </c>
      <c r="H398" s="451">
        <v>198000</v>
      </c>
      <c r="I398" s="451">
        <v>198000</v>
      </c>
      <c r="J398" s="380" t="s">
        <v>2771</v>
      </c>
      <c r="L398" s="452">
        <v>198000</v>
      </c>
    </row>
    <row r="399" spans="1:12">
      <c r="A399" s="4" t="s">
        <v>2766</v>
      </c>
      <c r="C399" t="str">
        <f>nmReg1Seg3</f>
        <v>Harrenhal</v>
      </c>
      <c r="E399" s="451">
        <v>198000</v>
      </c>
      <c r="F399" s="451">
        <v>198000</v>
      </c>
      <c r="G399" s="451">
        <v>198000</v>
      </c>
      <c r="H399" s="451">
        <v>198000</v>
      </c>
      <c r="I399" s="451">
        <v>198000</v>
      </c>
      <c r="J399" s="380" t="s">
        <v>2772</v>
      </c>
      <c r="L399" s="452">
        <v>203999.99999999994</v>
      </c>
    </row>
    <row r="400" spans="1:12" s="121" customFormat="1">
      <c r="A400" s="121" t="str">
        <f>nmProd1</f>
        <v>Riverrun</v>
      </c>
      <c r="B400" s="541" t="str">
        <f>nmProd1Seg1</f>
        <v>Riverrun Central</v>
      </c>
      <c r="C400" s="121" t="s">
        <v>2334</v>
      </c>
      <c r="D400" s="121" t="str">
        <f>nmProd1Rep1</f>
        <v>Rep Allen</v>
      </c>
      <c r="E400" s="553">
        <v>0.4</v>
      </c>
      <c r="F400" s="553">
        <v>0.4</v>
      </c>
      <c r="G400" s="553">
        <v>0.4</v>
      </c>
      <c r="H400" s="553">
        <v>0.4</v>
      </c>
      <c r="I400" s="553">
        <v>0.4</v>
      </c>
      <c r="J400" s="541" t="s">
        <v>3509</v>
      </c>
      <c r="L400" s="553">
        <v>0.4</v>
      </c>
    </row>
    <row r="401" spans="1:12" s="121" customFormat="1">
      <c r="B401" s="541"/>
      <c r="C401" s="121" t="s">
        <v>2334</v>
      </c>
      <c r="D401" s="121" t="str">
        <f>nmProd1Rep2</f>
        <v>Rep Betty</v>
      </c>
      <c r="E401" s="553">
        <v>0.4</v>
      </c>
      <c r="F401" s="553">
        <v>0.4</v>
      </c>
      <c r="G401" s="553">
        <v>0.4</v>
      </c>
      <c r="H401" s="553">
        <v>0.4</v>
      </c>
      <c r="I401" s="553">
        <v>0.4</v>
      </c>
      <c r="J401" s="541" t="s">
        <v>3503</v>
      </c>
      <c r="L401" s="553">
        <v>0.4</v>
      </c>
    </row>
    <row r="402" spans="1:12" s="121" customFormat="1">
      <c r="B402" s="541"/>
      <c r="C402" s="121" t="s">
        <v>2334</v>
      </c>
      <c r="D402" s="121" t="str">
        <f>nmProd1Rep3</f>
        <v>Rep Chris</v>
      </c>
      <c r="E402" s="553">
        <v>0.6</v>
      </c>
      <c r="F402" s="553">
        <v>0.6</v>
      </c>
      <c r="G402" s="553">
        <v>0.6</v>
      </c>
      <c r="H402" s="553">
        <v>0.6</v>
      </c>
      <c r="I402" s="553">
        <v>0.6</v>
      </c>
      <c r="J402" s="541" t="s">
        <v>3497</v>
      </c>
      <c r="L402" s="553">
        <v>0.6</v>
      </c>
    </row>
    <row r="403" spans="1:12" s="121" customFormat="1">
      <c r="B403" s="541"/>
      <c r="C403" s="121" t="s">
        <v>2334</v>
      </c>
      <c r="D403" s="121" t="str">
        <f>nmProd1Rep1</f>
        <v>Rep Allen</v>
      </c>
      <c r="E403" s="553">
        <v>0.4</v>
      </c>
      <c r="F403" s="553">
        <v>0.4</v>
      </c>
      <c r="G403" s="553">
        <v>0.4</v>
      </c>
      <c r="H403" s="553">
        <v>0.4</v>
      </c>
      <c r="I403" s="553">
        <v>0.4</v>
      </c>
      <c r="J403" s="541" t="s">
        <v>3510</v>
      </c>
      <c r="L403" s="553">
        <v>0.4</v>
      </c>
    </row>
    <row r="404" spans="1:12" s="121" customFormat="1">
      <c r="B404" s="541"/>
      <c r="C404" s="121" t="s">
        <v>2334</v>
      </c>
      <c r="D404" s="121" t="str">
        <f>nmProd1Rep2</f>
        <v>Rep Betty</v>
      </c>
      <c r="E404" s="553">
        <v>0.4</v>
      </c>
      <c r="F404" s="553">
        <v>0.4</v>
      </c>
      <c r="G404" s="553">
        <v>0.4</v>
      </c>
      <c r="H404" s="553">
        <v>0.4</v>
      </c>
      <c r="I404" s="553">
        <v>0.4</v>
      </c>
      <c r="J404" s="541" t="s">
        <v>3504</v>
      </c>
      <c r="L404" s="553">
        <v>0.4</v>
      </c>
    </row>
    <row r="405" spans="1:12" s="121" customFormat="1">
      <c r="B405" s="541"/>
      <c r="C405" s="121" t="s">
        <v>2334</v>
      </c>
      <c r="D405" s="121" t="str">
        <f>nmProd1Rep3</f>
        <v>Rep Chris</v>
      </c>
      <c r="E405" s="553">
        <v>0.6</v>
      </c>
      <c r="F405" s="553">
        <v>0.6</v>
      </c>
      <c r="G405" s="553">
        <v>0.6</v>
      </c>
      <c r="H405" s="553">
        <v>0.6</v>
      </c>
      <c r="I405" s="553">
        <v>0.6</v>
      </c>
      <c r="J405" s="541" t="s">
        <v>3498</v>
      </c>
      <c r="L405" s="553">
        <v>0.6</v>
      </c>
    </row>
    <row r="406" spans="1:12" s="121" customFormat="1">
      <c r="A406" s="121" t="str">
        <f>nmProd1</f>
        <v>Riverrun</v>
      </c>
      <c r="B406" s="541" t="str">
        <f>nmProd1Seg2</f>
        <v>Tullyville</v>
      </c>
      <c r="C406" s="121" t="s">
        <v>2334</v>
      </c>
      <c r="D406" s="121" t="str">
        <f>nmProd1Rep1</f>
        <v>Rep Allen</v>
      </c>
      <c r="E406" s="553">
        <v>0.6</v>
      </c>
      <c r="F406" s="553">
        <v>0.6</v>
      </c>
      <c r="G406" s="553">
        <v>0.6</v>
      </c>
      <c r="H406" s="553">
        <v>0.6</v>
      </c>
      <c r="I406" s="553">
        <v>0.6</v>
      </c>
      <c r="J406" s="541" t="s">
        <v>3511</v>
      </c>
      <c r="L406" s="553">
        <v>0.6</v>
      </c>
    </row>
    <row r="407" spans="1:12" s="121" customFormat="1">
      <c r="B407" s="541"/>
      <c r="C407" s="121" t="s">
        <v>2334</v>
      </c>
      <c r="D407" s="121" t="str">
        <f>nmProd1Rep2</f>
        <v>Rep Betty</v>
      </c>
      <c r="E407" s="553">
        <v>0.5</v>
      </c>
      <c r="F407" s="553">
        <v>0.5</v>
      </c>
      <c r="G407" s="553">
        <v>0.5</v>
      </c>
      <c r="H407" s="553">
        <v>0.5</v>
      </c>
      <c r="I407" s="553">
        <v>0.5</v>
      </c>
      <c r="J407" s="541" t="s">
        <v>3505</v>
      </c>
      <c r="L407" s="553">
        <v>0.5</v>
      </c>
    </row>
    <row r="408" spans="1:12" s="121" customFormat="1">
      <c r="B408" s="541"/>
      <c r="C408" s="121" t="s">
        <v>2334</v>
      </c>
      <c r="D408" s="121" t="str">
        <f>nmProd1Rep3</f>
        <v>Rep Chris</v>
      </c>
      <c r="E408" s="553">
        <v>0.4</v>
      </c>
      <c r="F408" s="553">
        <v>0.4</v>
      </c>
      <c r="G408" s="553">
        <v>0.4</v>
      </c>
      <c r="H408" s="553">
        <v>0.4</v>
      </c>
      <c r="I408" s="553">
        <v>0.4</v>
      </c>
      <c r="J408" s="541" t="s">
        <v>3499</v>
      </c>
      <c r="L408" s="553">
        <v>0.4</v>
      </c>
    </row>
    <row r="409" spans="1:12" s="121" customFormat="1">
      <c r="B409" s="541"/>
      <c r="C409" s="121" t="s">
        <v>2334</v>
      </c>
      <c r="D409" s="121" t="str">
        <f>nmProd1Rep1</f>
        <v>Rep Allen</v>
      </c>
      <c r="E409" s="553">
        <v>0.6</v>
      </c>
      <c r="F409" s="553">
        <v>0.6</v>
      </c>
      <c r="G409" s="553">
        <v>0.6</v>
      </c>
      <c r="H409" s="553">
        <v>0.6</v>
      </c>
      <c r="I409" s="553">
        <v>0.6</v>
      </c>
      <c r="J409" s="541" t="s">
        <v>3512</v>
      </c>
      <c r="L409" s="553">
        <v>0.6</v>
      </c>
    </row>
    <row r="410" spans="1:12" s="121" customFormat="1">
      <c r="B410" s="541"/>
      <c r="C410" s="121" t="s">
        <v>2334</v>
      </c>
      <c r="D410" s="121" t="str">
        <f>nmProd1Rep2</f>
        <v>Rep Betty</v>
      </c>
      <c r="E410" s="553">
        <v>0.5</v>
      </c>
      <c r="F410" s="553">
        <v>0.5</v>
      </c>
      <c r="G410" s="553">
        <v>0.5</v>
      </c>
      <c r="H410" s="553">
        <v>0.5</v>
      </c>
      <c r="I410" s="553">
        <v>0.5</v>
      </c>
      <c r="J410" s="541" t="s">
        <v>3506</v>
      </c>
      <c r="L410" s="553">
        <v>0.5</v>
      </c>
    </row>
    <row r="411" spans="1:12" s="121" customFormat="1">
      <c r="B411" s="541"/>
      <c r="C411" s="121" t="s">
        <v>2334</v>
      </c>
      <c r="D411" s="121" t="str">
        <f>nmProd1Rep3</f>
        <v>Rep Chris</v>
      </c>
      <c r="E411" s="553">
        <v>0.4</v>
      </c>
      <c r="F411" s="553">
        <v>0.4</v>
      </c>
      <c r="G411" s="553">
        <v>0.4</v>
      </c>
      <c r="H411" s="553">
        <v>0.4</v>
      </c>
      <c r="I411" s="553">
        <v>0.4</v>
      </c>
      <c r="J411" s="541" t="s">
        <v>3500</v>
      </c>
      <c r="L411" s="553">
        <v>0.4</v>
      </c>
    </row>
    <row r="412" spans="1:12" s="121" customFormat="1">
      <c r="A412" s="121" t="str">
        <f>nmProd1</f>
        <v>Riverrun</v>
      </c>
      <c r="B412" s="541" t="str">
        <f>nmProd1Seg3</f>
        <v>Lordfrey City</v>
      </c>
      <c r="C412" s="121" t="s">
        <v>2334</v>
      </c>
      <c r="D412" s="121" t="str">
        <f>nmProd1Rep1</f>
        <v>Rep Allen</v>
      </c>
      <c r="E412" s="553">
        <v>0.5</v>
      </c>
      <c r="F412" s="553">
        <v>0.5</v>
      </c>
      <c r="G412" s="553">
        <v>0.5</v>
      </c>
      <c r="H412" s="553">
        <v>0.5</v>
      </c>
      <c r="I412" s="553">
        <v>0.5</v>
      </c>
      <c r="J412" s="541" t="s">
        <v>3513</v>
      </c>
      <c r="L412" s="553">
        <v>0.5</v>
      </c>
    </row>
    <row r="413" spans="1:12" s="121" customFormat="1">
      <c r="B413" s="541"/>
      <c r="C413" s="121" t="s">
        <v>2334</v>
      </c>
      <c r="D413" s="121" t="str">
        <f>nmProd1Rep2</f>
        <v>Rep Betty</v>
      </c>
      <c r="E413" s="553">
        <v>0.5</v>
      </c>
      <c r="F413" s="553">
        <v>0.5</v>
      </c>
      <c r="G413" s="553">
        <v>0.5</v>
      </c>
      <c r="H413" s="553">
        <v>0.5</v>
      </c>
      <c r="I413" s="553">
        <v>0.5</v>
      </c>
      <c r="J413" s="541" t="s">
        <v>3507</v>
      </c>
      <c r="L413" s="553">
        <v>0.5</v>
      </c>
    </row>
    <row r="414" spans="1:12" s="121" customFormat="1">
      <c r="B414" s="541"/>
      <c r="C414" s="121" t="s">
        <v>2334</v>
      </c>
      <c r="D414" s="121" t="str">
        <f>nmProd1Rep3</f>
        <v>Rep Chris</v>
      </c>
      <c r="E414" s="553">
        <v>0.5</v>
      </c>
      <c r="F414" s="553">
        <v>0.5</v>
      </c>
      <c r="G414" s="553">
        <v>0.5</v>
      </c>
      <c r="H414" s="553">
        <v>0.5</v>
      </c>
      <c r="I414" s="553">
        <v>0.5</v>
      </c>
      <c r="J414" s="541" t="s">
        <v>3501</v>
      </c>
      <c r="L414" s="553">
        <v>0.5</v>
      </c>
    </row>
    <row r="415" spans="1:12" s="121" customFormat="1">
      <c r="B415" s="541"/>
      <c r="C415" s="121" t="s">
        <v>2334</v>
      </c>
      <c r="D415" s="121" t="str">
        <f>nmProd1Rep1</f>
        <v>Rep Allen</v>
      </c>
      <c r="E415" s="553">
        <v>0.5</v>
      </c>
      <c r="F415" s="553">
        <v>0.5</v>
      </c>
      <c r="G415" s="553">
        <v>0.5</v>
      </c>
      <c r="H415" s="553">
        <v>0.5</v>
      </c>
      <c r="I415" s="553">
        <v>0.5</v>
      </c>
      <c r="J415" s="541" t="s">
        <v>3514</v>
      </c>
      <c r="L415" s="553">
        <v>0.5</v>
      </c>
    </row>
    <row r="416" spans="1:12" s="121" customFormat="1">
      <c r="B416" s="541"/>
      <c r="C416" s="121" t="s">
        <v>2334</v>
      </c>
      <c r="D416" s="121" t="str">
        <f>nmProd1Rep2</f>
        <v>Rep Betty</v>
      </c>
      <c r="E416" s="553">
        <v>0.5</v>
      </c>
      <c r="F416" s="553">
        <v>0.5</v>
      </c>
      <c r="G416" s="553">
        <v>0.5</v>
      </c>
      <c r="H416" s="553">
        <v>0.5</v>
      </c>
      <c r="I416" s="553">
        <v>0.5</v>
      </c>
      <c r="J416" s="541" t="s">
        <v>3508</v>
      </c>
      <c r="L416" s="553">
        <v>0.5</v>
      </c>
    </row>
    <row r="417" spans="1:12" s="121" customFormat="1">
      <c r="B417" s="541"/>
      <c r="C417" s="121" t="s">
        <v>2334</v>
      </c>
      <c r="D417" s="121" t="str">
        <f>nmProd1Rep3</f>
        <v>Rep Chris</v>
      </c>
      <c r="E417" s="553">
        <v>0.5</v>
      </c>
      <c r="F417" s="553">
        <v>0.5</v>
      </c>
      <c r="G417" s="553">
        <v>0.5</v>
      </c>
      <c r="H417" s="553">
        <v>0.5</v>
      </c>
      <c r="I417" s="553">
        <v>0.5</v>
      </c>
      <c r="J417" s="541" t="s">
        <v>3502</v>
      </c>
      <c r="L417" s="553">
        <v>0.5</v>
      </c>
    </row>
    <row r="418" spans="1:12" s="121" customFormat="1">
      <c r="A418" s="121" t="str">
        <f>nmProd1</f>
        <v>Riverrun</v>
      </c>
      <c r="B418" s="541" t="str">
        <f>nmProd1Seg1</f>
        <v>Riverrun Central</v>
      </c>
      <c r="C418" s="121" t="str">
        <f>nmProd1Seg1Rep1</f>
        <v>Rep Allen</v>
      </c>
      <c r="E418" s="553">
        <v>0.1</v>
      </c>
      <c r="F418" s="553">
        <v>0.1</v>
      </c>
      <c r="G418" s="553">
        <v>0.1</v>
      </c>
      <c r="H418" s="553">
        <v>0.1</v>
      </c>
      <c r="I418" s="553">
        <v>0.1</v>
      </c>
      <c r="J418" s="541" t="s">
        <v>3201</v>
      </c>
      <c r="L418" s="553">
        <v>0.1</v>
      </c>
    </row>
    <row r="419" spans="1:12" s="121" customFormat="1">
      <c r="B419" s="541"/>
      <c r="C419" s="121" t="str">
        <f>nmProd1Seg1Rep2</f>
        <v>Rep Betty</v>
      </c>
      <c r="E419" s="553">
        <v>0.1</v>
      </c>
      <c r="F419" s="553">
        <v>0.1</v>
      </c>
      <c r="G419" s="553">
        <v>0.1</v>
      </c>
      <c r="H419" s="553">
        <v>0.1</v>
      </c>
      <c r="I419" s="553">
        <v>0.1</v>
      </c>
      <c r="J419" s="541" t="s">
        <v>3202</v>
      </c>
      <c r="L419" s="553">
        <v>0.1</v>
      </c>
    </row>
    <row r="420" spans="1:12" s="121" customFormat="1">
      <c r="B420" s="541"/>
      <c r="C420" s="121" t="str">
        <f>nmProd1Seg1Rep3</f>
        <v>Rep Chris</v>
      </c>
      <c r="E420" s="553">
        <v>0.1</v>
      </c>
      <c r="F420" s="553">
        <v>0.1</v>
      </c>
      <c r="G420" s="553">
        <v>0.1</v>
      </c>
      <c r="H420" s="553">
        <v>0.1</v>
      </c>
      <c r="I420" s="553">
        <v>0.1</v>
      </c>
      <c r="J420" s="541" t="s">
        <v>3203</v>
      </c>
      <c r="L420" s="553">
        <v>0.1</v>
      </c>
    </row>
    <row r="421" spans="1:12" s="121" customFormat="1">
      <c r="A421" s="121" t="str">
        <f>nmProd1</f>
        <v>Riverrun</v>
      </c>
      <c r="B421" s="541" t="str">
        <f>nmProd1Seg2</f>
        <v>Tullyville</v>
      </c>
      <c r="C421" s="121" t="str">
        <f>nmProd1Seg2Rep1</f>
        <v>Rep Danielle</v>
      </c>
      <c r="E421" s="553">
        <v>0.1</v>
      </c>
      <c r="F421" s="553">
        <v>0.1</v>
      </c>
      <c r="G421" s="553">
        <v>0.1</v>
      </c>
      <c r="H421" s="553">
        <v>0.1</v>
      </c>
      <c r="I421" s="553">
        <v>0.1</v>
      </c>
      <c r="J421" s="541" t="s">
        <v>3204</v>
      </c>
      <c r="L421" s="553">
        <v>0.1</v>
      </c>
    </row>
    <row r="422" spans="1:12" s="121" customFormat="1">
      <c r="B422" s="541"/>
      <c r="C422" s="121" t="str">
        <f>nmProd1Seg2Rep2</f>
        <v>Rep Elliot</v>
      </c>
      <c r="E422" s="553">
        <v>0.1</v>
      </c>
      <c r="F422" s="553">
        <v>0.1</v>
      </c>
      <c r="G422" s="553">
        <v>0.1</v>
      </c>
      <c r="H422" s="553">
        <v>0.1</v>
      </c>
      <c r="I422" s="553">
        <v>0.1</v>
      </c>
      <c r="J422" s="541" t="s">
        <v>3205</v>
      </c>
      <c r="L422" s="553">
        <v>0.1</v>
      </c>
    </row>
    <row r="423" spans="1:12" s="121" customFormat="1">
      <c r="B423" s="541"/>
      <c r="C423" s="121" t="str">
        <f>nmProd1Seg2Rep3</f>
        <v>Rep Fiona</v>
      </c>
      <c r="E423" s="553">
        <v>0.1</v>
      </c>
      <c r="F423" s="553">
        <v>0.1</v>
      </c>
      <c r="G423" s="553">
        <v>0.1</v>
      </c>
      <c r="H423" s="553">
        <v>0.1</v>
      </c>
      <c r="I423" s="553">
        <v>0.1</v>
      </c>
      <c r="J423" s="541" t="s">
        <v>3206</v>
      </c>
      <c r="L423" s="553">
        <v>0.1</v>
      </c>
    </row>
    <row r="424" spans="1:12" s="121" customFormat="1">
      <c r="A424" s="121" t="str">
        <f>nmProd1</f>
        <v>Riverrun</v>
      </c>
      <c r="B424" s="541" t="str">
        <f>nmProd1Seg3</f>
        <v>Lordfrey City</v>
      </c>
      <c r="C424" s="121" t="str">
        <f>nmProd1Seg3Rep1</f>
        <v>Rep Gregg</v>
      </c>
      <c r="E424" s="553">
        <v>0.1</v>
      </c>
      <c r="F424" s="553">
        <v>0.1</v>
      </c>
      <c r="G424" s="553">
        <v>0.1</v>
      </c>
      <c r="H424" s="553">
        <v>0.1</v>
      </c>
      <c r="I424" s="553">
        <v>0.1</v>
      </c>
      <c r="J424" s="541" t="s">
        <v>3207</v>
      </c>
      <c r="L424" s="553">
        <v>0.1</v>
      </c>
    </row>
    <row r="425" spans="1:12" s="121" customFormat="1">
      <c r="B425" s="541"/>
      <c r="C425" s="121" t="str">
        <f>nmProd1Seg3Rep2</f>
        <v>Rep Howard</v>
      </c>
      <c r="E425" s="553">
        <v>0.1</v>
      </c>
      <c r="F425" s="553">
        <v>0.1</v>
      </c>
      <c r="G425" s="553">
        <v>0.1</v>
      </c>
      <c r="H425" s="553">
        <v>0.1</v>
      </c>
      <c r="I425" s="553">
        <v>0.1</v>
      </c>
      <c r="J425" s="541" t="s">
        <v>3208</v>
      </c>
      <c r="L425" s="553">
        <v>0.1</v>
      </c>
    </row>
    <row r="426" spans="1:12" s="121" customFormat="1">
      <c r="B426" s="541"/>
      <c r="C426" s="121" t="str">
        <f>nmProd1Seg3Rep3</f>
        <v>Rep Isabelle</v>
      </c>
      <c r="E426" s="553">
        <v>0.1</v>
      </c>
      <c r="F426" s="553">
        <v>0.1</v>
      </c>
      <c r="G426" s="553">
        <v>0.1</v>
      </c>
      <c r="H426" s="553">
        <v>0.1</v>
      </c>
      <c r="I426" s="553">
        <v>0.1</v>
      </c>
      <c r="J426" s="541" t="s">
        <v>3209</v>
      </c>
      <c r="L426" s="553">
        <v>0.1</v>
      </c>
    </row>
    <row r="427" spans="1:12" s="121" customFormat="1">
      <c r="B427" s="541" t="str">
        <f>nmReg1Seg1</f>
        <v>Riverrun</v>
      </c>
      <c r="E427" s="553">
        <v>0.1</v>
      </c>
      <c r="F427" s="553">
        <v>0.1</v>
      </c>
      <c r="G427" s="553">
        <v>0.1</v>
      </c>
      <c r="H427" s="553">
        <v>0.1</v>
      </c>
      <c r="I427" s="553">
        <v>0.1</v>
      </c>
      <c r="J427" s="541" t="s">
        <v>3239</v>
      </c>
      <c r="L427" s="553">
        <v>0.1</v>
      </c>
    </row>
    <row r="428" spans="1:12" s="121" customFormat="1">
      <c r="B428" s="541" t="str">
        <f>nmReg1Seg2</f>
        <v>Winterfell</v>
      </c>
      <c r="E428" s="553">
        <v>0.1</v>
      </c>
      <c r="F428" s="553">
        <v>0.1</v>
      </c>
      <c r="G428" s="553">
        <v>0.1</v>
      </c>
      <c r="H428" s="553">
        <v>0.1</v>
      </c>
      <c r="I428" s="553">
        <v>0.1</v>
      </c>
      <c r="J428" s="541" t="s">
        <v>3240</v>
      </c>
      <c r="L428" s="553">
        <v>0.1</v>
      </c>
    </row>
    <row r="429" spans="1:12" s="121" customFormat="1">
      <c r="B429" s="541" t="str">
        <f>nmReg1Seg3</f>
        <v>Harrenhal</v>
      </c>
      <c r="E429" s="553">
        <v>0.1</v>
      </c>
      <c r="F429" s="553">
        <v>0.1</v>
      </c>
      <c r="G429" s="553">
        <v>0.1</v>
      </c>
      <c r="H429" s="553">
        <v>0.1</v>
      </c>
      <c r="I429" s="553">
        <v>0.1</v>
      </c>
      <c r="J429" s="541" t="s">
        <v>3241</v>
      </c>
      <c r="L429" s="553">
        <v>0.1</v>
      </c>
    </row>
    <row r="430" spans="1:12" s="1" customFormat="1">
      <c r="A430" s="1" t="s">
        <v>196</v>
      </c>
      <c r="E430" s="3"/>
      <c r="F430" s="109"/>
      <c r="G430" s="109"/>
      <c r="H430" s="109"/>
      <c r="I430" s="109"/>
    </row>
    <row r="431" spans="1:12">
      <c r="E431" s="81" t="s">
        <v>200</v>
      </c>
    </row>
  </sheetData>
  <conditionalFormatting sqref="L400:M402">
    <cfRule type="cellIs" dxfId="29" priority="43" operator="equal">
      <formula>TRUE</formula>
    </cfRule>
  </conditionalFormatting>
  <conditionalFormatting sqref="M403:M405">
    <cfRule type="cellIs" dxfId="28" priority="42" operator="equal">
      <formula>TRUE</formula>
    </cfRule>
  </conditionalFormatting>
  <conditionalFormatting sqref="L406:M408">
    <cfRule type="cellIs" dxfId="27" priority="41" operator="equal">
      <formula>TRUE</formula>
    </cfRule>
  </conditionalFormatting>
  <conditionalFormatting sqref="M409:M411">
    <cfRule type="cellIs" dxfId="26" priority="40" operator="equal">
      <formula>TRUE</formula>
    </cfRule>
  </conditionalFormatting>
  <conditionalFormatting sqref="L412:M414">
    <cfRule type="cellIs" dxfId="25" priority="39" operator="equal">
      <formula>TRUE</formula>
    </cfRule>
  </conditionalFormatting>
  <conditionalFormatting sqref="M415:M417">
    <cfRule type="cellIs" dxfId="24" priority="38" operator="equal">
      <formula>TRUE</formula>
    </cfRule>
  </conditionalFormatting>
  <conditionalFormatting sqref="L403:L405">
    <cfRule type="cellIs" dxfId="23" priority="37" operator="equal">
      <formula>TRUE</formula>
    </cfRule>
  </conditionalFormatting>
  <conditionalFormatting sqref="L409:L411">
    <cfRule type="cellIs" dxfId="22" priority="36" operator="equal">
      <formula>TRUE</formula>
    </cfRule>
  </conditionalFormatting>
  <conditionalFormatting sqref="L415:L417">
    <cfRule type="cellIs" dxfId="21" priority="35" operator="equal">
      <formula>TRUE</formula>
    </cfRule>
  </conditionalFormatting>
  <conditionalFormatting sqref="E400:I402">
    <cfRule type="cellIs" dxfId="20" priority="34" operator="equal">
      <formula>TRUE</formula>
    </cfRule>
  </conditionalFormatting>
  <conditionalFormatting sqref="E406:I408">
    <cfRule type="cellIs" dxfId="19" priority="33" operator="equal">
      <formula>TRUE</formula>
    </cfRule>
  </conditionalFormatting>
  <conditionalFormatting sqref="E412:I414">
    <cfRule type="cellIs" dxfId="18" priority="32" operator="equal">
      <formula>TRUE</formula>
    </cfRule>
  </conditionalFormatting>
  <conditionalFormatting sqref="E403:I405">
    <cfRule type="cellIs" dxfId="17" priority="31" operator="equal">
      <formula>TRUE</formula>
    </cfRule>
  </conditionalFormatting>
  <conditionalFormatting sqref="E409:I411">
    <cfRule type="cellIs" dxfId="16" priority="30" operator="equal">
      <formula>TRUE</formula>
    </cfRule>
  </conditionalFormatting>
  <conditionalFormatting sqref="E415:I417">
    <cfRule type="cellIs" dxfId="15" priority="29" operator="equal">
      <formula>TRUE</formula>
    </cfRule>
  </conditionalFormatting>
  <conditionalFormatting sqref="L418:M420">
    <cfRule type="cellIs" dxfId="14" priority="28" operator="equal">
      <formula>TRUE</formula>
    </cfRule>
  </conditionalFormatting>
  <conditionalFormatting sqref="E418:I420">
    <cfRule type="cellIs" dxfId="13" priority="19" operator="equal">
      <formula>TRUE</formula>
    </cfRule>
  </conditionalFormatting>
  <conditionalFormatting sqref="M424:M426">
    <cfRule type="cellIs" dxfId="12" priority="11" operator="equal">
      <formula>TRUE</formula>
    </cfRule>
  </conditionalFormatting>
  <conditionalFormatting sqref="E421:I423">
    <cfRule type="cellIs" dxfId="11" priority="12" operator="equal">
      <formula>TRUE</formula>
    </cfRule>
  </conditionalFormatting>
  <conditionalFormatting sqref="M421:M423">
    <cfRule type="cellIs" dxfId="10" priority="13" operator="equal">
      <formula>TRUE</formula>
    </cfRule>
  </conditionalFormatting>
  <conditionalFormatting sqref="E424:I426">
    <cfRule type="cellIs" dxfId="9" priority="10" operator="equal">
      <formula>TRUE</formula>
    </cfRule>
  </conditionalFormatting>
  <conditionalFormatting sqref="L421:L422">
    <cfRule type="cellIs" dxfId="8" priority="9" operator="equal">
      <formula>TRUE</formula>
    </cfRule>
  </conditionalFormatting>
  <conditionalFormatting sqref="L423">
    <cfRule type="cellIs" dxfId="7" priority="8" operator="equal">
      <formula>TRUE</formula>
    </cfRule>
  </conditionalFormatting>
  <conditionalFormatting sqref="L424:L426">
    <cfRule type="cellIs" dxfId="6" priority="7" operator="equal">
      <formula>TRUE</formula>
    </cfRule>
  </conditionalFormatting>
  <conditionalFormatting sqref="M427">
    <cfRule type="cellIs" dxfId="5" priority="6" operator="equal">
      <formula>TRUE</formula>
    </cfRule>
  </conditionalFormatting>
  <conditionalFormatting sqref="E427:I427">
    <cfRule type="cellIs" dxfId="4" priority="5" operator="equal">
      <formula>TRUE</formula>
    </cfRule>
  </conditionalFormatting>
  <conditionalFormatting sqref="L427">
    <cfRule type="cellIs" dxfId="3" priority="4" operator="equal">
      <formula>TRUE</formula>
    </cfRule>
  </conditionalFormatting>
  <conditionalFormatting sqref="M428:M429">
    <cfRule type="cellIs" dxfId="2" priority="3" operator="equal">
      <formula>TRUE</formula>
    </cfRule>
  </conditionalFormatting>
  <conditionalFormatting sqref="E428:I429">
    <cfRule type="cellIs" dxfId="1" priority="2" operator="equal">
      <formula>TRUE</formula>
    </cfRule>
  </conditionalFormatting>
  <conditionalFormatting sqref="L428:L429">
    <cfRule type="cellIs" dxfId="0" priority="1" operator="equal">
      <formula>TRUE</formula>
    </cfRule>
  </conditionalFormatting>
  <hyperlinks>
    <hyperlink ref="D3" r:id="rId1"/>
  </hyperlinks>
  <pageMargins left="0.7" right="0.7" top="0.75" bottom="0.75" header="0.3" footer="0.3"/>
  <pageSetup paperSize="9"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O38"/>
  <sheetViews>
    <sheetView topLeftCell="F22" workbookViewId="0">
      <selection activeCell="N27" sqref="N27"/>
    </sheetView>
  </sheetViews>
  <sheetFormatPr defaultRowHeight="14.25"/>
  <cols>
    <col min="1" max="1" width="8" customWidth="1"/>
    <col min="2" max="2" width="13.3984375" customWidth="1"/>
    <col min="3" max="5" width="20.796875" customWidth="1"/>
  </cols>
  <sheetData>
    <row r="1" spans="1:15">
      <c r="A1" s="4" t="s">
        <v>2889</v>
      </c>
    </row>
    <row r="4" spans="1:15" s="4" customFormat="1">
      <c r="A4" s="4" t="str">
        <f>nmProd1</f>
        <v>Riverrun</v>
      </c>
      <c r="B4" s="4" t="str">
        <f>nmProd1Seg1</f>
        <v>Riverrun Central</v>
      </c>
      <c r="C4" s="4" t="str">
        <f>nmPayer1</f>
        <v>Blue Sword/Blue Shield</v>
      </c>
      <c r="D4" s="4" t="str">
        <f>nmPayer2</f>
        <v>WesterAid</v>
      </c>
      <c r="E4" s="4" t="str">
        <f>nmPayer3</f>
        <v>Dragon Health</v>
      </c>
      <c r="G4" s="4" t="str">
        <f>nmProd1Seg2</f>
        <v>Tullyville</v>
      </c>
      <c r="H4" s="4" t="str">
        <f>nmPayer1</f>
        <v>Blue Sword/Blue Shield</v>
      </c>
      <c r="I4" s="4" t="str">
        <f>nmPayer2</f>
        <v>WesterAid</v>
      </c>
      <c r="J4" s="4" t="str">
        <f>nmPayer3</f>
        <v>Dragon Health</v>
      </c>
      <c r="L4" s="4" t="str">
        <f>nmProd1Seg3</f>
        <v>Lordfrey City</v>
      </c>
      <c r="M4" s="4" t="str">
        <f>nmPayer1</f>
        <v>Blue Sword/Blue Shield</v>
      </c>
      <c r="N4" s="4" t="str">
        <f>nmPayer2</f>
        <v>WesterAid</v>
      </c>
      <c r="O4" s="4" t="str">
        <f>nmPayer3</f>
        <v>Dragon Health</v>
      </c>
    </row>
    <row r="5" spans="1:15">
      <c r="B5" t="s">
        <v>516</v>
      </c>
      <c r="C5" s="524">
        <f t="shared" ref="C5:E8" si="0">INDEX(datatblCareaboutRank,C27,)</f>
        <v>1.5E-3</v>
      </c>
      <c r="D5" s="524">
        <f t="shared" si="0"/>
        <v>1.5E-3</v>
      </c>
      <c r="E5" s="524">
        <f t="shared" si="0"/>
        <v>1.5E-3</v>
      </c>
      <c r="G5" t="s">
        <v>516</v>
      </c>
      <c r="H5" s="524">
        <f t="shared" ref="H5:J8" si="1">INDEX(datatblCareaboutRank,H27,)</f>
        <v>1E-3</v>
      </c>
      <c r="I5" s="524">
        <f t="shared" si="1"/>
        <v>1.5E-3</v>
      </c>
      <c r="J5" s="524">
        <f t="shared" si="1"/>
        <v>1E-3</v>
      </c>
      <c r="L5" t="s">
        <v>516</v>
      </c>
      <c r="M5" s="524">
        <f t="shared" ref="M5:O8" si="2">INDEX(datatblCareaboutRank,M27,)</f>
        <v>1.5E-3</v>
      </c>
      <c r="N5" s="524">
        <f t="shared" si="2"/>
        <v>1.5E-3</v>
      </c>
      <c r="O5" s="524">
        <f t="shared" si="2"/>
        <v>1.5E-3</v>
      </c>
    </row>
    <row r="6" spans="1:15">
      <c r="B6" t="s">
        <v>517</v>
      </c>
      <c r="C6" s="524">
        <f t="shared" si="0"/>
        <v>1E-3</v>
      </c>
      <c r="D6" s="524">
        <f t="shared" si="0"/>
        <v>1E-3</v>
      </c>
      <c r="E6" s="524">
        <f t="shared" si="0"/>
        <v>1E-3</v>
      </c>
      <c r="G6" t="s">
        <v>517</v>
      </c>
      <c r="H6" s="524">
        <f t="shared" si="1"/>
        <v>1E-3</v>
      </c>
      <c r="I6" s="524">
        <f t="shared" si="1"/>
        <v>5.0000000000000001E-4</v>
      </c>
      <c r="J6" s="524">
        <f t="shared" si="1"/>
        <v>2E-3</v>
      </c>
      <c r="L6" t="s">
        <v>517</v>
      </c>
      <c r="M6" s="524">
        <f t="shared" si="2"/>
        <v>5.0000000000000001E-4</v>
      </c>
      <c r="N6" s="524">
        <f t="shared" si="2"/>
        <v>5.0000000000000001E-4</v>
      </c>
      <c r="O6" s="524">
        <f t="shared" si="2"/>
        <v>5.0000000000000001E-4</v>
      </c>
    </row>
    <row r="7" spans="1:15">
      <c r="B7" t="s">
        <v>2333</v>
      </c>
      <c r="C7" s="524">
        <f t="shared" si="0"/>
        <v>5.0000000000000001E-4</v>
      </c>
      <c r="D7" s="524">
        <f t="shared" si="0"/>
        <v>5.0000000000000001E-4</v>
      </c>
      <c r="E7" s="524">
        <f t="shared" si="0"/>
        <v>5.0000000000000001E-4</v>
      </c>
      <c r="G7" t="s">
        <v>2333</v>
      </c>
      <c r="H7" s="524">
        <f t="shared" si="1"/>
        <v>1.5E-3</v>
      </c>
      <c r="I7" s="524">
        <f t="shared" si="1"/>
        <v>1E-3</v>
      </c>
      <c r="J7" s="524">
        <f t="shared" si="1"/>
        <v>1.5E-3</v>
      </c>
      <c r="L7" t="s">
        <v>2333</v>
      </c>
      <c r="M7" s="524">
        <f t="shared" si="2"/>
        <v>1E-3</v>
      </c>
      <c r="N7" s="524">
        <f t="shared" si="2"/>
        <v>1E-3</v>
      </c>
      <c r="O7" s="524">
        <f t="shared" si="2"/>
        <v>1E-3</v>
      </c>
    </row>
    <row r="8" spans="1:15">
      <c r="B8" t="s">
        <v>2646</v>
      </c>
      <c r="C8" s="524">
        <f t="shared" si="0"/>
        <v>2E-3</v>
      </c>
      <c r="D8" s="524">
        <f t="shared" si="0"/>
        <v>1.5E-3</v>
      </c>
      <c r="E8" s="524">
        <f t="shared" si="0"/>
        <v>1.5E-3</v>
      </c>
      <c r="G8" t="s">
        <v>2646</v>
      </c>
      <c r="H8" s="524">
        <f t="shared" si="1"/>
        <v>1.5E-3</v>
      </c>
      <c r="I8" s="524">
        <f t="shared" si="1"/>
        <v>2E-3</v>
      </c>
      <c r="J8" s="524">
        <f t="shared" si="1"/>
        <v>1E-3</v>
      </c>
      <c r="L8" t="s">
        <v>2646</v>
      </c>
      <c r="M8" s="524">
        <f t="shared" si="2"/>
        <v>2E-3</v>
      </c>
      <c r="N8" s="524">
        <f t="shared" si="2"/>
        <v>2E-3</v>
      </c>
      <c r="O8" s="524">
        <f t="shared" si="2"/>
        <v>2E-3</v>
      </c>
    </row>
    <row r="9" spans="1:15">
      <c r="C9" t="s">
        <v>2647</v>
      </c>
      <c r="D9" t="s">
        <v>2649</v>
      </c>
      <c r="E9" t="s">
        <v>2648</v>
      </c>
      <c r="H9" t="s">
        <v>2650</v>
      </c>
      <c r="I9" t="s">
        <v>2651</v>
      </c>
      <c r="J9" t="s">
        <v>2652</v>
      </c>
      <c r="M9" t="s">
        <v>2653</v>
      </c>
      <c r="N9" t="s">
        <v>2654</v>
      </c>
      <c r="O9" t="s">
        <v>2655</v>
      </c>
    </row>
    <row r="11" spans="1:15" s="4" customFormat="1">
      <c r="A11" s="4" t="str">
        <f>nmReg1</f>
        <v>The Region</v>
      </c>
      <c r="B11" s="4" t="str">
        <f>nmReg1Seg1</f>
        <v>Riverrun</v>
      </c>
      <c r="C11" s="4" t="str">
        <f>nmPayer1</f>
        <v>Blue Sword/Blue Shield</v>
      </c>
      <c r="D11" s="4" t="str">
        <f>nmPayer2</f>
        <v>WesterAid</v>
      </c>
      <c r="E11" s="4" t="str">
        <f>nmPayer3</f>
        <v>Dragon Health</v>
      </c>
      <c r="G11" s="4" t="str">
        <f>nmReg1Seg2</f>
        <v>Winterfell</v>
      </c>
      <c r="H11" s="4" t="str">
        <f>nmPayer1</f>
        <v>Blue Sword/Blue Shield</v>
      </c>
      <c r="I11" s="4" t="str">
        <f>nmPayer2</f>
        <v>WesterAid</v>
      </c>
      <c r="J11" s="4" t="str">
        <f>nmPayer3</f>
        <v>Dragon Health</v>
      </c>
      <c r="L11" s="4" t="str">
        <f>nmReg1Seg3</f>
        <v>Harrenhal</v>
      </c>
      <c r="M11" s="4" t="str">
        <f>nmPayer1</f>
        <v>Blue Sword/Blue Shield</v>
      </c>
      <c r="N11" s="4" t="str">
        <f>nmPayer2</f>
        <v>WesterAid</v>
      </c>
      <c r="O11" s="4" t="str">
        <f>nmPayer3</f>
        <v>Dragon Health</v>
      </c>
    </row>
    <row r="12" spans="1:15">
      <c r="B12" t="s">
        <v>516</v>
      </c>
      <c r="C12" s="524">
        <f t="shared" ref="C12:E15" si="3">INDEX(datatblCareaboutRank,C34,)</f>
        <v>1.5E-3</v>
      </c>
      <c r="D12" s="524">
        <f t="shared" si="3"/>
        <v>1.5E-3</v>
      </c>
      <c r="E12" s="524">
        <f t="shared" si="3"/>
        <v>1E-3</v>
      </c>
      <c r="G12" t="s">
        <v>516</v>
      </c>
      <c r="H12" s="524">
        <f t="shared" ref="H12:J15" si="4">INDEX(datatblCareaboutRank,H34,)</f>
        <v>5.0000000000000001E-4</v>
      </c>
      <c r="I12" s="524">
        <f t="shared" si="4"/>
        <v>2E-3</v>
      </c>
      <c r="J12" s="524">
        <f t="shared" si="4"/>
        <v>1E-3</v>
      </c>
      <c r="L12" t="s">
        <v>516</v>
      </c>
      <c r="M12" s="524">
        <f t="shared" ref="M12:O15" si="5">INDEX(datatblCareaboutRank,M34,)</f>
        <v>2E-3</v>
      </c>
      <c r="N12" s="524">
        <f t="shared" si="5"/>
        <v>2E-3</v>
      </c>
      <c r="O12" s="524">
        <f t="shared" si="5"/>
        <v>2E-3</v>
      </c>
    </row>
    <row r="13" spans="1:15">
      <c r="B13" t="s">
        <v>517</v>
      </c>
      <c r="C13" s="524">
        <f t="shared" si="3"/>
        <v>1E-3</v>
      </c>
      <c r="D13" s="524">
        <f t="shared" si="3"/>
        <v>5.0000000000000001E-4</v>
      </c>
      <c r="E13" s="524">
        <f t="shared" si="3"/>
        <v>1E-3</v>
      </c>
      <c r="G13" t="s">
        <v>517</v>
      </c>
      <c r="H13" s="524">
        <f t="shared" si="4"/>
        <v>1E-3</v>
      </c>
      <c r="I13" s="524">
        <f t="shared" si="4"/>
        <v>1E-3</v>
      </c>
      <c r="J13" s="524">
        <f t="shared" si="4"/>
        <v>2E-3</v>
      </c>
      <c r="L13" t="s">
        <v>517</v>
      </c>
      <c r="M13" s="524">
        <f t="shared" si="5"/>
        <v>1E-3</v>
      </c>
      <c r="N13" s="524">
        <f t="shared" si="5"/>
        <v>1E-3</v>
      </c>
      <c r="O13" s="524">
        <f t="shared" si="5"/>
        <v>1E-3</v>
      </c>
    </row>
    <row r="14" spans="1:15">
      <c r="B14" t="s">
        <v>2333</v>
      </c>
      <c r="C14" s="524">
        <f t="shared" si="3"/>
        <v>1E-3</v>
      </c>
      <c r="D14" s="524">
        <f t="shared" si="3"/>
        <v>1E-3</v>
      </c>
      <c r="E14" s="524">
        <f t="shared" si="3"/>
        <v>1.5E-3</v>
      </c>
      <c r="G14" t="s">
        <v>2333</v>
      </c>
      <c r="H14" s="524">
        <f t="shared" si="4"/>
        <v>1.5E-3</v>
      </c>
      <c r="I14" s="524">
        <f t="shared" si="4"/>
        <v>1.5E-3</v>
      </c>
      <c r="J14" s="524">
        <f t="shared" si="4"/>
        <v>5.0000000000000001E-4</v>
      </c>
      <c r="L14" t="s">
        <v>2333</v>
      </c>
      <c r="M14" s="524">
        <f t="shared" si="5"/>
        <v>1.5E-3</v>
      </c>
      <c r="N14" s="524">
        <f t="shared" si="5"/>
        <v>1.5E-3</v>
      </c>
      <c r="O14" s="524">
        <f t="shared" si="5"/>
        <v>1.5E-3</v>
      </c>
    </row>
    <row r="15" spans="1:15">
      <c r="B15" t="s">
        <v>2646</v>
      </c>
      <c r="C15" s="524">
        <f t="shared" si="3"/>
        <v>1.5E-3</v>
      </c>
      <c r="D15" s="524">
        <f t="shared" si="3"/>
        <v>2E-3</v>
      </c>
      <c r="E15" s="524">
        <f t="shared" si="3"/>
        <v>1.5E-3</v>
      </c>
      <c r="G15" t="s">
        <v>2646</v>
      </c>
      <c r="H15" s="524">
        <f t="shared" si="4"/>
        <v>2E-3</v>
      </c>
      <c r="I15" s="524">
        <f t="shared" si="4"/>
        <v>5.0000000000000001E-4</v>
      </c>
      <c r="J15" s="524">
        <f t="shared" si="4"/>
        <v>1.5E-3</v>
      </c>
      <c r="L15" t="s">
        <v>2646</v>
      </c>
      <c r="M15" s="524">
        <f t="shared" si="5"/>
        <v>1E-3</v>
      </c>
      <c r="N15" s="524">
        <f t="shared" si="5"/>
        <v>1E-3</v>
      </c>
      <c r="O15" s="524">
        <f t="shared" si="5"/>
        <v>1E-3</v>
      </c>
    </row>
    <row r="16" spans="1:15">
      <c r="C16" t="s">
        <v>2656</v>
      </c>
      <c r="D16" t="s">
        <v>2657</v>
      </c>
      <c r="E16" t="s">
        <v>2658</v>
      </c>
      <c r="H16" t="s">
        <v>2659</v>
      </c>
      <c r="I16" t="s">
        <v>2660</v>
      </c>
      <c r="J16" t="s">
        <v>2661</v>
      </c>
      <c r="M16" t="s">
        <v>2662</v>
      </c>
      <c r="N16" t="s">
        <v>2663</v>
      </c>
      <c r="O16" t="s">
        <v>2664</v>
      </c>
    </row>
    <row r="19" spans="1:15">
      <c r="E19" s="465">
        <v>2.9999999999999997E-4</v>
      </c>
    </row>
    <row r="20" spans="1:15">
      <c r="C20">
        <v>1</v>
      </c>
      <c r="D20" s="550">
        <v>5.0000000000000001E-4</v>
      </c>
    </row>
    <row r="21" spans="1:15">
      <c r="C21">
        <v>2</v>
      </c>
      <c r="D21" s="550">
        <v>1E-3</v>
      </c>
    </row>
    <row r="22" spans="1:15">
      <c r="C22">
        <v>3</v>
      </c>
      <c r="D22" s="550">
        <v>1.5E-3</v>
      </c>
    </row>
    <row r="23" spans="1:15">
      <c r="C23">
        <v>4</v>
      </c>
      <c r="D23" s="550">
        <v>2E-3</v>
      </c>
    </row>
    <row r="24" spans="1:15">
      <c r="D24" t="s">
        <v>2665</v>
      </c>
    </row>
    <row r="26" spans="1:15" s="4" customFormat="1">
      <c r="A26" s="4" t="str">
        <f>nmProd1</f>
        <v>Riverrun</v>
      </c>
      <c r="B26" s="4" t="str">
        <f>nmProd1Seg1</f>
        <v>Riverrun Central</v>
      </c>
      <c r="C26" s="4" t="str">
        <f>nmPayer1</f>
        <v>Blue Sword/Blue Shield</v>
      </c>
      <c r="D26" s="4" t="str">
        <f>nmPayer2</f>
        <v>WesterAid</v>
      </c>
      <c r="E26" s="4" t="str">
        <f>nmPayer3</f>
        <v>Dragon Health</v>
      </c>
      <c r="G26" s="4" t="str">
        <f>nmProd1Seg2</f>
        <v>Tullyville</v>
      </c>
      <c r="H26" s="4" t="str">
        <f>nmPayer1</f>
        <v>Blue Sword/Blue Shield</v>
      </c>
      <c r="I26" s="4" t="str">
        <f>nmPayer2</f>
        <v>WesterAid</v>
      </c>
      <c r="J26" s="4" t="str">
        <f>nmPayer3</f>
        <v>Dragon Health</v>
      </c>
      <c r="L26" s="4" t="str">
        <f>nmProd1Seg3</f>
        <v>Lordfrey City</v>
      </c>
      <c r="M26" s="4" t="str">
        <f>nmPayer1</f>
        <v>Blue Sword/Blue Shield</v>
      </c>
      <c r="N26" s="4" t="str">
        <f>nmPayer2</f>
        <v>WesterAid</v>
      </c>
      <c r="O26" s="4" t="str">
        <f>nmPayer3</f>
        <v>Dragon Health</v>
      </c>
    </row>
    <row r="27" spans="1:15">
      <c r="B27" t="s">
        <v>516</v>
      </c>
      <c r="C27" s="524">
        <v>3</v>
      </c>
      <c r="D27" s="524">
        <v>3</v>
      </c>
      <c r="E27" s="524">
        <v>3</v>
      </c>
      <c r="G27" t="s">
        <v>516</v>
      </c>
      <c r="H27" s="524">
        <v>2</v>
      </c>
      <c r="I27" s="524">
        <v>3</v>
      </c>
      <c r="J27" s="524">
        <v>2</v>
      </c>
      <c r="L27" t="s">
        <v>516</v>
      </c>
      <c r="M27" s="524">
        <v>3</v>
      </c>
      <c r="N27" s="524">
        <v>3</v>
      </c>
      <c r="O27" s="524">
        <v>3</v>
      </c>
    </row>
    <row r="28" spans="1:15">
      <c r="B28" t="s">
        <v>517</v>
      </c>
      <c r="C28" s="524">
        <v>2</v>
      </c>
      <c r="D28" s="524">
        <v>2</v>
      </c>
      <c r="E28" s="524">
        <v>2</v>
      </c>
      <c r="G28" t="s">
        <v>517</v>
      </c>
      <c r="H28" s="524">
        <v>2</v>
      </c>
      <c r="I28" s="524">
        <v>1</v>
      </c>
      <c r="J28" s="524">
        <v>4</v>
      </c>
      <c r="L28" t="s">
        <v>517</v>
      </c>
      <c r="M28" s="524">
        <v>1</v>
      </c>
      <c r="N28" s="524">
        <v>1</v>
      </c>
      <c r="O28" s="524">
        <v>1</v>
      </c>
    </row>
    <row r="29" spans="1:15">
      <c r="B29" t="s">
        <v>2333</v>
      </c>
      <c r="C29" s="524">
        <v>1</v>
      </c>
      <c r="D29" s="524">
        <v>1</v>
      </c>
      <c r="E29" s="524">
        <v>1</v>
      </c>
      <c r="G29" t="s">
        <v>2333</v>
      </c>
      <c r="H29" s="524">
        <v>3</v>
      </c>
      <c r="I29" s="524">
        <v>2</v>
      </c>
      <c r="J29" s="524">
        <v>3</v>
      </c>
      <c r="L29" t="s">
        <v>2333</v>
      </c>
      <c r="M29" s="524">
        <v>2</v>
      </c>
      <c r="N29" s="524">
        <v>2</v>
      </c>
      <c r="O29" s="524">
        <v>2</v>
      </c>
    </row>
    <row r="30" spans="1:15">
      <c r="B30" t="s">
        <v>2646</v>
      </c>
      <c r="C30" s="524">
        <v>4</v>
      </c>
      <c r="D30" s="524">
        <v>3</v>
      </c>
      <c r="E30" s="524">
        <v>3</v>
      </c>
      <c r="G30" t="s">
        <v>2646</v>
      </c>
      <c r="H30" s="524">
        <v>3</v>
      </c>
      <c r="I30" s="524">
        <v>4</v>
      </c>
      <c r="J30" s="524">
        <v>2</v>
      </c>
      <c r="L30" t="s">
        <v>2646</v>
      </c>
      <c r="M30" s="524">
        <v>4</v>
      </c>
      <c r="N30" s="524">
        <v>4</v>
      </c>
      <c r="O30" s="524">
        <v>4</v>
      </c>
    </row>
    <row r="31" spans="1:15">
      <c r="C31" t="s">
        <v>2647</v>
      </c>
      <c r="D31" t="s">
        <v>2649</v>
      </c>
      <c r="E31" t="s">
        <v>2648</v>
      </c>
      <c r="H31" t="s">
        <v>2650</v>
      </c>
      <c r="I31" t="s">
        <v>2651</v>
      </c>
      <c r="J31" t="s">
        <v>2652</v>
      </c>
      <c r="M31" t="s">
        <v>2653</v>
      </c>
      <c r="N31" t="s">
        <v>2654</v>
      </c>
      <c r="O31" t="s">
        <v>2655</v>
      </c>
    </row>
    <row r="33" spans="1:15" s="4" customFormat="1">
      <c r="A33" s="4" t="str">
        <f>nmReg1</f>
        <v>The Region</v>
      </c>
      <c r="B33" s="4" t="str">
        <f>nmReg1Seg1</f>
        <v>Riverrun</v>
      </c>
      <c r="C33" s="4" t="str">
        <f>nmPayer1</f>
        <v>Blue Sword/Blue Shield</v>
      </c>
      <c r="D33" s="4" t="str">
        <f>nmPayer2</f>
        <v>WesterAid</v>
      </c>
      <c r="E33" s="4" t="str">
        <f>nmPayer3</f>
        <v>Dragon Health</v>
      </c>
      <c r="G33" s="4" t="str">
        <f>nmReg1Seg2</f>
        <v>Winterfell</v>
      </c>
      <c r="H33" s="4" t="str">
        <f>nmPayer1</f>
        <v>Blue Sword/Blue Shield</v>
      </c>
      <c r="I33" s="4" t="str">
        <f>nmPayer2</f>
        <v>WesterAid</v>
      </c>
      <c r="J33" s="4" t="str">
        <f>nmPayer3</f>
        <v>Dragon Health</v>
      </c>
      <c r="L33" s="4" t="str">
        <f>nmReg1Seg3</f>
        <v>Harrenhal</v>
      </c>
      <c r="M33" s="4" t="str">
        <f>nmPayer1</f>
        <v>Blue Sword/Blue Shield</v>
      </c>
      <c r="N33" s="4" t="str">
        <f>nmPayer2</f>
        <v>WesterAid</v>
      </c>
      <c r="O33" s="4" t="str">
        <f>nmPayer3</f>
        <v>Dragon Health</v>
      </c>
    </row>
    <row r="34" spans="1:15">
      <c r="B34" t="s">
        <v>516</v>
      </c>
      <c r="C34" s="524">
        <v>3</v>
      </c>
      <c r="D34" s="524">
        <v>3</v>
      </c>
      <c r="E34" s="524">
        <v>2</v>
      </c>
      <c r="G34" t="s">
        <v>516</v>
      </c>
      <c r="H34" s="524">
        <v>1</v>
      </c>
      <c r="I34" s="524">
        <v>4</v>
      </c>
      <c r="J34" s="524">
        <v>2</v>
      </c>
      <c r="L34" t="s">
        <v>516</v>
      </c>
      <c r="M34" s="524">
        <v>4</v>
      </c>
      <c r="N34" s="524">
        <v>4</v>
      </c>
      <c r="O34" s="524">
        <v>4</v>
      </c>
    </row>
    <row r="35" spans="1:15">
      <c r="B35" t="s">
        <v>517</v>
      </c>
      <c r="C35" s="524">
        <v>2</v>
      </c>
      <c r="D35" s="524">
        <v>1</v>
      </c>
      <c r="E35" s="524">
        <v>2</v>
      </c>
      <c r="G35" t="s">
        <v>517</v>
      </c>
      <c r="H35" s="524">
        <v>2</v>
      </c>
      <c r="I35" s="524">
        <v>2</v>
      </c>
      <c r="J35" s="524">
        <v>4</v>
      </c>
      <c r="L35" t="s">
        <v>517</v>
      </c>
      <c r="M35" s="524">
        <v>2</v>
      </c>
      <c r="N35" s="524">
        <v>2</v>
      </c>
      <c r="O35" s="524">
        <v>2</v>
      </c>
    </row>
    <row r="36" spans="1:15">
      <c r="B36" t="s">
        <v>2333</v>
      </c>
      <c r="C36" s="524">
        <v>2</v>
      </c>
      <c r="D36" s="524">
        <v>2</v>
      </c>
      <c r="E36" s="524">
        <v>3</v>
      </c>
      <c r="G36" t="s">
        <v>2333</v>
      </c>
      <c r="H36" s="524">
        <v>3</v>
      </c>
      <c r="I36" s="524">
        <v>3</v>
      </c>
      <c r="J36" s="524">
        <v>1</v>
      </c>
      <c r="L36" t="s">
        <v>2333</v>
      </c>
      <c r="M36" s="524">
        <v>3</v>
      </c>
      <c r="N36" s="524">
        <v>3</v>
      </c>
      <c r="O36" s="524">
        <v>3</v>
      </c>
    </row>
    <row r="37" spans="1:15">
      <c r="B37" t="s">
        <v>2646</v>
      </c>
      <c r="C37" s="524">
        <v>3</v>
      </c>
      <c r="D37" s="524">
        <v>4</v>
      </c>
      <c r="E37" s="524">
        <v>3</v>
      </c>
      <c r="G37" t="s">
        <v>2646</v>
      </c>
      <c r="H37" s="524">
        <v>4</v>
      </c>
      <c r="I37" s="524">
        <v>1</v>
      </c>
      <c r="J37" s="524">
        <v>3</v>
      </c>
      <c r="L37" t="s">
        <v>2646</v>
      </c>
      <c r="M37" s="524">
        <v>2</v>
      </c>
      <c r="N37" s="524">
        <v>2</v>
      </c>
      <c r="O37" s="524">
        <v>2</v>
      </c>
    </row>
    <row r="38" spans="1:15">
      <c r="C38" t="s">
        <v>2656</v>
      </c>
      <c r="D38" t="s">
        <v>2657</v>
      </c>
      <c r="E38" t="s">
        <v>2658</v>
      </c>
      <c r="H38" t="s">
        <v>2659</v>
      </c>
      <c r="I38" t="s">
        <v>2660</v>
      </c>
      <c r="J38" t="s">
        <v>2661</v>
      </c>
      <c r="M38" t="s">
        <v>2662</v>
      </c>
      <c r="N38" t="s">
        <v>2663</v>
      </c>
      <c r="O38" t="s">
        <v>2664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H12"/>
  <sheetViews>
    <sheetView workbookViewId="0">
      <selection activeCell="B7" sqref="B7"/>
    </sheetView>
  </sheetViews>
  <sheetFormatPr defaultRowHeight="14.25"/>
  <cols>
    <col min="1" max="1" width="8" customWidth="1"/>
  </cols>
  <sheetData>
    <row r="1" spans="1:8">
      <c r="A1" t="s">
        <v>2638</v>
      </c>
    </row>
    <row r="2" spans="1:8">
      <c r="A2" t="s">
        <v>2639</v>
      </c>
    </row>
    <row r="3" spans="1:8">
      <c r="B3">
        <v>1</v>
      </c>
    </row>
    <row r="4" spans="1:8">
      <c r="B4">
        <v>3</v>
      </c>
      <c r="C4">
        <v>3</v>
      </c>
      <c r="D4">
        <v>3</v>
      </c>
    </row>
    <row r="5" spans="1:8">
      <c r="B5" t="s">
        <v>585</v>
      </c>
      <c r="C5" t="s">
        <v>556</v>
      </c>
      <c r="D5" t="s">
        <v>3211</v>
      </c>
    </row>
    <row r="6" spans="1:8">
      <c r="A6">
        <v>0</v>
      </c>
      <c r="B6" s="225">
        <f>B$4*$A6</f>
        <v>0</v>
      </c>
      <c r="C6" s="225">
        <f t="shared" ref="C6:D6" si="0">C$4*$A6</f>
        <v>0</v>
      </c>
      <c r="D6" s="225">
        <f t="shared" si="0"/>
        <v>0</v>
      </c>
      <c r="E6" s="225">
        <f>E$4*$A6</f>
        <v>0</v>
      </c>
    </row>
    <row r="7" spans="1:8">
      <c r="A7">
        <v>1</v>
      </c>
      <c r="B7" s="225">
        <v>5</v>
      </c>
      <c r="C7" s="225">
        <v>10</v>
      </c>
      <c r="D7" s="225">
        <v>5</v>
      </c>
      <c r="E7" s="225">
        <f>B7*3</f>
        <v>15</v>
      </c>
      <c r="G7">
        <f>9</f>
        <v>9</v>
      </c>
      <c r="H7" t="s">
        <v>3183</v>
      </c>
    </row>
    <row r="8" spans="1:8">
      <c r="A8">
        <v>2</v>
      </c>
      <c r="B8" s="225">
        <v>10</v>
      </c>
      <c r="C8" s="225">
        <v>20</v>
      </c>
      <c r="D8" s="225">
        <v>10</v>
      </c>
      <c r="E8" s="225">
        <f t="shared" ref="E8:E11" si="1">B8*3</f>
        <v>30</v>
      </c>
      <c r="G8">
        <f>B11*G7</f>
        <v>225</v>
      </c>
    </row>
    <row r="9" spans="1:8">
      <c r="A9">
        <v>3</v>
      </c>
      <c r="B9" s="225">
        <v>15</v>
      </c>
      <c r="C9" s="225">
        <v>30</v>
      </c>
      <c r="D9" s="225">
        <v>15</v>
      </c>
      <c r="E9" s="225">
        <f t="shared" si="1"/>
        <v>45</v>
      </c>
      <c r="G9">
        <f>D11*3</f>
        <v>75</v>
      </c>
    </row>
    <row r="10" spans="1:8">
      <c r="A10">
        <v>4</v>
      </c>
      <c r="B10" s="225">
        <v>20</v>
      </c>
      <c r="C10" s="225">
        <v>40</v>
      </c>
      <c r="D10" s="225">
        <v>20</v>
      </c>
      <c r="E10" s="225">
        <f t="shared" si="1"/>
        <v>60</v>
      </c>
      <c r="G10">
        <f>C11</f>
        <v>50</v>
      </c>
    </row>
    <row r="11" spans="1:8">
      <c r="A11">
        <v>5</v>
      </c>
      <c r="B11" s="225">
        <v>25</v>
      </c>
      <c r="C11" s="225">
        <v>50</v>
      </c>
      <c r="D11" s="225">
        <v>25</v>
      </c>
      <c r="E11" s="225">
        <f t="shared" si="1"/>
        <v>75</v>
      </c>
      <c r="G11" t="s">
        <v>3182</v>
      </c>
      <c r="H11">
        <f>SUM(G8:G10)</f>
        <v>350</v>
      </c>
    </row>
    <row r="12" spans="1:8">
      <c r="B12" t="s">
        <v>2640</v>
      </c>
      <c r="C12" t="s">
        <v>2641</v>
      </c>
      <c r="D12" t="s">
        <v>2642</v>
      </c>
      <c r="E12" t="s">
        <v>3521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/>
  </sheetPr>
  <dimension ref="A1:L835"/>
  <sheetViews>
    <sheetView topLeftCell="A4" zoomScale="80" zoomScaleNormal="80" workbookViewId="0">
      <selection activeCell="C743" sqref="C743"/>
    </sheetView>
  </sheetViews>
  <sheetFormatPr defaultRowHeight="14.25"/>
  <cols>
    <col min="1" max="1" width="8" customWidth="1"/>
    <col min="2" max="2" width="23.796875" customWidth="1"/>
    <col min="3" max="6" width="15.796875" customWidth="1"/>
  </cols>
  <sheetData>
    <row r="1" spans="1:12">
      <c r="A1" t="s">
        <v>619</v>
      </c>
      <c r="D1" t="s">
        <v>678</v>
      </c>
    </row>
    <row r="2" spans="1:12">
      <c r="C2" t="s">
        <v>215</v>
      </c>
      <c r="D2" t="str">
        <f>nmPayer1</f>
        <v>Blue Sword/Blue Shield</v>
      </c>
      <c r="E2" t="str">
        <f>nmPayer2</f>
        <v>WesterAid</v>
      </c>
      <c r="F2" t="str">
        <f>nmPayer3</f>
        <v>Dragon Health</v>
      </c>
      <c r="K2" t="s">
        <v>3527</v>
      </c>
    </row>
    <row r="3" spans="1:12">
      <c r="B3" s="4" t="str">
        <f>nmTherapy1</f>
        <v>Wintellix</v>
      </c>
      <c r="C3" s="225">
        <v>3000</v>
      </c>
      <c r="D3" s="382">
        <v>0.3</v>
      </c>
      <c r="E3" s="382">
        <v>0.3</v>
      </c>
      <c r="F3" s="382">
        <v>0.3</v>
      </c>
      <c r="K3" t="s">
        <v>3526</v>
      </c>
    </row>
    <row r="4" spans="1:12">
      <c r="C4" s="4" t="s">
        <v>679</v>
      </c>
      <c r="D4" s="4" t="s">
        <v>680</v>
      </c>
      <c r="E4" s="4" t="s">
        <v>681</v>
      </c>
      <c r="F4" s="4" t="s">
        <v>682</v>
      </c>
      <c r="K4" t="s">
        <v>3522</v>
      </c>
    </row>
    <row r="5" spans="1:12">
      <c r="C5" t="s">
        <v>3522</v>
      </c>
      <c r="D5" t="s">
        <v>3195</v>
      </c>
      <c r="E5" t="s">
        <v>3196</v>
      </c>
      <c r="F5" t="str">
        <f>INDEX(dataPayer2Tier,1,)</f>
        <v>T1 NR</v>
      </c>
      <c r="G5">
        <f>INDEX(dataPayer2Tier,2,)</f>
        <v>2</v>
      </c>
      <c r="H5" t="s">
        <v>3526</v>
      </c>
      <c r="I5" t="s">
        <v>3527</v>
      </c>
      <c r="J5" t="s">
        <v>3528</v>
      </c>
      <c r="K5" s="225" t="s">
        <v>3194</v>
      </c>
      <c r="L5" s="225"/>
    </row>
    <row r="6" spans="1:12">
      <c r="B6" s="4" t="s">
        <v>683</v>
      </c>
      <c r="C6" s="427">
        <v>0.4</v>
      </c>
      <c r="D6" s="427">
        <v>0.4</v>
      </c>
      <c r="E6" s="427">
        <v>0.6</v>
      </c>
      <c r="F6" s="427">
        <v>0.3</v>
      </c>
      <c r="G6" s="427">
        <v>1</v>
      </c>
      <c r="H6" s="427">
        <v>0.6</v>
      </c>
      <c r="I6" s="427">
        <v>0.4</v>
      </c>
      <c r="J6" t="s">
        <v>694</v>
      </c>
      <c r="K6" s="225" t="s">
        <v>3195</v>
      </c>
      <c r="L6" s="225" t="s">
        <v>3197</v>
      </c>
    </row>
    <row r="7" spans="1:12">
      <c r="K7" s="225" t="s">
        <v>3196</v>
      </c>
      <c r="L7" s="225">
        <v>2</v>
      </c>
    </row>
    <row r="8" spans="1:12">
      <c r="K8" t="s">
        <v>692</v>
      </c>
      <c r="L8" t="s">
        <v>693</v>
      </c>
    </row>
    <row r="9" spans="1:12">
      <c r="B9" t="s">
        <v>688</v>
      </c>
      <c r="C9" s="426" t="s">
        <v>3195</v>
      </c>
      <c r="D9" s="426" t="s">
        <v>3197</v>
      </c>
      <c r="E9" s="426" t="s">
        <v>3196</v>
      </c>
    </row>
    <row r="10" spans="1:12">
      <c r="C10" t="s">
        <v>689</v>
      </c>
      <c r="D10" t="s">
        <v>690</v>
      </c>
      <c r="E10" t="s">
        <v>691</v>
      </c>
      <c r="H10" s="571">
        <v>0.2</v>
      </c>
      <c r="I10" t="s">
        <v>3560</v>
      </c>
    </row>
    <row r="11" spans="1:12">
      <c r="B11" s="4" t="s">
        <v>757</v>
      </c>
      <c r="H11" s="571">
        <f>1-dataComp1Impact</f>
        <v>0.8</v>
      </c>
      <c r="I11" t="s">
        <v>3561</v>
      </c>
    </row>
    <row r="12" spans="1:12">
      <c r="B12" t="s">
        <v>688</v>
      </c>
      <c r="C12" s="426" t="s">
        <v>3526</v>
      </c>
      <c r="D12" s="426" t="s">
        <v>3197</v>
      </c>
      <c r="E12" s="426" t="s">
        <v>3196</v>
      </c>
      <c r="K12" t="s">
        <v>3527</v>
      </c>
      <c r="L12">
        <v>1.1299999999999999</v>
      </c>
    </row>
    <row r="13" spans="1:12">
      <c r="C13" t="s">
        <v>772</v>
      </c>
      <c r="D13" t="s">
        <v>773</v>
      </c>
      <c r="E13" t="s">
        <v>774</v>
      </c>
      <c r="K13" t="s">
        <v>3526</v>
      </c>
      <c r="L13">
        <v>0.88</v>
      </c>
    </row>
    <row r="14" spans="1:12">
      <c r="B14" t="s">
        <v>688</v>
      </c>
      <c r="C14" s="426" t="s">
        <v>3195</v>
      </c>
      <c r="D14" s="426" t="s">
        <v>3197</v>
      </c>
      <c r="E14" s="426" t="s">
        <v>3527</v>
      </c>
      <c r="K14" s="225" t="s">
        <v>3197</v>
      </c>
      <c r="L14">
        <v>1.1499999999999999</v>
      </c>
    </row>
    <row r="15" spans="1:12">
      <c r="C15" t="s">
        <v>775</v>
      </c>
      <c r="D15" t="s">
        <v>776</v>
      </c>
      <c r="E15" t="s">
        <v>777</v>
      </c>
      <c r="K15" s="225" t="s">
        <v>3195</v>
      </c>
      <c r="L15">
        <v>1.1000000000000001</v>
      </c>
    </row>
    <row r="16" spans="1:12">
      <c r="D16" t="s">
        <v>677</v>
      </c>
      <c r="K16" s="225" t="s">
        <v>3196</v>
      </c>
      <c r="L16">
        <v>0.9</v>
      </c>
    </row>
    <row r="17" spans="1:12">
      <c r="C17" t="s">
        <v>2914</v>
      </c>
      <c r="D17" t="s">
        <v>2404</v>
      </c>
      <c r="E17" t="s">
        <v>2915</v>
      </c>
      <c r="F17" t="s">
        <v>2406</v>
      </c>
      <c r="K17" s="4" t="str">
        <f>K4</f>
        <v>T3 DSE</v>
      </c>
      <c r="L17">
        <v>0.88</v>
      </c>
    </row>
    <row r="18" spans="1:12">
      <c r="B18" t="s">
        <v>2403</v>
      </c>
      <c r="C18" s="431">
        <v>190000</v>
      </c>
      <c r="D18" s="431">
        <v>200000</v>
      </c>
      <c r="E18" s="431">
        <v>210000</v>
      </c>
      <c r="F18" s="4" t="s">
        <v>2405</v>
      </c>
      <c r="L18" t="s">
        <v>3252</v>
      </c>
    </row>
    <row r="20" spans="1:12">
      <c r="B20" t="s">
        <v>3543</v>
      </c>
      <c r="C20">
        <f>dataProd1RegTrainCost*3</f>
        <v>15000</v>
      </c>
      <c r="D20" s="225">
        <v>5000</v>
      </c>
      <c r="E20" s="225">
        <v>2500</v>
      </c>
      <c r="F20" s="225">
        <v>7500</v>
      </c>
    </row>
    <row r="21" spans="1:12">
      <c r="C21" t="s">
        <v>3545</v>
      </c>
      <c r="D21" t="s">
        <v>3544</v>
      </c>
      <c r="E21" t="s">
        <v>3797</v>
      </c>
      <c r="F21" t="s">
        <v>3798</v>
      </c>
    </row>
    <row r="22" spans="1:12" s="379" customFormat="1">
      <c r="A22" s="378" t="s">
        <v>626</v>
      </c>
    </row>
    <row r="23" spans="1:12">
      <c r="B23" t="str">
        <f>nmReg1</f>
        <v>The Region</v>
      </c>
      <c r="C23" t="s">
        <v>620</v>
      </c>
      <c r="D23" t="s">
        <v>621</v>
      </c>
      <c r="E23" t="s">
        <v>622</v>
      </c>
      <c r="F23" t="s">
        <v>623</v>
      </c>
    </row>
    <row r="25" spans="1:12">
      <c r="B25" t="s">
        <v>796</v>
      </c>
      <c r="C25" s="380">
        <f>dataReg1Seg1TotalMarket+dataReg1Seg2TotalMarket+dataReg1Seg3TotalMarket</f>
        <v>392611</v>
      </c>
      <c r="D25" s="380">
        <f>dataReg1Seg1TotalMarket+dataReg1Seg2TotalMarket+dataReg1Seg3TotalMarket</f>
        <v>392611</v>
      </c>
      <c r="E25" s="380">
        <f>dataReg1Seg1TotalMarket+dataReg1Seg2TotalMarket+dataReg1Seg3TotalMarket</f>
        <v>435147.94999999995</v>
      </c>
      <c r="F25" s="380">
        <f>dataReg1Seg1TotalMarket+dataReg1Seg2TotalMarket+dataReg1Seg3TotalMarket</f>
        <v>488063.14150000003</v>
      </c>
      <c r="G25" t="s">
        <v>843</v>
      </c>
    </row>
    <row r="26" spans="1:12">
      <c r="B26" s="4" t="s">
        <v>624</v>
      </c>
      <c r="C26" s="380">
        <f>dataReg1Seg1TotalVolume+dataReg1Seg2TotalVolume+dataReg1Seg3TotalVolume</f>
        <v>992.20320000000015</v>
      </c>
      <c r="D26" s="380">
        <f>dataReg1Seg1TotalVolume+dataReg1Seg2TotalVolume+dataReg1Seg3TotalVolume</f>
        <v>992.20319999999992</v>
      </c>
      <c r="E26" s="380">
        <f>dataReg1Seg1TotalVolume+dataReg1Seg2TotalVolume+dataReg1Seg3TotalVolume</f>
        <v>1100.783664</v>
      </c>
      <c r="F26" s="380">
        <f>dataReg1Seg1TotalVolume+dataReg1Seg2TotalVolume+dataReg1Seg3TotalVolume</f>
        <v>1235.11583952</v>
      </c>
      <c r="G26" t="s">
        <v>627</v>
      </c>
    </row>
    <row r="27" spans="1:12">
      <c r="B27" s="4" t="s">
        <v>1066</v>
      </c>
      <c r="C27" s="380">
        <f>dataReg1Seg1GrowthCust+dataReg1Seg2GrowthCust+dataReg1Seg3GrowthCust</f>
        <v>36.403199999999998</v>
      </c>
      <c r="D27" s="380">
        <f>dataReg1Seg1GrowthCust+dataReg1Seg2GrowthCust+dataReg1Seg3GrowthCust</f>
        <v>19.844064000000003</v>
      </c>
      <c r="E27" s="380">
        <f>dataReg1Seg1GrowthCust+dataReg1Seg2GrowthCust+dataReg1Seg3GrowthCust</f>
        <v>131.82552000000001</v>
      </c>
      <c r="F27" s="380">
        <f>dataReg1Seg1GrowthCust+dataReg1Seg2GrowthCust+dataReg1Seg3GrowthCust</f>
        <v>159.91889040000001</v>
      </c>
      <c r="G27" t="s">
        <v>1068</v>
      </c>
    </row>
    <row r="28" spans="1:12">
      <c r="B28" s="4" t="s">
        <v>842</v>
      </c>
      <c r="C28" s="387">
        <f>dataReg1TotalVolume/dataReg1TotalMarketVolume</f>
        <v>2.5271915458303516E-3</v>
      </c>
      <c r="D28" s="387">
        <f>dataReg1TotalVolume/dataReg1TotalMarketVolume</f>
        <v>2.5271915458303508E-3</v>
      </c>
      <c r="E28" s="387">
        <f>dataReg1TotalVolume/dataReg1TotalMarketVolume</f>
        <v>2.5296767777488096E-3</v>
      </c>
      <c r="F28" s="387">
        <f>dataReg1TotalVolume/dataReg1TotalMarketVolume</f>
        <v>2.5306476447371717E-3</v>
      </c>
      <c r="G28" t="s">
        <v>844</v>
      </c>
    </row>
    <row r="29" spans="1:12">
      <c r="B29" t="s">
        <v>625</v>
      </c>
      <c r="C29" s="381">
        <v>0</v>
      </c>
      <c r="D29" s="381">
        <f>D26/C26-1</f>
        <v>0</v>
      </c>
      <c r="E29" s="381">
        <f>E26/D26-1</f>
        <v>0.10943369664600966</v>
      </c>
      <c r="F29" s="381">
        <f>F26/E26-1</f>
        <v>0.12203322043485554</v>
      </c>
      <c r="G29" t="s">
        <v>676</v>
      </c>
    </row>
    <row r="30" spans="1:12">
      <c r="B30" s="4" t="str">
        <f>nmComp1&amp;" Total Market "</f>
        <v xml:space="preserve">Vibrant Total Market </v>
      </c>
      <c r="C30" s="387">
        <f>(dataReg1Seg1Comp1TotalVolume+dataReg1Seg2Comp1TotalVolume+dataReg1Seg3Comp1TotalVolume)/dataReg1TotalMarketVolume</f>
        <v>6.9000000000000008E-3</v>
      </c>
      <c r="D30" s="387">
        <f>(dataReg1Seg1Comp1TotalVolume+dataReg1Seg2Comp1TotalVolume+dataReg1Seg3Comp1TotalVolume)/dataReg1TotalMarketVolume</f>
        <v>6.8999999999999999E-3</v>
      </c>
      <c r="E30" s="387">
        <f>(dataReg1Seg1Comp1TotalVolume+dataReg1Seg2Comp1TotalVolume+dataReg1Seg3Comp1TotalVolume)/dataReg1TotalMarketVolume</f>
        <v>6.8999999999999999E-3</v>
      </c>
      <c r="F30" s="387">
        <f>(dataReg1Seg1Comp1TotalVolume+dataReg1Seg2Comp1TotalVolume+dataReg1Seg3Comp1TotalVolume)/dataReg1TotalMarketVolume</f>
        <v>6.8999999999999999E-3</v>
      </c>
      <c r="G30" t="s">
        <v>1053</v>
      </c>
    </row>
    <row r="31" spans="1:12">
      <c r="B31" s="4" t="str">
        <f>nmComp2&amp;" Total Market "</f>
        <v xml:space="preserve">Pristine Total Market </v>
      </c>
      <c r="C31" s="387">
        <f>(dataReg1Seg1Comp2TotalVolume+dataReg1Seg2Comp2TotalVolume+dataReg1Seg3Comp2TotalVolume)/dataReg1TotalMarketVolume</f>
        <v>1.84E-2</v>
      </c>
      <c r="D31" s="387">
        <f>(dataReg1Seg1Comp2TotalVolume+dataReg1Seg2Comp2TotalVolume+dataReg1Seg3Comp2TotalVolume)/dataReg1TotalMarketVolume</f>
        <v>1.84E-2</v>
      </c>
      <c r="E31" s="387">
        <f>(dataReg1Seg1Comp2TotalVolume+dataReg1Seg2Comp2TotalVolume+dataReg1Seg3Comp2TotalVolume)/dataReg1TotalMarketVolume</f>
        <v>1.8400000000000003E-2</v>
      </c>
      <c r="F31" s="387">
        <f>(dataReg1Seg1Comp2TotalVolume+dataReg1Seg2Comp2TotalVolume+dataReg1Seg3Comp2TotalVolume)/dataReg1TotalMarketVolume</f>
        <v>1.84E-2</v>
      </c>
      <c r="G31" t="s">
        <v>1054</v>
      </c>
    </row>
    <row r="32" spans="1:12">
      <c r="C32" s="381"/>
      <c r="D32" s="381"/>
      <c r="E32" s="381"/>
      <c r="F32" s="381"/>
    </row>
    <row r="33" spans="2:7">
      <c r="B33" s="4" t="s">
        <v>628</v>
      </c>
    </row>
    <row r="34" spans="2:7">
      <c r="B34" s="4" t="str">
        <f>nmReg1Seg1</f>
        <v>Riverrun</v>
      </c>
    </row>
    <row r="35" spans="2:7">
      <c r="B35" s="16" t="s">
        <v>806</v>
      </c>
      <c r="D35" s="433">
        <v>0.05</v>
      </c>
      <c r="E35" s="433">
        <v>0.05</v>
      </c>
      <c r="F35" s="433">
        <v>0.05</v>
      </c>
      <c r="G35" t="s">
        <v>807</v>
      </c>
    </row>
    <row r="36" spans="2:7">
      <c r="B36" t="s">
        <v>797</v>
      </c>
      <c r="C36" s="439">
        <f>dataProd1Seg1TotalPop+dataProd1Seg2TotalPop+dataProd1Seg3TotalPop</f>
        <v>120000000</v>
      </c>
      <c r="D36" s="380">
        <f>C36*(1+dataReg1Seg1PopGrowth)</f>
        <v>126000000</v>
      </c>
      <c r="E36" s="380">
        <f>D36*(1+dataReg1Seg1PopGrowth)</f>
        <v>132300000</v>
      </c>
      <c r="F36" s="380">
        <f>E36*(1+dataReg1Seg1PopGrowth)</f>
        <v>138915000</v>
      </c>
      <c r="G36" t="s">
        <v>800</v>
      </c>
    </row>
    <row r="37" spans="2:7">
      <c r="B37" t="s">
        <v>778</v>
      </c>
      <c r="C37" s="433">
        <v>0.95</v>
      </c>
      <c r="D37" s="433">
        <f>D38/C41</f>
        <v>0.97999999999999987</v>
      </c>
      <c r="E37" s="433">
        <f>E38/D41</f>
        <v>0.96949999999999992</v>
      </c>
      <c r="F37" s="433">
        <f>F38/E41</f>
        <v>0.96966729147141539</v>
      </c>
      <c r="G37" t="s">
        <v>781</v>
      </c>
    </row>
    <row r="38" spans="2:7">
      <c r="B38" t="s">
        <v>803</v>
      </c>
      <c r="C38" s="439">
        <f>dataProd1Seg1TotalRecurCust+dataProd1Seg2TotalRecurCust+dataProd1Seg3TotalRecurCust</f>
        <v>130500</v>
      </c>
      <c r="D38" s="439">
        <f>dataProd1Seg1TotalRecurCust+dataProd1Seg2TotalRecurCust+dataProd1Seg3TotalRecurCust</f>
        <v>132260.79999999999</v>
      </c>
      <c r="E38" s="439">
        <f>dataProd1Seg1TotalRecurCust+dataProd1Seg2TotalRecurCust+dataProd1Seg3TotalRecurCust</f>
        <v>130843.71999999999</v>
      </c>
      <c r="F38" s="439">
        <f>dataProd1Seg1TotalRecurCust+dataProd1Seg2TotalRecurCust+dataProd1Seg3TotalRecurCust</f>
        <v>139634.33960000001</v>
      </c>
      <c r="G38" t="s">
        <v>805</v>
      </c>
    </row>
    <row r="39" spans="2:7">
      <c r="B39" t="s">
        <v>801</v>
      </c>
      <c r="C39" s="435"/>
      <c r="D39" s="436">
        <f>D40/C41</f>
        <v>0.02</v>
      </c>
      <c r="E39" s="436">
        <f>E40/D41</f>
        <v>9.7500000000000003E-2</v>
      </c>
      <c r="F39" s="436">
        <f>F40/E41</f>
        <v>0.13495782567947517</v>
      </c>
      <c r="G39" t="s">
        <v>802</v>
      </c>
    </row>
    <row r="40" spans="2:7">
      <c r="B40" t="s">
        <v>804</v>
      </c>
      <c r="C40" s="437">
        <f>dataProd1Seg1TotalNewCust+dataProd1Seg2TotalNewCust+dataProd1Seg3TotalNewCust</f>
        <v>4460</v>
      </c>
      <c r="D40" s="437">
        <f>dataProd1Seg1TotalNewCust+dataProd1Seg2TotalNewCust+dataProd1Seg3TotalNewCust</f>
        <v>2699.2000000000003</v>
      </c>
      <c r="E40" s="437">
        <f>dataProd1Seg1TotalNewCust+dataProd1Seg2TotalNewCust+dataProd1Seg3TotalNewCust</f>
        <v>13158.6</v>
      </c>
      <c r="F40" s="437">
        <f>dataProd1Seg1TotalNewCust+dataProd1Seg2TotalNewCust+dataProd1Seg3TotalNewCust</f>
        <v>19434.239999999998</v>
      </c>
      <c r="G40" t="s">
        <v>846</v>
      </c>
    </row>
    <row r="41" spans="2:7">
      <c r="B41" t="s">
        <v>796</v>
      </c>
      <c r="C41" s="380">
        <f>dataProd1Seg1TotalMarket+dataProd1Seg2TotalMarket+dataProd1Seg3TotalMarket</f>
        <v>134960</v>
      </c>
      <c r="D41" s="380">
        <f>dataProd1Seg1TotalMarket+dataProd1Seg2TotalMarket+dataProd1Seg3TotalMarket</f>
        <v>134960</v>
      </c>
      <c r="E41" s="380">
        <f>dataProd1Seg1TotalMarket+dataProd1Seg2TotalMarket+dataProd1Seg3TotalMarket</f>
        <v>144002.31999999998</v>
      </c>
      <c r="F41" s="380">
        <f>dataProd1Seg1TotalMarket+dataProd1Seg2TotalMarket+dataProd1Seg3TotalMarket</f>
        <v>159068.5796</v>
      </c>
      <c r="G41" t="s">
        <v>799</v>
      </c>
    </row>
    <row r="42" spans="2:7">
      <c r="B42" t="s">
        <v>201</v>
      </c>
      <c r="C42" s="441">
        <f>(dataProd1Seg1TotalVolume+dataProd1Seg2TotalVolume+dataProd1Seg3TotalVolume)/dataReg1Seg1TotalMarket</f>
        <v>2.3999999999999998E-3</v>
      </c>
      <c r="D42" s="441">
        <f>(dataProd1Seg1TotalVolume+dataProd1Seg2TotalVolume+dataProd1Seg3TotalVolume)/dataReg1Seg1TotalMarket</f>
        <v>2.3999999999999998E-3</v>
      </c>
      <c r="E42" s="441">
        <f>(dataProd1Seg1TotalVolume+dataProd1Seg2TotalVolume+dataProd1Seg3TotalVolume)/dataReg1Seg1TotalMarket</f>
        <v>2.4000000000000002E-3</v>
      </c>
      <c r="F42" s="441">
        <f>(dataProd1Seg1TotalVolume+dataProd1Seg2TotalVolume+dataProd1Seg3TotalVolume)/dataReg1Seg1TotalMarket</f>
        <v>2.3999999999999998E-3</v>
      </c>
      <c r="G42" s="434" t="s">
        <v>798</v>
      </c>
    </row>
    <row r="43" spans="2:7">
      <c r="B43" t="str">
        <f>nmComp1&amp;" Market Share"</f>
        <v>Vibrant Market Share</v>
      </c>
      <c r="C43" s="525">
        <v>6.8999999999999999E-3</v>
      </c>
      <c r="D43" s="525">
        <v>6.8999999999999999E-3</v>
      </c>
      <c r="E43" s="525">
        <v>6.8999999999999999E-3</v>
      </c>
      <c r="F43" s="525">
        <v>6.8999999999999999E-3</v>
      </c>
      <c r="G43" s="434" t="s">
        <v>959</v>
      </c>
    </row>
    <row r="44" spans="2:7">
      <c r="B44" t="str">
        <f>nmComp2&amp;" Market Share"</f>
        <v>Pristine Market Share</v>
      </c>
      <c r="C44" s="525">
        <v>1.84E-2</v>
      </c>
      <c r="D44" s="525">
        <v>1.84E-2</v>
      </c>
      <c r="E44" s="525">
        <v>1.84E-2</v>
      </c>
      <c r="F44" s="525">
        <v>1.84E-2</v>
      </c>
      <c r="G44" s="434" t="s">
        <v>960</v>
      </c>
    </row>
    <row r="46" spans="2:7">
      <c r="B46" s="4" t="str">
        <f>nmReg1Seg2</f>
        <v>Winterfell</v>
      </c>
    </row>
    <row r="47" spans="2:7">
      <c r="B47" s="16" t="s">
        <v>806</v>
      </c>
      <c r="D47" s="382">
        <v>0.05</v>
      </c>
      <c r="E47" s="382">
        <v>0.05</v>
      </c>
      <c r="F47" s="382">
        <v>0.05</v>
      </c>
      <c r="G47" t="s">
        <v>808</v>
      </c>
    </row>
    <row r="48" spans="2:7">
      <c r="B48" t="s">
        <v>797</v>
      </c>
      <c r="C48" s="431">
        <v>120000000</v>
      </c>
      <c r="D48" s="380">
        <f>C48*(1+dataReg1Seg2PopGrowth)</f>
        <v>126000000</v>
      </c>
      <c r="E48" s="380">
        <f>D48*(1+dataReg1Seg2PopGrowth)</f>
        <v>132300000</v>
      </c>
      <c r="F48" s="380">
        <f>E48*(1+dataReg1Seg2PopGrowth)</f>
        <v>138915000</v>
      </c>
      <c r="G48" t="s">
        <v>809</v>
      </c>
    </row>
    <row r="49" spans="2:7">
      <c r="B49" t="s">
        <v>778</v>
      </c>
      <c r="C49" s="382">
        <v>0.95</v>
      </c>
      <c r="D49" s="382">
        <v>0.98</v>
      </c>
      <c r="E49" s="382">
        <v>0.98</v>
      </c>
      <c r="F49" s="382">
        <v>0.98</v>
      </c>
      <c r="G49" t="s">
        <v>783</v>
      </c>
    </row>
    <row r="50" spans="2:7">
      <c r="B50" t="s">
        <v>803</v>
      </c>
      <c r="C50" s="431">
        <v>97000</v>
      </c>
      <c r="D50" s="380">
        <f>C53*dataReg1Seg2RecurRate</f>
        <v>99437.66</v>
      </c>
      <c r="E50" s="380">
        <f>D53*dataReg1Seg2RecurRate</f>
        <v>99437.66</v>
      </c>
      <c r="F50" s="380">
        <f>E53*dataReg1Seg2RecurRate</f>
        <v>112364.5558</v>
      </c>
      <c r="G50" t="s">
        <v>810</v>
      </c>
    </row>
    <row r="51" spans="2:7">
      <c r="B51" t="s">
        <v>801</v>
      </c>
      <c r="C51" s="435"/>
      <c r="D51" s="432">
        <v>0.02</v>
      </c>
      <c r="E51" s="432">
        <v>0.15</v>
      </c>
      <c r="F51" s="432">
        <v>0.15</v>
      </c>
      <c r="G51" t="s">
        <v>811</v>
      </c>
    </row>
    <row r="52" spans="2:7">
      <c r="B52" t="s">
        <v>804</v>
      </c>
      <c r="C52" s="438">
        <v>4467</v>
      </c>
      <c r="D52" s="437">
        <f>C53*dataReg1Seg2NewCustGrowth</f>
        <v>2029.3400000000001</v>
      </c>
      <c r="E52" s="437">
        <f>D53*dataReg1Seg2NewCustGrowth</f>
        <v>15220.05</v>
      </c>
      <c r="F52" s="437">
        <f>E53*dataReg1Seg2NewCustGrowth</f>
        <v>17198.656500000001</v>
      </c>
      <c r="G52" t="s">
        <v>845</v>
      </c>
    </row>
    <row r="53" spans="2:7">
      <c r="B53" t="s">
        <v>796</v>
      </c>
      <c r="C53" s="380">
        <f>C50+C52</f>
        <v>101467</v>
      </c>
      <c r="D53" s="380">
        <f>dataReg1Seg2TotalRecurCust+dataReg1Seg2TotalNewCust</f>
        <v>101467</v>
      </c>
      <c r="E53" s="380">
        <f>dataReg1Seg2TotalRecurCust+dataReg1Seg2TotalNewCust</f>
        <v>114657.71</v>
      </c>
      <c r="F53" s="380">
        <f>dataReg1Seg2TotalRecurCust+dataReg1Seg2TotalNewCust</f>
        <v>129563.2123</v>
      </c>
      <c r="G53" t="s">
        <v>812</v>
      </c>
    </row>
    <row r="54" spans="2:7">
      <c r="B54" t="s">
        <v>201</v>
      </c>
      <c r="C54" s="440">
        <v>3.2000000000000002E-3</v>
      </c>
      <c r="D54" s="440">
        <v>3.2000000000000002E-3</v>
      </c>
      <c r="E54" s="440">
        <v>3.2000000000000002E-3</v>
      </c>
      <c r="F54" s="440">
        <v>3.2000000000000002E-3</v>
      </c>
      <c r="G54" s="434" t="s">
        <v>813</v>
      </c>
    </row>
    <row r="55" spans="2:7">
      <c r="B55" t="str">
        <f>nmComp1&amp;" Market Share"</f>
        <v>Vibrant Market Share</v>
      </c>
      <c r="C55" s="525">
        <v>6.8999999999999999E-3</v>
      </c>
      <c r="D55" s="525">
        <v>6.8999999999999999E-3</v>
      </c>
      <c r="E55" s="525">
        <v>6.8999999999999999E-3</v>
      </c>
      <c r="F55" s="525">
        <v>6.8999999999999999E-3</v>
      </c>
      <c r="G55" s="434" t="s">
        <v>1025</v>
      </c>
    </row>
    <row r="56" spans="2:7">
      <c r="B56" t="str">
        <f>nmComp2&amp;" Market Share"</f>
        <v>Pristine Market Share</v>
      </c>
      <c r="C56" s="525">
        <v>1.84E-2</v>
      </c>
      <c r="D56" s="525">
        <v>1.84E-2</v>
      </c>
      <c r="E56" s="525">
        <v>1.84E-2</v>
      </c>
      <c r="F56" s="525">
        <v>1.84E-2</v>
      </c>
      <c r="G56" s="434" t="s">
        <v>1026</v>
      </c>
    </row>
    <row r="58" spans="2:7">
      <c r="B58" s="4" t="str">
        <f>nmReg1Seg3</f>
        <v>Harrenhal</v>
      </c>
    </row>
    <row r="59" spans="2:7">
      <c r="B59" s="16" t="s">
        <v>806</v>
      </c>
      <c r="D59" s="382">
        <v>0.05</v>
      </c>
      <c r="E59" s="382">
        <v>0.05</v>
      </c>
      <c r="F59" s="382">
        <v>0.05</v>
      </c>
      <c r="G59" t="s">
        <v>814</v>
      </c>
    </row>
    <row r="60" spans="2:7">
      <c r="B60" t="s">
        <v>797</v>
      </c>
      <c r="C60" s="431">
        <v>120000000</v>
      </c>
      <c r="D60" s="380">
        <f>C60*(1+dataReg1Seg3PopGrowth)</f>
        <v>126000000</v>
      </c>
      <c r="E60" s="380">
        <f>D60*(1+dataReg1Seg3PopGrowth)</f>
        <v>132300000</v>
      </c>
      <c r="F60" s="380">
        <f>E60*(1+dataReg1Seg3PopGrowth)</f>
        <v>138915000</v>
      </c>
      <c r="G60" t="s">
        <v>815</v>
      </c>
    </row>
    <row r="61" spans="2:7">
      <c r="B61" t="s">
        <v>778</v>
      </c>
      <c r="C61" s="382">
        <v>0.95</v>
      </c>
      <c r="D61" s="382">
        <v>0.98</v>
      </c>
      <c r="E61" s="382">
        <v>0.98</v>
      </c>
      <c r="F61" s="382">
        <v>0.98</v>
      </c>
      <c r="G61" t="s">
        <v>785</v>
      </c>
    </row>
    <row r="62" spans="2:7">
      <c r="B62" t="s">
        <v>803</v>
      </c>
      <c r="C62" s="431">
        <v>151000</v>
      </c>
      <c r="D62" s="380">
        <f>C65*dataReg1Seg3RecurRate</f>
        <v>153060.32</v>
      </c>
      <c r="E62" s="380">
        <f>D65*dataReg1Seg3RecurRate</f>
        <v>153060.32</v>
      </c>
      <c r="F62" s="380">
        <f>E65*dataReg1Seg3RecurRate</f>
        <v>172958.16160000002</v>
      </c>
      <c r="G62" t="s">
        <v>816</v>
      </c>
    </row>
    <row r="63" spans="2:7">
      <c r="B63" t="s">
        <v>801</v>
      </c>
      <c r="C63" s="435"/>
      <c r="D63" s="432">
        <v>0.02</v>
      </c>
      <c r="E63" s="432">
        <v>0.15</v>
      </c>
      <c r="F63" s="432">
        <v>0.15</v>
      </c>
      <c r="G63" t="s">
        <v>817</v>
      </c>
    </row>
    <row r="64" spans="2:7">
      <c r="B64" t="s">
        <v>804</v>
      </c>
      <c r="C64" s="438">
        <v>5184</v>
      </c>
      <c r="D64" s="437">
        <f>C65*dataReg1Seg3NewCustGrowth</f>
        <v>3123.6800000000003</v>
      </c>
      <c r="E64" s="437">
        <f>D65*dataReg1Seg3NewCustGrowth</f>
        <v>23427.599999999999</v>
      </c>
      <c r="F64" s="437">
        <f>E65*dataReg1Seg3NewCustGrowth</f>
        <v>26473.188000000002</v>
      </c>
      <c r="G64" t="s">
        <v>847</v>
      </c>
    </row>
    <row r="65" spans="2:7">
      <c r="B65" t="s">
        <v>796</v>
      </c>
      <c r="C65" s="380">
        <f>dataReg1Seg3TotalRecurCust+dataReg1Seg3TotalNewCust</f>
        <v>156184</v>
      </c>
      <c r="D65" s="380">
        <f>dataReg1Seg3TotalRecurCust+dataReg1Seg3TotalNewCust</f>
        <v>156184</v>
      </c>
      <c r="E65" s="380">
        <f>dataReg1Seg3TotalRecurCust+dataReg1Seg3TotalNewCust</f>
        <v>176487.92</v>
      </c>
      <c r="F65" s="380">
        <f>dataReg1Seg3TotalRecurCust+dataReg1Seg3TotalNewCust</f>
        <v>199431.34960000002</v>
      </c>
      <c r="G65" t="s">
        <v>818</v>
      </c>
    </row>
    <row r="66" spans="2:7">
      <c r="B66" t="s">
        <v>201</v>
      </c>
      <c r="C66" s="440">
        <v>2.2000000000000001E-3</v>
      </c>
      <c r="D66" s="440">
        <v>2.2000000000000001E-3</v>
      </c>
      <c r="E66" s="440">
        <v>2.2000000000000001E-3</v>
      </c>
      <c r="F66" s="440">
        <v>2.2000000000000001E-3</v>
      </c>
      <c r="G66" s="434" t="s">
        <v>819</v>
      </c>
    </row>
    <row r="67" spans="2:7">
      <c r="B67" t="str">
        <f>nmComp1&amp;" Market Share"</f>
        <v>Vibrant Market Share</v>
      </c>
      <c r="C67" s="525">
        <v>6.8999999999999999E-3</v>
      </c>
      <c r="D67" s="525">
        <v>6.8999999999999999E-3</v>
      </c>
      <c r="E67" s="525">
        <v>6.8999999999999999E-3</v>
      </c>
      <c r="F67" s="525">
        <v>6.8999999999999999E-3</v>
      </c>
      <c r="G67" s="434" t="s">
        <v>1027</v>
      </c>
    </row>
    <row r="68" spans="2:7">
      <c r="B68" t="str">
        <f>nmComp2&amp;" Market Share"</f>
        <v>Pristine Market Share</v>
      </c>
      <c r="C68" s="525">
        <v>1.84E-2</v>
      </c>
      <c r="D68" s="525">
        <v>1.84E-2</v>
      </c>
      <c r="E68" s="525">
        <v>1.84E-2</v>
      </c>
      <c r="F68" s="525">
        <v>1.84E-2</v>
      </c>
      <c r="G68" s="434" t="s">
        <v>1028</v>
      </c>
    </row>
    <row r="71" spans="2:7">
      <c r="B71" s="376" t="str">
        <f>nmReg1Seg1</f>
        <v>Riverrun</v>
      </c>
      <c r="C71" s="377"/>
      <c r="D71" s="377"/>
      <c r="E71" s="377"/>
      <c r="F71" s="377"/>
    </row>
    <row r="72" spans="2:7">
      <c r="B72" t="s">
        <v>779</v>
      </c>
      <c r="C72" s="380">
        <f>dataReg1Seg1TotalRecurCust*dataReg1Seg1TotalShare</f>
        <v>313.2</v>
      </c>
      <c r="D72" s="380">
        <f>dataReg1Seg1TotalRecurCust*dataReg1Seg1TotalShare</f>
        <v>317.42591999999996</v>
      </c>
      <c r="E72" s="380">
        <f>dataReg1Seg1TotalRecurCust*dataReg1Seg1TotalShare</f>
        <v>314.02492799999999</v>
      </c>
      <c r="F72" s="380">
        <f>dataReg1Seg1TotalRecurCust*dataReg1Seg1TotalShare</f>
        <v>335.12241503999996</v>
      </c>
      <c r="G72" t="s">
        <v>793</v>
      </c>
    </row>
    <row r="73" spans="2:7">
      <c r="B73" t="s">
        <v>780</v>
      </c>
      <c r="C73" s="380">
        <f>dataReg1Seg1TotalNewCust*dataReg1Seg1TotalShare</f>
        <v>10.703999999999999</v>
      </c>
      <c r="D73" s="380">
        <f>dataReg1Seg1TotalNewCust*dataReg1Seg1TotalShare</f>
        <v>6.4780800000000003</v>
      </c>
      <c r="E73" s="380">
        <f>dataReg1Seg1TotalNewCust*dataReg1Seg1TotalShare</f>
        <v>31.580640000000002</v>
      </c>
      <c r="F73" s="380">
        <f>dataReg1Seg1TotalNewCust*dataReg1Seg1TotalShare</f>
        <v>46.642175999999992</v>
      </c>
      <c r="G73" t="s">
        <v>782</v>
      </c>
    </row>
    <row r="74" spans="2:7">
      <c r="B74" t="s">
        <v>13</v>
      </c>
      <c r="C74" s="380">
        <f>dataReg1Seg1RecurCust+dataReg1Seg1GrowthCust</f>
        <v>323.904</v>
      </c>
      <c r="D74" s="380">
        <f>dataReg1Seg1RecurCust+dataReg1Seg1GrowthCust</f>
        <v>323.90399999999994</v>
      </c>
      <c r="E74" s="380">
        <f>dataReg1Seg1RecurCust+dataReg1Seg1GrowthCust</f>
        <v>345.60556800000001</v>
      </c>
      <c r="F74" s="380">
        <f>dataReg1Seg1RecurCust+dataReg1Seg1GrowthCust</f>
        <v>381.76459103999997</v>
      </c>
      <c r="G74" t="s">
        <v>629</v>
      </c>
    </row>
    <row r="75" spans="2:7">
      <c r="C75" s="380"/>
      <c r="D75" s="387"/>
      <c r="E75" s="387"/>
      <c r="F75" s="387"/>
    </row>
    <row r="76" spans="2:7">
      <c r="B76" s="4" t="s">
        <v>631</v>
      </c>
      <c r="C76" s="380"/>
      <c r="D76" s="380"/>
      <c r="E76" s="380"/>
      <c r="F76" s="380"/>
    </row>
    <row r="77" spans="2:7">
      <c r="B77" t="str">
        <f>nmPayer1</f>
        <v>Blue Sword/Blue Shield</v>
      </c>
      <c r="C77" s="382">
        <v>0.45</v>
      </c>
      <c r="D77" s="382">
        <v>0.45</v>
      </c>
      <c r="E77" s="382">
        <v>0.45</v>
      </c>
      <c r="F77" s="382">
        <v>0.45</v>
      </c>
      <c r="G77" t="s">
        <v>630</v>
      </c>
    </row>
    <row r="78" spans="2:7">
      <c r="B78" t="str">
        <f>nmPayer2</f>
        <v>WesterAid</v>
      </c>
      <c r="C78" s="382">
        <v>0</v>
      </c>
      <c r="D78" s="382">
        <v>0</v>
      </c>
      <c r="E78" s="382">
        <v>0.2</v>
      </c>
      <c r="F78" s="382">
        <v>0.4</v>
      </c>
      <c r="G78" t="s">
        <v>632</v>
      </c>
    </row>
    <row r="79" spans="2:7">
      <c r="B79" t="str">
        <f>nmPayer3</f>
        <v>Dragon Health</v>
      </c>
      <c r="C79" s="381">
        <f>1-SUM(C77:C78)</f>
        <v>0.55000000000000004</v>
      </c>
      <c r="D79" s="381">
        <f>1-SUM(D77:D78)</f>
        <v>0.55000000000000004</v>
      </c>
      <c r="E79" s="381">
        <f>1-SUM(E77:E78)</f>
        <v>0.35</v>
      </c>
      <c r="F79" s="381">
        <f>1-SUM(F77:F78)</f>
        <v>0.14999999999999991</v>
      </c>
      <c r="G79" t="s">
        <v>633</v>
      </c>
    </row>
    <row r="81" spans="2:7">
      <c r="B81" s="4" t="s">
        <v>634</v>
      </c>
    </row>
    <row r="82" spans="2:7">
      <c r="B82" t="str">
        <f>nmPayer1</f>
        <v>Blue Sword/Blue Shield</v>
      </c>
      <c r="C82" s="380">
        <f>dataReg1Seg1TotalVolume*dataReg1Seg1Payer1Percentage</f>
        <v>145.7568</v>
      </c>
      <c r="D82" s="380">
        <f>dataReg1Seg1TotalVolume*dataReg1Seg1Payer1Percentage</f>
        <v>145.75679999999997</v>
      </c>
      <c r="E82" s="380">
        <f>dataReg1Seg1TotalVolume*dataReg1Seg1Payer1Percentage</f>
        <v>155.52250560000002</v>
      </c>
      <c r="F82" s="380">
        <f>dataReg1Seg1TotalVolume*dataReg1Seg1Payer1Percentage</f>
        <v>171.79406596799998</v>
      </c>
      <c r="G82" t="s">
        <v>635</v>
      </c>
    </row>
    <row r="83" spans="2:7">
      <c r="B83" t="str">
        <f>nmPayer2</f>
        <v>WesterAid</v>
      </c>
      <c r="C83" s="380">
        <f>dataReg1Seg1TotalVolume*dataReg1Seg1Payer2Percentage</f>
        <v>0</v>
      </c>
      <c r="D83" s="380">
        <f>dataReg1Seg1TotalVolume*dataReg1Seg1Payer2Percentage</f>
        <v>0</v>
      </c>
      <c r="E83" s="380">
        <f>dataReg1Seg1TotalVolume*dataReg1Seg1Payer2Percentage</f>
        <v>69.121113600000001</v>
      </c>
      <c r="F83" s="380">
        <f>dataReg1Seg1TotalVolume*dataReg1Seg1Payer2Percentage</f>
        <v>152.70583641599998</v>
      </c>
      <c r="G83" t="s">
        <v>636</v>
      </c>
    </row>
    <row r="84" spans="2:7">
      <c r="B84" t="str">
        <f>nmPayer3</f>
        <v>Dragon Health</v>
      </c>
      <c r="C84" s="380">
        <f>dataReg1Seg1TotalVolume*dataReg1Seg1Payer3Percentage</f>
        <v>178.14720000000003</v>
      </c>
      <c r="D84" s="380">
        <f>dataReg1Seg1TotalVolume*dataReg1Seg1Payer3Percentage</f>
        <v>178.14719999999997</v>
      </c>
      <c r="E84" s="380">
        <f>dataReg1Seg1TotalVolume*dataReg1Seg1Payer3Percentage</f>
        <v>120.96194879999999</v>
      </c>
      <c r="F84" s="380">
        <f>dataReg1Seg1TotalVolume*dataReg1Seg1Payer3Percentage</f>
        <v>57.264688655999961</v>
      </c>
      <c r="G84" t="s">
        <v>637</v>
      </c>
    </row>
    <row r="86" spans="2:7">
      <c r="B86" s="4" t="s">
        <v>1493</v>
      </c>
    </row>
    <row r="87" spans="2:7">
      <c r="B87" t="str">
        <f>nmPayer1</f>
        <v>Blue Sword/Blue Shield</v>
      </c>
      <c r="C87" s="380">
        <f>dataProd1Seg1Payer1RecurCust+dataProd1Seg2Payer1RecurCust+dataProd1Seg3Payer1RecurCust</f>
        <v>91350</v>
      </c>
      <c r="D87" s="380">
        <f>dataProd1Seg1Payer1RecurCust+dataProd1Seg2Payer1RecurCust+dataProd1Seg3Payer1RecurCust</f>
        <v>92582.56</v>
      </c>
      <c r="E87" s="380">
        <f>dataProd1Seg1Payer1RecurCust+dataProd1Seg2Payer1RecurCust+dataProd1Seg3Payer1RecurCust</f>
        <v>78912.461599999995</v>
      </c>
      <c r="F87" s="380">
        <f>dataProd1Seg1Payer1RecurCust+dataProd1Seg2Payer1RecurCust+dataProd1Seg3Payer1RecurCust</f>
        <v>82606.78916</v>
      </c>
      <c r="G87" t="s">
        <v>1524</v>
      </c>
    </row>
    <row r="88" spans="2:7">
      <c r="B88" t="str">
        <f>nmPayer2</f>
        <v>WesterAid</v>
      </c>
      <c r="C88" s="380">
        <f>dataProd1Seg1Payer2RecurCust+dataProd1Seg2Payer2RecurCust+dataProd1Seg3Payer2RecurCust</f>
        <v>0</v>
      </c>
      <c r="D88" s="380">
        <f>dataProd1Seg1Payer2RecurCust+dataProd1Seg2Payer2RecurCust+dataProd1Seg3Payer2RecurCust</f>
        <v>0</v>
      </c>
      <c r="E88" s="380">
        <f>dataProd1Seg1Payer2RecurCust+dataProd1Seg2Payer2RecurCust+dataProd1Seg3Payer2RecurCust</f>
        <v>13863.766</v>
      </c>
      <c r="F88" s="380">
        <f>dataProd1Seg1Payer2RecurCust+dataProd1Seg2Payer2RecurCust+dataProd1Seg3Payer2RecurCust</f>
        <v>17493.144059999999</v>
      </c>
      <c r="G88" t="s">
        <v>1525</v>
      </c>
    </row>
    <row r="89" spans="2:7">
      <c r="B89" t="str">
        <f>nmPayer3</f>
        <v>Dragon Health</v>
      </c>
      <c r="C89" s="380">
        <f>dataProd1Seg1Payer3RecurCust+dataProd1Seg2Payer3RecurCust+dataProd1Seg3Payer3RecurCust</f>
        <v>39150.000000000007</v>
      </c>
      <c r="D89" s="380">
        <f>dataProd1Seg1Payer3RecurCust+dataProd1Seg2Payer3RecurCust+dataProd1Seg3Payer3RecurCust</f>
        <v>39678.240000000005</v>
      </c>
      <c r="E89" s="380">
        <f>dataProd1Seg1Payer3RecurCust+dataProd1Seg2Payer3RecurCust+dataProd1Seg3Payer3RecurCust</f>
        <v>38067.492400000003</v>
      </c>
      <c r="F89" s="380">
        <f>dataProd1Seg1Payer3RecurCust+dataProd1Seg2Payer3RecurCust+dataProd1Seg3Payer3RecurCust</f>
        <v>39534.40638</v>
      </c>
      <c r="G89" t="s">
        <v>1526</v>
      </c>
    </row>
    <row r="90" spans="2:7">
      <c r="B90" s="4" t="s">
        <v>1492</v>
      </c>
      <c r="C90" s="380"/>
      <c r="D90" s="380"/>
      <c r="E90" s="380"/>
      <c r="F90" s="380"/>
    </row>
    <row r="91" spans="2:7">
      <c r="B91" t="str">
        <f>nmPayer1</f>
        <v>Blue Sword/Blue Shield</v>
      </c>
      <c r="C91" s="380">
        <f>dataProd1Seg1Payer1GrowthCust+dataProd1Seg2Payer1GrowthCust+dataProd1Seg3Payer1GrowthCust</f>
        <v>3122</v>
      </c>
      <c r="D91" s="380">
        <f>dataProd1Seg1Payer1GrowthCust+dataProd1Seg2Payer1GrowthCust+dataProd1Seg3Payer1GrowthCust</f>
        <v>1889.44</v>
      </c>
      <c r="E91" s="380">
        <f>dataProd1Seg1Payer1GrowthCust+dataProd1Seg2Payer1GrowthCust+dataProd1Seg3Payer1GrowthCust</f>
        <v>7888.4120000000003</v>
      </c>
      <c r="F91" s="380">
        <f>dataProd1Seg1Payer1GrowthCust+dataProd1Seg2Payer1GrowthCust+dataProd1Seg3Payer1GrowthCust</f>
        <v>11241.493199999999</v>
      </c>
      <c r="G91" t="s">
        <v>1527</v>
      </c>
    </row>
    <row r="92" spans="2:7">
      <c r="B92" t="str">
        <f>nmPayer2</f>
        <v>WesterAid</v>
      </c>
      <c r="C92" s="380">
        <f>dataProd1Seg1Payer2GrowthCust+dataProd1Seg2Payer2GrowthCust+dataProd1Seg3Payer2GrowthCust</f>
        <v>0</v>
      </c>
      <c r="D92" s="380">
        <f>dataProd1Seg1Payer2GrowthCust+dataProd1Seg2Payer2GrowthCust+dataProd1Seg3Payer2GrowthCust</f>
        <v>0</v>
      </c>
      <c r="E92" s="380">
        <f>dataProd1Seg1Payer2GrowthCust+dataProd1Seg2Payer2GrowthCust+dataProd1Seg3Payer2GrowthCust</f>
        <v>1450.8200000000002</v>
      </c>
      <c r="F92" s="380">
        <f>dataProd1Seg1Payer2GrowthCust+dataProd1Seg2Payer2GrowthCust+dataProd1Seg3Payer2GrowthCust</f>
        <v>2734.4582999999998</v>
      </c>
      <c r="G92" t="s">
        <v>1528</v>
      </c>
    </row>
    <row r="93" spans="2:7">
      <c r="B93" t="str">
        <f>nmPayer3</f>
        <v>Dragon Health</v>
      </c>
      <c r="C93" s="380">
        <f>dataProd1Seg1Payer3GrowthCust+dataProd1Seg2Payer3GrowthCust+dataProd1Seg3Payer3GrowthCust</f>
        <v>1338.0000000000002</v>
      </c>
      <c r="D93" s="380">
        <f>dataProd1Seg1Payer3GrowthCust+dataProd1Seg2Payer3GrowthCust+dataProd1Seg3Payer3GrowthCust</f>
        <v>809.76000000000022</v>
      </c>
      <c r="E93" s="380">
        <f>dataProd1Seg1Payer3GrowthCust+dataProd1Seg2Payer3GrowthCust+dataProd1Seg3Payer3GrowthCust</f>
        <v>3819.3679999999999</v>
      </c>
      <c r="F93" s="380">
        <f>dataProd1Seg1Payer3GrowthCust+dataProd1Seg2Payer3GrowthCust+dataProd1Seg3Payer3GrowthCust</f>
        <v>5458.2884999999997</v>
      </c>
      <c r="G93" t="s">
        <v>1529</v>
      </c>
    </row>
    <row r="94" spans="2:7">
      <c r="C94" s="380"/>
      <c r="D94" s="380"/>
      <c r="E94" s="380"/>
      <c r="F94" s="380"/>
    </row>
    <row r="95" spans="2:7">
      <c r="B95" s="4" t="s">
        <v>703</v>
      </c>
    </row>
    <row r="96" spans="2:7">
      <c r="B96" s="4" t="str">
        <f>nmPayer1</f>
        <v>Blue Sword/Blue Shield</v>
      </c>
    </row>
    <row r="97" spans="2:7">
      <c r="B97" t="s">
        <v>684</v>
      </c>
      <c r="C97" s="390">
        <f>dataReg1Seg1Payer1Volume*dataTherapy1ListPrice*INDEX(dataTierImpact,,MATCH(dataTierStatusPayer1,$C$5:$G$5,0))</f>
        <v>174908.16000000003</v>
      </c>
      <c r="D97" s="390">
        <f>dataReg1Seg1Payer1Volume*dataTherapy1ListPrice*INDEX(dataTierImpact,,MATCH(dataTierStatusPayer1,$C$5:$G$5,0))</f>
        <v>174908.15999999997</v>
      </c>
      <c r="E97" s="390">
        <f>dataReg1Seg1Payer1Volume*dataTherapy1ListPrice*INDEX(dataTierImpact,,MATCH(dataTierStatusPayer1,$C$5:$G$5,0))</f>
        <v>186627.00672000003</v>
      </c>
      <c r="F97" s="390">
        <f>dataReg1Seg1Payer1Volume*dataTherapy1ListPrice*INDEX(dataTierImpact,,MATCH(dataTierStatusPayer1,$C$5:$G$5,0))</f>
        <v>206152.87916159999</v>
      </c>
      <c r="G97" t="s">
        <v>685</v>
      </c>
    </row>
    <row r="98" spans="2:7">
      <c r="B98" t="s">
        <v>686</v>
      </c>
      <c r="C98" s="390">
        <f>dataReg1Seg1Payer1Volume*dataTherapy1ListPrice*dataTherapy1Payer1Rebate</f>
        <v>131181.12</v>
      </c>
      <c r="D98" s="390">
        <f>dataReg1Seg1Payer1Volume*dataTherapy1ListPrice*dataTherapy1Payer1Rebate</f>
        <v>131181.11999999997</v>
      </c>
      <c r="E98" s="390">
        <f>dataReg1Seg1Payer1Volume*dataTherapy1ListPrice*dataTherapy1Payer1Rebate</f>
        <v>139970.25504000002</v>
      </c>
      <c r="F98" s="390">
        <f>dataReg1Seg1Payer1Volume*dataTherapy1ListPrice*dataTherapy1Payer1Rebate</f>
        <v>154614.65937119999</v>
      </c>
      <c r="G98" t="s">
        <v>687</v>
      </c>
    </row>
    <row r="99" spans="2:7">
      <c r="B99" t="s">
        <v>695</v>
      </c>
      <c r="C99" s="390">
        <f>dataReg1Seg1Payer1GrossRevenue-dataReg1Seg1Payer1Reimbursement</f>
        <v>43727.040000000037</v>
      </c>
      <c r="D99" s="390">
        <f>dataReg1Seg1Payer1GrossRevenue-dataReg1Seg1Payer1Reimbursement</f>
        <v>43727.040000000008</v>
      </c>
      <c r="E99" s="390">
        <f>dataReg1Seg1Payer1GrossRevenue-dataReg1Seg1Payer1Reimbursement</f>
        <v>46656.751680000016</v>
      </c>
      <c r="F99" s="390">
        <f>dataReg1Seg1Payer1GrossRevenue-dataReg1Seg1Payer1Reimbursement</f>
        <v>51538.219790400006</v>
      </c>
      <c r="G99" t="s">
        <v>696</v>
      </c>
    </row>
    <row r="100" spans="2:7">
      <c r="B100" s="4" t="str">
        <f>nmPayer2</f>
        <v>WesterAid</v>
      </c>
    </row>
    <row r="101" spans="2:7">
      <c r="B101" t="s">
        <v>684</v>
      </c>
      <c r="C101" s="390">
        <f>dataReg1Seg1Payer2Volume*dataTherapy1ListPrice*INDEX(dataTierImpact,,MATCH(dataTierStatusPayer2,$C$5:$G$5,0))</f>
        <v>0</v>
      </c>
      <c r="D101" s="390">
        <f>dataReg1Seg1Payer2Volume*dataTherapy1ListPrice*INDEX(dataTierImpact,,MATCH(dataTierStatusPayer2,$C$5:$G$5,0))</f>
        <v>0</v>
      </c>
      <c r="E101" s="390">
        <f>dataReg1Seg1Payer2Volume*dataTherapy1ListPrice*INDEX(dataTierImpact,,MATCH(dataTierStatusPayer2,$C$5:$G$5,0))</f>
        <v>62209.002240000002</v>
      </c>
      <c r="F101" s="390">
        <f>dataReg1Seg1Payer2Volume*dataTherapy1ListPrice*INDEX(dataTierImpact,,MATCH(dataTierStatusPayer2,$C$5:$G$5,0))</f>
        <v>137435.25277439997</v>
      </c>
      <c r="G101" t="s">
        <v>697</v>
      </c>
    </row>
    <row r="102" spans="2:7">
      <c r="B102" t="s">
        <v>686</v>
      </c>
      <c r="C102" s="390">
        <f>dataReg1Seg1Payer2Volume*dataTherapy1ListPrice*dataTherapy1Payer2Rebate</f>
        <v>0</v>
      </c>
      <c r="D102" s="390">
        <f>dataReg1Seg1Payer2Volume*dataTherapy1ListPrice*dataTherapy1Payer2Rebate</f>
        <v>0</v>
      </c>
      <c r="E102" s="390">
        <f>dataReg1Seg1Payer2Volume*dataTherapy1ListPrice*dataTherapy1Payer2Rebate</f>
        <v>62209.002240000002</v>
      </c>
      <c r="F102" s="390">
        <f>dataReg1Seg1Payer2Volume*dataTherapy1ListPrice*dataTherapy1Payer2Rebate</f>
        <v>137435.25277439997</v>
      </c>
      <c r="G102" t="s">
        <v>698</v>
      </c>
    </row>
    <row r="103" spans="2:7">
      <c r="B103" t="s">
        <v>695</v>
      </c>
      <c r="C103" s="390">
        <f>dataReg1Seg1Payer2GrossRevenue-dataReg1Seg1Payer2Reimbursement</f>
        <v>0</v>
      </c>
      <c r="D103" s="390">
        <f>dataReg1Seg1Payer2GrossRevenue-dataReg1Seg1Payer2Reimbursement</f>
        <v>0</v>
      </c>
      <c r="E103" s="390">
        <f>dataReg1Seg1Payer2GrossRevenue-dataReg1Seg1Payer2Reimbursement</f>
        <v>0</v>
      </c>
      <c r="F103" s="390">
        <f>dataReg1Seg1Payer2GrossRevenue-dataReg1Seg1Payer2Reimbursement</f>
        <v>0</v>
      </c>
      <c r="G103" t="s">
        <v>699</v>
      </c>
    </row>
    <row r="104" spans="2:7">
      <c r="B104" s="4" t="str">
        <f>nmPayer3</f>
        <v>Dragon Health</v>
      </c>
    </row>
    <row r="105" spans="2:7">
      <c r="B105" t="s">
        <v>684</v>
      </c>
      <c r="C105" s="390">
        <f>dataReg1Seg1Payer3Volume*dataTherapy1ListPrice*INDEX(dataTierImpact,,MATCH(dataTierStatusPayer3,$C$5:$G$5,0))</f>
        <v>320664.96000000002</v>
      </c>
      <c r="D105" s="390">
        <f>dataReg1Seg1Payer3Volume*dataTherapy1ListPrice*INDEX(dataTierImpact,,MATCH(dataTierStatusPayer3,$C$5:$G$5,0))</f>
        <v>320664.9599999999</v>
      </c>
      <c r="E105" s="390">
        <f>dataReg1Seg1Payer3Volume*dataTherapy1ListPrice*INDEX(dataTierImpact,,MATCH(dataTierStatusPayer3,$C$5:$G$5,0))</f>
        <v>217731.50783999998</v>
      </c>
      <c r="F105" s="390">
        <f>dataReg1Seg1Payer3Volume*dataTherapy1ListPrice*INDEX(dataTierImpact,,MATCH(dataTierStatusPayer3,$C$5:$G$5,0))</f>
        <v>103076.43958079994</v>
      </c>
      <c r="G105" t="s">
        <v>700</v>
      </c>
    </row>
    <row r="106" spans="2:7">
      <c r="B106" t="s">
        <v>686</v>
      </c>
      <c r="C106" s="390">
        <f>dataReg1Seg1Payer3Volume*dataTherapy1ListPrice*dataTherapy1Payer3Rebate</f>
        <v>160332.48000000001</v>
      </c>
      <c r="D106" s="390">
        <f>dataReg1Seg1Payer3Volume*dataTherapy1ListPrice*dataTherapy1Payer3Rebate</f>
        <v>160332.47999999995</v>
      </c>
      <c r="E106" s="390">
        <f>dataReg1Seg1Payer3Volume*dataTherapy1ListPrice*dataTherapy1Payer3Rebate</f>
        <v>108865.75391999999</v>
      </c>
      <c r="F106" s="390">
        <f>dataReg1Seg1Payer3Volume*dataTherapy1ListPrice*dataTherapy1Payer3Rebate</f>
        <v>51538.219790399969</v>
      </c>
      <c r="G106" t="s">
        <v>701</v>
      </c>
    </row>
    <row r="107" spans="2:7">
      <c r="B107" t="s">
        <v>695</v>
      </c>
      <c r="C107" s="390">
        <f>dataReg1Seg1Payer3GrossRevenue-dataReg1Seg1Payer3Reimbursement</f>
        <v>160332.48000000001</v>
      </c>
      <c r="D107" s="390">
        <f>dataReg1Seg1Payer3GrossRevenue-dataReg1Seg1Payer3Reimbursement</f>
        <v>160332.47999999995</v>
      </c>
      <c r="E107" s="390">
        <f>dataReg1Seg1Payer3GrossRevenue-dataReg1Seg1Payer3Reimbursement</f>
        <v>108865.75391999999</v>
      </c>
      <c r="F107" s="390">
        <f>dataReg1Seg1Payer3GrossRevenue-dataReg1Seg1Payer3Reimbursement</f>
        <v>51538.219790399969</v>
      </c>
      <c r="G107" t="s">
        <v>702</v>
      </c>
    </row>
    <row r="108" spans="2:7">
      <c r="B108" t="s">
        <v>677</v>
      </c>
    </row>
    <row r="110" spans="2:7">
      <c r="B110" s="383" t="str">
        <f>nmReg1Seg2</f>
        <v>Winterfell</v>
      </c>
      <c r="C110" s="384"/>
      <c r="D110" s="384"/>
      <c r="E110" s="384"/>
      <c r="F110" s="384"/>
    </row>
    <row r="111" spans="2:7">
      <c r="B111" t="s">
        <v>779</v>
      </c>
      <c r="C111" s="380">
        <f>dataReg1Seg2TotalRecurCust*dataReg1Seg2TotalShare</f>
        <v>310.40000000000003</v>
      </c>
      <c r="D111" s="380">
        <f>dataReg1Seg2TotalRecurCust*dataReg1Seg2TotalShare</f>
        <v>318.200512</v>
      </c>
      <c r="E111" s="380">
        <f>dataReg1Seg2TotalRecurCust*dataReg1Seg2TotalShare</f>
        <v>318.200512</v>
      </c>
      <c r="F111" s="380">
        <f>dataReg1Seg2TotalRecurCust*dataReg1Seg2TotalShare</f>
        <v>359.56657856000004</v>
      </c>
      <c r="G111" t="s">
        <v>794</v>
      </c>
    </row>
    <row r="112" spans="2:7">
      <c r="B112" t="s">
        <v>780</v>
      </c>
      <c r="C112" s="380">
        <f>dataReg1Seg2TotalNewCust*dataReg1Seg2TotalShare</f>
        <v>14.294400000000001</v>
      </c>
      <c r="D112" s="380">
        <f>dataReg1Seg2TotalNewCust*dataReg1Seg2TotalShare</f>
        <v>6.493888000000001</v>
      </c>
      <c r="E112" s="380">
        <f>dataReg1Seg2TotalNewCust*dataReg1Seg2TotalShare</f>
        <v>48.704160000000002</v>
      </c>
      <c r="F112" s="380">
        <f>dataReg1Seg2TotalNewCust*dataReg1Seg2TotalShare</f>
        <v>55.035700800000008</v>
      </c>
      <c r="G112" t="s">
        <v>784</v>
      </c>
    </row>
    <row r="113" spans="2:7">
      <c r="B113" t="s">
        <v>13</v>
      </c>
      <c r="C113" s="380">
        <f>dataReg1Seg2RecurCust+dataReg1Seg2GrowthCust</f>
        <v>324.69440000000003</v>
      </c>
      <c r="D113" s="380">
        <f>dataReg1Seg2RecurCust+dataReg1Seg2GrowthCust</f>
        <v>324.69440000000003</v>
      </c>
      <c r="E113" s="380">
        <f>dataReg1Seg2RecurCust+dataReg1Seg2GrowthCust</f>
        <v>366.90467200000001</v>
      </c>
      <c r="F113" s="380">
        <f>dataReg1Seg2RecurCust+dataReg1Seg2GrowthCust</f>
        <v>414.60227936000007</v>
      </c>
      <c r="G113" t="s">
        <v>638</v>
      </c>
    </row>
    <row r="114" spans="2:7">
      <c r="C114" s="380"/>
      <c r="D114" s="387"/>
      <c r="E114" s="387"/>
      <c r="F114" s="387"/>
    </row>
    <row r="115" spans="2:7">
      <c r="C115" s="380"/>
      <c r="D115" s="387"/>
      <c r="E115" s="387"/>
      <c r="F115" s="387"/>
    </row>
    <row r="116" spans="2:7">
      <c r="B116" s="4" t="s">
        <v>631</v>
      </c>
      <c r="C116" s="380"/>
      <c r="D116" s="380"/>
      <c r="E116" s="380"/>
      <c r="F116" s="380"/>
    </row>
    <row r="117" spans="2:7">
      <c r="B117" t="str">
        <f>nmPayer1</f>
        <v>Blue Sword/Blue Shield</v>
      </c>
      <c r="C117" s="382">
        <v>0.55000000000000004</v>
      </c>
      <c r="D117" s="382">
        <v>0.55000000000000004</v>
      </c>
      <c r="E117" s="382">
        <v>0.55000000000000004</v>
      </c>
      <c r="F117" s="382">
        <v>0.55000000000000004</v>
      </c>
      <c r="G117" t="s">
        <v>639</v>
      </c>
    </row>
    <row r="118" spans="2:7">
      <c r="B118" t="str">
        <f>nmPayer2</f>
        <v>WesterAid</v>
      </c>
      <c r="C118" s="382">
        <v>0</v>
      </c>
      <c r="D118" s="382">
        <v>0</v>
      </c>
      <c r="E118" s="382">
        <v>0.05</v>
      </c>
      <c r="F118" s="382">
        <v>0.1</v>
      </c>
      <c r="G118" t="s">
        <v>640</v>
      </c>
    </row>
    <row r="119" spans="2:7">
      <c r="B119" t="str">
        <f>nmPayer3</f>
        <v>Dragon Health</v>
      </c>
      <c r="C119" s="381">
        <f>1-SUM(C117:C118)</f>
        <v>0.44999999999999996</v>
      </c>
      <c r="D119" s="381">
        <f>1-SUM(D117:D118)</f>
        <v>0.44999999999999996</v>
      </c>
      <c r="E119" s="381">
        <f>1-SUM(E117:E118)</f>
        <v>0.39999999999999991</v>
      </c>
      <c r="F119" s="381">
        <f>1-SUM(F117:F118)</f>
        <v>0.35</v>
      </c>
      <c r="G119" t="s">
        <v>641</v>
      </c>
    </row>
    <row r="121" spans="2:7">
      <c r="B121" s="4" t="s">
        <v>634</v>
      </c>
    </row>
    <row r="122" spans="2:7">
      <c r="B122" t="str">
        <f>nmPayer1</f>
        <v>Blue Sword/Blue Shield</v>
      </c>
      <c r="C122" s="380">
        <f>dataReg1Seg2TotalVolume*dataReg1Seg2Payer1Percentage</f>
        <v>178.58192000000003</v>
      </c>
      <c r="D122" s="380">
        <f>dataReg1Seg2TotalVolume*dataReg1Seg2Payer1Percentage</f>
        <v>178.58192000000003</v>
      </c>
      <c r="E122" s="380">
        <f>dataReg1Seg2TotalVolume*dataReg1Seg2Payer1Percentage</f>
        <v>201.79756960000003</v>
      </c>
      <c r="F122" s="380">
        <f>dataReg1Seg2TotalVolume*dataReg1Seg2Payer1Percentage</f>
        <v>228.03125364800005</v>
      </c>
      <c r="G122" t="s">
        <v>642</v>
      </c>
    </row>
    <row r="123" spans="2:7">
      <c r="B123" t="str">
        <f>nmPayer2</f>
        <v>WesterAid</v>
      </c>
      <c r="C123" s="380">
        <f>dataReg1Seg2TotalVolume*dataReg1Seg2Payer2Percentage</f>
        <v>0</v>
      </c>
      <c r="D123" s="380">
        <f>dataReg1Seg2TotalVolume*dataReg1Seg2Payer2Percentage</f>
        <v>0</v>
      </c>
      <c r="E123" s="380">
        <f>dataReg1Seg2TotalVolume*dataReg1Seg2Payer2Percentage</f>
        <v>18.3452336</v>
      </c>
      <c r="F123" s="380">
        <f>dataReg1Seg2TotalVolume*dataReg1Seg2Payer2Percentage</f>
        <v>41.46022793600001</v>
      </c>
      <c r="G123" t="s">
        <v>643</v>
      </c>
    </row>
    <row r="124" spans="2:7">
      <c r="B124" t="str">
        <f>nmPayer3</f>
        <v>Dragon Health</v>
      </c>
      <c r="C124" s="380">
        <f>dataReg1Seg2TotalVolume*dataReg1Seg2Payer3Percentage</f>
        <v>146.11248000000001</v>
      </c>
      <c r="D124" s="380">
        <f>dataReg1Seg2TotalVolume*dataReg1Seg2Payer3Percentage</f>
        <v>146.11248000000001</v>
      </c>
      <c r="E124" s="380">
        <f>dataReg1Seg2TotalVolume*dataReg1Seg2Payer3Percentage</f>
        <v>146.76186879999997</v>
      </c>
      <c r="F124" s="380">
        <f>dataReg1Seg2TotalVolume*dataReg1Seg2Payer3Percentage</f>
        <v>145.11079777600003</v>
      </c>
      <c r="G124" t="s">
        <v>644</v>
      </c>
    </row>
    <row r="126" spans="2:7">
      <c r="B126" s="4" t="s">
        <v>1493</v>
      </c>
    </row>
    <row r="127" spans="2:7">
      <c r="B127" t="str">
        <f>nmPayer1</f>
        <v>Blue Sword/Blue Shield</v>
      </c>
      <c r="C127" s="380">
        <f>dataReg1Seg2TotalRecurCust*dataReg1Seg2Payer1Percentage</f>
        <v>53350.000000000007</v>
      </c>
      <c r="D127" s="380">
        <f>dataReg1Seg2TotalRecurCust*dataReg1Seg2Payer1Percentage</f>
        <v>54690.713000000003</v>
      </c>
      <c r="E127" s="380">
        <f>dataReg1Seg2TotalRecurCust*dataReg1Seg2Payer1Percentage</f>
        <v>54690.713000000003</v>
      </c>
      <c r="F127" s="380">
        <f>dataReg1Seg2TotalRecurCust*dataReg1Seg2Payer1Percentage</f>
        <v>61800.505690000005</v>
      </c>
      <c r="G127" t="s">
        <v>1500</v>
      </c>
    </row>
    <row r="128" spans="2:7">
      <c r="B128" t="str">
        <f>nmPayer2</f>
        <v>WesterAid</v>
      </c>
      <c r="C128" s="380">
        <f>dataReg1Seg2TotalRecurCust*dataReg1Seg2Payer2Percentage</f>
        <v>0</v>
      </c>
      <c r="D128" s="380">
        <f>dataReg1Seg2TotalRecurCust*dataReg1Seg2Payer2Percentage</f>
        <v>0</v>
      </c>
      <c r="E128" s="380">
        <f>dataReg1Seg2TotalRecurCust*dataReg1Seg2Payer2Percentage</f>
        <v>4971.8830000000007</v>
      </c>
      <c r="F128" s="380">
        <f>dataReg1Seg2TotalRecurCust*dataReg1Seg2Payer2Percentage</f>
        <v>11236.455580000002</v>
      </c>
      <c r="G128" t="s">
        <v>1501</v>
      </c>
    </row>
    <row r="129" spans="2:7">
      <c r="B129" t="str">
        <f>nmPayer3</f>
        <v>Dragon Health</v>
      </c>
      <c r="C129" s="380">
        <f>dataReg1Seg2TotalRecurCust*dataReg1Seg2Payer3Percentage</f>
        <v>43649.999999999993</v>
      </c>
      <c r="D129" s="380">
        <f>dataReg1Seg2TotalRecurCust*dataReg1Seg2Payer3Percentage</f>
        <v>44746.947</v>
      </c>
      <c r="E129" s="380">
        <f>dataReg1Seg2TotalRecurCust*dataReg1Seg2Payer3Percentage</f>
        <v>39775.063999999991</v>
      </c>
      <c r="F129" s="380">
        <f>dataReg1Seg2TotalRecurCust*dataReg1Seg2Payer3Percentage</f>
        <v>39327.594529999995</v>
      </c>
      <c r="G129" t="s">
        <v>1502</v>
      </c>
    </row>
    <row r="130" spans="2:7">
      <c r="B130" s="4" t="s">
        <v>1492</v>
      </c>
      <c r="C130" s="380"/>
      <c r="D130" s="380"/>
      <c r="E130" s="380"/>
      <c r="F130" s="380"/>
    </row>
    <row r="131" spans="2:7">
      <c r="B131" t="str">
        <f>nmPayer1</f>
        <v>Blue Sword/Blue Shield</v>
      </c>
      <c r="C131" s="380">
        <f>dataReg1Seg2TotalNewCust*dataReg1Seg2Payer1Percentage</f>
        <v>2456.8500000000004</v>
      </c>
      <c r="D131" s="380">
        <f>dataReg1Seg2TotalNewCust*dataReg1Seg2Payer1Percentage</f>
        <v>1116.1370000000002</v>
      </c>
      <c r="E131" s="380">
        <f>dataReg1Seg2TotalNewCust*dataReg1Seg2Payer1Percentage</f>
        <v>8371.0275000000001</v>
      </c>
      <c r="F131" s="380">
        <f>dataReg1Seg2TotalNewCust*dataReg1Seg2Payer1Percentage</f>
        <v>9459.2610750000022</v>
      </c>
      <c r="G131" t="s">
        <v>1503</v>
      </c>
    </row>
    <row r="132" spans="2:7">
      <c r="B132" t="str">
        <f>nmPayer2</f>
        <v>WesterAid</v>
      </c>
      <c r="C132" s="380">
        <f>dataReg1Seg2TotalNewCust*dataReg1Seg2Payer2Percentage</f>
        <v>0</v>
      </c>
      <c r="D132" s="380">
        <f>dataReg1Seg2TotalNewCust*dataReg1Seg2Payer2Percentage</f>
        <v>0</v>
      </c>
      <c r="E132" s="380">
        <f>dataReg1Seg2TotalNewCust*dataReg1Seg2Payer2Percentage</f>
        <v>761.00250000000005</v>
      </c>
      <c r="F132" s="380">
        <f>dataReg1Seg2TotalNewCust*dataReg1Seg2Payer2Percentage</f>
        <v>1719.8656500000002</v>
      </c>
      <c r="G132" t="s">
        <v>1504</v>
      </c>
    </row>
    <row r="133" spans="2:7">
      <c r="B133" t="str">
        <f>nmPayer3</f>
        <v>Dragon Health</v>
      </c>
      <c r="C133" s="380">
        <f>dataReg1Seg2TotalNewCust*dataReg1Seg2Payer3Percentage</f>
        <v>2010.1499999999999</v>
      </c>
      <c r="D133" s="380">
        <f>dataReg1Seg2TotalNewCust*dataReg1Seg2Payer3Percentage</f>
        <v>913.20299999999997</v>
      </c>
      <c r="E133" s="380">
        <f>dataReg1Seg2TotalNewCust*dataReg1Seg2Payer3Percentage</f>
        <v>6088.0199999999986</v>
      </c>
      <c r="F133" s="380">
        <f>dataReg1Seg2TotalNewCust*dataReg1Seg2Payer3Percentage</f>
        <v>6019.529775</v>
      </c>
      <c r="G133" t="s">
        <v>1505</v>
      </c>
    </row>
    <row r="135" spans="2:7">
      <c r="B135" s="4" t="s">
        <v>703</v>
      </c>
    </row>
    <row r="136" spans="2:7">
      <c r="B136" s="4" t="str">
        <f>nmPayer1</f>
        <v>Blue Sword/Blue Shield</v>
      </c>
    </row>
    <row r="137" spans="2:7">
      <c r="B137" t="s">
        <v>684</v>
      </c>
      <c r="C137" s="390">
        <f>dataReg1Seg2Payer1Volume*dataTherapy1ListPrice*INDEX(dataTierImpact,,MATCH(dataTierStatusPayer1,$C$5:$G$5,0))</f>
        <v>214298.30400000006</v>
      </c>
      <c r="D137" s="390">
        <f>dataReg1Seg2Payer1Volume*dataTherapy1ListPrice*INDEX(dataTierImpact,,MATCH(dataTierStatusPayer1,$C$5:$G$5,0))</f>
        <v>214298.30400000006</v>
      </c>
      <c r="E137" s="390">
        <f>dataReg1Seg2Payer1Volume*dataTherapy1ListPrice*INDEX(dataTierImpact,,MATCH(dataTierStatusPayer1,$C$5:$G$5,0))</f>
        <v>242157.08352000007</v>
      </c>
      <c r="F137" s="390">
        <f>dataReg1Seg2Payer1Volume*dataTherapy1ListPrice*INDEX(dataTierImpact,,MATCH(dataTierStatusPayer1,$C$5:$G$5,0))</f>
        <v>273637.50437760004</v>
      </c>
      <c r="G137" t="s">
        <v>713</v>
      </c>
    </row>
    <row r="138" spans="2:7">
      <c r="B138" t="s">
        <v>686</v>
      </c>
      <c r="C138" s="390">
        <f>dataReg1Seg2Payer1Volume*dataTherapy1ListPrice*dataTherapy1Payer1Rebate</f>
        <v>160723.72800000003</v>
      </c>
      <c r="D138" s="390">
        <f>dataReg1Seg2Payer1Volume*dataTherapy1ListPrice*dataTherapy1Payer1Rebate</f>
        <v>160723.72800000003</v>
      </c>
      <c r="E138" s="390">
        <f>dataReg1Seg2Payer1Volume*dataTherapy1ListPrice*dataTherapy1Payer1Rebate</f>
        <v>181617.81264000005</v>
      </c>
      <c r="F138" s="390">
        <f>dataReg1Seg2Payer1Volume*dataTherapy1ListPrice*dataTherapy1Payer1Rebate</f>
        <v>205228.12828320003</v>
      </c>
      <c r="G138" t="s">
        <v>714</v>
      </c>
    </row>
    <row r="139" spans="2:7">
      <c r="B139" t="s">
        <v>695</v>
      </c>
      <c r="C139" s="390">
        <f>dataReg1Seg2Payer1GrossRevenue-dataReg1Seg2Payer1Reimbursement</f>
        <v>53574.57600000003</v>
      </c>
      <c r="D139" s="390">
        <f>dataReg1Seg2Payer1GrossRevenue-dataReg1Seg2Payer1Reimbursement</f>
        <v>53574.57600000003</v>
      </c>
      <c r="E139" s="390">
        <f>dataReg1Seg2Payer1GrossRevenue-dataReg1Seg2Payer1Reimbursement</f>
        <v>60539.270880000025</v>
      </c>
      <c r="F139" s="390">
        <f>dataReg1Seg2Payer1GrossRevenue-dataReg1Seg2Payer1Reimbursement</f>
        <v>68409.37609440001</v>
      </c>
      <c r="G139" t="s">
        <v>715</v>
      </c>
    </row>
    <row r="140" spans="2:7">
      <c r="B140" s="4" t="str">
        <f>nmPayer2</f>
        <v>WesterAid</v>
      </c>
    </row>
    <row r="141" spans="2:7">
      <c r="B141" t="s">
        <v>684</v>
      </c>
      <c r="C141" s="390">
        <f>dataReg1Seg2Payer2Volume*dataTherapy1ListPrice*INDEX(dataTierImpact,,MATCH(dataTierStatusPayer2,$C$5:$G$5,0))</f>
        <v>0</v>
      </c>
      <c r="D141" s="390">
        <f>dataReg1Seg2Payer2Volume*dataTherapy1ListPrice*INDEX(dataTierImpact,,MATCH(dataTierStatusPayer2,$C$5:$G$5,0))</f>
        <v>0</v>
      </c>
      <c r="E141" s="390">
        <f>dataReg1Seg2Payer2Volume*dataTherapy1ListPrice*INDEX(dataTierImpact,,MATCH(dataTierStatusPayer2,$C$5:$G$5,0))</f>
        <v>16510.71024</v>
      </c>
      <c r="F141" s="390">
        <f>dataReg1Seg2Payer2Volume*dataTherapy1ListPrice*INDEX(dataTierImpact,,MATCH(dataTierStatusPayer2,$C$5:$G$5,0))</f>
        <v>37314.205142400009</v>
      </c>
      <c r="G141" t="s">
        <v>716</v>
      </c>
    </row>
    <row r="142" spans="2:7">
      <c r="B142" t="s">
        <v>686</v>
      </c>
      <c r="C142" s="390">
        <f>dataReg1Seg2Payer2Volume*dataTherapy1ListPrice*dataTherapy1Payer2Rebate</f>
        <v>0</v>
      </c>
      <c r="D142" s="390">
        <f>dataReg1Seg2Payer2Volume*dataTherapy1ListPrice*dataTherapy1Payer2Rebate</f>
        <v>0</v>
      </c>
      <c r="E142" s="390">
        <f>dataReg1Seg2Payer2Volume*dataTherapy1ListPrice*dataTherapy1Payer2Rebate</f>
        <v>16510.71024</v>
      </c>
      <c r="F142" s="390">
        <f>dataReg1Seg2Payer2Volume*dataTherapy1ListPrice*dataTherapy1Payer2Rebate</f>
        <v>37314.205142400009</v>
      </c>
      <c r="G142" t="s">
        <v>717</v>
      </c>
    </row>
    <row r="143" spans="2:7">
      <c r="B143" t="s">
        <v>695</v>
      </c>
      <c r="C143" s="390">
        <f>dataReg1Seg2Payer2GrossRevenue-dataReg1Seg2Payer2Reimbursement</f>
        <v>0</v>
      </c>
      <c r="D143" s="390">
        <f>dataReg1Seg2Payer2GrossRevenue-dataReg1Seg2Payer2Reimbursement</f>
        <v>0</v>
      </c>
      <c r="E143" s="390">
        <f>dataReg1Seg2Payer2GrossRevenue-dataReg1Seg2Payer2Reimbursement</f>
        <v>0</v>
      </c>
      <c r="F143" s="390">
        <f>dataReg1Seg2Payer2GrossRevenue-dataReg1Seg2Payer2Reimbursement</f>
        <v>0</v>
      </c>
      <c r="G143" t="s">
        <v>718</v>
      </c>
    </row>
    <row r="144" spans="2:7">
      <c r="B144" s="4" t="str">
        <f>nmPayer3</f>
        <v>Dragon Health</v>
      </c>
    </row>
    <row r="145" spans="2:7">
      <c r="B145" t="s">
        <v>684</v>
      </c>
      <c r="C145" s="390">
        <f>dataReg1Seg2Payer3Volume*dataTherapy1ListPrice*INDEX(dataTierImpact,,MATCH(dataTierStatusPayer3,$C$5:$G$5,0))</f>
        <v>263002.46399999998</v>
      </c>
      <c r="D145" s="390">
        <f>dataReg1Seg2Payer3Volume*dataTherapy1ListPrice*INDEX(dataTierImpact,,MATCH(dataTierStatusPayer3,$C$5:$G$5,0))</f>
        <v>263002.46399999998</v>
      </c>
      <c r="E145" s="390">
        <f>dataReg1Seg2Payer3Volume*dataTherapy1ListPrice*INDEX(dataTierImpact,,MATCH(dataTierStatusPayer3,$C$5:$G$5,0))</f>
        <v>264171.36383999995</v>
      </c>
      <c r="F145" s="390">
        <f>dataReg1Seg2Payer3Volume*dataTherapy1ListPrice*INDEX(dataTierImpact,,MATCH(dataTierStatusPayer3,$C$5:$G$5,0))</f>
        <v>261199.43599680005</v>
      </c>
      <c r="G145" t="s">
        <v>719</v>
      </c>
    </row>
    <row r="146" spans="2:7">
      <c r="B146" t="s">
        <v>686</v>
      </c>
      <c r="C146" s="390">
        <f>dataReg1Seg2Payer3Volume*dataTherapy1ListPrice*dataTherapy1Payer3Rebate</f>
        <v>131501.23199999999</v>
      </c>
      <c r="D146" s="390">
        <f>dataReg1Seg2Payer3Volume*dataTherapy1ListPrice*dataTherapy1Payer3Rebate</f>
        <v>131501.23199999999</v>
      </c>
      <c r="E146" s="390">
        <f>dataReg1Seg2Payer3Volume*dataTherapy1ListPrice*dataTherapy1Payer3Rebate</f>
        <v>132085.68191999997</v>
      </c>
      <c r="F146" s="390">
        <f>dataReg1Seg2Payer3Volume*dataTherapy1ListPrice*dataTherapy1Payer3Rebate</f>
        <v>130599.71799840002</v>
      </c>
      <c r="G146" t="s">
        <v>720</v>
      </c>
    </row>
    <row r="147" spans="2:7">
      <c r="B147" t="s">
        <v>695</v>
      </c>
      <c r="C147" s="390">
        <f>dataReg1Seg2Payer3GrossRevenue-dataReg1Seg2Payer3Reimbursement</f>
        <v>131501.23199999999</v>
      </c>
      <c r="D147" s="390">
        <f>dataReg1Seg2Payer3GrossRevenue-dataReg1Seg2Payer3Reimbursement</f>
        <v>131501.23199999999</v>
      </c>
      <c r="E147" s="390">
        <f>dataReg1Seg2Payer3GrossRevenue-dataReg1Seg2Payer3Reimbursement</f>
        <v>132085.68191999997</v>
      </c>
      <c r="F147" s="390">
        <f>dataReg1Seg2Payer3GrossRevenue-dataReg1Seg2Payer3Reimbursement</f>
        <v>130599.71799840002</v>
      </c>
      <c r="G147" t="s">
        <v>721</v>
      </c>
    </row>
    <row r="148" spans="2:7">
      <c r="B148" t="s">
        <v>677</v>
      </c>
    </row>
    <row r="149" spans="2:7">
      <c r="B149" s="385" t="str">
        <f>nmReg1Seg3</f>
        <v>Harrenhal</v>
      </c>
      <c r="C149" s="386"/>
      <c r="D149" s="386"/>
      <c r="E149" s="386"/>
      <c r="F149" s="386"/>
    </row>
    <row r="150" spans="2:7">
      <c r="B150" t="s">
        <v>779</v>
      </c>
      <c r="C150" s="380">
        <f>dataReg1Seg3TotalRecurCust*dataReg1Seg3TotalShare</f>
        <v>332.20000000000005</v>
      </c>
      <c r="D150" s="380">
        <f>dataReg1Seg3TotalRecurCust*dataReg1Seg3TotalShare</f>
        <v>336.73270400000001</v>
      </c>
      <c r="E150" s="380">
        <f>dataReg1Seg3TotalRecurCust*dataReg1Seg3TotalShare</f>
        <v>336.73270400000001</v>
      </c>
      <c r="F150" s="380">
        <f>dataReg1Seg3TotalRecurCust*dataReg1Seg3TotalShare</f>
        <v>380.50795552000005</v>
      </c>
      <c r="G150" t="s">
        <v>795</v>
      </c>
    </row>
    <row r="151" spans="2:7">
      <c r="B151" t="s">
        <v>780</v>
      </c>
      <c r="C151" s="380">
        <f>dataReg1Seg3TotalNewCust*dataReg1Seg3TotalShare</f>
        <v>11.4048</v>
      </c>
      <c r="D151" s="380">
        <f>dataReg1Seg3TotalNewCust*dataReg1Seg3TotalShare</f>
        <v>6.8720960000000009</v>
      </c>
      <c r="E151" s="380">
        <f>dataReg1Seg3TotalNewCust*dataReg1Seg3TotalShare</f>
        <v>51.54072</v>
      </c>
      <c r="F151" s="380">
        <f>dataReg1Seg3TotalNewCust*dataReg1Seg3TotalShare</f>
        <v>58.241013600000009</v>
      </c>
      <c r="G151" t="s">
        <v>786</v>
      </c>
    </row>
    <row r="152" spans="2:7">
      <c r="B152" t="s">
        <v>13</v>
      </c>
      <c r="C152" s="380">
        <f>dataReg1Seg3RecurCust+dataReg1Seg3GrowthCust</f>
        <v>343.60480000000007</v>
      </c>
      <c r="D152" s="380">
        <f>dataReg1Seg3RecurCust+dataReg1Seg3GrowthCust</f>
        <v>343.60480000000001</v>
      </c>
      <c r="E152" s="380">
        <f>dataReg1Seg3RecurCust+dataReg1Seg3GrowthCust</f>
        <v>388.27342400000003</v>
      </c>
      <c r="F152" s="380">
        <f>dataReg1Seg3RecurCust+dataReg1Seg3GrowthCust</f>
        <v>438.74896912000008</v>
      </c>
      <c r="G152" t="s">
        <v>645</v>
      </c>
    </row>
    <row r="153" spans="2:7">
      <c r="C153" s="380"/>
      <c r="D153" s="387"/>
      <c r="E153" s="387"/>
      <c r="F153" s="387"/>
    </row>
    <row r="154" spans="2:7">
      <c r="C154" s="380"/>
      <c r="D154" s="387"/>
      <c r="E154" s="387"/>
      <c r="F154" s="387"/>
    </row>
    <row r="155" spans="2:7">
      <c r="B155" s="4" t="s">
        <v>631</v>
      </c>
      <c r="C155" s="380"/>
      <c r="D155" s="380"/>
      <c r="E155" s="380"/>
      <c r="F155" s="380"/>
    </row>
    <row r="156" spans="2:7">
      <c r="B156" t="str">
        <f>nmPayer1</f>
        <v>Blue Sword/Blue Shield</v>
      </c>
      <c r="C156" s="382">
        <v>0.53</v>
      </c>
      <c r="D156" s="382">
        <v>0.53</v>
      </c>
      <c r="E156" s="382">
        <v>0.53</v>
      </c>
      <c r="F156" s="382">
        <v>0.53</v>
      </c>
      <c r="G156" t="s">
        <v>646</v>
      </c>
    </row>
    <row r="157" spans="2:7">
      <c r="B157" t="str">
        <f>nmPayer2</f>
        <v>WesterAid</v>
      </c>
      <c r="C157" s="382">
        <v>0</v>
      </c>
      <c r="D157" s="382">
        <v>0</v>
      </c>
      <c r="E157" s="382">
        <v>0.06</v>
      </c>
      <c r="F157" s="382">
        <v>0.1</v>
      </c>
      <c r="G157" t="s">
        <v>647</v>
      </c>
    </row>
    <row r="158" spans="2:7">
      <c r="B158" t="str">
        <f>nmPayer3</f>
        <v>Dragon Health</v>
      </c>
      <c r="C158" s="381">
        <f>1-SUM(C156:C157)</f>
        <v>0.47</v>
      </c>
      <c r="D158" s="381">
        <f>1-SUM(D156:D157)</f>
        <v>0.47</v>
      </c>
      <c r="E158" s="381">
        <f>1-SUM(E156:E157)</f>
        <v>0.40999999999999992</v>
      </c>
      <c r="F158" s="381">
        <f>1-SUM(F156:F157)</f>
        <v>0.37</v>
      </c>
      <c r="G158" t="s">
        <v>648</v>
      </c>
    </row>
    <row r="160" spans="2:7">
      <c r="B160" s="4" t="s">
        <v>634</v>
      </c>
    </row>
    <row r="161" spans="2:7">
      <c r="B161" t="str">
        <f>nmPayer1</f>
        <v>Blue Sword/Blue Shield</v>
      </c>
      <c r="C161" s="380">
        <f>dataReg1Seg3TotalVolume*dataReg1Seg3Payer1Percentage</f>
        <v>182.11054400000003</v>
      </c>
      <c r="D161" s="380">
        <f>dataReg1Seg3TotalVolume*dataReg1Seg3Payer1Percentage</f>
        <v>182.110544</v>
      </c>
      <c r="E161" s="380">
        <f>dataReg1Seg3TotalVolume*dataReg1Seg3Payer1Percentage</f>
        <v>205.78491472000002</v>
      </c>
      <c r="F161" s="380">
        <f>dataReg1Seg3TotalVolume*dataReg1Seg3Payer1Percentage</f>
        <v>232.53695363360006</v>
      </c>
      <c r="G161" t="s">
        <v>649</v>
      </c>
    </row>
    <row r="162" spans="2:7">
      <c r="B162" t="str">
        <f>nmPayer2</f>
        <v>WesterAid</v>
      </c>
      <c r="C162" s="380">
        <f>dataReg1Seg3TotalVolume*dataReg1Seg3Payer2Percentage</f>
        <v>0</v>
      </c>
      <c r="D162" s="380">
        <f>dataReg1Seg3TotalVolume*dataReg1Seg3Payer2Percentage</f>
        <v>0</v>
      </c>
      <c r="E162" s="380">
        <f>dataReg1Seg3TotalVolume*dataReg1Seg3Payer2Percentage</f>
        <v>23.296405440000001</v>
      </c>
      <c r="F162" s="380">
        <f>dataReg1Seg3TotalVolume*dataReg1Seg3Payer2Percentage</f>
        <v>43.874896912000011</v>
      </c>
      <c r="G162" t="s">
        <v>650</v>
      </c>
    </row>
    <row r="163" spans="2:7">
      <c r="B163" t="str">
        <f>nmPayer3</f>
        <v>Dragon Health</v>
      </c>
      <c r="C163" s="380">
        <f>dataReg1Seg3TotalVolume*dataReg1Seg3Payer3Percentage</f>
        <v>161.49425600000004</v>
      </c>
      <c r="D163" s="380">
        <f>dataReg1Seg3TotalVolume*dataReg1Seg3Payer3Percentage</f>
        <v>161.49425600000001</v>
      </c>
      <c r="E163" s="380">
        <f>dataReg1Seg3TotalVolume*dataReg1Seg3Payer3Percentage</f>
        <v>159.19210383999999</v>
      </c>
      <c r="F163" s="380">
        <f>dataReg1Seg3TotalVolume*dataReg1Seg3Payer3Percentage</f>
        <v>162.33711857440002</v>
      </c>
      <c r="G163" t="s">
        <v>651</v>
      </c>
    </row>
    <row r="165" spans="2:7">
      <c r="B165" s="4" t="s">
        <v>1493</v>
      </c>
    </row>
    <row r="166" spans="2:7">
      <c r="B166" t="str">
        <f>nmPayer1</f>
        <v>Blue Sword/Blue Shield</v>
      </c>
      <c r="C166" s="380">
        <f>dataReg1Seg3TotalRecurCust*dataReg1Seg3Payer1Percentage</f>
        <v>80030</v>
      </c>
      <c r="D166" s="380">
        <f>dataReg1Seg3TotalRecurCust*dataReg1Seg3Payer1Percentage</f>
        <v>81121.969600000011</v>
      </c>
      <c r="E166" s="380">
        <f>dataReg1Seg3TotalRecurCust*dataReg1Seg3Payer1Percentage</f>
        <v>81121.969600000011</v>
      </c>
      <c r="F166" s="380">
        <f>dataReg1Seg3TotalRecurCust*dataReg1Seg3Payer1Percentage</f>
        <v>91667.825648000013</v>
      </c>
      <c r="G166" t="s">
        <v>1494</v>
      </c>
    </row>
    <row r="167" spans="2:7">
      <c r="B167" t="str">
        <f>nmPayer2</f>
        <v>WesterAid</v>
      </c>
      <c r="C167" s="380">
        <f>dataReg1Seg3TotalRecurCust*dataReg1Seg3Payer2Percentage</f>
        <v>0</v>
      </c>
      <c r="D167" s="380">
        <f>dataReg1Seg3TotalRecurCust*dataReg1Seg3Payer2Percentage</f>
        <v>0</v>
      </c>
      <c r="E167" s="380">
        <f>dataReg1Seg3TotalRecurCust*dataReg1Seg3Payer2Percentage</f>
        <v>9183.6191999999992</v>
      </c>
      <c r="F167" s="380">
        <f>dataReg1Seg3TotalRecurCust*dataReg1Seg3Payer2Percentage</f>
        <v>17295.816160000002</v>
      </c>
      <c r="G167" t="s">
        <v>1495</v>
      </c>
    </row>
    <row r="168" spans="2:7">
      <c r="B168" t="str">
        <f>nmPayer3</f>
        <v>Dragon Health</v>
      </c>
      <c r="C168" s="380">
        <f>dataReg1Seg3TotalRecurCust*dataReg1Seg3Payer3Percentage</f>
        <v>70970</v>
      </c>
      <c r="D168" s="380">
        <f>dataReg1Seg3TotalRecurCust*dataReg1Seg3Payer3Percentage</f>
        <v>71938.350399999996</v>
      </c>
      <c r="E168" s="380">
        <f>dataReg1Seg3TotalRecurCust*dataReg1Seg3Payer3Percentage</f>
        <v>62754.731199999987</v>
      </c>
      <c r="F168" s="380">
        <f>dataReg1Seg3TotalRecurCust*dataReg1Seg3Payer3Percentage</f>
        <v>63994.519792000006</v>
      </c>
      <c r="G168" t="s">
        <v>1496</v>
      </c>
    </row>
    <row r="169" spans="2:7">
      <c r="B169" s="4" t="s">
        <v>1492</v>
      </c>
      <c r="C169" s="380"/>
      <c r="D169" s="380"/>
      <c r="E169" s="380"/>
      <c r="F169" s="380"/>
    </row>
    <row r="170" spans="2:7">
      <c r="B170" t="str">
        <f>nmPayer1</f>
        <v>Blue Sword/Blue Shield</v>
      </c>
      <c r="C170" s="380">
        <f>dataReg1Seg3TotalNewCust*dataReg1Seg3Payer1Percentage</f>
        <v>2747.52</v>
      </c>
      <c r="D170" s="380">
        <f>dataReg1Seg3TotalNewCust*dataReg1Seg3Payer1Percentage</f>
        <v>1655.5504000000003</v>
      </c>
      <c r="E170" s="380">
        <f>dataReg1Seg3TotalNewCust*dataReg1Seg3Payer1Percentage</f>
        <v>12416.628000000001</v>
      </c>
      <c r="F170" s="380">
        <f>dataReg1Seg3TotalNewCust*dataReg1Seg3Payer1Percentage</f>
        <v>14030.789640000001</v>
      </c>
      <c r="G170" t="s">
        <v>1497</v>
      </c>
    </row>
    <row r="171" spans="2:7">
      <c r="B171" t="str">
        <f>nmPayer2</f>
        <v>WesterAid</v>
      </c>
      <c r="C171" s="380">
        <f>dataReg1Seg3TotalNewCust*dataReg1Seg3Payer2Percentage</f>
        <v>0</v>
      </c>
      <c r="D171" s="380">
        <f>dataReg1Seg3TotalNewCust*dataReg1Seg3Payer2Percentage</f>
        <v>0</v>
      </c>
      <c r="E171" s="380">
        <f>dataReg1Seg3TotalNewCust*dataReg1Seg3Payer2Percentage</f>
        <v>1405.6559999999999</v>
      </c>
      <c r="F171" s="380">
        <f>dataReg1Seg3TotalNewCust*dataReg1Seg3Payer2Percentage</f>
        <v>2647.3188000000005</v>
      </c>
      <c r="G171" t="s">
        <v>1498</v>
      </c>
    </row>
    <row r="172" spans="2:7">
      <c r="B172" t="str">
        <f>nmPayer3</f>
        <v>Dragon Health</v>
      </c>
      <c r="C172" s="380">
        <f>dataReg1Seg3TotalNewCust*dataReg1Seg3Payer3Percentage</f>
        <v>2436.48</v>
      </c>
      <c r="D172" s="380">
        <f>dataReg1Seg3TotalNewCust*dataReg1Seg3Payer3Percentage</f>
        <v>1468.1296</v>
      </c>
      <c r="E172" s="380">
        <f>dataReg1Seg3TotalNewCust*dataReg1Seg3Payer3Percentage</f>
        <v>9605.3159999999971</v>
      </c>
      <c r="F172" s="380">
        <f>dataReg1Seg3TotalNewCust*dataReg1Seg3Payer3Percentage</f>
        <v>9795.0795600000001</v>
      </c>
      <c r="G172" t="s">
        <v>1499</v>
      </c>
    </row>
    <row r="176" spans="2:7">
      <c r="B176" s="4" t="s">
        <v>703</v>
      </c>
    </row>
    <row r="177" spans="2:7">
      <c r="B177" s="4" t="str">
        <f>nmPayer1</f>
        <v>Blue Sword/Blue Shield</v>
      </c>
    </row>
    <row r="178" spans="2:7">
      <c r="B178" t="s">
        <v>684</v>
      </c>
      <c r="C178" s="390">
        <f>dataReg1Seg3Payer1Volume*dataTherapy1ListPrice*INDEX(dataTierImpact,,MATCH(dataTierStatusPayer1,$C$5:$G$5,0))</f>
        <v>218532.65280000004</v>
      </c>
      <c r="D178" s="390">
        <f>dataReg1Seg3Payer1Volume*dataTherapy1ListPrice*INDEX(dataTierImpact,,MATCH(dataTierStatusPayer1,$C$5:$G$5,0))</f>
        <v>218532.65280000001</v>
      </c>
      <c r="E178" s="390">
        <f>dataReg1Seg3Payer1Volume*dataTherapy1ListPrice*INDEX(dataTierImpact,,MATCH(dataTierStatusPayer1,$C$5:$G$5,0))</f>
        <v>246941.89766400002</v>
      </c>
      <c r="F178" s="390">
        <f>dataReg1Seg3Payer1Volume*dataTherapy1ListPrice*INDEX(dataTierImpact,,MATCH(dataTierStatusPayer1,$C$5:$G$5,0))</f>
        <v>279044.34436032007</v>
      </c>
      <c r="G178" t="s">
        <v>704</v>
      </c>
    </row>
    <row r="179" spans="2:7">
      <c r="B179" t="s">
        <v>686</v>
      </c>
      <c r="C179" s="390">
        <f>dataReg1Seg3Payer1Volume*dataTherapy1ListPrice*dataTherapy1Payer1Rebate</f>
        <v>163899.48960000003</v>
      </c>
      <c r="D179" s="390">
        <f>dataReg1Seg3Payer1Volume*dataTherapy1ListPrice*dataTherapy1Payer1Rebate</f>
        <v>163899.4896</v>
      </c>
      <c r="E179" s="390">
        <f>dataReg1Seg3Payer1Volume*dataTherapy1ListPrice*dataTherapy1Payer1Rebate</f>
        <v>185206.42324800001</v>
      </c>
      <c r="F179" s="390">
        <f>dataReg1Seg3Payer1Volume*dataTherapy1ListPrice*dataTherapy1Payer1Rebate</f>
        <v>209283.25827024007</v>
      </c>
      <c r="G179" t="s">
        <v>705</v>
      </c>
    </row>
    <row r="180" spans="2:7">
      <c r="B180" t="s">
        <v>695</v>
      </c>
      <c r="C180" s="390">
        <f>dataReg1Seg3Payer1GrossRevenue-dataReg1Seg3Payer1Reimbursement</f>
        <v>54633.16320000001</v>
      </c>
      <c r="D180" s="390">
        <f>dataReg1Seg3Payer1GrossRevenue-dataReg1Seg3Payer1Reimbursement</f>
        <v>54633.16320000001</v>
      </c>
      <c r="E180" s="390">
        <f>dataReg1Seg3Payer1GrossRevenue-dataReg1Seg3Payer1Reimbursement</f>
        <v>61735.474416000012</v>
      </c>
      <c r="F180" s="390">
        <f>dataReg1Seg3Payer1GrossRevenue-dataReg1Seg3Payer1Reimbursement</f>
        <v>69761.086090080003</v>
      </c>
      <c r="G180" t="s">
        <v>706</v>
      </c>
    </row>
    <row r="181" spans="2:7">
      <c r="B181" s="4" t="str">
        <f>nmPayer2</f>
        <v>WesterAid</v>
      </c>
    </row>
    <row r="182" spans="2:7">
      <c r="B182" t="s">
        <v>684</v>
      </c>
      <c r="C182" s="390">
        <f>dataReg1Seg3Payer2Volume*dataTherapy1ListPrice*INDEX(dataTierImpact,,MATCH(dataTierStatusPayer2,$C$5:$G$5,0))</f>
        <v>0</v>
      </c>
      <c r="D182" s="390">
        <f>dataReg1Seg3Payer2Volume*dataTherapy1ListPrice*INDEX(dataTierImpact,,MATCH(dataTierStatusPayer2,$C$5:$G$5,0))</f>
        <v>0</v>
      </c>
      <c r="E182" s="390">
        <f>dataReg1Seg3Payer2Volume*dataTherapy1ListPrice*INDEX(dataTierImpact,,MATCH(dataTierStatusPayer2,$C$5:$G$5,0))</f>
        <v>20966.764896000001</v>
      </c>
      <c r="F182" s="390">
        <f>dataReg1Seg3Payer2Volume*dataTherapy1ListPrice*INDEX(dataTierImpact,,MATCH(dataTierStatusPayer2,$C$5:$G$5,0))</f>
        <v>39487.407220800014</v>
      </c>
      <c r="G182" t="s">
        <v>707</v>
      </c>
    </row>
    <row r="183" spans="2:7">
      <c r="B183" t="s">
        <v>686</v>
      </c>
      <c r="C183" s="390">
        <f>dataReg1Seg3Payer2Volume*dataTherapy1ListPrice*dataTherapy1Payer2Rebate</f>
        <v>0</v>
      </c>
      <c r="D183" s="390">
        <f>dataReg1Seg3Payer2Volume*dataTherapy1ListPrice*dataTherapy1Payer2Rebate</f>
        <v>0</v>
      </c>
      <c r="E183" s="390">
        <f>dataReg1Seg3Payer2Volume*dataTherapy1ListPrice*dataTherapy1Payer2Rebate</f>
        <v>20966.764896000001</v>
      </c>
      <c r="F183" s="390">
        <f>dataReg1Seg3Payer2Volume*dataTherapy1ListPrice*dataTherapy1Payer2Rebate</f>
        <v>39487.407220800014</v>
      </c>
      <c r="G183" t="s">
        <v>708</v>
      </c>
    </row>
    <row r="184" spans="2:7">
      <c r="B184" t="s">
        <v>695</v>
      </c>
      <c r="C184" s="390">
        <f>dataReg1Seg3Payer2GrossRevenue-dataReg1Seg3Payer2Reimbursement</f>
        <v>0</v>
      </c>
      <c r="D184" s="390">
        <f>dataReg1Seg3Payer2GrossRevenue-dataReg1Seg3Payer2Reimbursement</f>
        <v>0</v>
      </c>
      <c r="E184" s="390">
        <f>dataReg1Seg3Payer2GrossRevenue-dataReg1Seg3Payer2Reimbursement</f>
        <v>0</v>
      </c>
      <c r="F184" s="390">
        <f>dataReg1Seg3Payer2GrossRevenue-dataReg1Seg3Payer2Reimbursement</f>
        <v>0</v>
      </c>
      <c r="G184" t="s">
        <v>709</v>
      </c>
    </row>
    <row r="185" spans="2:7">
      <c r="B185" s="4" t="str">
        <f>nmPayer3</f>
        <v>Dragon Health</v>
      </c>
    </row>
    <row r="186" spans="2:7">
      <c r="B186" t="s">
        <v>684</v>
      </c>
      <c r="C186" s="390">
        <f>dataReg1Seg3Payer3Volume*dataTherapy1ListPrice*INDEX(dataTierImpact,,MATCH(dataTierStatusPayer3,$C$5:$G$5,0))</f>
        <v>290689.66080000007</v>
      </c>
      <c r="D186" s="390">
        <f>dataReg1Seg3Payer3Volume*dataTherapy1ListPrice*INDEX(dataTierImpact,,MATCH(dataTierStatusPayer3,$C$5:$G$5,0))</f>
        <v>290689.66080000001</v>
      </c>
      <c r="E186" s="390">
        <f>dataReg1Seg3Payer3Volume*dataTherapy1ListPrice*INDEX(dataTierImpact,,MATCH(dataTierStatusPayer3,$C$5:$G$5,0))</f>
        <v>286545.78691199998</v>
      </c>
      <c r="F186" s="390">
        <f>dataReg1Seg3Payer3Volume*dataTherapy1ListPrice*INDEX(dataTierImpact,,MATCH(dataTierStatusPayer3,$C$5:$G$5,0))</f>
        <v>292206.81343392003</v>
      </c>
      <c r="G186" t="s">
        <v>710</v>
      </c>
    </row>
    <row r="187" spans="2:7">
      <c r="B187" t="s">
        <v>686</v>
      </c>
      <c r="C187" s="390">
        <f>dataReg1Seg3Payer3Volume*dataTherapy1ListPrice*dataTherapy1Payer3Rebate</f>
        <v>145344.83040000004</v>
      </c>
      <c r="D187" s="390">
        <f>dataReg1Seg3Payer3Volume*dataTherapy1ListPrice*dataTherapy1Payer3Rebate</f>
        <v>145344.83040000001</v>
      </c>
      <c r="E187" s="390">
        <f>dataReg1Seg3Payer3Volume*dataTherapy1ListPrice*dataTherapy1Payer3Rebate</f>
        <v>143272.89345599999</v>
      </c>
      <c r="F187" s="390">
        <f>dataReg1Seg3Payer3Volume*dataTherapy1ListPrice*dataTherapy1Payer3Rebate</f>
        <v>146103.40671696002</v>
      </c>
      <c r="G187" t="s">
        <v>711</v>
      </c>
    </row>
    <row r="188" spans="2:7">
      <c r="B188" t="s">
        <v>695</v>
      </c>
      <c r="C188" s="390">
        <f>dataReg1Seg3Payer3GrossRevenue-dataReg1Seg3Payer3Reimbursement</f>
        <v>145344.83040000004</v>
      </c>
      <c r="D188" s="390">
        <f>dataReg1Seg3Payer3GrossRevenue-dataReg1Seg3Payer3Reimbursement</f>
        <v>145344.83040000001</v>
      </c>
      <c r="E188" s="390">
        <f>dataReg1Seg3Payer3GrossRevenue-dataReg1Seg3Payer3Reimbursement</f>
        <v>143272.89345599999</v>
      </c>
      <c r="F188" s="390">
        <f>dataReg1Seg3Payer3GrossRevenue-dataReg1Seg3Payer3Reimbursement</f>
        <v>146103.40671696002</v>
      </c>
      <c r="G188" t="s">
        <v>712</v>
      </c>
    </row>
    <row r="189" spans="2:7">
      <c r="B189" t="s">
        <v>677</v>
      </c>
    </row>
    <row r="190" spans="2:7">
      <c r="B190" s="4" t="s">
        <v>892</v>
      </c>
    </row>
    <row r="191" spans="2:7">
      <c r="B191" s="376" t="str">
        <f>nmReg1Seg1</f>
        <v>Riverrun</v>
      </c>
      <c r="C191" s="377"/>
      <c r="D191" s="377"/>
      <c r="E191" s="377"/>
      <c r="F191" s="377"/>
    </row>
    <row r="192" spans="2:7" s="434" customFormat="1">
      <c r="B192" s="445" t="str">
        <f>nmComp1</f>
        <v>Vibrant</v>
      </c>
    </row>
    <row r="193" spans="2:7">
      <c r="B193" t="s">
        <v>779</v>
      </c>
      <c r="C193" s="380">
        <f>dataReg1Seg1TotalRecurCust*dataReg1Seg1Comp1TotalShare</f>
        <v>900.44999999999993</v>
      </c>
      <c r="D193" s="380">
        <f>dataReg1Seg1TotalRecurCust*dataReg1Seg1Comp1TotalShare</f>
        <v>912.59951999999987</v>
      </c>
      <c r="E193" s="380">
        <f>dataReg1Seg1TotalRecurCust*dataReg1Seg1Comp1TotalShare</f>
        <v>902.82166799999993</v>
      </c>
      <c r="F193" s="380">
        <f>dataReg1Seg1TotalRecurCust*dataReg1Seg1Comp1TotalShare</f>
        <v>963.47694324000008</v>
      </c>
      <c r="G193" t="s">
        <v>947</v>
      </c>
    </row>
    <row r="194" spans="2:7">
      <c r="B194" t="s">
        <v>779</v>
      </c>
      <c r="C194" s="380">
        <f>dataReg1Seg1TotalNewCust*dataReg1Seg1Comp1TotalShare</f>
        <v>30.774000000000001</v>
      </c>
      <c r="D194" s="380">
        <f>dataReg1Seg1TotalNewCust*dataReg1Seg1Comp1TotalShare</f>
        <v>18.624480000000002</v>
      </c>
      <c r="E194" s="380">
        <f>dataReg1Seg1TotalNewCust*dataReg1Seg1Comp1TotalShare</f>
        <v>90.794340000000005</v>
      </c>
      <c r="F194" s="380">
        <f>dataReg1Seg1TotalNewCust*dataReg1Seg1Comp1TotalShare</f>
        <v>134.09625599999998</v>
      </c>
      <c r="G194" t="s">
        <v>948</v>
      </c>
    </row>
    <row r="195" spans="2:7">
      <c r="B195" t="s">
        <v>13</v>
      </c>
      <c r="C195" s="380">
        <f>dataReg1Seg1Comp1RecurCust+dataReg1Seg1Comp1NewCust</f>
        <v>931.22399999999993</v>
      </c>
      <c r="D195" s="380">
        <f>dataReg1Seg1Comp1RecurCust+dataReg1Seg1Comp1NewCust</f>
        <v>931.22399999999982</v>
      </c>
      <c r="E195" s="380">
        <f>dataReg1Seg1Comp1RecurCust+dataReg1Seg1Comp1NewCust</f>
        <v>993.61600799999997</v>
      </c>
      <c r="F195" s="380">
        <f>dataReg1Seg1Comp1RecurCust+dataReg1Seg1Comp1NewCust</f>
        <v>1097.5731992400001</v>
      </c>
      <c r="G195" t="s">
        <v>949</v>
      </c>
    </row>
    <row r="196" spans="2:7">
      <c r="C196" s="380"/>
      <c r="D196" s="387"/>
      <c r="E196" s="387"/>
      <c r="F196" s="387"/>
    </row>
    <row r="197" spans="2:7">
      <c r="B197" s="4" t="s">
        <v>631</v>
      </c>
      <c r="C197" s="380"/>
      <c r="D197" s="380"/>
      <c r="E197" s="380"/>
      <c r="F197" s="380"/>
    </row>
    <row r="198" spans="2:7">
      <c r="B198" t="str">
        <f>nmPayer1</f>
        <v>Blue Sword/Blue Shield</v>
      </c>
      <c r="C198" s="382">
        <v>0.5</v>
      </c>
      <c r="D198" s="382">
        <v>0.5</v>
      </c>
      <c r="E198" s="382">
        <v>0.5</v>
      </c>
      <c r="F198" s="382">
        <v>0.5</v>
      </c>
      <c r="G198" t="s">
        <v>950</v>
      </c>
    </row>
    <row r="199" spans="2:7">
      <c r="B199" t="str">
        <f>nmPayer2</f>
        <v>WesterAid</v>
      </c>
      <c r="C199" s="382">
        <v>0.25</v>
      </c>
      <c r="D199" s="382">
        <v>0.25</v>
      </c>
      <c r="E199" s="382">
        <v>0.25</v>
      </c>
      <c r="F199" s="382">
        <v>0.25</v>
      </c>
      <c r="G199" t="s">
        <v>951</v>
      </c>
    </row>
    <row r="200" spans="2:7">
      <c r="B200" t="str">
        <f>nmPayer3</f>
        <v>Dragon Health</v>
      </c>
      <c r="C200" s="381">
        <f>1-SUM(C198:C199)</f>
        <v>0.25</v>
      </c>
      <c r="D200" s="381">
        <f>1-SUM(D198:D199)</f>
        <v>0.25</v>
      </c>
      <c r="E200" s="381">
        <f>1-SUM(E198:E199)</f>
        <v>0.25</v>
      </c>
      <c r="F200" s="381">
        <f>1-SUM(F198:F199)</f>
        <v>0.25</v>
      </c>
      <c r="G200" t="s">
        <v>952</v>
      </c>
    </row>
    <row r="202" spans="2:7">
      <c r="B202" s="4" t="s">
        <v>634</v>
      </c>
    </row>
    <row r="203" spans="2:7">
      <c r="B203" t="str">
        <f>nmPayer1</f>
        <v>Blue Sword/Blue Shield</v>
      </c>
      <c r="C203" s="380">
        <f>dataReg1Seg1Comp1TotalVolume*dataReg1Seg1Comp1Payer1Percentage</f>
        <v>465.61199999999997</v>
      </c>
      <c r="D203" s="380">
        <f>dataReg1Seg1Comp1TotalVolume*dataReg1Seg1Comp1Payer1Percentage</f>
        <v>465.61199999999991</v>
      </c>
      <c r="E203" s="380">
        <f>dataReg1Seg1Comp1TotalVolume*dataReg1Seg1Comp1Payer1Percentage</f>
        <v>496.80800399999998</v>
      </c>
      <c r="F203" s="380">
        <f>dataReg1Seg1Comp1TotalVolume*dataReg1Seg1Comp1Payer1Percentage</f>
        <v>548.78659962000006</v>
      </c>
      <c r="G203" t="s">
        <v>953</v>
      </c>
    </row>
    <row r="204" spans="2:7">
      <c r="B204" t="str">
        <f>nmPayer2</f>
        <v>WesterAid</v>
      </c>
      <c r="C204" s="380">
        <f>dataReg1Seg1Comp1TotalVolume*dataReg1Seg1Comp1Payer2Percentage</f>
        <v>232.80599999999998</v>
      </c>
      <c r="D204" s="380">
        <f>dataReg1Seg1Comp1TotalVolume*dataReg1Seg1Comp1Payer2Percentage</f>
        <v>232.80599999999995</v>
      </c>
      <c r="E204" s="380">
        <f>dataReg1Seg1Comp1TotalVolume*dataReg1Seg1Comp1Payer2Percentage</f>
        <v>248.40400199999999</v>
      </c>
      <c r="F204" s="380">
        <f>dataReg1Seg1Comp1TotalVolume*dataReg1Seg1Comp1Payer2Percentage</f>
        <v>274.39329981000003</v>
      </c>
      <c r="G204" t="s">
        <v>954</v>
      </c>
    </row>
    <row r="205" spans="2:7">
      <c r="B205" t="str">
        <f>nmPayer3</f>
        <v>Dragon Health</v>
      </c>
      <c r="C205" s="380">
        <f>dataReg1Seg1Comp1TotalVolume*dataReg1Seg1Comp1Payer3Percentage</f>
        <v>232.80599999999998</v>
      </c>
      <c r="D205" s="380">
        <f>dataReg1Seg1Comp1TotalVolume*dataReg1Seg1Comp1Payer3Percentage</f>
        <v>232.80599999999995</v>
      </c>
      <c r="E205" s="380">
        <f>dataReg1Seg1Comp1TotalVolume*dataReg1Seg1Comp1Payer3Percentage</f>
        <v>248.40400199999999</v>
      </c>
      <c r="F205" s="380">
        <f>dataReg1Seg1Comp1TotalVolume*dataReg1Seg1Comp1Payer3Percentage</f>
        <v>274.39329981000003</v>
      </c>
      <c r="G205" t="s">
        <v>955</v>
      </c>
    </row>
    <row r="207" spans="2:7" s="434" customFormat="1">
      <c r="B207" s="445" t="str">
        <f>nmComp2</f>
        <v>Pristine</v>
      </c>
    </row>
    <row r="208" spans="2:7">
      <c r="B208" t="s">
        <v>779</v>
      </c>
      <c r="C208" s="380">
        <f>dataReg1Seg1TotalRecurCust*dataReg1Seg1Comp2TotalShare</f>
        <v>2401.1999999999998</v>
      </c>
      <c r="D208" s="380">
        <f>dataReg1Seg1TotalRecurCust*dataReg1Seg1Comp2TotalShare</f>
        <v>2433.59872</v>
      </c>
      <c r="E208" s="380">
        <f>dataReg1Seg1TotalRecurCust*dataReg1Seg1Comp2TotalShare</f>
        <v>2407.5244479999997</v>
      </c>
      <c r="F208" s="380">
        <f>dataReg1Seg1TotalRecurCust*dataReg1Seg1Comp2TotalShare</f>
        <v>2569.2718486399999</v>
      </c>
      <c r="G208" t="s">
        <v>956</v>
      </c>
    </row>
    <row r="209" spans="2:7">
      <c r="B209" t="s">
        <v>779</v>
      </c>
      <c r="C209" s="380">
        <f>dataReg1Seg1TotalNewCust*dataReg1Seg1Comp2TotalShare</f>
        <v>82.063999999999993</v>
      </c>
      <c r="D209" s="380">
        <f>dataReg1Seg1TotalNewCust*dataReg1Seg1Comp2TotalShare</f>
        <v>49.665280000000003</v>
      </c>
      <c r="E209" s="380">
        <f>dataReg1Seg1TotalNewCust*dataReg1Seg1Comp2TotalShare</f>
        <v>242.11824000000001</v>
      </c>
      <c r="F209" s="380">
        <f>dataReg1Seg1TotalNewCust*dataReg1Seg1Comp2TotalShare</f>
        <v>357.59001599999993</v>
      </c>
      <c r="G209" t="s">
        <v>957</v>
      </c>
    </row>
    <row r="210" spans="2:7">
      <c r="B210" t="s">
        <v>13</v>
      </c>
      <c r="C210" s="380">
        <f>dataReg1Seg1Comp2RecurCust+dataReg1Seg1Comp2NewCust</f>
        <v>2483.2639999999997</v>
      </c>
      <c r="D210" s="380">
        <f>dataReg1Seg1Comp2RecurCust+dataReg1Seg1Comp2NewCust</f>
        <v>2483.2640000000001</v>
      </c>
      <c r="E210" s="380">
        <f>dataReg1Seg1Comp2RecurCust+dataReg1Seg1Comp2NewCust</f>
        <v>2649.6426879999999</v>
      </c>
      <c r="F210" s="380">
        <f>dataReg1Seg1Comp2RecurCust+dataReg1Seg1Comp2NewCust</f>
        <v>2926.86186464</v>
      </c>
      <c r="G210" t="s">
        <v>958</v>
      </c>
    </row>
    <row r="211" spans="2:7">
      <c r="B211" s="4" t="s">
        <v>631</v>
      </c>
      <c r="C211" s="380"/>
      <c r="D211" s="380"/>
      <c r="E211" s="380"/>
      <c r="F211" s="380"/>
    </row>
    <row r="212" spans="2:7">
      <c r="B212" t="str">
        <f>nmPayer1</f>
        <v>Blue Sword/Blue Shield</v>
      </c>
      <c r="C212" s="382">
        <v>0.5</v>
      </c>
      <c r="D212" s="382">
        <v>0.5</v>
      </c>
      <c r="E212" s="382">
        <v>0.5</v>
      </c>
      <c r="F212" s="382">
        <v>0.5</v>
      </c>
      <c r="G212" t="s">
        <v>1399</v>
      </c>
    </row>
    <row r="213" spans="2:7">
      <c r="B213" t="str">
        <f>nmPayer2</f>
        <v>WesterAid</v>
      </c>
      <c r="C213" s="382">
        <v>0.25</v>
      </c>
      <c r="D213" s="382">
        <v>0.25</v>
      </c>
      <c r="E213" s="382">
        <v>0.25</v>
      </c>
      <c r="F213" s="382">
        <v>0.25</v>
      </c>
      <c r="G213" t="s">
        <v>1400</v>
      </c>
    </row>
    <row r="214" spans="2:7">
      <c r="B214" t="str">
        <f>nmPayer3</f>
        <v>Dragon Health</v>
      </c>
      <c r="C214" s="381">
        <f>1-SUM(C212:C213)</f>
        <v>0.25</v>
      </c>
      <c r="D214" s="381">
        <f>1-SUM(D212:D213)</f>
        <v>0.25</v>
      </c>
      <c r="E214" s="381">
        <f>1-SUM(E212:E213)</f>
        <v>0.25</v>
      </c>
      <c r="F214" s="381">
        <f>1-SUM(F212:F213)</f>
        <v>0.25</v>
      </c>
      <c r="G214" t="s">
        <v>1401</v>
      </c>
    </row>
    <row r="216" spans="2:7">
      <c r="B216" s="4" t="s">
        <v>634</v>
      </c>
    </row>
    <row r="217" spans="2:7">
      <c r="B217" t="str">
        <f>nmPayer1</f>
        <v>Blue Sword/Blue Shield</v>
      </c>
      <c r="C217" s="380">
        <f>dataReg1Seg1Comp2TotalVolume*dataReg1Seg1Comp2Payer1Percentage</f>
        <v>1241.6319999999998</v>
      </c>
      <c r="D217" s="380">
        <f>dataReg1Seg1Comp2TotalVolume*dataReg1Seg1Comp2Payer1Percentage</f>
        <v>1241.6320000000001</v>
      </c>
      <c r="E217" s="380">
        <f>dataReg1Seg1Comp2TotalVolume*dataReg1Seg1Comp2Payer1Percentage</f>
        <v>1324.821344</v>
      </c>
      <c r="F217" s="380">
        <f>dataReg1Seg1Comp2TotalVolume*dataReg1Seg1Comp2Payer1Percentage</f>
        <v>1463.43093232</v>
      </c>
      <c r="G217" t="s">
        <v>1402</v>
      </c>
    </row>
    <row r="218" spans="2:7">
      <c r="B218" t="str">
        <f>nmPayer2</f>
        <v>WesterAid</v>
      </c>
      <c r="C218" s="380">
        <f>dataReg1Seg1Comp2TotalVolume*dataReg1Seg1Comp2Payer2Percentage</f>
        <v>620.81599999999992</v>
      </c>
      <c r="D218" s="380">
        <f>dataReg1Seg1Comp2TotalVolume*dataReg1Seg1Comp2Payer2Percentage</f>
        <v>620.81600000000003</v>
      </c>
      <c r="E218" s="380">
        <f>dataReg1Seg1Comp2TotalVolume*dataReg1Seg1Comp2Payer2Percentage</f>
        <v>662.41067199999998</v>
      </c>
      <c r="F218" s="380">
        <f>dataReg1Seg1Comp2TotalVolume*dataReg1Seg1Comp2Payer2Percentage</f>
        <v>731.71546616000001</v>
      </c>
      <c r="G218" t="s">
        <v>1403</v>
      </c>
    </row>
    <row r="219" spans="2:7">
      <c r="B219" t="str">
        <f>nmPayer3</f>
        <v>Dragon Health</v>
      </c>
      <c r="C219" s="380">
        <f>dataReg1Seg1Comp2TotalVolume*dataReg1Seg1Comp2Payer3Percentage</f>
        <v>620.81599999999992</v>
      </c>
      <c r="D219" s="380">
        <f>dataReg1Seg1Comp2TotalVolume*dataReg1Seg1Comp2Payer3Percentage</f>
        <v>620.81600000000003</v>
      </c>
      <c r="E219" s="380">
        <f>dataReg1Seg1Comp2TotalVolume*dataReg1Seg1Comp2Payer3Percentage</f>
        <v>662.41067199999998</v>
      </c>
      <c r="F219" s="380">
        <f>dataReg1Seg1Comp2TotalVolume*dataReg1Seg1Comp2Payer3Percentage</f>
        <v>731.71546616000001</v>
      </c>
      <c r="G219" t="s">
        <v>1404</v>
      </c>
    </row>
    <row r="221" spans="2:7">
      <c r="C221" s="380"/>
      <c r="D221" s="387"/>
      <c r="E221" s="387"/>
      <c r="F221" s="387"/>
    </row>
    <row r="222" spans="2:7">
      <c r="B222" s="376" t="str">
        <f>nmReg1Seg2</f>
        <v>Winterfell</v>
      </c>
      <c r="C222" s="377"/>
      <c r="D222" s="377"/>
      <c r="E222" s="377"/>
      <c r="F222" s="377"/>
    </row>
    <row r="223" spans="2:7" s="434" customFormat="1">
      <c r="B223" s="445" t="str">
        <f>nmComp1</f>
        <v>Vibrant</v>
      </c>
    </row>
    <row r="224" spans="2:7">
      <c r="B224" t="s">
        <v>779</v>
      </c>
      <c r="C224" s="380">
        <f>dataReg1Seg2TotalRecurCust*dataReg1Seg2Comp1TotalShare</f>
        <v>669.3</v>
      </c>
      <c r="D224" s="380">
        <f>dataReg1Seg2TotalRecurCust*dataReg1Seg2Comp1TotalShare</f>
        <v>686.11985400000003</v>
      </c>
      <c r="E224" s="380">
        <f>dataReg1Seg2TotalRecurCust*dataReg1Seg2Comp1TotalShare</f>
        <v>686.11985400000003</v>
      </c>
      <c r="F224" s="380">
        <f>dataReg1Seg2TotalRecurCust*dataReg1Seg2Comp1TotalShare</f>
        <v>775.31543502</v>
      </c>
      <c r="G224" t="s">
        <v>1041</v>
      </c>
    </row>
    <row r="225" spans="2:7">
      <c r="B225" t="s">
        <v>779</v>
      </c>
      <c r="C225" s="380">
        <f>dataReg1Seg2TotalNewCust*dataReg1Seg2Comp1TotalShare</f>
        <v>30.822299999999998</v>
      </c>
      <c r="D225" s="380">
        <f>dataReg1Seg2TotalNewCust*dataReg1Seg2Comp1TotalShare</f>
        <v>14.002446000000001</v>
      </c>
      <c r="E225" s="380">
        <f>dataReg1Seg2TotalNewCust*dataReg1Seg2Comp1TotalShare</f>
        <v>105.018345</v>
      </c>
      <c r="F225" s="380">
        <f>dataReg1Seg2TotalNewCust*dataReg1Seg2Comp1TotalShare</f>
        <v>118.67072985</v>
      </c>
      <c r="G225" t="s">
        <v>1042</v>
      </c>
    </row>
    <row r="226" spans="2:7">
      <c r="B226" t="s">
        <v>13</v>
      </c>
      <c r="C226" s="380">
        <f>dataReg1Seg2Comp1RecurCust+dataReg1Seg2Comp1NewCust</f>
        <v>700.1223</v>
      </c>
      <c r="D226" s="380">
        <f>dataReg1Seg2Comp1RecurCust+dataReg1Seg2Comp1NewCust</f>
        <v>700.1223</v>
      </c>
      <c r="E226" s="380">
        <f>dataReg1Seg2Comp1RecurCust+dataReg1Seg2Comp1NewCust</f>
        <v>791.13819899999999</v>
      </c>
      <c r="F226" s="380">
        <f>dataReg1Seg2Comp1RecurCust+dataReg1Seg2Comp1NewCust</f>
        <v>893.98616487000004</v>
      </c>
      <c r="G226" t="s">
        <v>1043</v>
      </c>
    </row>
    <row r="227" spans="2:7">
      <c r="C227" s="380"/>
      <c r="D227" s="387"/>
      <c r="E227" s="387"/>
      <c r="F227" s="387"/>
    </row>
    <row r="228" spans="2:7">
      <c r="B228" s="4" t="s">
        <v>631</v>
      </c>
      <c r="C228" s="380"/>
      <c r="D228" s="380"/>
      <c r="E228" s="380"/>
      <c r="F228" s="380"/>
    </row>
    <row r="229" spans="2:7">
      <c r="B229" t="str">
        <f>nmPayer1</f>
        <v>Blue Sword/Blue Shield</v>
      </c>
      <c r="C229" s="382">
        <v>0.5</v>
      </c>
      <c r="D229" s="382">
        <v>0.5</v>
      </c>
      <c r="E229" s="382">
        <v>0.5</v>
      </c>
      <c r="F229" s="382">
        <v>0.5</v>
      </c>
      <c r="G229" t="s">
        <v>1044</v>
      </c>
    </row>
    <row r="230" spans="2:7">
      <c r="B230" t="str">
        <f>nmPayer2</f>
        <v>WesterAid</v>
      </c>
      <c r="C230" s="382">
        <v>0.25</v>
      </c>
      <c r="D230" s="382">
        <v>0.25</v>
      </c>
      <c r="E230" s="382">
        <v>0.25</v>
      </c>
      <c r="F230" s="382">
        <v>0.25</v>
      </c>
      <c r="G230" t="s">
        <v>1045</v>
      </c>
    </row>
    <row r="231" spans="2:7">
      <c r="B231" t="str">
        <f>nmPayer3</f>
        <v>Dragon Health</v>
      </c>
      <c r="C231" s="381">
        <f>1-SUM(C229:C230)</f>
        <v>0.25</v>
      </c>
      <c r="D231" s="381">
        <f>1-SUM(D229:D230)</f>
        <v>0.25</v>
      </c>
      <c r="E231" s="381">
        <f>1-SUM(E229:E230)</f>
        <v>0.25</v>
      </c>
      <c r="F231" s="381">
        <f>1-SUM(F229:F230)</f>
        <v>0.25</v>
      </c>
      <c r="G231" t="s">
        <v>1046</v>
      </c>
    </row>
    <row r="233" spans="2:7">
      <c r="B233" s="4" t="s">
        <v>634</v>
      </c>
    </row>
    <row r="234" spans="2:7">
      <c r="B234" t="str">
        <f>nmPayer1</f>
        <v>Blue Sword/Blue Shield</v>
      </c>
      <c r="C234" s="380">
        <f>dataReg1Seg2Comp1TotalVolume*dataReg1Seg2Comp1Payer1Percentage</f>
        <v>350.06115</v>
      </c>
      <c r="D234" s="380">
        <f>dataReg1Seg2Comp1TotalVolume*dataReg1Seg2Comp1Payer1Percentage</f>
        <v>350.06115</v>
      </c>
      <c r="E234" s="380">
        <f>dataReg1Seg2Comp1TotalVolume*dataReg1Seg2Comp1Payer1Percentage</f>
        <v>395.56909949999999</v>
      </c>
      <c r="F234" s="380">
        <f>dataReg1Seg2Comp1TotalVolume*dataReg1Seg2Comp1Payer1Percentage</f>
        <v>446.99308243500002</v>
      </c>
      <c r="G234" t="s">
        <v>1047</v>
      </c>
    </row>
    <row r="235" spans="2:7">
      <c r="B235" t="str">
        <f>nmPayer2</f>
        <v>WesterAid</v>
      </c>
      <c r="C235" s="380">
        <f>dataReg1Seg2Comp1TotalVolume*dataReg1Seg2Comp1Payer2Percentage</f>
        <v>175.030575</v>
      </c>
      <c r="D235" s="380">
        <f>dataReg1Seg2Comp1TotalVolume*dataReg1Seg2Comp1Payer2Percentage</f>
        <v>175.030575</v>
      </c>
      <c r="E235" s="380">
        <f>dataReg1Seg2Comp1TotalVolume*dataReg1Seg2Comp1Payer2Percentage</f>
        <v>197.78454975</v>
      </c>
      <c r="F235" s="380">
        <f>dataReg1Seg2Comp1TotalVolume*dataReg1Seg2Comp1Payer2Percentage</f>
        <v>223.49654121750001</v>
      </c>
      <c r="G235" t="s">
        <v>1048</v>
      </c>
    </row>
    <row r="236" spans="2:7">
      <c r="B236" t="str">
        <f>nmPayer3</f>
        <v>Dragon Health</v>
      </c>
      <c r="C236" s="380">
        <f>dataReg1Seg2Comp1TotalVolume*dataReg1Seg2Comp1Payer3Percentage</f>
        <v>175.030575</v>
      </c>
      <c r="D236" s="380">
        <f>dataReg1Seg2Comp1TotalVolume*dataReg1Seg2Comp1Payer3Percentage</f>
        <v>175.030575</v>
      </c>
      <c r="E236" s="380">
        <f>dataReg1Seg2Comp1TotalVolume*dataReg1Seg2Comp1Payer3Percentage</f>
        <v>197.78454975</v>
      </c>
      <c r="F236" s="380">
        <f>dataReg1Seg2Comp1TotalVolume*dataReg1Seg2Comp1Payer3Percentage</f>
        <v>223.49654121750001</v>
      </c>
      <c r="G236" t="s">
        <v>1049</v>
      </c>
    </row>
    <row r="238" spans="2:7" s="434" customFormat="1">
      <c r="B238" s="445" t="str">
        <f>nmComp2</f>
        <v>Pristine</v>
      </c>
    </row>
    <row r="239" spans="2:7">
      <c r="B239" t="s">
        <v>779</v>
      </c>
      <c r="C239" s="380">
        <f>dataReg1Seg2TotalRecurCust*dataReg1Seg2Comp2TotalShare</f>
        <v>1784.8</v>
      </c>
      <c r="D239" s="380">
        <f>dataReg1Seg2TotalRecurCust*dataReg1Seg2Comp2TotalShare</f>
        <v>1829.6529439999999</v>
      </c>
      <c r="E239" s="380">
        <f>dataReg1Seg2TotalRecurCust*dataReg1Seg2Comp2TotalShare</f>
        <v>1829.6529439999999</v>
      </c>
      <c r="F239" s="380">
        <f>dataReg1Seg2TotalRecurCust*dataReg1Seg2Comp2TotalShare</f>
        <v>2067.5078267200001</v>
      </c>
      <c r="G239" t="s">
        <v>1050</v>
      </c>
    </row>
    <row r="240" spans="2:7">
      <c r="B240" t="s">
        <v>779</v>
      </c>
      <c r="C240" s="380">
        <f>dataReg1Seg2TotalNewCust*dataReg1Seg2Comp2TotalShare</f>
        <v>82.192800000000005</v>
      </c>
      <c r="D240" s="380">
        <f>dataReg1Seg2TotalNewCust*dataReg1Seg2Comp2TotalShare</f>
        <v>37.339856000000005</v>
      </c>
      <c r="E240" s="380">
        <f>dataReg1Seg2TotalNewCust*dataReg1Seg2Comp2TotalShare</f>
        <v>280.04892000000001</v>
      </c>
      <c r="F240" s="380">
        <f>dataReg1Seg2TotalNewCust*dataReg1Seg2Comp2TotalShare</f>
        <v>316.45527960000004</v>
      </c>
      <c r="G240" t="s">
        <v>1051</v>
      </c>
    </row>
    <row r="241" spans="2:7">
      <c r="B241" t="s">
        <v>13</v>
      </c>
      <c r="C241" s="380">
        <f>dataReg1Seg2Comp2RecurCust+dataReg1Seg2Comp2NewCust</f>
        <v>1866.9928</v>
      </c>
      <c r="D241" s="380">
        <f>dataReg1Seg2Comp2RecurCust+dataReg1Seg2Comp2NewCust</f>
        <v>1866.9928</v>
      </c>
      <c r="E241" s="380">
        <f>dataReg1Seg2Comp2RecurCust+dataReg1Seg2Comp2NewCust</f>
        <v>2109.7018640000001</v>
      </c>
      <c r="F241" s="380">
        <f>dataReg1Seg2Comp2RecurCust+dataReg1Seg2Comp2NewCust</f>
        <v>2383.9631063200004</v>
      </c>
      <c r="G241" t="s">
        <v>1052</v>
      </c>
    </row>
    <row r="242" spans="2:7">
      <c r="B242" s="4" t="s">
        <v>631</v>
      </c>
      <c r="C242" s="380"/>
      <c r="D242" s="380"/>
      <c r="E242" s="380"/>
      <c r="F242" s="380"/>
    </row>
    <row r="243" spans="2:7">
      <c r="B243" t="str">
        <f>nmPayer1</f>
        <v>Blue Sword/Blue Shield</v>
      </c>
      <c r="C243" s="382">
        <v>0.5</v>
      </c>
      <c r="D243" s="382">
        <v>0.5</v>
      </c>
      <c r="E243" s="382">
        <v>0.5</v>
      </c>
      <c r="F243" s="382">
        <v>0.5</v>
      </c>
      <c r="G243" t="s">
        <v>1405</v>
      </c>
    </row>
    <row r="244" spans="2:7">
      <c r="B244" t="str">
        <f>nmPayer2</f>
        <v>WesterAid</v>
      </c>
      <c r="C244" s="382">
        <v>0.25</v>
      </c>
      <c r="D244" s="382">
        <v>0.25</v>
      </c>
      <c r="E244" s="382">
        <v>0.25</v>
      </c>
      <c r="F244" s="382">
        <v>0.25</v>
      </c>
      <c r="G244" t="s">
        <v>1406</v>
      </c>
    </row>
    <row r="245" spans="2:7">
      <c r="B245" t="str">
        <f>nmPayer3</f>
        <v>Dragon Health</v>
      </c>
      <c r="C245" s="381">
        <f>1-SUM(C243:C244)</f>
        <v>0.25</v>
      </c>
      <c r="D245" s="381">
        <f>1-SUM(D243:D244)</f>
        <v>0.25</v>
      </c>
      <c r="E245" s="381">
        <f>1-SUM(E243:E244)</f>
        <v>0.25</v>
      </c>
      <c r="F245" s="381">
        <f>1-SUM(F243:F244)</f>
        <v>0.25</v>
      </c>
      <c r="G245" t="s">
        <v>1407</v>
      </c>
    </row>
    <row r="247" spans="2:7">
      <c r="B247" s="4" t="s">
        <v>634</v>
      </c>
    </row>
    <row r="248" spans="2:7">
      <c r="B248" t="str">
        <f>nmPayer1</f>
        <v>Blue Sword/Blue Shield</v>
      </c>
      <c r="C248" s="380">
        <f>dataReg1Seg2Comp2TotalVolume*dataReg1Seg2Comp2Payer1Percentage</f>
        <v>933.49639999999999</v>
      </c>
      <c r="D248" s="380">
        <f>dataReg1Seg2Comp2TotalVolume*dataReg1Seg2Comp2Payer1Percentage</f>
        <v>933.49639999999999</v>
      </c>
      <c r="E248" s="380">
        <f>dataReg1Seg2Comp2TotalVolume*dataReg1Seg2Comp2Payer1Percentage</f>
        <v>1054.8509320000001</v>
      </c>
      <c r="F248" s="380">
        <f>dataReg1Seg2Comp2TotalVolume*dataReg1Seg2Comp2Payer1Percentage</f>
        <v>1191.9815531600002</v>
      </c>
      <c r="G248" t="s">
        <v>1408</v>
      </c>
    </row>
    <row r="249" spans="2:7">
      <c r="B249" t="str">
        <f>nmPayer2</f>
        <v>WesterAid</v>
      </c>
      <c r="C249" s="380">
        <f>dataReg1Seg2Comp2TotalVolume*dataReg1Seg2Comp2Payer2Percentage</f>
        <v>466.7482</v>
      </c>
      <c r="D249" s="380">
        <f>dataReg1Seg2Comp2TotalVolume*dataReg1Seg2Comp2Payer2Percentage</f>
        <v>466.7482</v>
      </c>
      <c r="E249" s="380">
        <f>dataReg1Seg2Comp2TotalVolume*dataReg1Seg2Comp2Payer2Percentage</f>
        <v>527.42546600000003</v>
      </c>
      <c r="F249" s="380">
        <f>dataReg1Seg2Comp2TotalVolume*dataReg1Seg2Comp2Payer2Percentage</f>
        <v>595.9907765800001</v>
      </c>
      <c r="G249" t="s">
        <v>1409</v>
      </c>
    </row>
    <row r="250" spans="2:7">
      <c r="B250" t="str">
        <f>nmPayer3</f>
        <v>Dragon Health</v>
      </c>
      <c r="C250" s="380">
        <f>dataReg1Seg2Comp2TotalVolume*dataReg1Seg2Comp2Payer3Percentage</f>
        <v>466.7482</v>
      </c>
      <c r="D250" s="380">
        <f>dataReg1Seg2Comp2TotalVolume*dataReg1Seg2Comp2Payer3Percentage</f>
        <v>466.7482</v>
      </c>
      <c r="E250" s="380">
        <f>dataReg1Seg2Comp2TotalVolume*dataReg1Seg2Comp2Payer3Percentage</f>
        <v>527.42546600000003</v>
      </c>
      <c r="F250" s="380">
        <f>dataReg1Seg2Comp2TotalVolume*dataReg1Seg2Comp2Payer3Percentage</f>
        <v>595.9907765800001</v>
      </c>
      <c r="G250" t="s">
        <v>1410</v>
      </c>
    </row>
    <row r="252" spans="2:7">
      <c r="C252" s="380"/>
      <c r="D252" s="387"/>
      <c r="E252" s="387"/>
      <c r="F252" s="387"/>
    </row>
    <row r="253" spans="2:7">
      <c r="B253" s="376" t="str">
        <f>nmReg1Seg3</f>
        <v>Harrenhal</v>
      </c>
      <c r="C253" s="377"/>
      <c r="D253" s="377"/>
      <c r="E253" s="377"/>
      <c r="F253" s="377"/>
    </row>
    <row r="254" spans="2:7" s="434" customFormat="1">
      <c r="B254" s="445" t="str">
        <f>nmComp1</f>
        <v>Vibrant</v>
      </c>
    </row>
    <row r="255" spans="2:7">
      <c r="B255" t="s">
        <v>779</v>
      </c>
      <c r="C255" s="380">
        <f>dataReg1Seg3TotalRecurCust*dataReg1Seg3Comp1TotalShare</f>
        <v>1041.9000000000001</v>
      </c>
      <c r="D255" s="380">
        <f>dataReg1Seg3TotalRecurCust*dataReg1Seg3Comp1TotalShare</f>
        <v>1056.1162080000001</v>
      </c>
      <c r="E255" s="380">
        <f>dataReg1Seg3TotalRecurCust*dataReg1Seg3Comp1TotalShare</f>
        <v>1056.1162080000001</v>
      </c>
      <c r="F255" s="380">
        <f>dataReg1Seg3TotalRecurCust*dataReg1Seg3Comp1TotalShare</f>
        <v>1193.4113150400001</v>
      </c>
      <c r="G255" t="s">
        <v>1029</v>
      </c>
    </row>
    <row r="256" spans="2:7">
      <c r="B256" t="s">
        <v>779</v>
      </c>
      <c r="C256" s="380">
        <f>dataReg1Seg3TotalNewCust*dataReg1Seg3Comp1TotalShare</f>
        <v>35.769599999999997</v>
      </c>
      <c r="D256" s="380">
        <f>dataReg1Seg3TotalNewCust*dataReg1Seg3Comp1TotalShare</f>
        <v>21.553392000000002</v>
      </c>
      <c r="E256" s="380">
        <f>dataReg1Seg3TotalNewCust*dataReg1Seg3Comp1TotalShare</f>
        <v>161.65043999999997</v>
      </c>
      <c r="F256" s="380">
        <f>dataReg1Seg3TotalNewCust*dataReg1Seg3Comp1TotalShare</f>
        <v>182.66499720000002</v>
      </c>
      <c r="G256" t="s">
        <v>1030</v>
      </c>
    </row>
    <row r="257" spans="2:7">
      <c r="B257" t="s">
        <v>13</v>
      </c>
      <c r="C257" s="380">
        <f>dataReg1Seg3Comp1RecurCust+dataReg1Seg3Comp1NewCust</f>
        <v>1077.6696000000002</v>
      </c>
      <c r="D257" s="380">
        <f>dataReg1Seg3Comp1RecurCust+dataReg1Seg3Comp1NewCust</f>
        <v>1077.6696000000002</v>
      </c>
      <c r="E257" s="380">
        <f>dataReg1Seg3Comp1RecurCust+dataReg1Seg3Comp1NewCust</f>
        <v>1217.766648</v>
      </c>
      <c r="F257" s="380">
        <f>dataReg1Seg3Comp1RecurCust+dataReg1Seg3Comp1NewCust</f>
        <v>1376.0763122400001</v>
      </c>
      <c r="G257" t="s">
        <v>1031</v>
      </c>
    </row>
    <row r="258" spans="2:7">
      <c r="C258" s="380"/>
      <c r="D258" s="387"/>
      <c r="E258" s="387"/>
      <c r="F258" s="387"/>
    </row>
    <row r="259" spans="2:7">
      <c r="B259" s="4" t="s">
        <v>631</v>
      </c>
      <c r="C259" s="380"/>
      <c r="D259" s="380"/>
      <c r="E259" s="380"/>
      <c r="F259" s="380"/>
    </row>
    <row r="260" spans="2:7">
      <c r="B260" t="str">
        <f>nmPayer1</f>
        <v>Blue Sword/Blue Shield</v>
      </c>
      <c r="C260" s="382">
        <v>0.5</v>
      </c>
      <c r="D260" s="382">
        <v>0.5</v>
      </c>
      <c r="E260" s="382">
        <v>0.5</v>
      </c>
      <c r="F260" s="382">
        <v>0.5</v>
      </c>
      <c r="G260" t="s">
        <v>1032</v>
      </c>
    </row>
    <row r="261" spans="2:7">
      <c r="B261" t="str">
        <f>nmPayer2</f>
        <v>WesterAid</v>
      </c>
      <c r="C261" s="382">
        <v>0.25</v>
      </c>
      <c r="D261" s="382">
        <v>0.25</v>
      </c>
      <c r="E261" s="382">
        <v>0.25</v>
      </c>
      <c r="F261" s="382">
        <v>0.25</v>
      </c>
      <c r="G261" t="s">
        <v>1033</v>
      </c>
    </row>
    <row r="262" spans="2:7">
      <c r="B262" t="str">
        <f>nmPayer3</f>
        <v>Dragon Health</v>
      </c>
      <c r="C262" s="381">
        <f>1-SUM(C260:C261)</f>
        <v>0.25</v>
      </c>
      <c r="D262" s="381">
        <f>1-SUM(D260:D261)</f>
        <v>0.25</v>
      </c>
      <c r="E262" s="381">
        <f>1-SUM(E260:E261)</f>
        <v>0.25</v>
      </c>
      <c r="F262" s="381">
        <f>1-SUM(F260:F261)</f>
        <v>0.25</v>
      </c>
      <c r="G262" t="s">
        <v>1034</v>
      </c>
    </row>
    <row r="264" spans="2:7">
      <c r="B264" s="4" t="s">
        <v>634</v>
      </c>
    </row>
    <row r="265" spans="2:7">
      <c r="B265" t="str">
        <f>nmPayer1</f>
        <v>Blue Sword/Blue Shield</v>
      </c>
      <c r="C265" s="380">
        <f>dataReg1Seg3Comp1TotalVolume*dataReg1Seg3Comp1Payer1Percentage</f>
        <v>538.83480000000009</v>
      </c>
      <c r="D265" s="380">
        <f>dataReg1Seg3Comp1TotalVolume*dataReg1Seg3Comp1Payer1Percentage</f>
        <v>538.83480000000009</v>
      </c>
      <c r="E265" s="380">
        <f>dataReg1Seg3Comp1TotalVolume*dataReg1Seg3Comp1Payer1Percentage</f>
        <v>608.88332400000002</v>
      </c>
      <c r="F265" s="380">
        <f>dataReg1Seg3Comp1TotalVolume*dataReg1Seg3Comp1Payer1Percentage</f>
        <v>688.03815612000005</v>
      </c>
      <c r="G265" t="s">
        <v>1035</v>
      </c>
    </row>
    <row r="266" spans="2:7">
      <c r="B266" t="str">
        <f>nmPayer2</f>
        <v>WesterAid</v>
      </c>
      <c r="C266" s="380">
        <f>dataReg1Seg3Comp1TotalVolume*dataReg1Seg3Comp1Payer2Percentage</f>
        <v>269.41740000000004</v>
      </c>
      <c r="D266" s="380">
        <f>dataReg1Seg3Comp1TotalVolume*dataReg1Seg3Comp1Payer2Percentage</f>
        <v>269.41740000000004</v>
      </c>
      <c r="E266" s="380">
        <f>dataReg1Seg3Comp1TotalVolume*dataReg1Seg3Comp1Payer2Percentage</f>
        <v>304.44166200000001</v>
      </c>
      <c r="F266" s="380">
        <f>dataReg1Seg3Comp1TotalVolume*dataReg1Seg3Comp1Payer2Percentage</f>
        <v>344.01907806000003</v>
      </c>
      <c r="G266" t="s">
        <v>1036</v>
      </c>
    </row>
    <row r="267" spans="2:7">
      <c r="B267" t="str">
        <f>nmPayer3</f>
        <v>Dragon Health</v>
      </c>
      <c r="C267" s="380">
        <f>dataReg1Seg3Comp1TotalVolume*dataReg1Seg3Comp1Payer3Percentage</f>
        <v>269.41740000000004</v>
      </c>
      <c r="D267" s="380">
        <f>dataReg1Seg3Comp1TotalVolume*dataReg1Seg3Comp1Payer3Percentage</f>
        <v>269.41740000000004</v>
      </c>
      <c r="E267" s="380">
        <f>dataReg1Seg3Comp1TotalVolume*dataReg1Seg3Comp1Payer3Percentage</f>
        <v>304.44166200000001</v>
      </c>
      <c r="F267" s="380">
        <f>dataReg1Seg3Comp1TotalVolume*dataReg1Seg3Comp1Payer3Percentage</f>
        <v>344.01907806000003</v>
      </c>
      <c r="G267" t="s">
        <v>1037</v>
      </c>
    </row>
    <row r="269" spans="2:7" s="434" customFormat="1">
      <c r="B269" s="445" t="str">
        <f>nmComp2</f>
        <v>Pristine</v>
      </c>
    </row>
    <row r="270" spans="2:7">
      <c r="B270" t="s">
        <v>779</v>
      </c>
      <c r="C270" s="380">
        <f>dataReg1Seg3TotalRecurCust*dataReg1Seg3Comp2TotalShare</f>
        <v>2778.4</v>
      </c>
      <c r="D270" s="380">
        <f>dataReg1Seg3TotalRecurCust*dataReg1Seg3Comp2TotalShare</f>
        <v>2816.3098880000002</v>
      </c>
      <c r="E270" s="380">
        <f>dataReg1Seg3TotalRecurCust*dataReg1Seg3Comp2TotalShare</f>
        <v>2816.3098880000002</v>
      </c>
      <c r="F270" s="380">
        <f>dataReg1Seg3TotalRecurCust*dataReg1Seg3Comp2TotalShare</f>
        <v>3182.4301734400005</v>
      </c>
      <c r="G270" t="s">
        <v>1038</v>
      </c>
    </row>
    <row r="271" spans="2:7">
      <c r="B271" t="s">
        <v>779</v>
      </c>
      <c r="C271" s="380">
        <f>dataReg1Seg3TotalNewCust*dataReg1Seg3Comp2TotalShare</f>
        <v>95.385599999999997</v>
      </c>
      <c r="D271" s="380">
        <f>dataReg1Seg3TotalNewCust*dataReg1Seg3Comp2TotalShare</f>
        <v>57.475712000000001</v>
      </c>
      <c r="E271" s="380">
        <f>dataReg1Seg3TotalNewCust*dataReg1Seg3Comp2TotalShare</f>
        <v>431.06783999999999</v>
      </c>
      <c r="F271" s="380">
        <f>dataReg1Seg3TotalNewCust*dataReg1Seg3Comp2TotalShare</f>
        <v>487.10665920000002</v>
      </c>
      <c r="G271" t="s">
        <v>1039</v>
      </c>
    </row>
    <row r="272" spans="2:7">
      <c r="B272" t="s">
        <v>13</v>
      </c>
      <c r="C272" s="380">
        <f>dataReg1Seg3Comp2RecurCust+dataReg1Seg3Comp2NewCust</f>
        <v>2873.7856000000002</v>
      </c>
      <c r="D272" s="380">
        <f>dataReg1Seg3Comp2RecurCust+dataReg1Seg3Comp2NewCust</f>
        <v>2873.7856000000002</v>
      </c>
      <c r="E272" s="380">
        <f>dataReg1Seg3Comp2RecurCust+dataReg1Seg3Comp2NewCust</f>
        <v>3247.3777280000004</v>
      </c>
      <c r="F272" s="380">
        <f>dataReg1Seg3Comp2RecurCust+dataReg1Seg3Comp2NewCust</f>
        <v>3669.5368326400007</v>
      </c>
      <c r="G272" t="s">
        <v>1040</v>
      </c>
    </row>
    <row r="273" spans="2:7">
      <c r="C273" s="380"/>
      <c r="D273" s="387"/>
      <c r="E273" s="387"/>
      <c r="F273" s="387"/>
    </row>
    <row r="274" spans="2:7">
      <c r="B274" s="4" t="s">
        <v>631</v>
      </c>
      <c r="C274" s="380"/>
      <c r="D274" s="380"/>
      <c r="E274" s="380"/>
      <c r="F274" s="380"/>
    </row>
    <row r="275" spans="2:7">
      <c r="B275" t="str">
        <f>nmPayer1</f>
        <v>Blue Sword/Blue Shield</v>
      </c>
      <c r="C275" s="382">
        <v>0.5</v>
      </c>
      <c r="D275" s="382">
        <v>0.5</v>
      </c>
      <c r="E275" s="382">
        <v>0.5</v>
      </c>
      <c r="F275" s="382">
        <v>0.5</v>
      </c>
      <c r="G275" t="s">
        <v>1411</v>
      </c>
    </row>
    <row r="276" spans="2:7">
      <c r="B276" t="str">
        <f>nmPayer2</f>
        <v>WesterAid</v>
      </c>
      <c r="C276" s="382">
        <v>0.25</v>
      </c>
      <c r="D276" s="382">
        <v>0.25</v>
      </c>
      <c r="E276" s="382">
        <v>0.25</v>
      </c>
      <c r="F276" s="382">
        <v>0.25</v>
      </c>
      <c r="G276" t="s">
        <v>1412</v>
      </c>
    </row>
    <row r="277" spans="2:7">
      <c r="B277" t="str">
        <f>nmPayer3</f>
        <v>Dragon Health</v>
      </c>
      <c r="C277" s="381">
        <f>1-SUM(C275:C276)</f>
        <v>0.25</v>
      </c>
      <c r="D277" s="381">
        <f>1-SUM(D275:D276)</f>
        <v>0.25</v>
      </c>
      <c r="E277" s="381">
        <f>1-SUM(E275:E276)</f>
        <v>0.25</v>
      </c>
      <c r="F277" s="381">
        <f>1-SUM(F275:F276)</f>
        <v>0.25</v>
      </c>
      <c r="G277" t="s">
        <v>1413</v>
      </c>
    </row>
    <row r="279" spans="2:7">
      <c r="B279" s="4" t="s">
        <v>634</v>
      </c>
    </row>
    <row r="280" spans="2:7">
      <c r="B280" t="str">
        <f>nmPayer1</f>
        <v>Blue Sword/Blue Shield</v>
      </c>
      <c r="C280" s="380">
        <f>dataReg1Seg3Comp2TotalVolume*dataReg1Seg3Comp2Payer1Percentage</f>
        <v>1436.8928000000001</v>
      </c>
      <c r="D280" s="380">
        <f>dataReg1Seg3Comp2TotalVolume*dataReg1Seg3Comp2Payer1Percentage</f>
        <v>1436.8928000000001</v>
      </c>
      <c r="E280" s="380">
        <f>dataReg1Seg3Comp2TotalVolume*dataReg1Seg3Comp2Payer1Percentage</f>
        <v>1623.6888640000002</v>
      </c>
      <c r="F280" s="380">
        <f>dataReg1Seg3Comp2TotalVolume*dataReg1Seg3Comp2Payer1Percentage</f>
        <v>1834.7684163200004</v>
      </c>
      <c r="G280" t="s">
        <v>1414</v>
      </c>
    </row>
    <row r="281" spans="2:7">
      <c r="B281" t="str">
        <f>nmPayer2</f>
        <v>WesterAid</v>
      </c>
      <c r="C281" s="380">
        <f>dataReg1Seg3Comp2TotalVolume*dataReg1Seg3Comp2Payer2Percentage</f>
        <v>718.44640000000004</v>
      </c>
      <c r="D281" s="380">
        <f>dataReg1Seg3Comp2TotalVolume*dataReg1Seg3Comp2Payer2Percentage</f>
        <v>718.44640000000004</v>
      </c>
      <c r="E281" s="380">
        <f>dataReg1Seg3Comp2TotalVolume*dataReg1Seg3Comp2Payer2Percentage</f>
        <v>811.8444320000001</v>
      </c>
      <c r="F281" s="380">
        <f>dataReg1Seg3Comp2TotalVolume*dataReg1Seg3Comp2Payer2Percentage</f>
        <v>917.38420816000018</v>
      </c>
      <c r="G281" t="s">
        <v>1415</v>
      </c>
    </row>
    <row r="282" spans="2:7">
      <c r="B282" t="str">
        <f>nmPayer3</f>
        <v>Dragon Health</v>
      </c>
      <c r="C282" s="380">
        <f>dataReg1Seg3Comp2TotalVolume*dataReg1Seg3Comp2Payer3Percentage</f>
        <v>718.44640000000004</v>
      </c>
      <c r="D282" s="380">
        <f>dataReg1Seg3Comp2TotalVolume*dataReg1Seg3Comp2Payer3Percentage</f>
        <v>718.44640000000004</v>
      </c>
      <c r="E282" s="380">
        <f>dataReg1Seg3Comp2TotalVolume*dataReg1Seg3Comp2Payer3Percentage</f>
        <v>811.8444320000001</v>
      </c>
      <c r="F282" s="380">
        <f>dataReg1Seg3Comp2TotalVolume*dataReg1Seg3Comp2Payer3Percentage</f>
        <v>917.38420816000018</v>
      </c>
      <c r="G282" t="s">
        <v>1416</v>
      </c>
    </row>
    <row r="284" spans="2:7">
      <c r="B284" t="s">
        <v>1095</v>
      </c>
    </row>
    <row r="285" spans="2:7">
      <c r="B285" s="4" t="s">
        <v>1095</v>
      </c>
    </row>
    <row r="286" spans="2:7">
      <c r="B286" s="4" t="str">
        <f>nmReg1Seg1</f>
        <v>Riverrun</v>
      </c>
      <c r="C286" t="s">
        <v>677</v>
      </c>
    </row>
    <row r="287" spans="2:7">
      <c r="B287" t="str">
        <f>nmPayer1</f>
        <v>Blue Sword/Blue Shield</v>
      </c>
      <c r="C287" s="432">
        <v>0.3</v>
      </c>
      <c r="D287" s="432">
        <v>0.3</v>
      </c>
      <c r="E287" s="432">
        <v>0.3</v>
      </c>
      <c r="F287" s="432">
        <v>0.3</v>
      </c>
      <c r="G287" t="s">
        <v>2834</v>
      </c>
    </row>
    <row r="288" spans="2:7">
      <c r="B288" t="str">
        <f>nmPayer2</f>
        <v>WesterAid</v>
      </c>
      <c r="C288" s="432">
        <v>0.23</v>
      </c>
      <c r="D288" s="432">
        <v>0.23</v>
      </c>
      <c r="E288" s="432">
        <v>0.23</v>
      </c>
      <c r="F288" s="432">
        <v>0.23</v>
      </c>
      <c r="G288" t="s">
        <v>2835</v>
      </c>
    </row>
    <row r="289" spans="2:7">
      <c r="B289" t="str">
        <f>nmPayer3</f>
        <v>Dragon Health</v>
      </c>
      <c r="C289" s="432">
        <v>0.21</v>
      </c>
      <c r="D289" s="432">
        <v>0.21</v>
      </c>
      <c r="E289" s="432">
        <v>0.21</v>
      </c>
      <c r="F289" s="432">
        <v>0.21</v>
      </c>
      <c r="G289" t="s">
        <v>2836</v>
      </c>
    </row>
    <row r="290" spans="2:7">
      <c r="B290" t="s">
        <v>157</v>
      </c>
      <c r="C290" s="387">
        <f>1-SUM(C287:C289)</f>
        <v>0.26</v>
      </c>
      <c r="D290" s="387">
        <f t="shared" ref="D290" si="0">1-SUM(D287:D289)</f>
        <v>0.26</v>
      </c>
      <c r="E290" s="387">
        <f t="shared" ref="E290" si="1">1-SUM(E287:E289)</f>
        <v>0.26</v>
      </c>
      <c r="F290" s="387">
        <f t="shared" ref="F290" si="2">1-SUM(F287:F289)</f>
        <v>0.26</v>
      </c>
    </row>
    <row r="291" spans="2:7">
      <c r="B291" s="4" t="str">
        <f>nmReg1Seg2</f>
        <v>Winterfell</v>
      </c>
      <c r="C291" t="s">
        <v>677</v>
      </c>
    </row>
    <row r="292" spans="2:7">
      <c r="B292" t="str">
        <f>nmPayer1</f>
        <v>Blue Sword/Blue Shield</v>
      </c>
      <c r="C292" s="432">
        <v>0.4</v>
      </c>
      <c r="D292" s="432">
        <v>0.4</v>
      </c>
      <c r="E292" s="432">
        <v>0.4</v>
      </c>
      <c r="F292" s="432">
        <v>0.4</v>
      </c>
      <c r="G292" t="s">
        <v>2837</v>
      </c>
    </row>
    <row r="293" spans="2:7">
      <c r="B293" t="str">
        <f>nmPayer2</f>
        <v>WesterAid</v>
      </c>
      <c r="C293" s="432">
        <v>0.14000000000000001</v>
      </c>
      <c r="D293" s="432">
        <v>0.14000000000000001</v>
      </c>
      <c r="E293" s="432">
        <v>0.14000000000000001</v>
      </c>
      <c r="F293" s="432">
        <v>0.14000000000000001</v>
      </c>
      <c r="G293" t="s">
        <v>2838</v>
      </c>
    </row>
    <row r="294" spans="2:7">
      <c r="B294" t="str">
        <f>nmPayer3</f>
        <v>Dragon Health</v>
      </c>
      <c r="C294" s="432">
        <v>0.26</v>
      </c>
      <c r="D294" s="432">
        <v>0.26</v>
      </c>
      <c r="E294" s="432">
        <v>0.26</v>
      </c>
      <c r="F294" s="432">
        <v>0.26</v>
      </c>
      <c r="G294" t="s">
        <v>2839</v>
      </c>
    </row>
    <row r="295" spans="2:7">
      <c r="B295" t="s">
        <v>157</v>
      </c>
      <c r="C295" s="387">
        <f>1-SUM(C292:C294)</f>
        <v>0.19999999999999996</v>
      </c>
      <c r="D295" s="387">
        <f t="shared" ref="D295" si="3">1-SUM(D292:D294)</f>
        <v>0.19999999999999996</v>
      </c>
      <c r="E295" s="387">
        <f t="shared" ref="E295" si="4">1-SUM(E292:E294)</f>
        <v>0.19999999999999996</v>
      </c>
      <c r="F295" s="387">
        <f t="shared" ref="F295" si="5">1-SUM(F292:F294)</f>
        <v>0.19999999999999996</v>
      </c>
    </row>
    <row r="296" spans="2:7">
      <c r="B296" s="4" t="str">
        <f>nmReg1Seg3</f>
        <v>Harrenhal</v>
      </c>
      <c r="C296" t="s">
        <v>677</v>
      </c>
    </row>
    <row r="297" spans="2:7">
      <c r="B297" t="str">
        <f>nmPayer1</f>
        <v>Blue Sword/Blue Shield</v>
      </c>
      <c r="C297" s="432">
        <v>0.19</v>
      </c>
      <c r="D297" s="432">
        <v>0.19</v>
      </c>
      <c r="E297" s="432">
        <v>0.19</v>
      </c>
      <c r="F297" s="432">
        <v>0.19</v>
      </c>
      <c r="G297" t="s">
        <v>2840</v>
      </c>
    </row>
    <row r="298" spans="2:7">
      <c r="B298" t="str">
        <f>nmPayer2</f>
        <v>WesterAid</v>
      </c>
      <c r="C298" s="432">
        <v>0.32</v>
      </c>
      <c r="D298" s="432">
        <v>0.32</v>
      </c>
      <c r="E298" s="432">
        <v>0.32</v>
      </c>
      <c r="F298" s="432">
        <v>0.32</v>
      </c>
      <c r="G298" t="s">
        <v>2841</v>
      </c>
    </row>
    <row r="299" spans="2:7">
      <c r="B299" t="str">
        <f>nmPayer3</f>
        <v>Dragon Health</v>
      </c>
      <c r="C299" s="432">
        <v>0.18</v>
      </c>
      <c r="D299" s="432">
        <v>0.18</v>
      </c>
      <c r="E299" s="432">
        <v>0.18</v>
      </c>
      <c r="F299" s="432">
        <v>0.18</v>
      </c>
      <c r="G299" t="s">
        <v>2842</v>
      </c>
    </row>
    <row r="300" spans="2:7">
      <c r="B300" t="s">
        <v>157</v>
      </c>
      <c r="C300" s="387">
        <f>1-SUM(C297:C299)</f>
        <v>0.31000000000000005</v>
      </c>
      <c r="D300" s="387">
        <f t="shared" ref="D300" si="6">1-SUM(D297:D299)</f>
        <v>0.31000000000000005</v>
      </c>
      <c r="E300" s="387">
        <f t="shared" ref="E300" si="7">1-SUM(E297:E299)</f>
        <v>0.31000000000000005</v>
      </c>
      <c r="F300" s="387">
        <f t="shared" ref="F300" si="8">1-SUM(F297:F299)</f>
        <v>0.31000000000000005</v>
      </c>
    </row>
    <row r="301" spans="2:7">
      <c r="B301" s="4" t="str">
        <f>nmPayer1</f>
        <v>Blue Sword/Blue Shield</v>
      </c>
    </row>
    <row r="302" spans="2:7">
      <c r="B302" t="str">
        <f>nmReg1Seg1</f>
        <v>Riverrun</v>
      </c>
      <c r="C302" s="380">
        <f>dataReg1Seg1TotalMarket*dataReg1Seg1Payer1TotalVolPerc</f>
        <v>40488</v>
      </c>
      <c r="D302" s="380">
        <f>dataReg1Seg1TotalMarket*dataReg1Seg1Payer1TotalVolPerc</f>
        <v>40488</v>
      </c>
      <c r="E302" s="380">
        <f>dataReg1Seg1TotalMarket*dataReg1Seg1Payer1TotalVolPerc</f>
        <v>43200.695999999989</v>
      </c>
      <c r="F302" s="380">
        <f>dataReg1Seg1TotalMarket*dataReg1Seg1Payer1TotalVolPerc</f>
        <v>47720.573879999996</v>
      </c>
      <c r="G302" t="s">
        <v>1108</v>
      </c>
    </row>
    <row r="303" spans="2:7">
      <c r="B303" t="str">
        <f>nmReg1Seg2</f>
        <v>Winterfell</v>
      </c>
      <c r="C303" s="380">
        <f>dataReg1Seg2TotalMarket*dataReg1Seg2Payer1TotalVolPerc</f>
        <v>40586.800000000003</v>
      </c>
      <c r="D303" s="380">
        <f>dataReg1Seg2TotalMarket*dataReg1Seg2Payer1TotalVolPerc</f>
        <v>40586.800000000003</v>
      </c>
      <c r="E303" s="380">
        <f>dataReg1Seg2TotalMarket*dataReg1Seg2Payer1TotalVolPerc</f>
        <v>45863.084000000003</v>
      </c>
      <c r="F303" s="380">
        <f>dataReg1Seg2TotalMarket*dataReg1Seg2Payer1TotalVolPerc</f>
        <v>51825.284920000006</v>
      </c>
      <c r="G303" t="s">
        <v>1109</v>
      </c>
    </row>
    <row r="304" spans="2:7">
      <c r="B304" t="str">
        <f>nmReg1Seg3</f>
        <v>Harrenhal</v>
      </c>
      <c r="C304" s="380">
        <f>dataReg1Seg3TotalMarket*dataReg1Seg3Payer1TotalVolPerc</f>
        <v>29674.959999999999</v>
      </c>
      <c r="D304" s="380">
        <f>dataReg1Seg3TotalMarket*dataReg1Seg3Payer1TotalVolPerc</f>
        <v>29674.959999999999</v>
      </c>
      <c r="E304" s="380">
        <f>dataReg1Seg3TotalMarket*dataReg1Seg3Payer1TotalVolPerc</f>
        <v>33532.7048</v>
      </c>
      <c r="F304" s="380">
        <f>dataReg1Seg3TotalMarket*dataReg1Seg3Payer1TotalVolPerc</f>
        <v>37891.956424000004</v>
      </c>
      <c r="G304" t="s">
        <v>1110</v>
      </c>
    </row>
    <row r="305" spans="2:7" s="457" customFormat="1">
      <c r="B305" s="457" t="s">
        <v>1095</v>
      </c>
      <c r="C305" s="457">
        <f>dataReg1Seg1Payer1TotalVolume+dataReg1Seg2Payer1TotalVolume+dataReg1Seg3Payer1TotalVolume</f>
        <v>110749.76000000001</v>
      </c>
      <c r="D305" s="457">
        <f>dataReg1Seg1Payer1TotalVolume+dataReg1Seg2Payer1TotalVolume+dataReg1Seg3Payer1TotalVolume</f>
        <v>110749.76000000001</v>
      </c>
      <c r="E305" s="457">
        <f>dataReg1Seg1Payer1TotalVolume+dataReg1Seg2Payer1TotalVolume+dataReg1Seg3Payer1TotalVolume</f>
        <v>122596.48480000001</v>
      </c>
      <c r="F305" s="457">
        <f>dataReg1Seg1Payer1TotalVolume+dataReg1Seg2Payer1TotalVolume+dataReg1Seg3Payer1TotalVolume</f>
        <v>137437.81522400002</v>
      </c>
      <c r="G305" s="457" t="s">
        <v>1111</v>
      </c>
    </row>
    <row r="306" spans="2:7">
      <c r="B306" s="4" t="str">
        <f>nmPayer2</f>
        <v>WesterAid</v>
      </c>
    </row>
    <row r="307" spans="2:7">
      <c r="B307" t="str">
        <f>nmReg1Seg1</f>
        <v>Riverrun</v>
      </c>
      <c r="C307" s="380">
        <f>dataReg1Seg1TotalMarket*dataReg1Seg1Payer2TotalVolPerc</f>
        <v>31040.800000000003</v>
      </c>
      <c r="D307" s="380">
        <f>dataReg1Seg1TotalMarket*dataReg1Seg1Payer2TotalVolPerc</f>
        <v>31040.800000000003</v>
      </c>
      <c r="E307" s="380">
        <f>dataReg1Seg1TotalMarket*dataReg1Seg1Payer2TotalVolPerc</f>
        <v>33120.533599999995</v>
      </c>
      <c r="F307" s="380">
        <f>dataReg1Seg1TotalMarket*dataReg1Seg1Payer2TotalVolPerc</f>
        <v>36585.773308000003</v>
      </c>
      <c r="G307" t="s">
        <v>1112</v>
      </c>
    </row>
    <row r="308" spans="2:7">
      <c r="B308" t="str">
        <f>nmReg1Seg2</f>
        <v>Winterfell</v>
      </c>
      <c r="C308" s="380">
        <f>dataReg1Seg2TotalMarket*dataReg1Seg2Payer2TotalVolPerc</f>
        <v>14205.380000000001</v>
      </c>
      <c r="D308" s="380">
        <f>dataReg1Seg2TotalMarket*dataReg1Seg2Payer2TotalVolPerc</f>
        <v>14205.380000000001</v>
      </c>
      <c r="E308" s="380">
        <f>dataReg1Seg2TotalMarket*dataReg1Seg2Payer2TotalVolPerc</f>
        <v>16052.079400000002</v>
      </c>
      <c r="F308" s="380">
        <f>dataReg1Seg2TotalMarket*dataReg1Seg2Payer2TotalVolPerc</f>
        <v>18138.849722000003</v>
      </c>
      <c r="G308" t="s">
        <v>1113</v>
      </c>
    </row>
    <row r="309" spans="2:7">
      <c r="B309" t="str">
        <f>nmReg1Seg3</f>
        <v>Harrenhal</v>
      </c>
      <c r="C309" s="380">
        <f>dataReg1Seg3TotalMarket*dataReg1Seg3Payer2TotalVolPerc</f>
        <v>49978.880000000005</v>
      </c>
      <c r="D309" s="380">
        <f>dataReg1Seg3TotalMarket*dataReg1Seg3Payer2TotalVolPerc</f>
        <v>49978.880000000005</v>
      </c>
      <c r="E309" s="380">
        <f>dataReg1Seg3TotalMarket*dataReg1Seg3Payer2TotalVolPerc</f>
        <v>56476.134400000003</v>
      </c>
      <c r="F309" s="380">
        <f>dataReg1Seg3TotalMarket*dataReg1Seg3Payer2TotalVolPerc</f>
        <v>63818.031872000007</v>
      </c>
      <c r="G309" t="s">
        <v>1114</v>
      </c>
    </row>
    <row r="310" spans="2:7" s="457" customFormat="1">
      <c r="B310" s="457" t="s">
        <v>1095</v>
      </c>
      <c r="C310" s="457">
        <f>dataReg1Seg1Payer2TotalVolume+dataReg1Seg2Payer2TotalVolume+dataReg1Seg3Payer2TotalVolume</f>
        <v>95225.060000000012</v>
      </c>
      <c r="D310" s="457">
        <f>dataReg1Seg1Payer2TotalVolume+dataReg1Seg2Payer2TotalVolume+dataReg1Seg3Payer2TotalVolume</f>
        <v>95225.060000000012</v>
      </c>
      <c r="E310" s="457">
        <f>dataReg1Seg1Payer2TotalVolume+dataReg1Seg2Payer2TotalVolume+dataReg1Seg3Payer2TotalVolume</f>
        <v>105648.74739999999</v>
      </c>
      <c r="F310" s="457">
        <f>dataReg1Seg1Payer2TotalVolume+dataReg1Seg2Payer2TotalVolume+dataReg1Seg3Payer2TotalVolume</f>
        <v>118542.65490200001</v>
      </c>
      <c r="G310" s="457" t="s">
        <v>1115</v>
      </c>
    </row>
    <row r="311" spans="2:7">
      <c r="B311" s="4" t="str">
        <f>nmPayer3</f>
        <v>Dragon Health</v>
      </c>
    </row>
    <row r="312" spans="2:7">
      <c r="B312" t="str">
        <f>nmReg1Seg1</f>
        <v>Riverrun</v>
      </c>
      <c r="C312" s="380">
        <f>dataReg1Seg1TotalMarket*dataReg1Seg1Payer3TotalVolPerc</f>
        <v>28341.599999999999</v>
      </c>
      <c r="D312" s="380">
        <f>dataReg1Seg1TotalMarket*dataReg1Seg1Payer3TotalVolPerc</f>
        <v>28341.599999999999</v>
      </c>
      <c r="E312" s="380">
        <f>dataReg1Seg1TotalMarket*dataReg1Seg1Payer3TotalVolPerc</f>
        <v>30240.487199999996</v>
      </c>
      <c r="F312" s="380">
        <f>dataReg1Seg1TotalMarket*dataReg1Seg1Payer3TotalVolPerc</f>
        <v>33404.401716</v>
      </c>
      <c r="G312" t="s">
        <v>1116</v>
      </c>
    </row>
    <row r="313" spans="2:7">
      <c r="B313" t="str">
        <f>nmReg1Seg2</f>
        <v>Winterfell</v>
      </c>
      <c r="C313" s="380">
        <f>dataReg1Seg2TotalMarket*dataReg1Seg2Payer3TotalVolPerc</f>
        <v>26381.420000000002</v>
      </c>
      <c r="D313" s="380">
        <f>dataReg1Seg2TotalMarket*dataReg1Seg2Payer3TotalVolPerc</f>
        <v>26381.420000000002</v>
      </c>
      <c r="E313" s="380">
        <f>dataReg1Seg2TotalMarket*dataReg1Seg2Payer3TotalVolPerc</f>
        <v>29811.004600000004</v>
      </c>
      <c r="F313" s="380">
        <f>dataReg1Seg2TotalMarket*dataReg1Seg2Payer3TotalVolPerc</f>
        <v>33686.435197999999</v>
      </c>
      <c r="G313" t="s">
        <v>1117</v>
      </c>
    </row>
    <row r="314" spans="2:7">
      <c r="B314" t="str">
        <f>nmReg1Seg3</f>
        <v>Harrenhal</v>
      </c>
      <c r="C314" s="380">
        <f>dataReg1Seg3TotalMarket*dataReg1Seg3Payer3TotalVolPerc</f>
        <v>28113.119999999999</v>
      </c>
      <c r="D314" s="380">
        <f>dataReg1Seg3TotalMarket*dataReg1Seg3Payer3TotalVolPerc</f>
        <v>28113.119999999999</v>
      </c>
      <c r="E314" s="380">
        <f>dataReg1Seg3TotalMarket*dataReg1Seg3Payer3TotalVolPerc</f>
        <v>31767.8256</v>
      </c>
      <c r="F314" s="380">
        <f>dataReg1Seg3TotalMarket*dataReg1Seg3Payer3TotalVolPerc</f>
        <v>35897.642928000001</v>
      </c>
      <c r="G314" t="s">
        <v>1118</v>
      </c>
    </row>
    <row r="315" spans="2:7" s="457" customFormat="1">
      <c r="B315" s="457" t="s">
        <v>1095</v>
      </c>
      <c r="C315" s="457">
        <f>dataReg1Seg1Payer3TotalVolume+dataReg1Seg2Payer3TotalVolume+dataReg1Seg3Payer3TotalVolume</f>
        <v>82836.14</v>
      </c>
      <c r="D315" s="457">
        <f>dataReg1Seg1Payer3TotalVolume+dataReg1Seg2Payer3TotalVolume+dataReg1Seg3Payer3TotalVolume</f>
        <v>82836.14</v>
      </c>
      <c r="E315" s="457">
        <f>dataReg1Seg1Payer3TotalVolume+dataReg1Seg2Payer3TotalVolume+dataReg1Seg3Payer3TotalVolume</f>
        <v>91819.3174</v>
      </c>
      <c r="F315" s="457">
        <f>dataReg1Seg1Payer3TotalVolume+dataReg1Seg2Payer3TotalVolume+dataReg1Seg3Payer3TotalVolume</f>
        <v>102988.479842</v>
      </c>
      <c r="G315" s="457" t="s">
        <v>1119</v>
      </c>
    </row>
    <row r="317" spans="2:7">
      <c r="B317" s="4" t="s">
        <v>2844</v>
      </c>
    </row>
    <row r="318" spans="2:7">
      <c r="B318" s="4" t="str">
        <f>nmProd1Seg1</f>
        <v>Riverrun Central</v>
      </c>
      <c r="C318" t="s">
        <v>677</v>
      </c>
    </row>
    <row r="319" spans="2:7">
      <c r="B319" t="str">
        <f>nmPayer1</f>
        <v>Blue Sword/Blue Shield</v>
      </c>
      <c r="C319" s="432">
        <v>0.33</v>
      </c>
      <c r="D319" s="432">
        <v>0.33</v>
      </c>
      <c r="E319" s="432">
        <v>0.33</v>
      </c>
      <c r="F319" s="432">
        <v>0.33</v>
      </c>
      <c r="G319" t="s">
        <v>2866</v>
      </c>
    </row>
    <row r="320" spans="2:7">
      <c r="B320" t="str">
        <f>nmPayer2</f>
        <v>WesterAid</v>
      </c>
      <c r="C320" s="432">
        <v>0.2</v>
      </c>
      <c r="D320" s="432">
        <v>0.2</v>
      </c>
      <c r="E320" s="432">
        <v>0.2</v>
      </c>
      <c r="F320" s="432">
        <v>0.2</v>
      </c>
      <c r="G320" t="s">
        <v>2867</v>
      </c>
    </row>
    <row r="321" spans="2:7">
      <c r="B321" t="str">
        <f>nmPayer3</f>
        <v>Dragon Health</v>
      </c>
      <c r="C321" s="432">
        <v>0.22</v>
      </c>
      <c r="D321" s="432">
        <v>0.22</v>
      </c>
      <c r="E321" s="432">
        <v>0.22</v>
      </c>
      <c r="F321" s="432">
        <v>0.22</v>
      </c>
      <c r="G321" t="s">
        <v>2868</v>
      </c>
    </row>
    <row r="322" spans="2:7">
      <c r="B322" t="s">
        <v>157</v>
      </c>
      <c r="C322" s="387">
        <f>1-SUM(C319:C321)</f>
        <v>0.25</v>
      </c>
      <c r="D322" s="387">
        <f t="shared" ref="D322:F322" si="9">1-SUM(D319:D321)</f>
        <v>0.25</v>
      </c>
      <c r="E322" s="387">
        <f t="shared" si="9"/>
        <v>0.25</v>
      </c>
      <c r="F322" s="387">
        <f t="shared" si="9"/>
        <v>0.25</v>
      </c>
    </row>
    <row r="323" spans="2:7">
      <c r="B323" s="4" t="str">
        <f>nmProd1Seg2</f>
        <v>Tullyville</v>
      </c>
      <c r="C323" t="s">
        <v>677</v>
      </c>
    </row>
    <row r="324" spans="2:7">
      <c r="B324" t="str">
        <f>nmPayer1</f>
        <v>Blue Sword/Blue Shield</v>
      </c>
      <c r="C324" s="432">
        <v>0.28000000000000003</v>
      </c>
      <c r="D324" s="432">
        <v>0.28000000000000003</v>
      </c>
      <c r="E324" s="432">
        <v>0.28000000000000003</v>
      </c>
      <c r="F324" s="432">
        <v>0.28000000000000003</v>
      </c>
      <c r="G324" t="s">
        <v>2869</v>
      </c>
    </row>
    <row r="325" spans="2:7">
      <c r="B325" t="str">
        <f>nmPayer2</f>
        <v>WesterAid</v>
      </c>
      <c r="C325" s="432">
        <v>0.09</v>
      </c>
      <c r="D325" s="432">
        <v>0.09</v>
      </c>
      <c r="E325" s="432">
        <v>0.09</v>
      </c>
      <c r="F325" s="432">
        <v>0.09</v>
      </c>
      <c r="G325" t="s">
        <v>2870</v>
      </c>
    </row>
    <row r="326" spans="2:7">
      <c r="B326" t="str">
        <f>nmPayer3</f>
        <v>Dragon Health</v>
      </c>
      <c r="C326" s="432">
        <v>0.35</v>
      </c>
      <c r="D326" s="432">
        <v>0.35</v>
      </c>
      <c r="E326" s="432">
        <v>0.35</v>
      </c>
      <c r="F326" s="432">
        <v>0.35</v>
      </c>
      <c r="G326" t="s">
        <v>2871</v>
      </c>
    </row>
    <row r="327" spans="2:7">
      <c r="B327" t="s">
        <v>157</v>
      </c>
      <c r="C327" s="387">
        <f>1-SUM(C324:C326)</f>
        <v>0.28000000000000003</v>
      </c>
      <c r="D327" s="387">
        <f t="shared" ref="D327:F327" si="10">1-SUM(D324:D326)</f>
        <v>0.28000000000000003</v>
      </c>
      <c r="E327" s="387">
        <f t="shared" si="10"/>
        <v>0.28000000000000003</v>
      </c>
      <c r="F327" s="387">
        <f t="shared" si="10"/>
        <v>0.28000000000000003</v>
      </c>
    </row>
    <row r="328" spans="2:7">
      <c r="B328" s="4" t="str">
        <f>nmProd1Seg3</f>
        <v>Lordfrey City</v>
      </c>
      <c r="C328" t="s">
        <v>677</v>
      </c>
    </row>
    <row r="329" spans="2:7">
      <c r="B329" t="str">
        <f>nmPayer1</f>
        <v>Blue Sword/Blue Shield</v>
      </c>
      <c r="C329" s="432">
        <v>0.25</v>
      </c>
      <c r="D329" s="432">
        <v>0.25</v>
      </c>
      <c r="E329" s="432">
        <v>0.25</v>
      </c>
      <c r="F329" s="432">
        <v>0.25</v>
      </c>
      <c r="G329" t="s">
        <v>2872</v>
      </c>
    </row>
    <row r="330" spans="2:7">
      <c r="B330" t="str">
        <f>nmPayer2</f>
        <v>WesterAid</v>
      </c>
      <c r="C330" s="432">
        <v>0.33</v>
      </c>
      <c r="D330" s="432">
        <v>0.33</v>
      </c>
      <c r="E330" s="432">
        <v>0.33</v>
      </c>
      <c r="F330" s="432">
        <v>0.33</v>
      </c>
      <c r="G330" t="s">
        <v>2873</v>
      </c>
    </row>
    <row r="331" spans="2:7">
      <c r="B331" t="str">
        <f>nmPayer3</f>
        <v>Dragon Health</v>
      </c>
      <c r="C331" s="432">
        <v>0.19</v>
      </c>
      <c r="D331" s="432">
        <v>0.19</v>
      </c>
      <c r="E331" s="432">
        <v>0.19</v>
      </c>
      <c r="F331" s="432">
        <v>0.19</v>
      </c>
      <c r="G331" t="s">
        <v>2874</v>
      </c>
    </row>
    <row r="332" spans="2:7">
      <c r="B332" t="s">
        <v>157</v>
      </c>
      <c r="C332" s="387">
        <f>1-SUM(C329:C331)</f>
        <v>0.22999999999999998</v>
      </c>
      <c r="D332" s="387">
        <f t="shared" ref="D332:F332" si="11">1-SUM(D329:D331)</f>
        <v>0.22999999999999998</v>
      </c>
      <c r="E332" s="387">
        <f t="shared" si="11"/>
        <v>0.22999999999999998</v>
      </c>
      <c r="F332" s="387">
        <f t="shared" si="11"/>
        <v>0.22999999999999998</v>
      </c>
    </row>
    <row r="335" spans="2:7">
      <c r="B335" s="4" t="str">
        <f>nmPayer1</f>
        <v>Blue Sword/Blue Shield</v>
      </c>
    </row>
    <row r="336" spans="2:7">
      <c r="B336" t="str">
        <f>nmProd1Seg1</f>
        <v>Riverrun Central</v>
      </c>
      <c r="C336" s="380">
        <f>dataReg1Seg1TotalNewCust*dataReg1Seg1Payer1NewVolPerc</f>
        <v>1471.8000000000002</v>
      </c>
      <c r="D336" s="380">
        <f>dataReg1Seg1TotalNewCust*dataReg1Seg1Payer1NewVolPerc</f>
        <v>890.7360000000001</v>
      </c>
      <c r="E336" s="380">
        <f>dataReg1Seg1TotalNewCust*dataReg1Seg1Payer1NewVolPerc</f>
        <v>4342.3380000000006</v>
      </c>
      <c r="F336" s="380">
        <f>dataReg1Seg1TotalNewCust*dataReg1Seg1Payer1NewVolPerc</f>
        <v>6413.2991999999995</v>
      </c>
      <c r="G336" t="s">
        <v>2875</v>
      </c>
    </row>
    <row r="337" spans="2:7">
      <c r="B337" t="str">
        <f>nmProd1Seg2</f>
        <v>Tullyville</v>
      </c>
      <c r="C337" s="380">
        <f>dataReg1Seg2TotalNewCust*dataReg1Seg2Payer1NewVolPerc</f>
        <v>1250.7600000000002</v>
      </c>
      <c r="D337" s="380">
        <f>dataReg1Seg2TotalNewCust*dataReg1Seg2Payer1NewVolPerc</f>
        <v>568.2152000000001</v>
      </c>
      <c r="E337" s="380">
        <f>dataReg1Seg2TotalNewCust*dataReg1Seg2Payer1NewVolPerc</f>
        <v>4261.6140000000005</v>
      </c>
      <c r="F337" s="380">
        <f>dataReg1Seg2TotalNewCust*dataReg1Seg2Payer1NewVolPerc</f>
        <v>4815.6238200000007</v>
      </c>
      <c r="G337" t="s">
        <v>2876</v>
      </c>
    </row>
    <row r="338" spans="2:7">
      <c r="B338" t="str">
        <f>nmProd1Seg3</f>
        <v>Lordfrey City</v>
      </c>
      <c r="C338" s="380">
        <f>dataReg1Seg3TotalNewCust*dataReg1Seg3Payer1NewVolPerc</f>
        <v>1296</v>
      </c>
      <c r="D338" s="380">
        <f>dataReg1Seg3TotalNewCust*dataReg1Seg3Payer1NewVolPerc</f>
        <v>780.92000000000007</v>
      </c>
      <c r="E338" s="380">
        <f>dataReg1Seg3TotalNewCust*dataReg1Seg3Payer1NewVolPerc</f>
        <v>5856.9</v>
      </c>
      <c r="F338" s="380">
        <f>dataReg1Seg3TotalNewCust*dataReg1Seg3Payer1NewVolPerc</f>
        <v>6618.2970000000005</v>
      </c>
      <c r="G338" t="s">
        <v>2877</v>
      </c>
    </row>
    <row r="339" spans="2:7" s="457" customFormat="1">
      <c r="B339" s="457" t="s">
        <v>1095</v>
      </c>
      <c r="C339" s="457">
        <f>dataReg1Seg1Payer1NewVolume+dataReg1Seg2Payer1NewVolume+dataReg1Seg3Payer1NewVolume</f>
        <v>4018.5600000000004</v>
      </c>
      <c r="D339" s="457">
        <f>dataReg1Seg1Payer1NewVolume+dataReg1Seg2Payer1NewVolume+dataReg1Seg3Payer1NewVolume</f>
        <v>2239.8712000000005</v>
      </c>
      <c r="E339" s="457">
        <f>dataReg1Seg1Payer1NewVolume+dataReg1Seg2Payer1NewVolume+dataReg1Seg3Payer1NewVolume</f>
        <v>14460.852000000001</v>
      </c>
      <c r="F339" s="457">
        <f>dataReg1Seg1Payer1NewVolume+dataReg1Seg2Payer1NewVolume+dataReg1Seg3Payer1NewVolume</f>
        <v>17847.220020000001</v>
      </c>
      <c r="G339" s="457" t="s">
        <v>2878</v>
      </c>
    </row>
    <row r="340" spans="2:7">
      <c r="B340" s="4" t="str">
        <f>nmPayer2</f>
        <v>WesterAid</v>
      </c>
    </row>
    <row r="341" spans="2:7">
      <c r="B341" t="str">
        <f>nmProd1Seg1</f>
        <v>Riverrun Central</v>
      </c>
      <c r="C341" s="380">
        <f>dataReg1Seg1TotalNewCust*dataReg1Seg1Payer2NewVolPerc</f>
        <v>892</v>
      </c>
      <c r="D341" s="380">
        <f>dataReg1Seg1TotalNewCust*dataReg1Seg1Payer2NewVolPerc</f>
        <v>539.84</v>
      </c>
      <c r="E341" s="380">
        <f>dataReg1Seg1TotalNewCust*dataReg1Seg1Payer2NewVolPerc</f>
        <v>2631.7200000000003</v>
      </c>
      <c r="F341" s="380">
        <f>dataReg1Seg1TotalNewCust*dataReg1Seg1Payer2NewVolPerc</f>
        <v>3886.848</v>
      </c>
      <c r="G341" t="s">
        <v>2879</v>
      </c>
    </row>
    <row r="342" spans="2:7">
      <c r="B342" t="str">
        <f>nmProd1Seg2</f>
        <v>Tullyville</v>
      </c>
      <c r="C342" s="380">
        <f>dataReg1Seg2TotalNewCust*dataReg1Seg2Payer2NewVolPerc</f>
        <v>402.03</v>
      </c>
      <c r="D342" s="380">
        <f>dataReg1Seg2TotalNewCust*dataReg1Seg2Payer2NewVolPerc</f>
        <v>182.64060000000001</v>
      </c>
      <c r="E342" s="380">
        <f>dataReg1Seg2TotalNewCust*dataReg1Seg2Payer2NewVolPerc</f>
        <v>1369.8045</v>
      </c>
      <c r="F342" s="380">
        <f>dataReg1Seg2TotalNewCust*dataReg1Seg2Payer2NewVolPerc</f>
        <v>1547.879085</v>
      </c>
      <c r="G342" t="s">
        <v>2880</v>
      </c>
    </row>
    <row r="343" spans="2:7">
      <c r="B343" t="str">
        <f>nmProd1Seg3</f>
        <v>Lordfrey City</v>
      </c>
      <c r="C343" s="380">
        <f>dataReg1Seg3TotalNewCust*dataReg1Seg3Payer2NewVolPerc</f>
        <v>1710.72</v>
      </c>
      <c r="D343" s="380">
        <f>dataReg1Seg3TotalNewCust*dataReg1Seg3Payer2NewVolPerc</f>
        <v>1030.8144000000002</v>
      </c>
      <c r="E343" s="380">
        <f>dataReg1Seg3TotalNewCust*dataReg1Seg3Payer2NewVolPerc</f>
        <v>7731.1080000000002</v>
      </c>
      <c r="F343" s="380">
        <f>dataReg1Seg3TotalNewCust*dataReg1Seg3Payer2NewVolPerc</f>
        <v>8736.1520400000009</v>
      </c>
      <c r="G343" t="s">
        <v>2881</v>
      </c>
    </row>
    <row r="344" spans="2:7" s="457" customFormat="1">
      <c r="B344" s="457" t="s">
        <v>1095</v>
      </c>
      <c r="C344" s="457">
        <f>dataReg1Seg1Payer2NewVolume+dataReg1Seg2Payer2NewVolume+dataReg1Seg3Payer2NewVolume</f>
        <v>3004.75</v>
      </c>
      <c r="D344" s="457">
        <f>dataReg1Seg1Payer2NewVolume+dataReg1Seg2Payer2NewVolume+dataReg1Seg3Payer2NewVolume</f>
        <v>1753.2950000000003</v>
      </c>
      <c r="E344" s="457">
        <f>dataReg1Seg1Payer2NewVolume+dataReg1Seg2Payer2NewVolume+dataReg1Seg3Payer2NewVolume</f>
        <v>11732.6325</v>
      </c>
      <c r="F344" s="457">
        <f>dataReg1Seg1Payer2NewVolume+dataReg1Seg2Payer2NewVolume+dataReg1Seg3Payer2NewVolume</f>
        <v>14170.879125000001</v>
      </c>
      <c r="G344" s="457" t="s">
        <v>2882</v>
      </c>
    </row>
    <row r="345" spans="2:7">
      <c r="B345" s="4" t="str">
        <f>nmPayer3</f>
        <v>Dragon Health</v>
      </c>
    </row>
    <row r="346" spans="2:7">
      <c r="B346" t="str">
        <f>nmProd1Seg1</f>
        <v>Riverrun Central</v>
      </c>
      <c r="C346" s="380">
        <f>dataReg1Seg1TotalNewCust*dataReg1Seg1Payer3NewVolPerc</f>
        <v>981.2</v>
      </c>
      <c r="D346" s="380">
        <f>dataReg1Seg1TotalNewCust*dataReg1Seg1Payer3NewVolPerc</f>
        <v>593.82400000000007</v>
      </c>
      <c r="E346" s="380">
        <f>dataReg1Seg1TotalNewCust*dataReg1Seg1Payer3NewVolPerc</f>
        <v>2894.8920000000003</v>
      </c>
      <c r="F346" s="380">
        <f>dataReg1Seg1TotalNewCust*dataReg1Seg1Payer3NewVolPerc</f>
        <v>4275.5328</v>
      </c>
      <c r="G346" t="s">
        <v>2883</v>
      </c>
    </row>
    <row r="347" spans="2:7">
      <c r="B347" t="str">
        <f>nmProd1Seg2</f>
        <v>Tullyville</v>
      </c>
      <c r="C347" s="380">
        <f>dataReg1Seg2TotalNewCust*dataReg1Seg2Payer3NewVolPerc</f>
        <v>1563.4499999999998</v>
      </c>
      <c r="D347" s="380">
        <f>dataReg1Seg2TotalNewCust*dataReg1Seg2Payer3NewVolPerc</f>
        <v>710.26900000000001</v>
      </c>
      <c r="E347" s="380">
        <f>dataReg1Seg2TotalNewCust*dataReg1Seg2Payer3NewVolPerc</f>
        <v>5327.017499999999</v>
      </c>
      <c r="F347" s="380">
        <f>dataReg1Seg2TotalNewCust*dataReg1Seg2Payer3NewVolPerc</f>
        <v>6019.529775</v>
      </c>
      <c r="G347" t="s">
        <v>2884</v>
      </c>
    </row>
    <row r="348" spans="2:7">
      <c r="B348" t="str">
        <f>nmProd1Seg3</f>
        <v>Lordfrey City</v>
      </c>
      <c r="C348" s="380">
        <f>dataReg1Seg3TotalNewCust*dataReg1Seg3Payer3NewVolPerc</f>
        <v>984.96</v>
      </c>
      <c r="D348" s="380">
        <f>dataReg1Seg3TotalNewCust*dataReg1Seg3Payer3NewVolPerc</f>
        <v>593.49920000000009</v>
      </c>
      <c r="E348" s="380">
        <f>dataReg1Seg3TotalNewCust*dataReg1Seg3Payer3NewVolPerc</f>
        <v>4451.2439999999997</v>
      </c>
      <c r="F348" s="380">
        <f>dataReg1Seg3TotalNewCust*dataReg1Seg3Payer3NewVolPerc</f>
        <v>5029.9057200000007</v>
      </c>
      <c r="G348" t="s">
        <v>2885</v>
      </c>
    </row>
    <row r="349" spans="2:7" s="457" customFormat="1">
      <c r="B349" s="457" t="s">
        <v>1095</v>
      </c>
      <c r="C349" s="457">
        <f>dataReg1Seg1Payer3NewVolume+dataReg1Seg2Payer3NewVolume+dataReg1Seg3Payer3NewVolume</f>
        <v>3529.6099999999997</v>
      </c>
      <c r="D349" s="457">
        <f>dataReg1Seg1Payer3NewVolume+dataReg1Seg2Payer3NewVolume+dataReg1Seg3Payer3NewVolume</f>
        <v>1897.5922</v>
      </c>
      <c r="E349" s="457">
        <f>dataReg1Seg1Payer3NewVolume+dataReg1Seg2Payer3NewVolume+dataReg1Seg3Payer3NewVolume</f>
        <v>12673.1535</v>
      </c>
      <c r="F349" s="457">
        <f>dataReg1Seg1Payer3NewVolume+dataReg1Seg2Payer3NewVolume+dataReg1Seg3Payer3NewVolume</f>
        <v>15324.968295000001</v>
      </c>
      <c r="G349" s="457" t="s">
        <v>2886</v>
      </c>
    </row>
    <row r="350" spans="2:7">
      <c r="B350" s="4" t="s">
        <v>201</v>
      </c>
    </row>
    <row r="351" spans="2:7">
      <c r="B351" s="4" t="str">
        <f>nmPayer1</f>
        <v>Blue Sword/Blue Shield</v>
      </c>
    </row>
    <row r="352" spans="2:7">
      <c r="B352" t="str">
        <f>nmReg1Seg1</f>
        <v>Riverrun</v>
      </c>
      <c r="C352" s="511">
        <f>dataReg1Seg1Payer1Volume/dataReg1Seg1Payer1TotalVolume</f>
        <v>3.5999999999999999E-3</v>
      </c>
      <c r="D352" s="511">
        <f>dataReg1Seg1Payer1Volume/dataReg1Seg1Payer1TotalVolume</f>
        <v>3.5999999999999995E-3</v>
      </c>
      <c r="E352" s="511">
        <f>dataReg1Seg1Payer1Volume/dataReg1Seg1Payer1TotalVolume</f>
        <v>3.6000000000000012E-3</v>
      </c>
      <c r="F352" s="511">
        <f>dataReg1Seg1Payer1Volume/dataReg1Seg1Payer1TotalVolume</f>
        <v>3.5999999999999999E-3</v>
      </c>
      <c r="G352" t="s">
        <v>1156</v>
      </c>
    </row>
    <row r="353" spans="2:7">
      <c r="B353" t="str">
        <f>nmReg1Seg2</f>
        <v>Winterfell</v>
      </c>
      <c r="C353" s="511">
        <f>dataReg1Seg2Payer1Volume/dataReg1Seg2Payer1TotalVolume</f>
        <v>4.4000000000000003E-3</v>
      </c>
      <c r="D353" s="511">
        <f>dataReg1Seg2Payer1Volume/dataReg1Seg2Payer1TotalVolume</f>
        <v>4.4000000000000003E-3</v>
      </c>
      <c r="E353" s="511">
        <f>dataReg1Seg2Payer1Volume/dataReg1Seg2Payer1TotalVolume</f>
        <v>4.4000000000000003E-3</v>
      </c>
      <c r="F353" s="511">
        <f>dataReg1Seg2Payer1Volume/dataReg1Seg2Payer1TotalVolume</f>
        <v>4.4000000000000003E-3</v>
      </c>
      <c r="G353" t="s">
        <v>1157</v>
      </c>
    </row>
    <row r="354" spans="2:7">
      <c r="B354" t="str">
        <f>nmReg1Seg3</f>
        <v>Harrenhal</v>
      </c>
      <c r="C354" s="511">
        <f>dataReg1Seg3Payer1Volume/dataReg1Seg3Payer1TotalVolume</f>
        <v>6.1368421052631593E-3</v>
      </c>
      <c r="D354" s="511">
        <f>dataReg1Seg3Payer1Volume/dataReg1Seg3Payer1TotalVolume</f>
        <v>6.1368421052631584E-3</v>
      </c>
      <c r="E354" s="511">
        <f>dataReg1Seg3Payer1Volume/dataReg1Seg3Payer1TotalVolume</f>
        <v>6.1368421052631584E-3</v>
      </c>
      <c r="F354" s="511">
        <f>dataReg1Seg3Payer1Volume/dataReg1Seg3Payer1TotalVolume</f>
        <v>6.1368421052631593E-3</v>
      </c>
      <c r="G354" t="s">
        <v>1158</v>
      </c>
    </row>
    <row r="355" spans="2:7" s="4" customFormat="1">
      <c r="B355" s="4" t="s">
        <v>841</v>
      </c>
      <c r="C355" s="569">
        <f>(dataReg1Seg1Payer1Volume+dataReg1Seg2Payer1Volume+dataReg1Seg3Payer1Volume)/dataReg1Payer1TotalVolume</f>
        <v>4.5729152279878537E-3</v>
      </c>
      <c r="D355" s="569">
        <f>(dataReg1Seg1Payer1Volume+dataReg1Seg2Payer1Volume+dataReg1Seg3Payer1Volume)/dataReg1Payer1TotalVolume</f>
        <v>4.572915227987852E-3</v>
      </c>
      <c r="E355" s="569">
        <f>(dataReg1Seg1Payer1Volume+dataReg1Seg2Payer1Volume+dataReg1Seg3Payer1Volume)/dataReg1Payer1TotalVolume</f>
        <v>4.5931577144208624E-3</v>
      </c>
      <c r="F355" s="569">
        <f>(dataReg1Seg1Payer1Volume+dataReg1Seg2Payer1Volume+dataReg1Seg3Payer1Volume)/dataReg1Payer1TotalVolume</f>
        <v>4.6010792023938847E-3</v>
      </c>
      <c r="G355" s="4" t="s">
        <v>1159</v>
      </c>
    </row>
    <row r="357" spans="2:7">
      <c r="B357" s="4" t="str">
        <f>nmPayer2</f>
        <v>WesterAid</v>
      </c>
    </row>
    <row r="358" spans="2:7">
      <c r="B358" t="str">
        <f>nmReg1Seg1</f>
        <v>Riverrun</v>
      </c>
      <c r="C358" s="387">
        <f>dataReg1Seg1Payer2Volume/dataReg1Seg1Payer2TotalVolume</f>
        <v>0</v>
      </c>
      <c r="D358" s="387">
        <f>dataReg1Seg1Payer2Volume/dataReg1Seg1Payer2TotalVolume</f>
        <v>0</v>
      </c>
      <c r="E358" s="387">
        <f>dataReg1Seg1Payer2Volume/dataReg1Seg1Payer2TotalVolume</f>
        <v>2.0869565217391307E-3</v>
      </c>
      <c r="F358" s="387">
        <f>dataReg1Seg1Payer2Volume/dataReg1Seg1Payer2TotalVolume</f>
        <v>4.1739130434782596E-3</v>
      </c>
      <c r="G358" t="s">
        <v>1160</v>
      </c>
    </row>
    <row r="359" spans="2:7">
      <c r="B359" t="str">
        <f>nmReg1Seg2</f>
        <v>Winterfell</v>
      </c>
      <c r="C359" s="387">
        <f>dataReg1Seg2Payer2Volume/dataReg1Seg2Payer2TotalVolume</f>
        <v>0</v>
      </c>
      <c r="D359" s="387">
        <f>dataReg1Seg2Payer2Volume/dataReg1Seg2Payer2TotalVolume</f>
        <v>0</v>
      </c>
      <c r="E359" s="387">
        <f>dataReg1Seg2Payer2Volume/dataReg1Seg2Payer2TotalVolume</f>
        <v>1.1428571428571427E-3</v>
      </c>
      <c r="F359" s="387">
        <f>dataReg1Seg2Payer2Volume/dataReg1Seg2Payer2TotalVolume</f>
        <v>2.2857142857142859E-3</v>
      </c>
      <c r="G359" t="s">
        <v>1161</v>
      </c>
    </row>
    <row r="360" spans="2:7">
      <c r="B360" t="str">
        <f>nmReg1Seg3</f>
        <v>Harrenhal</v>
      </c>
      <c r="C360" s="387">
        <f>dataReg1Seg3Payer2Volume/dataReg1Seg3Payer2TotalVolume</f>
        <v>0</v>
      </c>
      <c r="D360" s="387">
        <f>dataReg1Seg3Payer2Volume/dataReg1Seg3Payer2TotalVolume</f>
        <v>0</v>
      </c>
      <c r="E360" s="387">
        <f>dataReg1Seg3Payer2Volume/dataReg1Seg3Payer2TotalVolume</f>
        <v>4.125E-4</v>
      </c>
      <c r="F360" s="387">
        <f>dataReg1Seg3Payer2Volume/dataReg1Seg3Payer2TotalVolume</f>
        <v>6.8750000000000007E-4</v>
      </c>
      <c r="G360" t="s">
        <v>1162</v>
      </c>
    </row>
    <row r="361" spans="2:7" s="4" customFormat="1">
      <c r="B361" s="4" t="s">
        <v>841</v>
      </c>
      <c r="C361" s="569">
        <f>(dataReg1Seg1Payer2Volume+dataReg1Seg2Payer2Volume+dataReg1Seg3Payer2Volume)/dataReg1Payer2TotalVolume</f>
        <v>0</v>
      </c>
      <c r="D361" s="569">
        <f>(dataReg1Seg1Payer2Volume+dataReg1Seg2Payer2Volume+dataReg1Seg3Payer2Volume)/dataReg1Payer2TotalVolume</f>
        <v>0</v>
      </c>
      <c r="E361" s="569">
        <f>(dataReg1Seg1Payer2Volume+dataReg1Seg2Payer2Volume+dataReg1Seg3Payer2Volume)/dataReg1Payer2TotalVolume</f>
        <v>1.0484057347186306E-3</v>
      </c>
      <c r="F361" s="569">
        <f>(dataReg1Seg1Payer2Volume+dataReg1Seg2Payer2Volume+dataReg1Seg3Payer2Volume)/dataReg1Payer2TotalVolume</f>
        <v>2.0080616674292475E-3</v>
      </c>
      <c r="G361" s="4" t="s">
        <v>1163</v>
      </c>
    </row>
    <row r="363" spans="2:7">
      <c r="B363" s="4" t="str">
        <f>nmPayer3</f>
        <v>Dragon Health</v>
      </c>
    </row>
    <row r="364" spans="2:7">
      <c r="B364" t="str">
        <f>nmReg1Seg1</f>
        <v>Riverrun</v>
      </c>
      <c r="C364" s="387">
        <f>dataReg1Seg1Payer3Volume/dataReg1Seg1Payer3TotalVolume</f>
        <v>6.2857142857142868E-3</v>
      </c>
      <c r="D364" s="387">
        <f>dataReg1Seg1Payer3Volume/dataReg1Seg1Payer3TotalVolume</f>
        <v>6.2857142857142851E-3</v>
      </c>
      <c r="E364" s="387">
        <f>dataReg1Seg1Payer3Volume/dataReg1Seg1Payer3TotalVolume</f>
        <v>4.0000000000000001E-3</v>
      </c>
      <c r="F364" s="387">
        <f>dataReg1Seg1Payer3Volume/dataReg1Seg1Payer3TotalVolume</f>
        <v>1.7142857142857131E-3</v>
      </c>
      <c r="G364" t="s">
        <v>1164</v>
      </c>
    </row>
    <row r="365" spans="2:7">
      <c r="B365" t="str">
        <f>nmReg1Seg2</f>
        <v>Winterfell</v>
      </c>
      <c r="C365" s="387">
        <f>dataReg1Seg2Payer3Volume/dataReg1Seg2Payer3TotalVolume</f>
        <v>5.5384615384615381E-3</v>
      </c>
      <c r="D365" s="387">
        <f>dataReg1Seg2Payer3Volume/dataReg1Seg2Payer3TotalVolume</f>
        <v>5.5384615384615381E-3</v>
      </c>
      <c r="E365" s="387">
        <f>dataReg1Seg2Payer3Volume/dataReg1Seg2Payer3TotalVolume</f>
        <v>4.9230769230769215E-3</v>
      </c>
      <c r="F365" s="387">
        <f>dataReg1Seg2Payer3Volume/dataReg1Seg2Payer3TotalVolume</f>
        <v>4.3076923076923084E-3</v>
      </c>
      <c r="G365" t="s">
        <v>1165</v>
      </c>
    </row>
    <row r="366" spans="2:7">
      <c r="B366" t="str">
        <f>nmReg1Seg3</f>
        <v>Harrenhal</v>
      </c>
      <c r="C366" s="387">
        <f>dataReg1Seg3Payer3Volume/dataReg1Seg3Payer3TotalVolume</f>
        <v>5.7444444444444461E-3</v>
      </c>
      <c r="D366" s="387">
        <f>dataReg1Seg3Payer3Volume/dataReg1Seg3Payer3TotalVolume</f>
        <v>5.7444444444444452E-3</v>
      </c>
      <c r="E366" s="387">
        <f>dataReg1Seg3Payer3Volume/dataReg1Seg3Payer3TotalVolume</f>
        <v>5.0111111111111103E-3</v>
      </c>
      <c r="F366" s="387">
        <f>dataReg1Seg3Payer3Volume/dataReg1Seg3Payer3TotalVolume</f>
        <v>4.5222222222222226E-3</v>
      </c>
      <c r="G366" t="s">
        <v>1166</v>
      </c>
    </row>
    <row r="367" spans="2:7" s="4" customFormat="1">
      <c r="B367" s="4" t="s">
        <v>841</v>
      </c>
      <c r="C367" s="569">
        <f>(dataReg1Seg1Payer3Volume+dataReg1Seg2Payer3Volume+dataReg1Seg3Payer3Volume)/dataReg1Payer3TotalVolume</f>
        <v>5.8640339349467522E-3</v>
      </c>
      <c r="D367" s="569">
        <f>(dataReg1Seg1Payer3Volume+dataReg1Seg2Payer3Volume+dataReg1Seg3Payer3Volume)/dataReg1Payer3TotalVolume</f>
        <v>5.8640339349467514E-3</v>
      </c>
      <c r="E367" s="569">
        <f>(dataReg1Seg1Payer3Volume+dataReg1Seg2Payer3Volume+dataReg1Seg3Payer3Volume)/dataReg1Payer3TotalVolume</f>
        <v>4.6495218384187192E-3</v>
      </c>
      <c r="F367" s="569">
        <f>(dataReg1Seg1Payer3Volume+dataReg1Seg2Payer3Volume+dataReg1Seg3Payer3Volume)/dataReg1Payer3TotalVolume</f>
        <v>3.5412951581179244E-3</v>
      </c>
      <c r="G367" s="4" t="s">
        <v>1167</v>
      </c>
    </row>
    <row r="369" spans="2:7">
      <c r="B369" s="4" t="s">
        <v>201</v>
      </c>
    </row>
    <row r="370" spans="2:7">
      <c r="B370" s="4" t="str">
        <f>nmPayer1</f>
        <v>Blue Sword/Blue Shield</v>
      </c>
    </row>
    <row r="371" spans="2:7">
      <c r="B371" t="str">
        <f>nmReg1Seg1</f>
        <v>Riverrun</v>
      </c>
      <c r="C371" s="387">
        <f>dataReg1Seg1Comp1Payer1Volume/dataReg1Seg1Payer1TotalVolume</f>
        <v>1.15E-2</v>
      </c>
      <c r="D371" s="387">
        <f>dataReg1Seg1Comp1Payer1Volume/dataReg1Seg1Payer1TotalVolume</f>
        <v>1.1499999999999998E-2</v>
      </c>
      <c r="E371" s="387">
        <f>dataReg1Seg1Comp1Payer1Volume/dataReg1Seg1Payer1TotalVolume</f>
        <v>1.1500000000000003E-2</v>
      </c>
      <c r="F371" s="387">
        <f>dataReg1Seg1Comp1Payer1Volume/dataReg1Seg1Payer1TotalVolume</f>
        <v>1.1500000000000002E-2</v>
      </c>
      <c r="G371" t="s">
        <v>1168</v>
      </c>
    </row>
    <row r="372" spans="2:7">
      <c r="B372" t="str">
        <f>nmReg1Seg2</f>
        <v>Winterfell</v>
      </c>
      <c r="C372" s="387">
        <f>dataReg1Seg2Comp1Payer1Volume/dataReg1Seg2Payer1TotalVolume</f>
        <v>8.624999999999999E-3</v>
      </c>
      <c r="D372" s="387">
        <f>dataReg1Seg2Comp1Payer1Volume/dataReg1Seg2Payer1TotalVolume</f>
        <v>8.624999999999999E-3</v>
      </c>
      <c r="E372" s="387">
        <f>dataReg1Seg2Comp1Payer1Volume/dataReg1Seg2Payer1TotalVolume</f>
        <v>8.624999999999999E-3</v>
      </c>
      <c r="F372" s="387">
        <f>dataReg1Seg2Comp1Payer1Volume/dataReg1Seg2Payer1TotalVolume</f>
        <v>8.624999999999999E-3</v>
      </c>
      <c r="G372" t="s">
        <v>1169</v>
      </c>
    </row>
    <row r="373" spans="2:7">
      <c r="B373" t="str">
        <f>nmReg1Seg3</f>
        <v>Harrenhal</v>
      </c>
      <c r="C373" s="387">
        <f>dataReg1Seg3Comp1Payer1Volume/dataReg1Seg3Payer1TotalVolume</f>
        <v>1.8157894736842109E-2</v>
      </c>
      <c r="D373" s="387">
        <f>dataReg1Seg3Comp1Payer1Volume/dataReg1Seg3Payer1TotalVolume</f>
        <v>1.8157894736842109E-2</v>
      </c>
      <c r="E373" s="387">
        <f>dataReg1Seg3Comp1Payer1Volume/dataReg1Seg3Payer1TotalVolume</f>
        <v>1.8157894736842106E-2</v>
      </c>
      <c r="F373" s="387">
        <f>dataReg1Seg3Comp1Payer1Volume/dataReg1Seg3Payer1TotalVolume</f>
        <v>1.8157894736842106E-2</v>
      </c>
      <c r="G373" t="s">
        <v>1170</v>
      </c>
    </row>
    <row r="374" spans="2:7" s="4" customFormat="1">
      <c r="B374" s="4" t="s">
        <v>841</v>
      </c>
      <c r="C374" s="458">
        <f>(dataReg1Seg1Comp1Payer1Volume+dataReg1Seg2Comp1Payer1Volume+dataReg1Seg3Comp1Payer1Volume)/dataReg1Payer1TotalVolume</f>
        <v>1.2230346593979076E-2</v>
      </c>
      <c r="D374" s="458">
        <f>(dataReg1Seg1Comp1Payer1Volume+dataReg1Seg2Comp1Payer1Volume+dataReg1Seg3Comp1Payer1Volume)/dataReg1Payer1TotalVolume</f>
        <v>1.2230346593979074E-2</v>
      </c>
      <c r="E374" s="458">
        <f>(dataReg1Seg1Comp1Payer1Volume+dataReg1Seg2Comp1Payer1Volume+dataReg1Seg3Comp1Payer1Volume)/dataReg1Payer1TotalVolume</f>
        <v>1.22455421943713E-2</v>
      </c>
      <c r="F374" s="458">
        <f>(dataReg1Seg1Comp1Payer1Volume+dataReg1Seg2Comp1Payer1Volume+dataReg1Seg3Comp1Payer1Volume)/dataReg1Payer1TotalVolume</f>
        <v>1.2251488685487807E-2</v>
      </c>
      <c r="G374" s="4" t="s">
        <v>1171</v>
      </c>
    </row>
    <row r="376" spans="2:7">
      <c r="B376" s="4" t="str">
        <f>nmPayer2</f>
        <v>WesterAid</v>
      </c>
    </row>
    <row r="377" spans="2:7">
      <c r="B377" t="str">
        <f>nmReg1Seg1</f>
        <v>Riverrun</v>
      </c>
      <c r="C377" s="387">
        <f>dataReg1Seg1Comp1Payer2Volume/dataReg1Seg1Payer2TotalVolume</f>
        <v>7.4999999999999989E-3</v>
      </c>
      <c r="D377" s="387">
        <f>dataReg1Seg1Comp1Payer2Volume/dataReg1Seg1Payer2TotalVolume</f>
        <v>7.499999999999998E-3</v>
      </c>
      <c r="E377" s="387">
        <f>dataReg1Seg1Comp1Payer2Volume/dataReg1Seg1Payer2TotalVolume</f>
        <v>7.5000000000000006E-3</v>
      </c>
      <c r="F377" s="387">
        <f>dataReg1Seg1Comp1Payer2Volume/dataReg1Seg1Payer2TotalVolume</f>
        <v>7.4999999999999997E-3</v>
      </c>
      <c r="G377" t="s">
        <v>1172</v>
      </c>
    </row>
    <row r="378" spans="2:7">
      <c r="B378" t="str">
        <f>nmReg1Seg2</f>
        <v>Winterfell</v>
      </c>
      <c r="C378" s="387">
        <f>dataReg1Seg2Comp1Payer2Volume/dataReg1Seg2Payer2TotalVolume</f>
        <v>1.232142857142857E-2</v>
      </c>
      <c r="D378" s="387">
        <f>dataReg1Seg2Comp1Payer2Volume/dataReg1Seg2Payer2TotalVolume</f>
        <v>1.232142857142857E-2</v>
      </c>
      <c r="E378" s="387">
        <f>dataReg1Seg2Comp1Payer2Volume/dataReg1Seg2Payer2TotalVolume</f>
        <v>1.232142857142857E-2</v>
      </c>
      <c r="F378" s="387">
        <f>dataReg1Seg2Comp1Payer2Volume/dataReg1Seg2Payer2TotalVolume</f>
        <v>1.232142857142857E-2</v>
      </c>
      <c r="G378" t="s">
        <v>1173</v>
      </c>
    </row>
    <row r="379" spans="2:7">
      <c r="B379" t="str">
        <f>nmReg1Seg3</f>
        <v>Harrenhal</v>
      </c>
      <c r="C379" s="387">
        <f>dataReg1Seg3Comp1Payer2Volume/dataReg1Seg3Payer2TotalVolume</f>
        <v>5.3906250000000005E-3</v>
      </c>
      <c r="D379" s="387">
        <f>dataReg1Seg3Comp1Payer2Volume/dataReg1Seg3Payer2TotalVolume</f>
        <v>5.3906250000000005E-3</v>
      </c>
      <c r="E379" s="387">
        <f>dataReg1Seg3Comp1Payer2Volume/dataReg1Seg3Payer2TotalVolume</f>
        <v>5.3906249999999996E-3</v>
      </c>
      <c r="F379" s="387">
        <f>dataReg1Seg3Comp1Payer2Volume/dataReg1Seg3Payer2TotalVolume</f>
        <v>5.3906249999999996E-3</v>
      </c>
      <c r="G379" t="s">
        <v>1174</v>
      </c>
    </row>
    <row r="380" spans="2:7" s="4" customFormat="1">
      <c r="B380" s="4" t="s">
        <v>841</v>
      </c>
      <c r="C380" s="458">
        <f>(dataReg1Seg1Comp1Payer2Volume+dataReg1Seg2Comp1Payer2Volume+dataReg1Seg3Comp1Payer2Volume)/dataReg1Payer2TotalVolume</f>
        <v>7.1121401761259067E-3</v>
      </c>
      <c r="D380" s="458">
        <f>(dataReg1Seg1Comp1Payer2Volume+dataReg1Seg2Comp1Payer2Volume+dataReg1Seg3Comp1Payer2Volume)/dataReg1Payer2TotalVolume</f>
        <v>7.112140176125905E-3</v>
      </c>
      <c r="E380" s="458">
        <f>(dataReg1Seg1Comp1Payer2Volume+dataReg1Seg2Comp1Payer2Volume+dataReg1Seg3Comp1Payer2Volume)/dataReg1Payer2TotalVolume</f>
        <v>7.1049608464170012E-3</v>
      </c>
      <c r="F380" s="458">
        <f>(dataReg1Seg1Comp1Payer2Volume+dataReg1Seg2Comp1Payer2Volume+dataReg1Seg3Comp1Payer2Volume)/dataReg1Payer2TotalVolume</f>
        <v>7.1021601446627945E-3</v>
      </c>
      <c r="G380" s="4" t="s">
        <v>1175</v>
      </c>
    </row>
    <row r="382" spans="2:7">
      <c r="B382" s="4" t="str">
        <f>nmPayer3</f>
        <v>Dragon Health</v>
      </c>
    </row>
    <row r="383" spans="2:7">
      <c r="B383" t="str">
        <f>nmReg1Seg1</f>
        <v>Riverrun</v>
      </c>
      <c r="C383" s="387">
        <f>dataReg1Seg1Comp1Payer3Volume/dataReg1Seg1Payer3TotalVolume</f>
        <v>8.2142857142857139E-3</v>
      </c>
      <c r="D383" s="387">
        <f>dataReg1Seg1Comp1Payer3Volume/dataReg1Seg1Payer3TotalVolume</f>
        <v>8.2142857142857139E-3</v>
      </c>
      <c r="E383" s="387">
        <f>dataReg1Seg1Comp1Payer3Volume/dataReg1Seg1Payer3TotalVolume</f>
        <v>8.2142857142857156E-3</v>
      </c>
      <c r="F383" s="387">
        <f>dataReg1Seg1Comp1Payer3Volume/dataReg1Seg1Payer3TotalVolume</f>
        <v>8.2142857142857156E-3</v>
      </c>
      <c r="G383" t="s">
        <v>1176</v>
      </c>
    </row>
    <row r="384" spans="2:7">
      <c r="B384" t="str">
        <f>nmReg1Seg2</f>
        <v>Winterfell</v>
      </c>
      <c r="C384" s="387">
        <f>dataReg1Seg2Comp1Payer3Volume/dataReg1Seg2Payer3TotalVolume</f>
        <v>6.6346153846153838E-3</v>
      </c>
      <c r="D384" s="387">
        <f>dataReg1Seg2Comp1Payer3Volume/dataReg1Seg2Payer3TotalVolume</f>
        <v>6.6346153846153838E-3</v>
      </c>
      <c r="E384" s="387">
        <f>dataReg1Seg2Comp1Payer3Volume/dataReg1Seg2Payer3TotalVolume</f>
        <v>6.6346153846153838E-3</v>
      </c>
      <c r="F384" s="387">
        <f>dataReg1Seg2Comp1Payer3Volume/dataReg1Seg2Payer3TotalVolume</f>
        <v>6.6346153846153846E-3</v>
      </c>
      <c r="G384" t="s">
        <v>1177</v>
      </c>
    </row>
    <row r="385" spans="2:7">
      <c r="B385" t="str">
        <f>nmReg1Seg3</f>
        <v>Harrenhal</v>
      </c>
      <c r="C385" s="387">
        <f>dataReg1Seg3Comp1Payer3Volume/dataReg1Seg3Payer3TotalVolume</f>
        <v>9.5833333333333361E-3</v>
      </c>
      <c r="D385" s="387">
        <f>dataReg1Seg3Comp1Payer3Volume/dataReg1Seg3Payer3TotalVolume</f>
        <v>9.5833333333333361E-3</v>
      </c>
      <c r="E385" s="387">
        <f>dataReg1Seg3Comp1Payer3Volume/dataReg1Seg3Payer3TotalVolume</f>
        <v>9.5833333333333343E-3</v>
      </c>
      <c r="F385" s="387">
        <f>dataReg1Seg3Comp1Payer3Volume/dataReg1Seg3Payer3TotalVolume</f>
        <v>9.5833333333333343E-3</v>
      </c>
      <c r="G385" t="s">
        <v>1178</v>
      </c>
    </row>
    <row r="386" spans="2:7" s="4" customFormat="1">
      <c r="B386" s="4" t="s">
        <v>841</v>
      </c>
      <c r="C386" s="458">
        <f>(dataReg1Seg1Comp1Payer3Volume+dataReg1Seg2Comp1Payer3Volume+dataReg1Seg3Comp1Payer3Volume)/dataReg1Payer3TotalVolume</f>
        <v>8.175827301948161E-3</v>
      </c>
      <c r="D386" s="458">
        <f>(dataReg1Seg1Comp1Payer3Volume+dataReg1Seg2Comp1Payer3Volume+dataReg1Seg3Comp1Payer3Volume)/dataReg1Payer3TotalVolume</f>
        <v>8.1758273019481593E-3</v>
      </c>
      <c r="E386" s="458">
        <f>(dataReg1Seg1Comp1Payer3Volume+dataReg1Seg2Comp1Payer3Volume+dataReg1Seg3Comp1Payer3Volume)/dataReg1Payer3TotalVolume</f>
        <v>8.1750794386759394E-3</v>
      </c>
      <c r="F386" s="458">
        <f>(dataReg1Seg1Comp1Payer3Volume+dataReg1Seg2Comp1Payer3Volume+dataReg1Seg3Comp1Payer3Volume)/dataReg1Payer3TotalVolume</f>
        <v>8.1747873196994121E-3</v>
      </c>
      <c r="G386" s="4" t="s">
        <v>1179</v>
      </c>
    </row>
    <row r="388" spans="2:7">
      <c r="B388" s="4" t="s">
        <v>201</v>
      </c>
    </row>
    <row r="389" spans="2:7">
      <c r="B389" s="4" t="str">
        <f>nmPayer1</f>
        <v>Blue Sword/Blue Shield</v>
      </c>
    </row>
    <row r="390" spans="2:7">
      <c r="B390" t="str">
        <f>nmReg1Seg1</f>
        <v>Riverrun</v>
      </c>
      <c r="C390" s="387">
        <f>dataReg1Seg1Comp2Payer1Volume/dataReg1Seg1Payer1TotalVolume</f>
        <v>3.0666666666666662E-2</v>
      </c>
      <c r="D390" s="387">
        <f>dataReg1Seg1Comp2Payer1Volume/dataReg1Seg1Payer1TotalVolume</f>
        <v>3.0666666666666668E-2</v>
      </c>
      <c r="E390" s="387">
        <f>dataReg1Seg1Comp2Payer1Volume/dataReg1Seg1Payer1TotalVolume</f>
        <v>3.0666666666666672E-2</v>
      </c>
      <c r="F390" s="387">
        <f>dataReg1Seg1Comp2Payer1Volume/dataReg1Seg1Payer1TotalVolume</f>
        <v>3.0666666666666668E-2</v>
      </c>
      <c r="G390" t="s">
        <v>1180</v>
      </c>
    </row>
    <row r="391" spans="2:7">
      <c r="B391" t="str">
        <f>nmReg1Seg2</f>
        <v>Winterfell</v>
      </c>
      <c r="C391" s="387">
        <f>dataReg1Seg2Comp2Payer1Volume/dataReg1Seg2Payer1TotalVolume</f>
        <v>2.3E-2</v>
      </c>
      <c r="D391" s="387">
        <f>dataReg1Seg2Comp2Payer1Volume/dataReg1Seg2Payer1TotalVolume</f>
        <v>2.3E-2</v>
      </c>
      <c r="E391" s="387">
        <f>dataReg1Seg2Comp2Payer1Volume/dataReg1Seg2Payer1TotalVolume</f>
        <v>2.3E-2</v>
      </c>
      <c r="F391" s="387">
        <f>dataReg1Seg2Comp2Payer1Volume/dataReg1Seg2Payer1TotalVolume</f>
        <v>2.3000000000000003E-2</v>
      </c>
      <c r="G391" t="s">
        <v>1181</v>
      </c>
    </row>
    <row r="392" spans="2:7">
      <c r="B392" t="str">
        <f>nmReg1Seg3</f>
        <v>Harrenhal</v>
      </c>
      <c r="C392" s="387">
        <f>dataReg1Seg3Comp2Payer1Volume/dataReg1Seg3Payer1TotalVolume</f>
        <v>4.8421052631578948E-2</v>
      </c>
      <c r="D392" s="387">
        <f>dataReg1Seg3Comp2Payer1Volume/dataReg1Seg3Payer1TotalVolume</f>
        <v>4.8421052631578948E-2</v>
      </c>
      <c r="E392" s="387">
        <f>dataReg1Seg3Comp2Payer1Volume/dataReg1Seg3Payer1TotalVolume</f>
        <v>4.8421052631578955E-2</v>
      </c>
      <c r="F392" s="387">
        <f>dataReg1Seg3Comp2Payer1Volume/dataReg1Seg3Payer1TotalVolume</f>
        <v>4.8421052631578955E-2</v>
      </c>
      <c r="G392" t="s">
        <v>1182</v>
      </c>
    </row>
    <row r="393" spans="2:7" s="4" customFormat="1">
      <c r="B393" s="4" t="s">
        <v>841</v>
      </c>
      <c r="C393" s="458">
        <f>(dataReg1Seg1Comp2Payer1Volume+dataReg1Seg2Comp2Payer1Volume+dataReg1Seg3Comp2Payer1Volume)/dataReg1Payer1TotalVolume</f>
        <v>3.2614257583944192E-2</v>
      </c>
      <c r="D393" s="458">
        <f>(dataReg1Seg1Comp2Payer1Volume+dataReg1Seg2Comp2Payer1Volume+dataReg1Seg3Comp2Payer1Volume)/dataReg1Payer1TotalVolume</f>
        <v>3.2614257583944199E-2</v>
      </c>
      <c r="E393" s="458">
        <f>(dataReg1Seg1Comp2Payer1Volume+dataReg1Seg2Comp2Payer1Volume+dataReg1Seg3Comp2Payer1Volume)/dataReg1Payer1TotalVolume</f>
        <v>3.2654779184990143E-2</v>
      </c>
      <c r="F393" s="458">
        <f>(dataReg1Seg1Comp2Payer1Volume+dataReg1Seg2Comp2Payer1Volume+dataReg1Seg3Comp2Payer1Volume)/dataReg1Payer1TotalVolume</f>
        <v>3.2670636494634149E-2</v>
      </c>
      <c r="G393" s="4" t="s">
        <v>1183</v>
      </c>
    </row>
    <row r="395" spans="2:7">
      <c r="B395" s="4" t="str">
        <f>nmPayer2</f>
        <v>WesterAid</v>
      </c>
    </row>
    <row r="396" spans="2:7">
      <c r="B396" t="str">
        <f>nmReg1Seg1</f>
        <v>Riverrun</v>
      </c>
      <c r="C396" s="387">
        <f>dataReg1Seg1Comp2Payer2Volume/dataReg1Seg1Payer2TotalVolume</f>
        <v>1.9999999999999997E-2</v>
      </c>
      <c r="D396" s="387">
        <f>dataReg1Seg1Comp2Payer2Volume/dataReg1Seg1Payer2TotalVolume</f>
        <v>0.02</v>
      </c>
      <c r="E396" s="387">
        <f>dataReg1Seg1Comp2Payer2Volume/dataReg1Seg1Payer2TotalVolume</f>
        <v>2.0000000000000004E-2</v>
      </c>
      <c r="F396" s="387">
        <f>dataReg1Seg1Comp2Payer2Volume/dataReg1Seg1Payer2TotalVolume</f>
        <v>1.9999999999999997E-2</v>
      </c>
      <c r="G396" t="s">
        <v>1184</v>
      </c>
    </row>
    <row r="397" spans="2:7">
      <c r="B397" t="str">
        <f>nmReg1Seg2</f>
        <v>Winterfell</v>
      </c>
      <c r="C397" s="387">
        <f>dataReg1Seg2Comp2Payer2Volume/dataReg1Seg2Payer2TotalVolume</f>
        <v>3.2857142857142856E-2</v>
      </c>
      <c r="D397" s="387">
        <f>dataReg1Seg2Comp2Payer2Volume/dataReg1Seg2Payer2TotalVolume</f>
        <v>3.2857142857142856E-2</v>
      </c>
      <c r="E397" s="387">
        <f>dataReg1Seg2Comp2Payer2Volume/dataReg1Seg2Payer2TotalVolume</f>
        <v>3.2857142857142856E-2</v>
      </c>
      <c r="F397" s="387">
        <f>dataReg1Seg2Comp2Payer2Volume/dataReg1Seg2Payer2TotalVolume</f>
        <v>3.2857142857142856E-2</v>
      </c>
      <c r="G397" t="s">
        <v>1185</v>
      </c>
    </row>
    <row r="398" spans="2:7">
      <c r="B398" t="str">
        <f>nmReg1Seg3</f>
        <v>Harrenhal</v>
      </c>
      <c r="C398" s="387">
        <f>dataReg1Seg3Comp2Payer2Volume/dataReg1Seg3Payer2TotalVolume</f>
        <v>1.4374999999999999E-2</v>
      </c>
      <c r="D398" s="387">
        <f>dataReg1Seg3Comp2Payer2Volume/dataReg1Seg3Payer2TotalVolume</f>
        <v>1.4374999999999999E-2</v>
      </c>
      <c r="E398" s="387">
        <f>dataReg1Seg3Comp2Payer2Volume/dataReg1Seg3Payer2TotalVolume</f>
        <v>1.4375000000000001E-2</v>
      </c>
      <c r="F398" s="387">
        <f>dataReg1Seg3Comp2Payer2Volume/dataReg1Seg3Payer2TotalVolume</f>
        <v>1.4375000000000001E-2</v>
      </c>
      <c r="G398" t="s">
        <v>1186</v>
      </c>
    </row>
    <row r="399" spans="2:7" s="4" customFormat="1">
      <c r="B399" s="4" t="s">
        <v>841</v>
      </c>
      <c r="C399" s="458">
        <f>(dataReg1Seg1Comp2Payer2Volume+dataReg1Seg2Comp2Payer2Volume+dataReg1Seg3Comp2Payer2Volume)/dataReg1Payer2TotalVolume</f>
        <v>1.8965707136335747E-2</v>
      </c>
      <c r="D399" s="458">
        <f>(dataReg1Seg1Comp2Payer2Volume+dataReg1Seg2Comp2Payer2Volume+dataReg1Seg3Comp2Payer2Volume)/dataReg1Payer2TotalVolume</f>
        <v>1.896570713633575E-2</v>
      </c>
      <c r="E399" s="458">
        <f>(dataReg1Seg1Comp2Payer2Volume+dataReg1Seg2Comp2Payer2Volume+dataReg1Seg3Comp2Payer2Volume)/dataReg1Payer2TotalVolume</f>
        <v>1.8946562257112009E-2</v>
      </c>
      <c r="F399" s="458">
        <f>(dataReg1Seg1Comp2Payer2Volume+dataReg1Seg2Comp2Payer2Volume+dataReg1Seg3Comp2Payer2Volume)/dataReg1Payer2TotalVolume</f>
        <v>1.8939093719100783E-2</v>
      </c>
      <c r="G399" s="4" t="s">
        <v>1187</v>
      </c>
    </row>
    <row r="401" spans="1:7">
      <c r="B401" s="4" t="str">
        <f>nmPayer3</f>
        <v>Dragon Health</v>
      </c>
    </row>
    <row r="402" spans="1:7">
      <c r="B402" t="str">
        <f>nmReg1Seg1</f>
        <v>Riverrun</v>
      </c>
      <c r="C402" s="387">
        <f>dataReg1Seg1Comp2Payer3Volume/dataReg1Seg1Payer3TotalVolume</f>
        <v>2.1904761904761903E-2</v>
      </c>
      <c r="D402" s="387">
        <f>dataReg1Seg1Comp2Payer3Volume/dataReg1Seg1Payer3TotalVolume</f>
        <v>2.1904761904761906E-2</v>
      </c>
      <c r="E402" s="387">
        <f>dataReg1Seg1Comp2Payer3Volume/dataReg1Seg1Payer3TotalVolume</f>
        <v>2.1904761904761906E-2</v>
      </c>
      <c r="F402" s="387">
        <f>dataReg1Seg1Comp2Payer3Volume/dataReg1Seg1Payer3TotalVolume</f>
        <v>2.1904761904761906E-2</v>
      </c>
      <c r="G402" t="s">
        <v>1188</v>
      </c>
    </row>
    <row r="403" spans="1:7">
      <c r="B403" t="str">
        <f>nmReg1Seg2</f>
        <v>Winterfell</v>
      </c>
      <c r="C403" s="387">
        <f>dataReg1Seg2Comp2Payer3Volume/dataReg1Seg2Payer3TotalVolume</f>
        <v>1.7692307692307691E-2</v>
      </c>
      <c r="D403" s="387">
        <f>dataReg1Seg2Comp2Payer3Volume/dataReg1Seg2Payer3TotalVolume</f>
        <v>1.7692307692307691E-2</v>
      </c>
      <c r="E403" s="387">
        <f>dataReg1Seg2Comp2Payer3Volume/dataReg1Seg2Payer3TotalVolume</f>
        <v>1.7692307692307691E-2</v>
      </c>
      <c r="F403" s="387">
        <f>dataReg1Seg2Comp2Payer3Volume/dataReg1Seg2Payer3TotalVolume</f>
        <v>1.7692307692307695E-2</v>
      </c>
      <c r="G403" t="s">
        <v>1189</v>
      </c>
    </row>
    <row r="404" spans="1:7">
      <c r="B404" t="str">
        <f>nmReg1Seg3</f>
        <v>Harrenhal</v>
      </c>
      <c r="C404" s="387">
        <f>dataReg1Seg3Comp2Payer3Volume/dataReg1Seg3Payer3TotalVolume</f>
        <v>2.5555555555555557E-2</v>
      </c>
      <c r="D404" s="387">
        <f>dataReg1Seg3Comp2Payer3Volume/dataReg1Seg3Payer3TotalVolume</f>
        <v>2.5555555555555557E-2</v>
      </c>
      <c r="E404" s="387">
        <f>dataReg1Seg3Comp2Payer3Volume/dataReg1Seg3Payer3TotalVolume</f>
        <v>2.5555555555555557E-2</v>
      </c>
      <c r="F404" s="387">
        <f>dataReg1Seg3Comp2Payer3Volume/dataReg1Seg3Payer3TotalVolume</f>
        <v>2.5555555555555561E-2</v>
      </c>
      <c r="G404" t="s">
        <v>1190</v>
      </c>
    </row>
    <row r="405" spans="1:7" s="4" customFormat="1">
      <c r="B405" s="4" t="s">
        <v>841</v>
      </c>
      <c r="C405" s="458">
        <f>(dataReg1Seg1Comp2Payer3Volume+dataReg1Seg2Comp2Payer3Volume+dataReg1Seg3Comp2Payer3Volume)/dataReg1Payer3TotalVolume</f>
        <v>2.1802206138528422E-2</v>
      </c>
      <c r="D405" s="458">
        <f>(dataReg1Seg1Comp2Payer3Volume+dataReg1Seg2Comp2Payer3Volume+dataReg1Seg3Comp2Payer3Volume)/dataReg1Payer3TotalVolume</f>
        <v>2.1802206138528426E-2</v>
      </c>
      <c r="E405" s="458">
        <f>(dataReg1Seg1Comp2Payer3Volume+dataReg1Seg2Comp2Payer3Volume+dataReg1Seg3Comp2Payer3Volume)/dataReg1Payer3TotalVolume</f>
        <v>2.1800211836469175E-2</v>
      </c>
      <c r="F405" s="458">
        <f>(dataReg1Seg1Comp2Payer3Volume+dataReg1Seg2Comp2Payer3Volume+dataReg1Seg3Comp2Payer3Volume)/dataReg1Payer3TotalVolume</f>
        <v>2.1799432852531764E-2</v>
      </c>
      <c r="G405" s="4" t="s">
        <v>1191</v>
      </c>
    </row>
    <row r="407" spans="1:7">
      <c r="C407" s="380"/>
      <c r="D407" s="387"/>
      <c r="E407" s="387"/>
      <c r="F407" s="387"/>
    </row>
    <row r="409" spans="1:7">
      <c r="C409" s="380"/>
      <c r="D409" s="387"/>
      <c r="E409" s="387"/>
      <c r="F409" s="387"/>
    </row>
    <row r="410" spans="1:7">
      <c r="C410" s="380"/>
      <c r="D410" s="387"/>
      <c r="E410" s="387"/>
      <c r="F410" s="387"/>
    </row>
    <row r="411" spans="1:7">
      <c r="C411" s="380"/>
      <c r="D411" s="387"/>
      <c r="E411" s="387"/>
      <c r="F411" s="387"/>
    </row>
    <row r="413" spans="1:7" s="379" customFormat="1">
      <c r="A413" s="378" t="s">
        <v>674</v>
      </c>
    </row>
    <row r="414" spans="1:7">
      <c r="B414" t="str">
        <f>nmProd1</f>
        <v>Riverrun</v>
      </c>
      <c r="C414" t="s">
        <v>620</v>
      </c>
      <c r="D414" t="s">
        <v>621</v>
      </c>
      <c r="E414" t="s">
        <v>622</v>
      </c>
      <c r="F414" t="s">
        <v>623</v>
      </c>
    </row>
    <row r="416" spans="1:7">
      <c r="B416" t="s">
        <v>796</v>
      </c>
      <c r="C416">
        <f>dataProd1Seg1TotalMarket+dataProd1Seg2TotalMarket+dataProd1Seg3TotalMarket</f>
        <v>134960</v>
      </c>
      <c r="D416">
        <f>dataProd1Seg1TotalMarket+dataProd1Seg2TotalMarket+dataProd1Seg3TotalMarket</f>
        <v>134960</v>
      </c>
      <c r="E416">
        <f>dataProd1Seg1TotalMarket+dataProd1Seg2TotalMarket+dataProd1Seg3TotalMarket</f>
        <v>144002.31999999998</v>
      </c>
      <c r="F416">
        <f>dataProd1Seg1TotalMarket+dataProd1Seg2TotalMarket+dataProd1Seg3TotalMarket</f>
        <v>159068.5796</v>
      </c>
      <c r="G416" t="s">
        <v>859</v>
      </c>
    </row>
    <row r="417" spans="2:7">
      <c r="B417" s="4" t="s">
        <v>624</v>
      </c>
      <c r="C417" s="380">
        <f>dataProd1Seg1TotalVolume+dataProd1Seg2TotalVolume+dataProd1Seg3TotalVolume</f>
        <v>323.904</v>
      </c>
      <c r="D417" s="380">
        <f>dataProd1Seg1TotalVolume+dataProd1Seg2TotalVolume+dataProd1Seg3TotalVolume</f>
        <v>323.904</v>
      </c>
      <c r="E417" s="380">
        <f>dataProd1Seg1TotalVolume+dataProd1Seg2TotalVolume+dataProd1Seg3TotalVolume</f>
        <v>345.60556799999995</v>
      </c>
      <c r="F417" s="380">
        <f>dataProd1Seg1TotalVolume+dataProd1Seg2TotalVolume+dataProd1Seg3TotalVolume</f>
        <v>381.76459103999997</v>
      </c>
      <c r="G417" t="s">
        <v>652</v>
      </c>
    </row>
    <row r="418" spans="2:7">
      <c r="B418" s="4" t="s">
        <v>1066</v>
      </c>
      <c r="C418" s="380">
        <f>dataProd1Seg1NewCust+dataProd1Seg2NewCust+dataProd1Seg3NewCust</f>
        <v>10.703999999999999</v>
      </c>
      <c r="D418" s="380">
        <f>dataProd1Seg1NewCust+dataProd1Seg2NewCust+dataProd1Seg3NewCust</f>
        <v>6.4780800000000003</v>
      </c>
      <c r="E418" s="380">
        <f>dataProd1Seg1NewCust+dataProd1Seg2NewCust+dataProd1Seg3NewCust</f>
        <v>31.580639999999999</v>
      </c>
      <c r="F418" s="380">
        <f>dataProd1Seg1NewCust+dataProd1Seg2NewCust+dataProd1Seg3NewCust</f>
        <v>46.642175999999992</v>
      </c>
      <c r="G418" t="s">
        <v>1067</v>
      </c>
    </row>
    <row r="419" spans="2:7">
      <c r="B419" s="4" t="s">
        <v>842</v>
      </c>
      <c r="C419" s="387">
        <f>dataProd1TotalVolume/dataProd1TotalMarketVolume</f>
        <v>2.3999999999999998E-3</v>
      </c>
      <c r="D419" s="387">
        <f>dataProd1TotalVolume/dataProd1TotalMarketVolume</f>
        <v>2.3999999999999998E-3</v>
      </c>
      <c r="E419" s="387">
        <f>dataProd1TotalVolume/dataProd1TotalMarketVolume</f>
        <v>2.4000000000000002E-3</v>
      </c>
      <c r="F419" s="387">
        <f>dataProd1TotalVolume/dataProd1TotalMarketVolume</f>
        <v>2.3999999999999998E-3</v>
      </c>
      <c r="G419" t="s">
        <v>860</v>
      </c>
    </row>
    <row r="420" spans="2:7">
      <c r="B420" t="s">
        <v>625</v>
      </c>
      <c r="C420" s="388"/>
      <c r="D420" s="388">
        <f>D417/C417-1</f>
        <v>0</v>
      </c>
      <c r="E420" s="388">
        <f>E417/D417-1</f>
        <v>6.6999999999999948E-2</v>
      </c>
      <c r="F420" s="388">
        <f>F417/E417-1</f>
        <v>0.10462511715089051</v>
      </c>
      <c r="G420" t="s">
        <v>675</v>
      </c>
    </row>
    <row r="421" spans="2:7">
      <c r="B421" s="4" t="str">
        <f>nmComp1&amp;" Total Market "</f>
        <v xml:space="preserve">Vibrant Total Market </v>
      </c>
      <c r="C421" s="387">
        <f>(dataProd1Seg1Comp1TotalVolume+dataProd1Seg2Comp1TotalVolume+dataProd1Seg3Comp1TotalVolume)/dataProd1TotalMarketVolume</f>
        <v>6.8999999999999999E-3</v>
      </c>
      <c r="D421" s="387">
        <f>(dataProd1Seg1Comp1TotalVolume+dataProd1Seg2Comp1TotalVolume+dataProd1Seg3Comp1TotalVolume)/dataProd1TotalMarketVolume</f>
        <v>6.8999999999999999E-3</v>
      </c>
      <c r="E421" s="387">
        <f>(dataProd1Seg1Comp1TotalVolume+dataProd1Seg2Comp1TotalVolume+dataProd1Seg3Comp1TotalVolume)/dataProd1TotalMarketVolume</f>
        <v>6.9000000000000008E-3</v>
      </c>
      <c r="F421" s="387">
        <f>(dataProd1Seg1Comp1TotalVolume+dataProd1Seg2Comp1TotalVolume+dataProd1Seg3Comp1TotalVolume)/dataProd1TotalMarketVolume</f>
        <v>6.8999999999999999E-3</v>
      </c>
      <c r="G421" t="s">
        <v>1055</v>
      </c>
    </row>
    <row r="422" spans="2:7">
      <c r="B422" s="4" t="str">
        <f>nmComp2&amp;" Total Market "</f>
        <v xml:space="preserve">Pristine Total Market </v>
      </c>
      <c r="C422" s="387">
        <f>(dataProd1Seg1Comp2TotalVolume+dataProd1Seg2Comp2TotalVolume+dataProd1Seg3Comp2TotalVolume)/dataProd1TotalMarketVolume</f>
        <v>1.84E-2</v>
      </c>
      <c r="D422" s="387">
        <f>(dataProd1Seg1Comp2TotalVolume+dataProd1Seg2Comp2TotalVolume+dataProd1Seg3Comp2TotalVolume)/dataProd1TotalMarketVolume</f>
        <v>1.84E-2</v>
      </c>
      <c r="E422" s="387">
        <f>(dataProd1Seg1Comp2TotalVolume+dataProd1Seg2Comp2TotalVolume+dataProd1Seg3Comp2TotalVolume)/dataProd1TotalMarketVolume</f>
        <v>1.8400000000000003E-2</v>
      </c>
      <c r="F422" s="387">
        <f>(dataProd1Seg1Comp2TotalVolume+dataProd1Seg2Comp2TotalVolume+dataProd1Seg3Comp2TotalVolume)/dataProd1TotalMarketVolume</f>
        <v>1.84E-2</v>
      </c>
      <c r="G422" t="s">
        <v>1056</v>
      </c>
    </row>
    <row r="423" spans="2:7">
      <c r="C423" s="381"/>
      <c r="D423" s="381"/>
      <c r="E423" s="381"/>
      <c r="F423" s="381"/>
    </row>
    <row r="424" spans="2:7">
      <c r="B424" s="4" t="str">
        <f>nmProd1Seg1</f>
        <v>Riverrun Central</v>
      </c>
    </row>
    <row r="425" spans="2:7">
      <c r="B425" s="16" t="s">
        <v>806</v>
      </c>
      <c r="D425" s="382">
        <v>0.05</v>
      </c>
      <c r="E425" s="382">
        <v>0.05</v>
      </c>
      <c r="F425" s="382">
        <v>0.05</v>
      </c>
      <c r="G425" t="s">
        <v>825</v>
      </c>
    </row>
    <row r="426" spans="2:7">
      <c r="B426" t="s">
        <v>797</v>
      </c>
      <c r="C426" s="431">
        <v>40000000</v>
      </c>
      <c r="D426" s="380">
        <f>C426*(1+dataProd1Seg1PopGrowth)</f>
        <v>42000000</v>
      </c>
      <c r="E426" s="380">
        <f>D426*(1+dataProd1Seg1PopGrowth)</f>
        <v>44100000</v>
      </c>
      <c r="F426" s="380">
        <f>E426*(1+dataProd1Seg1PopGrowth)</f>
        <v>46305000</v>
      </c>
      <c r="G426" t="s">
        <v>820</v>
      </c>
    </row>
    <row r="427" spans="2:7">
      <c r="B427" t="s">
        <v>778</v>
      </c>
      <c r="C427" s="382">
        <v>0.95</v>
      </c>
      <c r="D427" s="382">
        <v>0.98</v>
      </c>
      <c r="E427" s="382">
        <v>0.98</v>
      </c>
      <c r="F427" s="382">
        <v>0.98</v>
      </c>
      <c r="G427" t="s">
        <v>787</v>
      </c>
    </row>
    <row r="428" spans="2:7">
      <c r="B428" t="s">
        <v>803</v>
      </c>
      <c r="C428" s="431">
        <v>51500</v>
      </c>
      <c r="D428" s="380">
        <f>C431*dataProd1Seg1RecurRate</f>
        <v>52904.32</v>
      </c>
      <c r="E428" s="380">
        <f>D431*dataProd1Seg1RecurRate</f>
        <v>52904.32</v>
      </c>
      <c r="F428" s="380">
        <f>E431*dataProd1Seg1RecurRate</f>
        <v>57136.6656</v>
      </c>
      <c r="G428" t="s">
        <v>821</v>
      </c>
    </row>
    <row r="429" spans="2:7">
      <c r="B429" t="s">
        <v>801</v>
      </c>
      <c r="C429" s="435"/>
      <c r="D429" s="432">
        <v>0.02</v>
      </c>
      <c r="E429" s="432">
        <v>0.1</v>
      </c>
      <c r="F429" s="432">
        <v>0.15</v>
      </c>
      <c r="G429" t="s">
        <v>822</v>
      </c>
    </row>
    <row r="430" spans="2:7">
      <c r="B430" t="s">
        <v>804</v>
      </c>
      <c r="C430" s="438">
        <v>2484</v>
      </c>
      <c r="D430" s="437">
        <f>C431*dataProd1Seg1NewCustGrowth</f>
        <v>1079.68</v>
      </c>
      <c r="E430" s="437">
        <f>D431*dataProd1Seg1NewCustGrowth</f>
        <v>5398.4000000000005</v>
      </c>
      <c r="F430" s="437">
        <f>E431*dataProd1Seg1NewCustGrowth</f>
        <v>8745.4079999999994</v>
      </c>
      <c r="G430" t="s">
        <v>849</v>
      </c>
    </row>
    <row r="431" spans="2:7">
      <c r="B431" t="s">
        <v>796</v>
      </c>
      <c r="C431" s="380">
        <f>C428+C430</f>
        <v>53984</v>
      </c>
      <c r="D431" s="380">
        <f>dataProd1Seg1TotalRecurCust+dataProd1Seg1TotalNewCust</f>
        <v>53984</v>
      </c>
      <c r="E431" s="380">
        <f>dataProd1Seg1TotalRecurCust+dataProd1Seg1TotalNewCust</f>
        <v>58302.720000000001</v>
      </c>
      <c r="F431" s="380">
        <f>dataProd1Seg1TotalRecurCust+dataProd1Seg1TotalNewCust</f>
        <v>65882.073600000003</v>
      </c>
      <c r="G431" t="s">
        <v>823</v>
      </c>
    </row>
    <row r="432" spans="2:7">
      <c r="B432" t="s">
        <v>201</v>
      </c>
      <c r="C432" s="525">
        <v>2.3999999999999998E-3</v>
      </c>
      <c r="D432" s="525">
        <v>2.3999999999999998E-3</v>
      </c>
      <c r="E432" s="525">
        <v>2.3999999999999998E-3</v>
      </c>
      <c r="F432" s="525">
        <v>2.3999999999999998E-3</v>
      </c>
      <c r="G432" s="434" t="s">
        <v>824</v>
      </c>
    </row>
    <row r="433" spans="2:7">
      <c r="B433" t="str">
        <f>nmComp1&amp;" Market Share"</f>
        <v>Vibrant Market Share</v>
      </c>
      <c r="C433" s="525">
        <v>6.8999999999999999E-3</v>
      </c>
      <c r="D433" s="525">
        <v>6.8999999999999999E-3</v>
      </c>
      <c r="E433" s="525">
        <v>6.8999999999999999E-3</v>
      </c>
      <c r="F433" s="525">
        <v>6.8999999999999999E-3</v>
      </c>
      <c r="G433" s="434" t="s">
        <v>886</v>
      </c>
    </row>
    <row r="434" spans="2:7">
      <c r="B434" t="str">
        <f>nmComp2&amp;" Market Share"</f>
        <v>Pristine Market Share</v>
      </c>
      <c r="C434" s="525">
        <v>1.84E-2</v>
      </c>
      <c r="D434" s="525">
        <v>1.84E-2</v>
      </c>
      <c r="E434" s="525">
        <v>1.84E-2</v>
      </c>
      <c r="F434" s="525">
        <v>1.84E-2</v>
      </c>
      <c r="G434" s="434" t="s">
        <v>887</v>
      </c>
    </row>
    <row r="436" spans="2:7">
      <c r="B436" s="4" t="str">
        <f>nmProd1Seg2</f>
        <v>Tullyville</v>
      </c>
    </row>
    <row r="437" spans="2:7">
      <c r="B437" s="16" t="s">
        <v>806</v>
      </c>
      <c r="D437" s="382">
        <v>0.05</v>
      </c>
      <c r="E437" s="382">
        <v>0.05</v>
      </c>
      <c r="F437" s="382">
        <v>0.05</v>
      </c>
      <c r="G437" t="s">
        <v>827</v>
      </c>
    </row>
    <row r="438" spans="2:7">
      <c r="B438" t="s">
        <v>797</v>
      </c>
      <c r="C438" s="431">
        <v>40000000</v>
      </c>
      <c r="D438" s="380">
        <f>C438*(1+dataProd1Seg2PopGrowth)</f>
        <v>42000000</v>
      </c>
      <c r="E438" s="380">
        <f>D438*(1+dataProd1Seg2PopGrowth)</f>
        <v>44100000</v>
      </c>
      <c r="F438" s="380">
        <f>E438*(1+dataProd1Seg2PopGrowth)</f>
        <v>46305000</v>
      </c>
      <c r="G438" t="s">
        <v>828</v>
      </c>
    </row>
    <row r="439" spans="2:7">
      <c r="B439" t="s">
        <v>778</v>
      </c>
      <c r="C439" s="382">
        <v>0.95</v>
      </c>
      <c r="D439" s="382">
        <v>0.98</v>
      </c>
      <c r="E439" s="382">
        <v>0.95</v>
      </c>
      <c r="F439" s="382">
        <v>0.95</v>
      </c>
      <c r="G439" t="s">
        <v>789</v>
      </c>
    </row>
    <row r="440" spans="2:7">
      <c r="B440" t="s">
        <v>803</v>
      </c>
      <c r="C440" s="431">
        <v>46000</v>
      </c>
      <c r="D440" s="380">
        <f>C443*dataProd1Seg2RecurRate</f>
        <v>46291.28</v>
      </c>
      <c r="E440" s="380">
        <f>D443*dataProd1Seg2RecurRate</f>
        <v>44874.2</v>
      </c>
      <c r="F440" s="380">
        <f>E443*dataProd1Seg2RecurRate</f>
        <v>47117.909999999996</v>
      </c>
      <c r="G440" t="s">
        <v>829</v>
      </c>
    </row>
    <row r="441" spans="2:7">
      <c r="B441" t="s">
        <v>801</v>
      </c>
      <c r="C441" s="435"/>
      <c r="D441" s="432">
        <v>0.02</v>
      </c>
      <c r="E441" s="432">
        <v>0.1</v>
      </c>
      <c r="F441" s="432">
        <v>0.15</v>
      </c>
      <c r="G441" t="s">
        <v>830</v>
      </c>
    </row>
    <row r="442" spans="2:7">
      <c r="B442" t="s">
        <v>804</v>
      </c>
      <c r="C442" s="438">
        <v>1236</v>
      </c>
      <c r="D442" s="437">
        <f>C443*dataProd1Seg2NewCustGrowth</f>
        <v>944.72</v>
      </c>
      <c r="E442" s="437">
        <f>D443*dataProd1Seg2NewCustGrowth</f>
        <v>4723.6000000000004</v>
      </c>
      <c r="F442" s="437">
        <f>E443*dataProd1Seg2NewCustGrowth</f>
        <v>7439.6699999999992</v>
      </c>
      <c r="G442" t="s">
        <v>848</v>
      </c>
    </row>
    <row r="443" spans="2:7">
      <c r="B443" t="s">
        <v>796</v>
      </c>
      <c r="C443" s="380">
        <f>C440+C442</f>
        <v>47236</v>
      </c>
      <c r="D443" s="380">
        <f>dataProd1Seg2TotalRecurCust+dataProd1Seg2TotalNewCust</f>
        <v>47236</v>
      </c>
      <c r="E443" s="380">
        <f>dataProd1Seg2TotalRecurCust+dataProd1Seg2TotalNewCust</f>
        <v>49597.799999999996</v>
      </c>
      <c r="F443" s="380">
        <f>dataProd1Seg2TotalRecurCust+dataProd1Seg2TotalNewCust</f>
        <v>54557.579999999994</v>
      </c>
      <c r="G443" t="s">
        <v>831</v>
      </c>
    </row>
    <row r="444" spans="2:7">
      <c r="B444" t="s">
        <v>201</v>
      </c>
      <c r="C444" s="525">
        <v>2.3999999999999998E-3</v>
      </c>
      <c r="D444" s="525">
        <v>2.3999999999999998E-3</v>
      </c>
      <c r="E444" s="525">
        <v>2.3999999999999998E-3</v>
      </c>
      <c r="F444" s="525">
        <v>2.3999999999999998E-3</v>
      </c>
      <c r="G444" s="434" t="s">
        <v>832</v>
      </c>
    </row>
    <row r="445" spans="2:7">
      <c r="B445" t="str">
        <f>nmComp1&amp;" Market Share"</f>
        <v>Vibrant Market Share</v>
      </c>
      <c r="C445" s="525">
        <v>6.8999999999999999E-3</v>
      </c>
      <c r="D445" s="525">
        <v>6.8999999999999999E-3</v>
      </c>
      <c r="E445" s="525">
        <v>6.8999999999999999E-3</v>
      </c>
      <c r="F445" s="525">
        <v>6.8999999999999999E-3</v>
      </c>
      <c r="G445" s="434" t="s">
        <v>888</v>
      </c>
    </row>
    <row r="446" spans="2:7">
      <c r="B446" t="str">
        <f>nmComp2&amp;" Market Share"</f>
        <v>Pristine Market Share</v>
      </c>
      <c r="C446" s="525">
        <v>1.84E-2</v>
      </c>
      <c r="D446" s="525">
        <v>1.84E-2</v>
      </c>
      <c r="E446" s="525">
        <v>1.84E-2</v>
      </c>
      <c r="F446" s="525">
        <v>1.84E-2</v>
      </c>
      <c r="G446" s="434" t="s">
        <v>889</v>
      </c>
    </row>
    <row r="448" spans="2:7">
      <c r="B448" s="4" t="str">
        <f>nmProd1Seg3</f>
        <v>Lordfrey City</v>
      </c>
    </row>
    <row r="449" spans="2:7">
      <c r="B449" s="16" t="s">
        <v>806</v>
      </c>
      <c r="D449" s="382">
        <v>0.05</v>
      </c>
      <c r="E449" s="382">
        <v>0.05</v>
      </c>
      <c r="F449" s="382">
        <v>0.05</v>
      </c>
      <c r="G449" t="s">
        <v>833</v>
      </c>
    </row>
    <row r="450" spans="2:7">
      <c r="B450" t="s">
        <v>797</v>
      </c>
      <c r="C450" s="431">
        <v>40000000</v>
      </c>
      <c r="D450" s="380">
        <f>C450*(1+dataProd1Seg3PopGrowth)</f>
        <v>42000000</v>
      </c>
      <c r="E450" s="380">
        <f>D450*(1+dataProd1Seg3PopGrowth)</f>
        <v>44100000</v>
      </c>
      <c r="F450" s="380">
        <f>E450*(1+dataProd1Seg3PopGrowth)</f>
        <v>46305000</v>
      </c>
      <c r="G450" t="s">
        <v>834</v>
      </c>
    </row>
    <row r="451" spans="2:7">
      <c r="B451" t="s">
        <v>778</v>
      </c>
      <c r="C451" s="382">
        <v>0.95</v>
      </c>
      <c r="D451" s="382">
        <v>0.98</v>
      </c>
      <c r="E451" s="382">
        <v>0.98</v>
      </c>
      <c r="F451" s="382">
        <v>0.98</v>
      </c>
      <c r="G451" t="s">
        <v>791</v>
      </c>
    </row>
    <row r="452" spans="2:7">
      <c r="B452" t="s">
        <v>803</v>
      </c>
      <c r="C452" s="431">
        <v>33000</v>
      </c>
      <c r="D452" s="380">
        <f>C455*dataProd1Seg3RecurRate</f>
        <v>33065.199999999997</v>
      </c>
      <c r="E452" s="380">
        <f>D455*dataProd1Seg3RecurRate</f>
        <v>33065.199999999997</v>
      </c>
      <c r="F452" s="380">
        <f>E455*dataProd1Seg3RecurRate</f>
        <v>35379.763999999996</v>
      </c>
      <c r="G452" t="s">
        <v>835</v>
      </c>
    </row>
    <row r="453" spans="2:7">
      <c r="B453" t="s">
        <v>801</v>
      </c>
      <c r="C453" s="435"/>
      <c r="D453" s="432">
        <v>0.02</v>
      </c>
      <c r="E453" s="432">
        <v>0.09</v>
      </c>
      <c r="F453" s="432">
        <v>0.09</v>
      </c>
      <c r="G453" t="s">
        <v>836</v>
      </c>
    </row>
    <row r="454" spans="2:7">
      <c r="B454" t="s">
        <v>804</v>
      </c>
      <c r="C454" s="438">
        <v>740</v>
      </c>
      <c r="D454" s="437">
        <f>C455*dataProd1Seg3NewCustGrowth</f>
        <v>674.80000000000007</v>
      </c>
      <c r="E454" s="437">
        <f>D455*dataProd1Seg3NewCustGrowth</f>
        <v>3036.6</v>
      </c>
      <c r="F454" s="437">
        <f>E455*dataProd1Seg3NewCustGrowth</f>
        <v>3249.1619999999994</v>
      </c>
      <c r="G454" t="s">
        <v>850</v>
      </c>
    </row>
    <row r="455" spans="2:7">
      <c r="B455" t="s">
        <v>796</v>
      </c>
      <c r="C455" s="380">
        <f>C452+C454</f>
        <v>33740</v>
      </c>
      <c r="D455" s="380">
        <f>dataProd1Seg3TotalRecurCust+dataProd1Seg3TotalNewCust</f>
        <v>33740</v>
      </c>
      <c r="E455" s="380">
        <f>dataProd1Seg3TotalRecurCust+dataProd1Seg3TotalNewCust</f>
        <v>36101.799999999996</v>
      </c>
      <c r="F455" s="380">
        <f>dataProd1Seg3TotalRecurCust+dataProd1Seg3TotalNewCust</f>
        <v>38628.925999999992</v>
      </c>
      <c r="G455" t="s">
        <v>837</v>
      </c>
    </row>
    <row r="456" spans="2:7">
      <c r="B456" t="s">
        <v>201</v>
      </c>
      <c r="C456" s="525">
        <v>2.3999999999999998E-3</v>
      </c>
      <c r="D456" s="525">
        <v>2.3999999999999998E-3</v>
      </c>
      <c r="E456" s="525">
        <v>2.3999999999999998E-3</v>
      </c>
      <c r="F456" s="525">
        <v>2.3999999999999998E-3</v>
      </c>
      <c r="G456" s="434" t="s">
        <v>838</v>
      </c>
    </row>
    <row r="457" spans="2:7">
      <c r="B457" t="str">
        <f>nmComp1&amp;" Market Share"</f>
        <v>Vibrant Market Share</v>
      </c>
      <c r="C457" s="525">
        <v>6.8999999999999999E-3</v>
      </c>
      <c r="D457" s="525">
        <v>6.8999999999999999E-3</v>
      </c>
      <c r="E457" s="525">
        <v>6.8999999999999999E-3</v>
      </c>
      <c r="F457" s="525">
        <v>6.8999999999999999E-3</v>
      </c>
      <c r="G457" s="434" t="s">
        <v>890</v>
      </c>
    </row>
    <row r="458" spans="2:7">
      <c r="B458" t="str">
        <f>nmComp2&amp;" Market Share"</f>
        <v>Pristine Market Share</v>
      </c>
      <c r="C458" s="525">
        <v>1.84E-2</v>
      </c>
      <c r="D458" s="525">
        <v>1.84E-2</v>
      </c>
      <c r="E458" s="525">
        <v>1.84E-2</v>
      </c>
      <c r="F458" s="525">
        <v>1.84E-2</v>
      </c>
      <c r="G458" s="434" t="s">
        <v>891</v>
      </c>
    </row>
    <row r="462" spans="2:7">
      <c r="B462" s="376" t="str">
        <f>nmProd1Seg1</f>
        <v>Riverrun Central</v>
      </c>
      <c r="C462" s="377"/>
      <c r="D462" s="377"/>
      <c r="E462" s="377"/>
      <c r="F462" s="377"/>
    </row>
    <row r="463" spans="2:7">
      <c r="B463" t="s">
        <v>779</v>
      </c>
      <c r="C463" s="380">
        <f>dataProd1Seg1TotalRecurCust*dataProd1Seg1TotalShare</f>
        <v>123.6</v>
      </c>
      <c r="D463" s="380">
        <f>dataProd1Seg1TotalRecurCust*dataProd1Seg1TotalShare</f>
        <v>126.97036799999999</v>
      </c>
      <c r="E463" s="380">
        <f>dataProd1Seg1TotalRecurCust*dataProd1Seg1TotalShare</f>
        <v>126.97036799999999</v>
      </c>
      <c r="F463" s="380">
        <f>dataProd1Seg1TotalRecurCust*dataProd1Seg1TotalShare</f>
        <v>137.12799744</v>
      </c>
      <c r="G463" t="s">
        <v>788</v>
      </c>
    </row>
    <row r="464" spans="2:7">
      <c r="B464" t="s">
        <v>779</v>
      </c>
      <c r="C464" s="380">
        <f>dataProd1Seg1TotalNewCust*dataProd1Seg1TotalShare</f>
        <v>5.9615999999999998</v>
      </c>
      <c r="D464" s="380">
        <f>dataProd1Seg1TotalNewCust*dataProd1Seg1TotalShare</f>
        <v>2.5912319999999998</v>
      </c>
      <c r="E464" s="380">
        <f>dataProd1Seg1TotalNewCust*dataProd1Seg1TotalShare</f>
        <v>12.956160000000001</v>
      </c>
      <c r="F464" s="380">
        <f>dataProd1Seg1TotalNewCust*dataProd1Seg1TotalShare</f>
        <v>20.988979199999996</v>
      </c>
      <c r="G464" t="s">
        <v>826</v>
      </c>
    </row>
    <row r="465" spans="2:7">
      <c r="B465" t="s">
        <v>13</v>
      </c>
      <c r="C465" s="380">
        <f>dataProd1Seg1RecurCust+dataProd1Seg1NewCust</f>
        <v>129.5616</v>
      </c>
      <c r="D465" s="380">
        <f>dataProd1Seg1RecurCust+dataProd1Seg1NewCust</f>
        <v>129.5616</v>
      </c>
      <c r="E465" s="380">
        <f>dataProd1Seg1RecurCust+dataProd1Seg1NewCust</f>
        <v>139.92652799999999</v>
      </c>
      <c r="F465" s="380">
        <f>dataProd1Seg1RecurCust+dataProd1Seg1NewCust</f>
        <v>158.11697663999999</v>
      </c>
      <c r="G465" t="s">
        <v>653</v>
      </c>
    </row>
    <row r="466" spans="2:7">
      <c r="C466" s="380"/>
      <c r="D466" s="387"/>
      <c r="E466" s="387"/>
      <c r="F466" s="387"/>
    </row>
    <row r="467" spans="2:7">
      <c r="B467" s="4" t="s">
        <v>631</v>
      </c>
      <c r="C467" s="380"/>
      <c r="D467" s="380"/>
      <c r="E467" s="380"/>
      <c r="F467" s="380"/>
    </row>
    <row r="468" spans="2:7">
      <c r="B468" t="str">
        <f>nmPayer1</f>
        <v>Blue Sword/Blue Shield</v>
      </c>
      <c r="C468" s="382">
        <v>0.7</v>
      </c>
      <c r="D468" s="382">
        <v>0.7</v>
      </c>
      <c r="E468" s="382">
        <v>0.63</v>
      </c>
      <c r="F468" s="382">
        <v>0.6</v>
      </c>
      <c r="G468" t="s">
        <v>654</v>
      </c>
    </row>
    <row r="469" spans="2:7">
      <c r="B469" t="str">
        <f>nmPayer2</f>
        <v>WesterAid</v>
      </c>
      <c r="C469" s="382">
        <v>0</v>
      </c>
      <c r="D469" s="382">
        <v>0</v>
      </c>
      <c r="E469" s="382">
        <v>0.05</v>
      </c>
      <c r="F469" s="382">
        <v>0.1</v>
      </c>
      <c r="G469" t="s">
        <v>655</v>
      </c>
    </row>
    <row r="470" spans="2:7">
      <c r="B470" t="str">
        <f>nmPayer3</f>
        <v>Dragon Health</v>
      </c>
      <c r="C470" s="381">
        <f>1-SUM(C468:C469)</f>
        <v>0.30000000000000004</v>
      </c>
      <c r="D470" s="381">
        <f>1-SUM(D468:D469)</f>
        <v>0.30000000000000004</v>
      </c>
      <c r="E470" s="381">
        <f>1-SUM(E468:E469)</f>
        <v>0.31999999999999995</v>
      </c>
      <c r="F470" s="381">
        <f>1-SUM(F468:F469)</f>
        <v>0.30000000000000004</v>
      </c>
      <c r="G470" t="s">
        <v>656</v>
      </c>
    </row>
    <row r="472" spans="2:7">
      <c r="B472" s="4" t="s">
        <v>634</v>
      </c>
    </row>
    <row r="473" spans="2:7">
      <c r="B473" t="str">
        <f>nmPayer1</f>
        <v>Blue Sword/Blue Shield</v>
      </c>
      <c r="C473" s="380">
        <f>dataProd1Seg1TotalVolume*dataProd1Seg1Payer1Percentage</f>
        <v>90.693119999999993</v>
      </c>
      <c r="D473" s="380">
        <f>dataProd1Seg1TotalVolume*dataProd1Seg1Payer1Percentage</f>
        <v>90.693119999999993</v>
      </c>
      <c r="E473" s="380">
        <f>dataProd1Seg1TotalVolume*dataProd1Seg1Payer1Percentage</f>
        <v>88.153712639999995</v>
      </c>
      <c r="F473" s="380">
        <f>dataProd1Seg1TotalVolume*dataProd1Seg1Payer1Percentage</f>
        <v>94.870185983999988</v>
      </c>
      <c r="G473" t="s">
        <v>657</v>
      </c>
    </row>
    <row r="474" spans="2:7">
      <c r="B474" t="str">
        <f>nmPayer2</f>
        <v>WesterAid</v>
      </c>
      <c r="C474" s="380">
        <f>dataProd1Seg1TotalVolume*dataProd1Seg1Payer2Percentage</f>
        <v>0</v>
      </c>
      <c r="D474" s="380">
        <f>dataProd1Seg1TotalVolume*dataProd1Seg1Payer2Percentage</f>
        <v>0</v>
      </c>
      <c r="E474" s="380">
        <f>dataProd1Seg1TotalVolume*dataProd1Seg1Payer2Percentage</f>
        <v>6.9963264000000001</v>
      </c>
      <c r="F474" s="380">
        <f>dataProd1Seg1TotalVolume*dataProd1Seg1Payer2Percentage</f>
        <v>15.811697664</v>
      </c>
      <c r="G474" t="s">
        <v>658</v>
      </c>
    </row>
    <row r="475" spans="2:7">
      <c r="B475" t="str">
        <f>nmPayer3</f>
        <v>Dragon Health</v>
      </c>
      <c r="C475" s="380">
        <f>dataProd1Seg1TotalVolume*dataProd1Seg1Payer3Percentage</f>
        <v>38.868480000000005</v>
      </c>
      <c r="D475" s="380">
        <f>dataProd1Seg1TotalVolume*dataProd1Seg1Payer3Percentage</f>
        <v>38.868480000000005</v>
      </c>
      <c r="E475" s="380">
        <f>dataProd1Seg1TotalVolume*dataProd1Seg1Payer3Percentage</f>
        <v>44.776488959999988</v>
      </c>
      <c r="F475" s="380">
        <f>dataProd1Seg1TotalVolume*dataProd1Seg1Payer3Percentage</f>
        <v>47.435092992000001</v>
      </c>
      <c r="G475" t="s">
        <v>659</v>
      </c>
    </row>
    <row r="477" spans="2:7">
      <c r="B477" s="4" t="s">
        <v>1493</v>
      </c>
    </row>
    <row r="478" spans="2:7">
      <c r="B478" t="str">
        <f>nmPayer1</f>
        <v>Blue Sword/Blue Shield</v>
      </c>
      <c r="C478" s="380">
        <f>dataProd1Seg1TotalRecurCust*dataProd1Seg1Payer1Percentage</f>
        <v>36050</v>
      </c>
      <c r="D478" s="380">
        <f>dataProd1Seg1TotalRecurCust*dataProd1Seg1Payer1Percentage</f>
        <v>37033.023999999998</v>
      </c>
      <c r="E478" s="380">
        <f>dataProd1Seg1TotalRecurCust*dataProd1Seg1Payer1Percentage</f>
        <v>33329.721599999997</v>
      </c>
      <c r="F478" s="380">
        <f>dataProd1Seg1TotalRecurCust*dataProd1Seg1Payer1Percentage</f>
        <v>34281.999360000002</v>
      </c>
      <c r="G478" t="s">
        <v>1506</v>
      </c>
    </row>
    <row r="479" spans="2:7">
      <c r="B479" t="str">
        <f>nmPayer2</f>
        <v>WesterAid</v>
      </c>
      <c r="C479" s="380">
        <f>dataProd1Seg1TotalRecurCust*dataProd1Seg1Payer2Percentage</f>
        <v>0</v>
      </c>
      <c r="D479" s="380">
        <f>dataProd1Seg1TotalRecurCust*dataProd1Seg1Payer2Percentage</f>
        <v>0</v>
      </c>
      <c r="E479" s="380">
        <f>dataProd1Seg1TotalRecurCust*dataProd1Seg1Payer2Percentage</f>
        <v>2645.2160000000003</v>
      </c>
      <c r="F479" s="380">
        <f>dataProd1Seg1TotalRecurCust*dataProd1Seg1Payer2Percentage</f>
        <v>5713.6665600000006</v>
      </c>
      <c r="G479" t="s">
        <v>1507</v>
      </c>
    </row>
    <row r="480" spans="2:7">
      <c r="B480" t="str">
        <f>nmPayer3</f>
        <v>Dragon Health</v>
      </c>
      <c r="C480" s="380">
        <f>dataProd1Seg1TotalRecurCust*dataProd1Seg1Payer3Percentage</f>
        <v>15450.000000000002</v>
      </c>
      <c r="D480" s="380">
        <f>dataProd1Seg1TotalRecurCust*dataProd1Seg1Payer3Percentage</f>
        <v>15871.296000000002</v>
      </c>
      <c r="E480" s="380">
        <f>dataProd1Seg1TotalRecurCust*dataProd1Seg1Payer3Percentage</f>
        <v>16929.382399999999</v>
      </c>
      <c r="F480" s="380">
        <f>dataProd1Seg1TotalRecurCust*dataProd1Seg1Payer3Percentage</f>
        <v>17140.999680000001</v>
      </c>
      <c r="G480" t="s">
        <v>1508</v>
      </c>
    </row>
    <row r="481" spans="2:7">
      <c r="B481" s="4" t="s">
        <v>1492</v>
      </c>
      <c r="C481" s="380"/>
      <c r="D481" s="380"/>
      <c r="E481" s="380"/>
      <c r="F481" s="380"/>
    </row>
    <row r="482" spans="2:7">
      <c r="B482" t="str">
        <f>nmPayer1</f>
        <v>Blue Sword/Blue Shield</v>
      </c>
      <c r="C482" s="380">
        <f>dataProd1Seg1TotalNewCust*dataProd1Seg1Payer1Percentage</f>
        <v>1738.8</v>
      </c>
      <c r="D482" s="380">
        <f>dataProd1Seg1TotalNewCust*dataProd1Seg1Payer1Percentage</f>
        <v>755.77599999999995</v>
      </c>
      <c r="E482" s="380">
        <f>dataProd1Seg1TotalNewCust*dataProd1Seg1Payer1Percentage</f>
        <v>3400.9920000000002</v>
      </c>
      <c r="F482" s="380">
        <f>dataProd1Seg1TotalNewCust*dataProd1Seg1Payer1Percentage</f>
        <v>5247.2447999999995</v>
      </c>
      <c r="G482" t="s">
        <v>1509</v>
      </c>
    </row>
    <row r="483" spans="2:7">
      <c r="B483" t="str">
        <f>nmPayer2</f>
        <v>WesterAid</v>
      </c>
      <c r="C483" s="380">
        <f>dataProd1Seg1TotalNewCust*dataProd1Seg1Payer2Percentage</f>
        <v>0</v>
      </c>
      <c r="D483" s="380">
        <f>dataProd1Seg1TotalNewCust*dataProd1Seg1Payer2Percentage</f>
        <v>0</v>
      </c>
      <c r="E483" s="380">
        <f>dataProd1Seg1TotalNewCust*dataProd1Seg1Payer2Percentage</f>
        <v>269.92</v>
      </c>
      <c r="F483" s="380">
        <f>dataProd1Seg1TotalNewCust*dataProd1Seg1Payer2Percentage</f>
        <v>874.54079999999999</v>
      </c>
      <c r="G483" t="s">
        <v>1510</v>
      </c>
    </row>
    <row r="484" spans="2:7">
      <c r="B484" t="str">
        <f>nmPayer3</f>
        <v>Dragon Health</v>
      </c>
      <c r="C484" s="380">
        <f>dataProd1Seg1TotalNewCust*dataProd1Seg1Payer3Percentage</f>
        <v>745.20000000000016</v>
      </c>
      <c r="D484" s="380">
        <f>dataProd1Seg1TotalNewCust*dataProd1Seg1Payer3Percentage</f>
        <v>323.90400000000005</v>
      </c>
      <c r="E484" s="380">
        <f>dataProd1Seg1TotalNewCust*dataProd1Seg1Payer3Percentage</f>
        <v>1727.4879999999998</v>
      </c>
      <c r="F484" s="380">
        <f>dataProd1Seg1TotalNewCust*dataProd1Seg1Payer3Percentage</f>
        <v>2623.6224000000002</v>
      </c>
      <c r="G484" t="s">
        <v>1511</v>
      </c>
    </row>
    <row r="486" spans="2:7">
      <c r="B486" s="4" t="s">
        <v>731</v>
      </c>
    </row>
    <row r="487" spans="2:7">
      <c r="B487" s="4" t="str">
        <f>nmPayer1</f>
        <v>Blue Sword/Blue Shield</v>
      </c>
    </row>
    <row r="488" spans="2:7">
      <c r="B488" t="s">
        <v>684</v>
      </c>
      <c r="C488" s="390">
        <f>dataProd1Seg1Payer1Volume*dataTherapy1ListPrice*INDEX(dataTierImpact,,MATCH(dataTierStatusPayer1,$C$5:$G$5,0))</f>
        <v>108831.74400000001</v>
      </c>
      <c r="D488" s="390">
        <f>dataProd1Seg1Payer1Volume*dataTherapy1ListPrice*INDEX(dataTierImpact,,MATCH(dataTierStatusPayer1,$C$5:$G$5,0))</f>
        <v>108831.74400000001</v>
      </c>
      <c r="E488" s="390">
        <f>dataProd1Seg1Payer1Volume*dataTherapy1ListPrice*INDEX(dataTierImpact,,MATCH(dataTierStatusPayer1,$C$5:$G$5,0))</f>
        <v>105784.45516800001</v>
      </c>
      <c r="F488" s="390">
        <f>dataProd1Seg1Payer1Volume*dataTherapy1ListPrice*INDEX(dataTierImpact,,MATCH(dataTierStatusPayer1,$C$5:$G$5,0))</f>
        <v>113844.22318079998</v>
      </c>
      <c r="G488" t="s">
        <v>722</v>
      </c>
    </row>
    <row r="489" spans="2:7">
      <c r="B489" t="s">
        <v>686</v>
      </c>
      <c r="C489" s="390">
        <f>dataProd1Seg1Payer1Volume*dataTherapy1ListPrice*dataTherapy1Payer1Rebate</f>
        <v>81623.80799999999</v>
      </c>
      <c r="D489" s="390">
        <f>dataProd1Seg1Payer1Volume*dataTherapy1ListPrice*dataTherapy1Payer1Rebate</f>
        <v>81623.80799999999</v>
      </c>
      <c r="E489" s="390">
        <f>dataProd1Seg1Payer1Volume*dataTherapy1ListPrice*dataTherapy1Payer1Rebate</f>
        <v>79338.341375999997</v>
      </c>
      <c r="F489" s="390">
        <f>dataProd1Seg1Payer1Volume*dataTherapy1ListPrice*dataTherapy1Payer1Rebate</f>
        <v>85383.167385599983</v>
      </c>
      <c r="G489" t="s">
        <v>723</v>
      </c>
    </row>
    <row r="490" spans="2:7">
      <c r="B490" t="s">
        <v>695</v>
      </c>
      <c r="C490" s="390">
        <f>dataProd1Seg1Payer1GrossRevenue-dataProd1Seg1Payer1Reimbursement</f>
        <v>27207.936000000016</v>
      </c>
      <c r="D490" s="390">
        <f>dataProd1Seg1Payer1GrossRevenue-dataProd1Seg1Payer1Reimbursement</f>
        <v>27207.936000000016</v>
      </c>
      <c r="E490" s="390">
        <f>dataProd1Seg1Payer1GrossRevenue-dataProd1Seg1Payer1Reimbursement</f>
        <v>26446.113792000018</v>
      </c>
      <c r="F490" s="390">
        <f>dataProd1Seg1Payer1GrossRevenue-dataProd1Seg1Payer1Reimbursement</f>
        <v>28461.055795199994</v>
      </c>
      <c r="G490" t="s">
        <v>724</v>
      </c>
    </row>
    <row r="491" spans="2:7">
      <c r="B491" s="4" t="str">
        <f>nmPayer2</f>
        <v>WesterAid</v>
      </c>
    </row>
    <row r="492" spans="2:7">
      <c r="B492" t="s">
        <v>684</v>
      </c>
      <c r="C492" s="390">
        <f>dataProd1Seg1Payer2Volume*dataTherapy1ListPrice*INDEX(dataTierImpact,,MATCH(dataTierStatusPayer2,$C$5:$G$5,0))</f>
        <v>0</v>
      </c>
      <c r="D492" s="390">
        <f>dataProd1Seg1Payer2Volume*dataTherapy1ListPrice*INDEX(dataTierImpact,,MATCH(dataTierStatusPayer2,$C$5:$G$5,0))</f>
        <v>0</v>
      </c>
      <c r="E492" s="390">
        <f>dataProd1Seg1Payer2Volume*dataTherapy1ListPrice*INDEX(dataTierImpact,,MATCH(dataTierStatusPayer2,$C$5:$G$5,0))</f>
        <v>6296.6937600000001</v>
      </c>
      <c r="F492" s="390">
        <f>dataProd1Seg1Payer2Volume*dataTherapy1ListPrice*INDEX(dataTierImpact,,MATCH(dataTierStatusPayer2,$C$5:$G$5,0))</f>
        <v>14230.527897599999</v>
      </c>
      <c r="G492" t="s">
        <v>725</v>
      </c>
    </row>
    <row r="493" spans="2:7">
      <c r="B493" t="s">
        <v>686</v>
      </c>
      <c r="C493" s="390">
        <f>dataProd1Seg1Payer2Volume*dataTherapy1ListPrice*dataTherapy1Payer2Rebate</f>
        <v>0</v>
      </c>
      <c r="D493" s="390">
        <f>dataProd1Seg1Payer2Volume*dataTherapy1ListPrice*dataTherapy1Payer2Rebate</f>
        <v>0</v>
      </c>
      <c r="E493" s="390">
        <f>dataProd1Seg1Payer2Volume*dataTherapy1ListPrice*dataTherapy1Payer2Rebate</f>
        <v>6296.6937600000001</v>
      </c>
      <c r="F493" s="390">
        <f>dataProd1Seg1Payer2Volume*dataTherapy1ListPrice*dataTherapy1Payer2Rebate</f>
        <v>14230.527897599999</v>
      </c>
      <c r="G493" t="s">
        <v>726</v>
      </c>
    </row>
    <row r="494" spans="2:7">
      <c r="B494" t="s">
        <v>695</v>
      </c>
      <c r="C494" s="390">
        <f>dataProd1Seg1Payer2GrossRevenue-dataProd1Seg1Payer2Reimbursement</f>
        <v>0</v>
      </c>
      <c r="D494" s="390">
        <f>dataProd1Seg1Payer2GrossRevenue-dataProd1Seg1Payer2Reimbursement</f>
        <v>0</v>
      </c>
      <c r="E494" s="390">
        <f>dataProd1Seg1Payer2GrossRevenue-dataProd1Seg1Payer2Reimbursement</f>
        <v>0</v>
      </c>
      <c r="F494" s="390">
        <f>dataProd1Seg1Payer2GrossRevenue-dataProd1Seg1Payer2Reimbursement</f>
        <v>0</v>
      </c>
      <c r="G494" t="s">
        <v>727</v>
      </c>
    </row>
    <row r="495" spans="2:7">
      <c r="B495" s="4" t="str">
        <f>nmPayer3</f>
        <v>Dragon Health</v>
      </c>
    </row>
    <row r="496" spans="2:7">
      <c r="B496" t="s">
        <v>684</v>
      </c>
      <c r="C496" s="390">
        <f>dataProd1Seg1Payer3Volume*dataTherapy1ListPrice*INDEX(dataTierImpact,,MATCH(dataTierStatusPayer3,$C$5:$G$5,0))</f>
        <v>69963.26400000001</v>
      </c>
      <c r="D496" s="390">
        <f>dataProd1Seg1Payer3Volume*dataTherapy1ListPrice*INDEX(dataTierImpact,,MATCH(dataTierStatusPayer3,$C$5:$G$5,0))</f>
        <v>69963.26400000001</v>
      </c>
      <c r="E496" s="390">
        <f>dataProd1Seg1Payer3Volume*dataTherapy1ListPrice*INDEX(dataTierImpact,,MATCH(dataTierStatusPayer3,$C$5:$G$5,0))</f>
        <v>80597.680127999978</v>
      </c>
      <c r="F496" s="390">
        <f>dataProd1Seg1Payer3Volume*dataTherapy1ListPrice*INDEX(dataTierImpact,,MATCH(dataTierStatusPayer3,$C$5:$G$5,0))</f>
        <v>85383.167385599998</v>
      </c>
      <c r="G496" t="s">
        <v>728</v>
      </c>
    </row>
    <row r="497" spans="2:7">
      <c r="B497" t="s">
        <v>686</v>
      </c>
      <c r="C497" s="390">
        <f>dataProd1Seg1Payer3Volume*dataTherapy1ListPrice*dataTherapy1Payer3Rebate</f>
        <v>34981.632000000005</v>
      </c>
      <c r="D497" s="390">
        <f>dataProd1Seg1Payer3Volume*dataTherapy1ListPrice*dataTherapy1Payer3Rebate</f>
        <v>34981.632000000005</v>
      </c>
      <c r="E497" s="390">
        <f>dataProd1Seg1Payer3Volume*dataTherapy1ListPrice*dataTherapy1Payer3Rebate</f>
        <v>40298.840063999989</v>
      </c>
      <c r="F497" s="390">
        <f>dataProd1Seg1Payer3Volume*dataTherapy1ListPrice*dataTherapy1Payer3Rebate</f>
        <v>42691.583692799999</v>
      </c>
      <c r="G497" t="s">
        <v>729</v>
      </c>
    </row>
    <row r="498" spans="2:7">
      <c r="B498" t="s">
        <v>695</v>
      </c>
      <c r="C498" s="390">
        <f>dataProd1Seg1Payer3GrossRevenue-dataProd1Seg1Payer3Reimbursement</f>
        <v>34981.632000000005</v>
      </c>
      <c r="D498" s="390">
        <f>dataProd1Seg1Payer3GrossRevenue-dataProd1Seg1Payer3Reimbursement</f>
        <v>34981.632000000005</v>
      </c>
      <c r="E498" s="390">
        <f>dataProd1Seg1Payer3GrossRevenue-dataProd1Seg1Payer3Reimbursement</f>
        <v>40298.840063999989</v>
      </c>
      <c r="F498" s="390">
        <f>dataProd1Seg1Payer3GrossRevenue-dataProd1Seg1Payer3Reimbursement</f>
        <v>42691.583692799999</v>
      </c>
      <c r="G498" t="s">
        <v>730</v>
      </c>
    </row>
    <row r="499" spans="2:7">
      <c r="B499" t="s">
        <v>677</v>
      </c>
    </row>
    <row r="501" spans="2:7">
      <c r="B501" s="383" t="str">
        <f>nmProd1Seg2</f>
        <v>Tullyville</v>
      </c>
      <c r="C501" s="384"/>
      <c r="D501" s="384"/>
      <c r="E501" s="384"/>
      <c r="F501" s="384"/>
    </row>
    <row r="502" spans="2:7">
      <c r="B502" t="s">
        <v>779</v>
      </c>
      <c r="C502" s="380">
        <f>dataProd1Seg2TotalRecurCust*dataProd1Seg2TotalShare</f>
        <v>110.39999999999999</v>
      </c>
      <c r="D502" s="380">
        <f>dataProd1Seg2TotalRecurCust*dataProd1Seg2TotalShare</f>
        <v>111.09907199999999</v>
      </c>
      <c r="E502" s="380">
        <f>dataProd1Seg2TotalRecurCust*dataProd1Seg2TotalShare</f>
        <v>107.69807999999999</v>
      </c>
      <c r="F502" s="380">
        <f>dataProd1Seg2TotalRecurCust*dataProd1Seg2TotalShare</f>
        <v>113.08298399999998</v>
      </c>
      <c r="G502" t="s">
        <v>790</v>
      </c>
    </row>
    <row r="503" spans="2:7">
      <c r="B503" t="s">
        <v>779</v>
      </c>
      <c r="C503" s="380">
        <f>dataProd1Seg2TotalNewCust*dataProd1Seg2TotalShare</f>
        <v>2.9663999999999997</v>
      </c>
      <c r="D503" s="380">
        <f>dataProd1Seg2TotalNewCust*dataProd1Seg2TotalShare</f>
        <v>2.267328</v>
      </c>
      <c r="E503" s="380">
        <f>dataProd1Seg2TotalNewCust*dataProd1Seg2TotalShare</f>
        <v>11.336639999999999</v>
      </c>
      <c r="F503" s="380">
        <f>dataProd1Seg2TotalNewCust*dataProd1Seg2TotalShare</f>
        <v>17.855207999999998</v>
      </c>
      <c r="G503" t="s">
        <v>839</v>
      </c>
    </row>
    <row r="504" spans="2:7">
      <c r="B504" t="s">
        <v>13</v>
      </c>
      <c r="C504" s="380">
        <f>dataProd1Seg2RecurCust+dataProd1Seg2NewCust</f>
        <v>113.36639999999998</v>
      </c>
      <c r="D504" s="380">
        <f>dataProd1Seg2RecurCust+dataProd1Seg2NewCust</f>
        <v>113.3664</v>
      </c>
      <c r="E504" s="380">
        <f>dataProd1Seg2RecurCust+dataProd1Seg2NewCust</f>
        <v>119.03471999999999</v>
      </c>
      <c r="F504" s="380">
        <f>dataProd1Seg2RecurCust+dataProd1Seg2NewCust</f>
        <v>130.93819199999999</v>
      </c>
      <c r="G504" t="s">
        <v>660</v>
      </c>
    </row>
    <row r="505" spans="2:7">
      <c r="C505" s="380"/>
      <c r="D505" s="387"/>
      <c r="E505" s="387"/>
      <c r="F505" s="387"/>
    </row>
    <row r="506" spans="2:7">
      <c r="C506" s="380"/>
      <c r="D506" s="387"/>
      <c r="E506" s="387"/>
      <c r="F506" s="387"/>
    </row>
    <row r="507" spans="2:7">
      <c r="B507" s="4" t="s">
        <v>631</v>
      </c>
      <c r="C507" s="380"/>
      <c r="D507" s="380"/>
      <c r="E507" s="380"/>
      <c r="F507" s="380"/>
    </row>
    <row r="508" spans="2:7">
      <c r="B508" t="str">
        <f>nmPayer1</f>
        <v>Blue Sword/Blue Shield</v>
      </c>
      <c r="C508" s="382">
        <v>0.7</v>
      </c>
      <c r="D508" s="382">
        <v>0.7</v>
      </c>
      <c r="E508" s="382">
        <v>0.5</v>
      </c>
      <c r="F508" s="382">
        <v>0.5</v>
      </c>
      <c r="G508" t="s">
        <v>661</v>
      </c>
    </row>
    <row r="509" spans="2:7">
      <c r="B509" t="str">
        <f>nmPayer2</f>
        <v>WesterAid</v>
      </c>
      <c r="C509" s="382">
        <v>0</v>
      </c>
      <c r="D509" s="382">
        <v>0</v>
      </c>
      <c r="E509" s="382">
        <v>0.25</v>
      </c>
      <c r="F509" s="382">
        <v>0.25</v>
      </c>
      <c r="G509" t="s">
        <v>662</v>
      </c>
    </row>
    <row r="510" spans="2:7">
      <c r="B510" t="str">
        <f>nmPayer3</f>
        <v>Dragon Health</v>
      </c>
      <c r="C510" s="381">
        <f>1-SUM(C508:C509)</f>
        <v>0.30000000000000004</v>
      </c>
      <c r="D510" s="381">
        <f t="shared" ref="D510" si="12">1-SUM(D508:D509)</f>
        <v>0.30000000000000004</v>
      </c>
      <c r="E510" s="381">
        <f>1-SUM(E508:E509)</f>
        <v>0.25</v>
      </c>
      <c r="F510" s="381">
        <f>1-SUM(F508:F509)</f>
        <v>0.25</v>
      </c>
      <c r="G510" t="s">
        <v>663</v>
      </c>
    </row>
    <row r="512" spans="2:7">
      <c r="B512" s="4" t="s">
        <v>634</v>
      </c>
    </row>
    <row r="513" spans="2:7">
      <c r="B513" t="str">
        <f>nmPayer1</f>
        <v>Blue Sword/Blue Shield</v>
      </c>
      <c r="C513" s="380">
        <f>dataProd1Seg2TotalVolume*dataProd1Seg2Payer1Percentage</f>
        <v>79.356479999999991</v>
      </c>
      <c r="D513" s="380">
        <f>dataProd1Seg2TotalVolume*dataProd1Seg2Payer1Percentage</f>
        <v>79.356479999999991</v>
      </c>
      <c r="E513" s="380">
        <f>dataProd1Seg2TotalVolume*dataProd1Seg2Payer1Percentage</f>
        <v>59.517359999999996</v>
      </c>
      <c r="F513" s="380">
        <f>dataProd1Seg2TotalVolume*dataProd1Seg2Payer1Percentage</f>
        <v>65.469095999999993</v>
      </c>
      <c r="G513" t="s">
        <v>664</v>
      </c>
    </row>
    <row r="514" spans="2:7">
      <c r="B514" t="str">
        <f>nmPayer2</f>
        <v>WesterAid</v>
      </c>
      <c r="C514" s="380">
        <f>dataProd1Seg2TotalVolume*dataProd1Seg2Payer2Percentage</f>
        <v>0</v>
      </c>
      <c r="D514" s="380">
        <f>dataProd1Seg2TotalVolume*dataProd1Seg2Payer2Percentage</f>
        <v>0</v>
      </c>
      <c r="E514" s="380">
        <f>dataProd1Seg2TotalVolume*dataProd1Seg2Payer2Percentage</f>
        <v>29.758679999999998</v>
      </c>
      <c r="F514" s="380">
        <f>dataProd1Seg2TotalVolume*dataProd1Seg2Payer2Percentage</f>
        <v>32.734547999999997</v>
      </c>
      <c r="G514" t="s">
        <v>665</v>
      </c>
    </row>
    <row r="515" spans="2:7">
      <c r="B515" t="str">
        <f>nmPayer3</f>
        <v>Dragon Health</v>
      </c>
      <c r="C515" s="380">
        <f>dataProd1Seg2TotalVolume*dataProd1Seg2Payer3Percentage</f>
        <v>34.009920000000001</v>
      </c>
      <c r="D515" s="380">
        <f>dataProd1Seg2TotalVolume*dataProd1Seg2Payer3Percentage</f>
        <v>34.009920000000008</v>
      </c>
      <c r="E515" s="380">
        <f>dataProd1Seg2TotalVolume*dataProd1Seg2Payer3Percentage</f>
        <v>29.758679999999998</v>
      </c>
      <c r="F515" s="380">
        <f>dataProd1Seg2TotalVolume*dataProd1Seg2Payer3Percentage</f>
        <v>32.734547999999997</v>
      </c>
      <c r="G515" t="s">
        <v>666</v>
      </c>
    </row>
    <row r="517" spans="2:7">
      <c r="B517" s="4" t="s">
        <v>1493</v>
      </c>
    </row>
    <row r="518" spans="2:7">
      <c r="B518" t="str">
        <f>nmPayer1</f>
        <v>Blue Sword/Blue Shield</v>
      </c>
      <c r="C518" s="380">
        <f>dataProd1Seg2TotalRecurCust*dataProd1Seg2Payer1Percentage</f>
        <v>32199.999999999996</v>
      </c>
      <c r="D518" s="380">
        <f>dataProd1Seg2TotalRecurCust*dataProd1Seg2Payer1Percentage</f>
        <v>32403.895999999997</v>
      </c>
      <c r="E518" s="380">
        <f>dataProd1Seg2TotalRecurCust*dataProd1Seg2Payer1Percentage</f>
        <v>22437.1</v>
      </c>
      <c r="F518" s="380">
        <f>dataProd1Seg2TotalRecurCust*dataProd1Seg2Payer1Percentage</f>
        <v>23558.954999999998</v>
      </c>
      <c r="G518" t="s">
        <v>1512</v>
      </c>
    </row>
    <row r="519" spans="2:7">
      <c r="B519" t="str">
        <f>nmPayer2</f>
        <v>WesterAid</v>
      </c>
      <c r="C519" s="380">
        <f>dataProd1Seg2TotalRecurCust*dataProd1Seg2Payer2Percentage</f>
        <v>0</v>
      </c>
      <c r="D519" s="380">
        <f>dataProd1Seg2TotalRecurCust*dataProd1Seg2Payer2Percentage</f>
        <v>0</v>
      </c>
      <c r="E519" s="380">
        <f>dataProd1Seg2TotalRecurCust*dataProd1Seg2Payer2Percentage</f>
        <v>11218.55</v>
      </c>
      <c r="F519" s="380">
        <f>dataProd1Seg2TotalRecurCust*dataProd1Seg2Payer2Percentage</f>
        <v>11779.477499999999</v>
      </c>
      <c r="G519" t="s">
        <v>1513</v>
      </c>
    </row>
    <row r="520" spans="2:7">
      <c r="B520" t="str">
        <f>nmPayer3</f>
        <v>Dragon Health</v>
      </c>
      <c r="C520" s="380">
        <f>dataProd1Seg2TotalRecurCust*dataProd1Seg2Payer3Percentage</f>
        <v>13800.000000000002</v>
      </c>
      <c r="D520" s="380">
        <f>dataProd1Seg2TotalRecurCust*dataProd1Seg2Payer3Percentage</f>
        <v>13887.384000000002</v>
      </c>
      <c r="E520" s="380">
        <f>dataProd1Seg2TotalRecurCust*dataProd1Seg2Payer3Percentage</f>
        <v>11218.55</v>
      </c>
      <c r="F520" s="380">
        <f>dataProd1Seg2TotalRecurCust*dataProd1Seg2Payer3Percentage</f>
        <v>11779.477499999999</v>
      </c>
      <c r="G520" t="s">
        <v>1514</v>
      </c>
    </row>
    <row r="521" spans="2:7">
      <c r="B521" s="4" t="s">
        <v>1492</v>
      </c>
      <c r="C521" s="380"/>
      <c r="D521" s="380"/>
      <c r="E521" s="380"/>
      <c r="F521" s="380"/>
    </row>
    <row r="522" spans="2:7">
      <c r="B522" t="str">
        <f>nmPayer1</f>
        <v>Blue Sword/Blue Shield</v>
      </c>
      <c r="C522" s="380">
        <f>dataProd1Seg2TotalNewCust*dataProd1Seg2Payer1Percentage</f>
        <v>865.19999999999993</v>
      </c>
      <c r="D522" s="380">
        <f>dataProd1Seg2TotalNewCust*dataProd1Seg2Payer1Percentage</f>
        <v>661.30399999999997</v>
      </c>
      <c r="E522" s="380">
        <f>dataProd1Seg2TotalNewCust*dataProd1Seg2Payer1Percentage</f>
        <v>2361.8000000000002</v>
      </c>
      <c r="F522" s="380">
        <f>dataProd1Seg2TotalNewCust*dataProd1Seg2Payer1Percentage</f>
        <v>3719.8349999999996</v>
      </c>
      <c r="G522" t="s">
        <v>1515</v>
      </c>
    </row>
    <row r="523" spans="2:7">
      <c r="B523" t="str">
        <f>nmPayer2</f>
        <v>WesterAid</v>
      </c>
      <c r="C523" s="380">
        <f>dataProd1Seg2TotalNewCust*dataProd1Seg2Payer2Percentage</f>
        <v>0</v>
      </c>
      <c r="D523" s="380">
        <f>dataProd1Seg2TotalNewCust*dataProd1Seg2Payer2Percentage</f>
        <v>0</v>
      </c>
      <c r="E523" s="380">
        <f>dataProd1Seg2TotalNewCust*dataProd1Seg2Payer2Percentage</f>
        <v>1180.9000000000001</v>
      </c>
      <c r="F523" s="380">
        <f>dataProd1Seg2TotalNewCust*dataProd1Seg2Payer2Percentage</f>
        <v>1859.9174999999998</v>
      </c>
      <c r="G523" t="s">
        <v>1516</v>
      </c>
    </row>
    <row r="524" spans="2:7">
      <c r="B524" t="str">
        <f>nmPayer3</f>
        <v>Dragon Health</v>
      </c>
      <c r="C524" s="380">
        <f>dataProd1Seg2TotalNewCust*dataProd1Seg2Payer3Percentage</f>
        <v>370.80000000000007</v>
      </c>
      <c r="D524" s="380">
        <f>dataProd1Seg2TotalNewCust*dataProd1Seg2Payer3Percentage</f>
        <v>283.41600000000005</v>
      </c>
      <c r="E524" s="380">
        <f>dataProd1Seg2TotalNewCust*dataProd1Seg2Payer3Percentage</f>
        <v>1180.9000000000001</v>
      </c>
      <c r="F524" s="380">
        <f>dataProd1Seg2TotalNewCust*dataProd1Seg2Payer3Percentage</f>
        <v>1859.9174999999998</v>
      </c>
      <c r="G524" t="s">
        <v>1517</v>
      </c>
    </row>
    <row r="526" spans="2:7">
      <c r="B526" s="4" t="s">
        <v>731</v>
      </c>
    </row>
    <row r="527" spans="2:7">
      <c r="B527" s="4" t="str">
        <f>nmPayer1</f>
        <v>Blue Sword/Blue Shield</v>
      </c>
    </row>
    <row r="528" spans="2:7">
      <c r="B528" t="s">
        <v>684</v>
      </c>
      <c r="C528" s="390">
        <f>dataProd1Seg2Payer1Volume*dataTherapy1ListPrice*INDEX(dataTierImpact,,MATCH(dataTierStatusPayer1,$C$5:$G$5,0))</f>
        <v>95227.775999999998</v>
      </c>
      <c r="D528" s="390">
        <f>dataProd1Seg2Payer1Volume*dataTherapy1ListPrice*INDEX(dataTierImpact,,MATCH(dataTierStatusPayer1,$C$5:$G$5,0))</f>
        <v>95227.775999999998</v>
      </c>
      <c r="E528" s="390">
        <f>dataProd1Seg2Payer1Volume*dataTherapy1ListPrice*INDEX(dataTierImpact,,MATCH(dataTierStatusPayer1,$C$5:$G$5,0))</f>
        <v>71420.831999999995</v>
      </c>
      <c r="F528" s="390">
        <f>dataProd1Seg2Payer1Volume*dataTherapy1ListPrice*INDEX(dataTierImpact,,MATCH(dataTierStatusPayer1,$C$5:$G$5,0))</f>
        <v>78562.915199999989</v>
      </c>
      <c r="G528" t="s">
        <v>741</v>
      </c>
    </row>
    <row r="529" spans="2:7">
      <c r="B529" t="s">
        <v>686</v>
      </c>
      <c r="C529" s="390">
        <f>dataProd1Seg2Payer1Volume*dataTherapy1ListPrice*dataTherapy1Payer1Rebate</f>
        <v>71420.831999999995</v>
      </c>
      <c r="D529" s="390">
        <f>dataProd1Seg2Payer1Volume*dataTherapy1ListPrice*dataTherapy1Payer1Rebate</f>
        <v>71420.831999999995</v>
      </c>
      <c r="E529" s="390">
        <f>dataProd1Seg2Payer1Volume*dataTherapy1ListPrice*dataTherapy1Payer1Rebate</f>
        <v>53565.623999999996</v>
      </c>
      <c r="F529" s="390">
        <f>dataProd1Seg2Payer1Volume*dataTherapy1ListPrice*dataTherapy1Payer1Rebate</f>
        <v>58922.186399999991</v>
      </c>
      <c r="G529" t="s">
        <v>742</v>
      </c>
    </row>
    <row r="530" spans="2:7">
      <c r="B530" t="s">
        <v>695</v>
      </c>
      <c r="C530" s="390">
        <f>dataProd1Seg2Payer1GrossRevenue-dataProd1Seg2Payer1Reimbursement</f>
        <v>23806.944000000003</v>
      </c>
      <c r="D530" s="390">
        <f>dataProd1Seg2Payer1GrossRevenue-dataProd1Seg2Payer1Reimbursement</f>
        <v>23806.944000000003</v>
      </c>
      <c r="E530" s="390">
        <f>dataProd1Seg2Payer1GrossRevenue-dataProd1Seg2Payer1Reimbursement</f>
        <v>17855.207999999999</v>
      </c>
      <c r="F530" s="390">
        <f>dataProd1Seg2Payer1GrossRevenue-dataProd1Seg2Payer1Reimbursement</f>
        <v>19640.728799999997</v>
      </c>
      <c r="G530" t="s">
        <v>743</v>
      </c>
    </row>
    <row r="531" spans="2:7">
      <c r="B531" s="4" t="str">
        <f>nmPayer2</f>
        <v>WesterAid</v>
      </c>
    </row>
    <row r="532" spans="2:7">
      <c r="B532" t="s">
        <v>684</v>
      </c>
      <c r="C532" s="390">
        <f>dataProd1Seg2Payer2Volume*dataTherapy1ListPrice*INDEX(dataTierImpact,,MATCH(dataTierStatusPayer2,$C$5:$G$5,0))</f>
        <v>0</v>
      </c>
      <c r="D532" s="390">
        <f>dataProd1Seg2Payer2Volume*dataTherapy1ListPrice*INDEX(dataTierImpact,,MATCH(dataTierStatusPayer2,$C$5:$G$5,0))</f>
        <v>0</v>
      </c>
      <c r="E532" s="390">
        <f>dataProd1Seg2Payer2Volume*dataTherapy1ListPrice*INDEX(dataTierImpact,,MATCH(dataTierStatusPayer2,$C$5:$G$5,0))</f>
        <v>26782.811999999998</v>
      </c>
      <c r="F532" s="390">
        <f>dataProd1Seg2Payer2Volume*dataTherapy1ListPrice*INDEX(dataTierImpact,,MATCH(dataTierStatusPayer2,$C$5:$G$5,0))</f>
        <v>29461.093199999996</v>
      </c>
      <c r="G532" t="s">
        <v>744</v>
      </c>
    </row>
    <row r="533" spans="2:7">
      <c r="B533" t="s">
        <v>686</v>
      </c>
      <c r="C533" s="390">
        <f>dataProd1Seg2Payer2Volume*dataTherapy1ListPrice*dataTherapy1Payer2Rebate</f>
        <v>0</v>
      </c>
      <c r="D533" s="390">
        <f>dataProd1Seg2Payer2Volume*dataTherapy1ListPrice*dataTherapy1Payer2Rebate</f>
        <v>0</v>
      </c>
      <c r="E533" s="390">
        <f>dataProd1Seg2Payer2Volume*dataTherapy1ListPrice*dataTherapy1Payer2Rebate</f>
        <v>26782.811999999998</v>
      </c>
      <c r="F533" s="390">
        <f>dataProd1Seg2Payer2Volume*dataTherapy1ListPrice*dataTherapy1Payer2Rebate</f>
        <v>29461.093199999996</v>
      </c>
      <c r="G533" t="s">
        <v>745</v>
      </c>
    </row>
    <row r="534" spans="2:7">
      <c r="B534" t="s">
        <v>695</v>
      </c>
      <c r="C534" s="390">
        <f>dataProd1Seg2Payer2GrossRevenue-dataProd1Seg2Payer2Reimbursement</f>
        <v>0</v>
      </c>
      <c r="D534" s="390">
        <f>dataProd1Seg2Payer2GrossRevenue-dataProd1Seg2Payer2Reimbursement</f>
        <v>0</v>
      </c>
      <c r="E534" s="390">
        <f>dataProd1Seg2Payer2GrossRevenue-dataProd1Seg2Payer2Reimbursement</f>
        <v>0</v>
      </c>
      <c r="F534" s="390">
        <f>dataProd1Seg2Payer2GrossRevenue-dataProd1Seg2Payer2Reimbursement</f>
        <v>0</v>
      </c>
      <c r="G534" t="s">
        <v>746</v>
      </c>
    </row>
    <row r="535" spans="2:7">
      <c r="B535" s="4" t="str">
        <f>nmPayer3</f>
        <v>Dragon Health</v>
      </c>
    </row>
    <row r="536" spans="2:7">
      <c r="B536" t="s">
        <v>684</v>
      </c>
      <c r="C536" s="390">
        <f>dataProd1Seg2Payer3Volume*dataTherapy1ListPrice*INDEX(dataTierImpact,,MATCH(dataTierStatusPayer3,$C$5:$G$5,0))</f>
        <v>61217.856</v>
      </c>
      <c r="D536" s="390">
        <f>dataProd1Seg2Payer3Volume*dataTherapy1ListPrice*INDEX(dataTierImpact,,MATCH(dataTierStatusPayer3,$C$5:$G$5,0))</f>
        <v>61217.856000000014</v>
      </c>
      <c r="E536" s="390">
        <f>dataProd1Seg2Payer3Volume*dataTherapy1ListPrice*INDEX(dataTierImpact,,MATCH(dataTierStatusPayer3,$C$5:$G$5,0))</f>
        <v>53565.623999999996</v>
      </c>
      <c r="F536" s="390">
        <f>dataProd1Seg2Payer3Volume*dataTherapy1ListPrice*INDEX(dataTierImpact,,MATCH(dataTierStatusPayer3,$C$5:$G$5,0))</f>
        <v>58922.186399999991</v>
      </c>
      <c r="G536" t="s">
        <v>747</v>
      </c>
    </row>
    <row r="537" spans="2:7">
      <c r="B537" t="s">
        <v>686</v>
      </c>
      <c r="C537" s="390">
        <f>dataProd1Seg2Payer3Volume*dataTherapy1ListPrice*dataTherapy1Payer3Rebate</f>
        <v>30608.928</v>
      </c>
      <c r="D537" s="390">
        <f>dataProd1Seg2Payer3Volume*dataTherapy1ListPrice*dataTherapy1Payer3Rebate</f>
        <v>30608.928000000007</v>
      </c>
      <c r="E537" s="390">
        <f>dataProd1Seg2Payer3Volume*dataTherapy1ListPrice*dataTherapy1Payer3Rebate</f>
        <v>26782.811999999998</v>
      </c>
      <c r="F537" s="390">
        <f>dataProd1Seg2Payer3Volume*dataTherapy1ListPrice*dataTherapy1Payer3Rebate</f>
        <v>29461.093199999996</v>
      </c>
      <c r="G537" t="s">
        <v>748</v>
      </c>
    </row>
    <row r="538" spans="2:7">
      <c r="B538" t="s">
        <v>695</v>
      </c>
      <c r="C538" s="390">
        <f>dataProd1Seg2Payer3GrossRevenue-dataProd1Seg2Payer3Reimbursement</f>
        <v>30608.928</v>
      </c>
      <c r="D538" s="390">
        <f>dataProd1Seg2Payer3GrossRevenue-dataProd1Seg2Payer3Reimbursement</f>
        <v>30608.928000000007</v>
      </c>
      <c r="E538" s="390">
        <f>dataProd1Seg2Payer3GrossRevenue-dataProd1Seg2Payer3Reimbursement</f>
        <v>26782.811999999998</v>
      </c>
      <c r="F538" s="390">
        <f>dataProd1Seg2Payer3GrossRevenue-dataProd1Seg2Payer3Reimbursement</f>
        <v>29461.093199999996</v>
      </c>
      <c r="G538" t="s">
        <v>749</v>
      </c>
    </row>
    <row r="539" spans="2:7">
      <c r="B539" t="s">
        <v>677</v>
      </c>
    </row>
    <row r="540" spans="2:7">
      <c r="B540" s="385" t="str">
        <f>nmProd1Seg3</f>
        <v>Lordfrey City</v>
      </c>
      <c r="C540" s="386"/>
      <c r="D540" s="386"/>
      <c r="E540" s="386"/>
      <c r="F540" s="386"/>
    </row>
    <row r="541" spans="2:7">
      <c r="B541" t="s">
        <v>779</v>
      </c>
      <c r="C541" s="380">
        <f>dataProd1Seg3TotalRecurCust*dataProd1Seg3TotalShare</f>
        <v>79.199999999999989</v>
      </c>
      <c r="D541" s="380">
        <f>dataProd1Seg3TotalRecurCust*dataProd1Seg3TotalShare</f>
        <v>79.356479999999991</v>
      </c>
      <c r="E541" s="380">
        <f>dataProd1Seg3TotalRecurCust*dataProd1Seg3TotalShare</f>
        <v>79.356479999999991</v>
      </c>
      <c r="F541" s="380">
        <f>dataProd1Seg3TotalRecurCust*dataProd1Seg3TotalShare</f>
        <v>84.911433599999981</v>
      </c>
      <c r="G541" t="s">
        <v>792</v>
      </c>
    </row>
    <row r="542" spans="2:7">
      <c r="B542" t="s">
        <v>779</v>
      </c>
      <c r="C542" s="380">
        <f>dataProd1Seg3TotalNewCust*dataProd1Seg3TotalShare</f>
        <v>1.7759999999999998</v>
      </c>
      <c r="D542" s="380">
        <f>dataProd1Seg3TotalNewCust*dataProd1Seg3TotalShare</f>
        <v>1.6195200000000001</v>
      </c>
      <c r="E542" s="380">
        <f>dataProd1Seg3TotalNewCust*dataProd1Seg3TotalShare</f>
        <v>7.2878399999999992</v>
      </c>
      <c r="F542" s="380">
        <f>dataProd1Seg3TotalNewCust*dataProd1Seg3TotalShare</f>
        <v>7.7979887999999979</v>
      </c>
      <c r="G542" t="s">
        <v>840</v>
      </c>
    </row>
    <row r="543" spans="2:7">
      <c r="B543" t="s">
        <v>13</v>
      </c>
      <c r="C543" s="380">
        <f>dataProd1Seg3RecurCust+dataProd1Seg3NewCust</f>
        <v>80.975999999999985</v>
      </c>
      <c r="D543" s="380">
        <f>dataProd1Seg3RecurCust+dataProd1Seg3NewCust</f>
        <v>80.975999999999985</v>
      </c>
      <c r="E543" s="380">
        <f>dataProd1Seg3RecurCust+dataProd1Seg3NewCust</f>
        <v>86.644319999999993</v>
      </c>
      <c r="F543" s="380">
        <f>dataProd1Seg3RecurCust+dataProd1Seg3NewCust</f>
        <v>92.70942239999998</v>
      </c>
      <c r="G543" t="s">
        <v>667</v>
      </c>
    </row>
    <row r="544" spans="2:7">
      <c r="C544" s="380"/>
      <c r="D544" s="387"/>
      <c r="E544" s="387"/>
      <c r="F544" s="387"/>
    </row>
    <row r="545" spans="2:7">
      <c r="B545" s="4" t="s">
        <v>631</v>
      </c>
      <c r="C545" s="380"/>
      <c r="D545" s="380"/>
      <c r="E545" s="380"/>
      <c r="F545" s="380"/>
    </row>
    <row r="546" spans="2:7">
      <c r="B546" t="str">
        <f>nmPayer1</f>
        <v>Blue Sword/Blue Shield</v>
      </c>
      <c r="C546" s="382">
        <v>0.7</v>
      </c>
      <c r="D546" s="382">
        <v>0.7</v>
      </c>
      <c r="E546" s="382">
        <v>0.7</v>
      </c>
      <c r="F546" s="382">
        <v>0.7</v>
      </c>
      <c r="G546" t="s">
        <v>668</v>
      </c>
    </row>
    <row r="547" spans="2:7">
      <c r="B547" t="str">
        <f>nmPayer2</f>
        <v>WesterAid</v>
      </c>
      <c r="C547" s="382">
        <v>0</v>
      </c>
      <c r="D547" s="382">
        <v>0</v>
      </c>
      <c r="E547" s="382">
        <v>0</v>
      </c>
      <c r="F547" s="382">
        <v>0</v>
      </c>
      <c r="G547" t="s">
        <v>669</v>
      </c>
    </row>
    <row r="548" spans="2:7">
      <c r="B548" t="str">
        <f>nmPayer3</f>
        <v>Dragon Health</v>
      </c>
      <c r="C548" s="381">
        <f>1-SUM(C546:C547)</f>
        <v>0.30000000000000004</v>
      </c>
      <c r="D548" s="381">
        <f>1-SUM(D546:D547)</f>
        <v>0.30000000000000004</v>
      </c>
      <c r="E548" s="381">
        <f>1-SUM(E546:E547)</f>
        <v>0.30000000000000004</v>
      </c>
      <c r="F548" s="381">
        <f>1-SUM(F546:F547)</f>
        <v>0.30000000000000004</v>
      </c>
      <c r="G548" t="s">
        <v>670</v>
      </c>
    </row>
    <row r="550" spans="2:7">
      <c r="B550" s="4" t="s">
        <v>634</v>
      </c>
    </row>
    <row r="551" spans="2:7">
      <c r="B551" t="str">
        <f>nmPayer1</f>
        <v>Blue Sword/Blue Shield</v>
      </c>
      <c r="C551" s="380">
        <f>dataProd1Seg3TotalVolume*dataProd1Seg3Payer1Percentage</f>
        <v>56.683199999999985</v>
      </c>
      <c r="D551" s="380">
        <f>dataProd1Seg3TotalVolume*dataProd1Seg3Payer1Percentage</f>
        <v>56.683199999999985</v>
      </c>
      <c r="E551" s="380">
        <f>dataProd1Seg3TotalVolume*dataProd1Seg3Payer1Percentage</f>
        <v>60.651023999999992</v>
      </c>
      <c r="F551" s="380">
        <f>dataProd1Seg3TotalVolume*dataProd1Seg3Payer1Percentage</f>
        <v>64.896595679999976</v>
      </c>
      <c r="G551" t="s">
        <v>671</v>
      </c>
    </row>
    <row r="552" spans="2:7">
      <c r="B552" t="str">
        <f>nmPayer2</f>
        <v>WesterAid</v>
      </c>
      <c r="C552" s="380">
        <f>dataProd1Seg3TotalVolume*dataProd1Seg3Payer2Percentage</f>
        <v>0</v>
      </c>
      <c r="D552" s="380">
        <f>dataProd1Seg3TotalVolume*dataProd1Seg3Payer2Percentage</f>
        <v>0</v>
      </c>
      <c r="E552" s="380">
        <f>dataProd1Seg3TotalVolume*dataProd1Seg3Payer2Percentage</f>
        <v>0</v>
      </c>
      <c r="F552" s="380">
        <f>dataProd1Seg3TotalVolume*dataProd1Seg3Payer2Percentage</f>
        <v>0</v>
      </c>
      <c r="G552" t="s">
        <v>672</v>
      </c>
    </row>
    <row r="553" spans="2:7">
      <c r="B553" t="str">
        <f>nmPayer3</f>
        <v>Dragon Health</v>
      </c>
      <c r="C553" s="380">
        <f>dataProd1Seg3TotalVolume*dataProd1Seg3Payer3Percentage</f>
        <v>24.2928</v>
      </c>
      <c r="D553" s="380">
        <f>dataProd1Seg3TotalVolume*dataProd1Seg3Payer3Percentage</f>
        <v>24.2928</v>
      </c>
      <c r="E553" s="380">
        <f>dataProd1Seg3TotalVolume*dataProd1Seg3Payer3Percentage</f>
        <v>25.993296000000001</v>
      </c>
      <c r="F553" s="380">
        <f>dataProd1Seg3TotalVolume*dataProd1Seg3Payer3Percentage</f>
        <v>27.812826719999997</v>
      </c>
      <c r="G553" t="s">
        <v>673</v>
      </c>
    </row>
    <row r="555" spans="2:7">
      <c r="B555" s="4" t="s">
        <v>1493</v>
      </c>
    </row>
    <row r="556" spans="2:7">
      <c r="B556" t="str">
        <f>nmPayer1</f>
        <v>Blue Sword/Blue Shield</v>
      </c>
      <c r="C556" s="380">
        <f>dataProd1Seg3TotalRecurCust*dataProd1Seg3Payer1Percentage</f>
        <v>23100</v>
      </c>
      <c r="D556" s="380">
        <f>dataProd1Seg3TotalRecurCust*dataProd1Seg3Payer1Percentage</f>
        <v>23145.639999999996</v>
      </c>
      <c r="E556" s="380">
        <f>dataProd1Seg3TotalRecurCust*dataProd1Seg3Payer1Percentage</f>
        <v>23145.639999999996</v>
      </c>
      <c r="F556" s="380">
        <f>dataProd1Seg3TotalRecurCust*dataProd1Seg3Payer1Percentage</f>
        <v>24765.834799999997</v>
      </c>
      <c r="G556" t="s">
        <v>1518</v>
      </c>
    </row>
    <row r="557" spans="2:7">
      <c r="B557" t="str">
        <f>nmPayer2</f>
        <v>WesterAid</v>
      </c>
      <c r="C557" s="380">
        <f>dataProd1Seg3TotalRecurCust*dataProd1Seg3Payer2Percentage</f>
        <v>0</v>
      </c>
      <c r="D557" s="380">
        <f>dataProd1Seg3TotalRecurCust*dataProd1Seg3Payer2Percentage</f>
        <v>0</v>
      </c>
      <c r="E557" s="380">
        <f>dataProd1Seg3TotalRecurCust*dataProd1Seg3Payer2Percentage</f>
        <v>0</v>
      </c>
      <c r="F557" s="380">
        <f>dataProd1Seg3TotalRecurCust*dataProd1Seg3Payer2Percentage</f>
        <v>0</v>
      </c>
      <c r="G557" t="s">
        <v>1519</v>
      </c>
    </row>
    <row r="558" spans="2:7">
      <c r="B558" t="str">
        <f>nmPayer3</f>
        <v>Dragon Health</v>
      </c>
      <c r="C558" s="380">
        <f>dataProd1Seg3TotalRecurCust*dataProd1Seg3Payer3Percentage</f>
        <v>9900.0000000000018</v>
      </c>
      <c r="D558" s="380">
        <f>dataProd1Seg3TotalRecurCust*dataProd1Seg3Payer3Percentage</f>
        <v>9919.5600000000013</v>
      </c>
      <c r="E558" s="380">
        <f>dataProd1Seg3TotalRecurCust*dataProd1Seg3Payer3Percentage</f>
        <v>9919.5600000000013</v>
      </c>
      <c r="F558" s="380">
        <f>dataProd1Seg3TotalRecurCust*dataProd1Seg3Payer3Percentage</f>
        <v>10613.9292</v>
      </c>
      <c r="G558" t="s">
        <v>1520</v>
      </c>
    </row>
    <row r="559" spans="2:7">
      <c r="B559" s="4" t="s">
        <v>1492</v>
      </c>
      <c r="C559" s="380"/>
      <c r="D559" s="380"/>
      <c r="E559" s="380"/>
      <c r="F559" s="380"/>
    </row>
    <row r="560" spans="2:7">
      <c r="B560" t="str">
        <f>nmPayer1</f>
        <v>Blue Sword/Blue Shield</v>
      </c>
      <c r="C560" s="380">
        <f>dataProd1Seg3TotalNewCust*dataProd1Seg3Payer1Percentage</f>
        <v>518</v>
      </c>
      <c r="D560" s="380">
        <f>dataProd1Seg3TotalNewCust*dataProd1Seg3Payer1Percentage</f>
        <v>472.36</v>
      </c>
      <c r="E560" s="380">
        <f>dataProd1Seg3TotalNewCust*dataProd1Seg3Payer1Percentage</f>
        <v>2125.62</v>
      </c>
      <c r="F560" s="380">
        <f>dataProd1Seg3TotalNewCust*dataProd1Seg3Payer1Percentage</f>
        <v>2274.4133999999995</v>
      </c>
      <c r="G560" t="s">
        <v>1521</v>
      </c>
    </row>
    <row r="561" spans="2:7">
      <c r="B561" t="str">
        <f>nmPayer2</f>
        <v>WesterAid</v>
      </c>
      <c r="C561" s="380">
        <f>dataProd1Seg3TotalNewCust*dataProd1Seg3Payer2Percentage</f>
        <v>0</v>
      </c>
      <c r="D561" s="380">
        <f>dataProd1Seg3TotalNewCust*dataProd1Seg3Payer2Percentage</f>
        <v>0</v>
      </c>
      <c r="E561" s="380">
        <f>dataProd1Seg3TotalNewCust*dataProd1Seg3Payer2Percentage</f>
        <v>0</v>
      </c>
      <c r="F561" s="380">
        <f>dataProd1Seg3TotalNewCust*dataProd1Seg3Payer2Percentage</f>
        <v>0</v>
      </c>
      <c r="G561" t="s">
        <v>1522</v>
      </c>
    </row>
    <row r="562" spans="2:7">
      <c r="B562" t="str">
        <f>nmPayer3</f>
        <v>Dragon Health</v>
      </c>
      <c r="C562" s="380">
        <f>dataProd1Seg3TotalNewCust*dataProd1Seg3Payer3Percentage</f>
        <v>222.00000000000003</v>
      </c>
      <c r="D562" s="380">
        <f>dataProd1Seg3TotalNewCust*dataProd1Seg3Payer3Percentage</f>
        <v>202.44000000000005</v>
      </c>
      <c r="E562" s="380">
        <f>dataProd1Seg3TotalNewCust*dataProd1Seg3Payer3Percentage</f>
        <v>910.98000000000013</v>
      </c>
      <c r="F562" s="380">
        <f>dataProd1Seg3TotalNewCust*dataProd1Seg3Payer3Percentage</f>
        <v>974.7485999999999</v>
      </c>
      <c r="G562" t="s">
        <v>1523</v>
      </c>
    </row>
    <row r="564" spans="2:7">
      <c r="B564" s="4" t="s">
        <v>731</v>
      </c>
    </row>
    <row r="565" spans="2:7">
      <c r="B565" s="4" t="str">
        <f>nmPayer1</f>
        <v>Blue Sword/Blue Shield</v>
      </c>
    </row>
    <row r="566" spans="2:7">
      <c r="B566" t="s">
        <v>684</v>
      </c>
      <c r="C566" s="390">
        <f>dataProd1Seg3Payer1Volume*dataTherapy1ListPrice*INDEX(dataTierImpact,,MATCH(dataTierStatusPayer1,$C$5:$G$5,0))</f>
        <v>68019.839999999982</v>
      </c>
      <c r="D566" s="390">
        <f>dataProd1Seg3Payer1Volume*dataTherapy1ListPrice*INDEX(dataTierImpact,,MATCH(dataTierStatusPayer1,$C$5:$G$5,0))</f>
        <v>68019.839999999982</v>
      </c>
      <c r="E566" s="390">
        <f>dataProd1Seg3Payer1Volume*dataTherapy1ListPrice*INDEX(dataTierImpact,,MATCH(dataTierStatusPayer1,$C$5:$G$5,0))</f>
        <v>72781.228799999997</v>
      </c>
      <c r="F566" s="390">
        <f>dataProd1Seg3Payer1Volume*dataTherapy1ListPrice*INDEX(dataTierImpact,,MATCH(dataTierStatusPayer1,$C$5:$G$5,0))</f>
        <v>77875.914815999975</v>
      </c>
      <c r="G566" t="s">
        <v>732</v>
      </c>
    </row>
    <row r="567" spans="2:7">
      <c r="B567" t="s">
        <v>686</v>
      </c>
      <c r="C567" s="390">
        <f>dataProd1Seg3Payer1Volume*dataTherapy1ListPrice*dataTherapy1Payer1Rebate</f>
        <v>51014.879999999983</v>
      </c>
      <c r="D567" s="390">
        <f>dataProd1Seg3Payer1Volume*dataTherapy1ListPrice*dataTherapy1Payer1Rebate</f>
        <v>51014.879999999983</v>
      </c>
      <c r="E567" s="390">
        <f>dataProd1Seg3Payer1Volume*dataTherapy1ListPrice*dataTherapy1Payer1Rebate</f>
        <v>54585.921599999994</v>
      </c>
      <c r="F567" s="390">
        <f>dataProd1Seg3Payer1Volume*dataTherapy1ListPrice*dataTherapy1Payer1Rebate</f>
        <v>58406.936111999981</v>
      </c>
      <c r="G567" t="s">
        <v>733</v>
      </c>
    </row>
    <row r="568" spans="2:7">
      <c r="B568" t="s">
        <v>695</v>
      </c>
      <c r="C568" s="390">
        <f>dataProd1Seg3Payer1GrossRevenue-dataProd1Seg3Payer1Reimbursement</f>
        <v>17004.96</v>
      </c>
      <c r="D568" s="390">
        <f>dataProd1Seg3Payer1GrossRevenue-dataProd1Seg3Payer1Reimbursement</f>
        <v>17004.96</v>
      </c>
      <c r="E568" s="390">
        <f>dataProd1Seg3Payer1GrossRevenue-dataProd1Seg3Payer1Reimbursement</f>
        <v>18195.307200000003</v>
      </c>
      <c r="F568" s="390">
        <f>dataProd1Seg3Payer1GrossRevenue-dataProd1Seg3Payer1Reimbursement</f>
        <v>19468.978703999994</v>
      </c>
      <c r="G568" t="s">
        <v>734</v>
      </c>
    </row>
    <row r="569" spans="2:7">
      <c r="B569" s="4" t="str">
        <f>nmPayer2</f>
        <v>WesterAid</v>
      </c>
    </row>
    <row r="570" spans="2:7">
      <c r="B570" t="s">
        <v>684</v>
      </c>
      <c r="C570" s="390">
        <f>dataProd1Seg3Payer2Volume*dataTherapy1ListPrice*INDEX(dataTierImpact,,MATCH(dataTierStatusPayer2,$C$5:$G$5,0))</f>
        <v>0</v>
      </c>
      <c r="D570" s="390">
        <f>dataProd1Seg3Payer2Volume*dataTherapy1ListPrice*INDEX(dataTierImpact,,MATCH(dataTierStatusPayer2,$C$5:$G$5,0))</f>
        <v>0</v>
      </c>
      <c r="E570" s="390">
        <f>dataProd1Seg3Payer2Volume*dataTherapy1ListPrice*INDEX(dataTierImpact,,MATCH(dataTierStatusPayer2,$C$5:$G$5,0))</f>
        <v>0</v>
      </c>
      <c r="F570" s="390">
        <f>dataProd1Seg3Payer2Volume*dataTherapy1ListPrice*INDEX(dataTierImpact,,MATCH(dataTierStatusPayer2,$C$5:$G$5,0))</f>
        <v>0</v>
      </c>
      <c r="G570" t="s">
        <v>735</v>
      </c>
    </row>
    <row r="571" spans="2:7">
      <c r="B571" t="s">
        <v>686</v>
      </c>
      <c r="C571" s="390">
        <f>dataProd1Seg3Payer2Volume*dataTherapy1ListPrice*dataTherapy1Payer2Rebate</f>
        <v>0</v>
      </c>
      <c r="D571" s="390">
        <f>dataProd1Seg3Payer2Volume*dataTherapy1ListPrice*dataTherapy1Payer2Rebate</f>
        <v>0</v>
      </c>
      <c r="E571" s="390">
        <f>dataProd1Seg3Payer2Volume*dataTherapy1ListPrice*dataTherapy1Payer2Rebate</f>
        <v>0</v>
      </c>
      <c r="F571" s="390">
        <f>dataProd1Seg3Payer2Volume*dataTherapy1ListPrice*dataTherapy1Payer2Rebate</f>
        <v>0</v>
      </c>
      <c r="G571" t="s">
        <v>736</v>
      </c>
    </row>
    <row r="572" spans="2:7">
      <c r="B572" t="s">
        <v>695</v>
      </c>
      <c r="C572" s="390">
        <f>dataProd1Seg3Payer2GrossRevenue-dataProd1Seg3Payer2Reimbursement</f>
        <v>0</v>
      </c>
      <c r="D572" s="390">
        <f>dataProd1Seg3Payer2GrossRevenue-dataProd1Seg3Payer2Reimbursement</f>
        <v>0</v>
      </c>
      <c r="E572" s="390">
        <f>dataProd1Seg3Payer2GrossRevenue-dataProd1Seg3Payer2Reimbursement</f>
        <v>0</v>
      </c>
      <c r="F572" s="390">
        <f>dataProd1Seg3Payer2GrossRevenue-dataProd1Seg3Payer2Reimbursement</f>
        <v>0</v>
      </c>
      <c r="G572" t="s">
        <v>737</v>
      </c>
    </row>
    <row r="573" spans="2:7">
      <c r="B573" s="4" t="str">
        <f>nmPayer3</f>
        <v>Dragon Health</v>
      </c>
    </row>
    <row r="574" spans="2:7">
      <c r="B574" t="s">
        <v>684</v>
      </c>
      <c r="C574" s="390">
        <f>dataProd1Seg3Payer3Volume*dataTherapy1ListPrice*INDEX(dataTierImpact,,MATCH(dataTierStatusPayer3,$C$5:$G$5,0))</f>
        <v>43727.039999999994</v>
      </c>
      <c r="D574" s="390">
        <f>dataProd1Seg3Payer3Volume*dataTherapy1ListPrice*INDEX(dataTierImpact,,MATCH(dataTierStatusPayer3,$C$5:$G$5,0))</f>
        <v>43727.039999999994</v>
      </c>
      <c r="E574" s="390">
        <f>dataProd1Seg3Payer3Volume*dataTherapy1ListPrice*INDEX(dataTierImpact,,MATCH(dataTierStatusPayer3,$C$5:$G$5,0))</f>
        <v>46787.932800000002</v>
      </c>
      <c r="F574" s="390">
        <f>dataProd1Seg3Payer3Volume*dataTherapy1ListPrice*INDEX(dataTierImpact,,MATCH(dataTierStatusPayer3,$C$5:$G$5,0))</f>
        <v>50063.088095999992</v>
      </c>
      <c r="G574" t="s">
        <v>738</v>
      </c>
    </row>
    <row r="575" spans="2:7">
      <c r="B575" t="s">
        <v>686</v>
      </c>
      <c r="C575" s="390">
        <f>dataProd1Seg3Payer3Volume*dataTherapy1ListPrice*dataTherapy1Payer3Rebate</f>
        <v>21863.519999999997</v>
      </c>
      <c r="D575" s="390">
        <f>dataProd1Seg3Payer3Volume*dataTherapy1ListPrice*dataTherapy1Payer3Rebate</f>
        <v>21863.519999999997</v>
      </c>
      <c r="E575" s="390">
        <f>dataProd1Seg3Payer3Volume*dataTherapy1ListPrice*dataTherapy1Payer3Rebate</f>
        <v>23393.966400000001</v>
      </c>
      <c r="F575" s="390">
        <f>dataProd1Seg3Payer3Volume*dataTherapy1ListPrice*dataTherapy1Payer3Rebate</f>
        <v>25031.544047999996</v>
      </c>
      <c r="G575" t="s">
        <v>739</v>
      </c>
    </row>
    <row r="576" spans="2:7">
      <c r="B576" t="s">
        <v>695</v>
      </c>
      <c r="C576" s="390">
        <f>dataProd1Seg3Payer3GrossRevenue-dataProd1Seg3Payer3Reimbursement</f>
        <v>21863.519999999997</v>
      </c>
      <c r="D576" s="390">
        <f>dataProd1Seg3Payer3GrossRevenue-dataProd1Seg3Payer3Reimbursement</f>
        <v>21863.519999999997</v>
      </c>
      <c r="E576" s="390">
        <f>dataProd1Seg3Payer3GrossRevenue-dataProd1Seg3Payer3Reimbursement</f>
        <v>23393.966400000001</v>
      </c>
      <c r="F576" s="390">
        <f>dataProd1Seg3Payer3GrossRevenue-dataProd1Seg3Payer3Reimbursement</f>
        <v>25031.544047999996</v>
      </c>
      <c r="G576" t="s">
        <v>740</v>
      </c>
    </row>
    <row r="577" spans="2:7">
      <c r="B577" t="s">
        <v>677</v>
      </c>
    </row>
    <row r="578" spans="2:7">
      <c r="B578" s="4" t="s">
        <v>892</v>
      </c>
    </row>
    <row r="579" spans="2:7">
      <c r="B579" s="376" t="str">
        <f>nmProd1Seg1</f>
        <v>Riverrun Central</v>
      </c>
      <c r="C579" s="377"/>
      <c r="D579" s="377"/>
      <c r="E579" s="377"/>
      <c r="F579" s="377"/>
    </row>
    <row r="580" spans="2:7" s="434" customFormat="1">
      <c r="B580" s="445" t="str">
        <f>nmComp1</f>
        <v>Vibrant</v>
      </c>
    </row>
    <row r="581" spans="2:7">
      <c r="B581" t="s">
        <v>779</v>
      </c>
      <c r="C581" s="380">
        <f>dataProd1Seg1TotalRecurCust*dataProd1Seg1Comp1TotalShare</f>
        <v>355.34999999999997</v>
      </c>
      <c r="D581" s="380">
        <f>dataProd1Seg1TotalRecurCust*dataProd1Seg1Comp1TotalShare</f>
        <v>365.03980799999999</v>
      </c>
      <c r="E581" s="380">
        <f>dataProd1Seg1TotalRecurCust*dataProd1Seg1Comp1TotalShare</f>
        <v>365.03980799999999</v>
      </c>
      <c r="F581" s="380">
        <f>dataProd1Seg1TotalRecurCust*dataProd1Seg1Comp1TotalShare</f>
        <v>394.24299264000001</v>
      </c>
      <c r="G581" t="s">
        <v>893</v>
      </c>
    </row>
    <row r="582" spans="2:7">
      <c r="B582" t="s">
        <v>779</v>
      </c>
      <c r="C582" s="380">
        <f>dataProd1Seg1TotalNewCust*dataProd1Seg1Comp1TotalShare</f>
        <v>17.139599999999998</v>
      </c>
      <c r="D582" s="380">
        <f>dataProd1Seg1TotalNewCust*dataProd1Seg1Comp1TotalShare</f>
        <v>7.4497920000000004</v>
      </c>
      <c r="E582" s="380">
        <f>dataProd1Seg1TotalNewCust*dataProd1Seg1Comp1TotalShare</f>
        <v>37.248960000000004</v>
      </c>
      <c r="F582" s="380">
        <f>dataProd1Seg1TotalNewCust*dataProd1Seg1Comp1TotalShare</f>
        <v>60.343315199999992</v>
      </c>
      <c r="G582" t="s">
        <v>894</v>
      </c>
    </row>
    <row r="583" spans="2:7">
      <c r="B583" t="s">
        <v>13</v>
      </c>
      <c r="C583" s="380">
        <f>dataProd1Seg1Comp1RecurCust+dataProd1Seg1Comp1NewCust</f>
        <v>372.48959999999994</v>
      </c>
      <c r="D583" s="380">
        <f>dataProd1Seg1Comp1RecurCust+dataProd1Seg1Comp1NewCust</f>
        <v>372.4896</v>
      </c>
      <c r="E583" s="380">
        <f>dataProd1Seg1Comp1RecurCust+dataProd1Seg1Comp1NewCust</f>
        <v>402.288768</v>
      </c>
      <c r="F583" s="380">
        <f>dataProd1Seg1Comp1RecurCust+dataProd1Seg1Comp1NewCust</f>
        <v>454.58630784000002</v>
      </c>
      <c r="G583" t="s">
        <v>895</v>
      </c>
    </row>
    <row r="584" spans="2:7">
      <c r="C584" s="380"/>
      <c r="D584" s="387"/>
      <c r="E584" s="387"/>
      <c r="F584" s="387"/>
    </row>
    <row r="585" spans="2:7">
      <c r="B585" s="4" t="s">
        <v>631</v>
      </c>
      <c r="C585" s="380"/>
      <c r="D585" s="380"/>
      <c r="E585" s="380"/>
      <c r="F585" s="380"/>
    </row>
    <row r="586" spans="2:7">
      <c r="B586" t="str">
        <f>nmPayer1</f>
        <v>Blue Sword/Blue Shield</v>
      </c>
      <c r="C586" s="382">
        <v>0.5</v>
      </c>
      <c r="D586" s="382">
        <v>0.5</v>
      </c>
      <c r="E586" s="382">
        <v>0.5</v>
      </c>
      <c r="F586" s="382">
        <v>0.5</v>
      </c>
      <c r="G586" t="s">
        <v>896</v>
      </c>
    </row>
    <row r="587" spans="2:7">
      <c r="B587" t="str">
        <f>nmPayer2</f>
        <v>WesterAid</v>
      </c>
      <c r="C587" s="382">
        <v>0.25</v>
      </c>
      <c r="D587" s="382">
        <v>0.25</v>
      </c>
      <c r="E587" s="382">
        <v>0.25</v>
      </c>
      <c r="F587" s="382">
        <v>0.25</v>
      </c>
      <c r="G587" t="s">
        <v>897</v>
      </c>
    </row>
    <row r="588" spans="2:7">
      <c r="B588" t="str">
        <f>nmPayer3</f>
        <v>Dragon Health</v>
      </c>
      <c r="C588" s="381">
        <f>1-SUM(C586:C587)</f>
        <v>0.25</v>
      </c>
      <c r="D588" s="381">
        <f>1-SUM(D586:D587)</f>
        <v>0.25</v>
      </c>
      <c r="E588" s="381">
        <f>1-SUM(E586:E587)</f>
        <v>0.25</v>
      </c>
      <c r="F588" s="381">
        <f>1-SUM(F586:F587)</f>
        <v>0.25</v>
      </c>
      <c r="G588" t="s">
        <v>898</v>
      </c>
    </row>
    <row r="590" spans="2:7">
      <c r="B590" s="4" t="s">
        <v>634</v>
      </c>
    </row>
    <row r="591" spans="2:7">
      <c r="B591" t="str">
        <f>nmPayer1</f>
        <v>Blue Sword/Blue Shield</v>
      </c>
      <c r="C591" s="380">
        <f>dataProd1Seg1Comp1TotalVolume*dataProd1Seg1Comp1Payer1Percentage</f>
        <v>186.24479999999997</v>
      </c>
      <c r="D591" s="380">
        <f>dataProd1Seg1Comp1TotalVolume*dataProd1Seg1Comp1Payer1Percentage</f>
        <v>186.2448</v>
      </c>
      <c r="E591" s="380">
        <f>dataProd1Seg1Comp1TotalVolume*dataProd1Seg1Comp1Payer1Percentage</f>
        <v>201.144384</v>
      </c>
      <c r="F591" s="380">
        <f>dataProd1Seg1Comp1TotalVolume*dataProd1Seg1Comp1Payer1Percentage</f>
        <v>227.29315392000001</v>
      </c>
      <c r="G591" t="s">
        <v>899</v>
      </c>
    </row>
    <row r="592" spans="2:7">
      <c r="B592" t="str">
        <f>nmPayer2</f>
        <v>WesterAid</v>
      </c>
      <c r="C592" s="380">
        <f>dataProd1Seg1Comp1TotalVolume*dataProd1Seg1Comp1Payer2Percentage</f>
        <v>93.122399999999985</v>
      </c>
      <c r="D592" s="380">
        <f>dataProd1Seg1Comp1TotalVolume*dataProd1Seg1Comp1Payer2Percentage</f>
        <v>93.122399999999999</v>
      </c>
      <c r="E592" s="380">
        <f>dataProd1Seg1Comp1TotalVolume*dataProd1Seg1Comp1Payer2Percentage</f>
        <v>100.572192</v>
      </c>
      <c r="F592" s="380">
        <f>dataProd1Seg1Comp1TotalVolume*dataProd1Seg1Comp1Payer2Percentage</f>
        <v>113.64657696</v>
      </c>
      <c r="G592" t="s">
        <v>900</v>
      </c>
    </row>
    <row r="593" spans="2:7">
      <c r="B593" t="str">
        <f>nmPayer3</f>
        <v>Dragon Health</v>
      </c>
      <c r="C593" s="380">
        <f>dataProd1Seg1Comp1TotalVolume*dataProd1Seg1Comp1Payer3Percentage</f>
        <v>93.122399999999985</v>
      </c>
      <c r="D593" s="380">
        <f>dataProd1Seg1Comp1TotalVolume*dataProd1Seg1Comp1Payer3Percentage</f>
        <v>93.122399999999999</v>
      </c>
      <c r="E593" s="380">
        <f>dataProd1Seg1Comp1TotalVolume*dataProd1Seg1Comp1Payer3Percentage</f>
        <v>100.572192</v>
      </c>
      <c r="F593" s="380">
        <f>dataProd1Seg1Comp1TotalVolume*dataProd1Seg1Comp1Payer3Percentage</f>
        <v>113.64657696</v>
      </c>
      <c r="G593" t="s">
        <v>901</v>
      </c>
    </row>
    <row r="595" spans="2:7" s="434" customFormat="1">
      <c r="B595" s="445" t="str">
        <f>nmComp2</f>
        <v>Pristine</v>
      </c>
    </row>
    <row r="596" spans="2:7">
      <c r="B596" t="s">
        <v>779</v>
      </c>
      <c r="C596" s="380">
        <f>dataProd1Seg1TotalRecurCust*dataProd1Seg1Comp2TotalShare</f>
        <v>947.6</v>
      </c>
      <c r="D596" s="380">
        <f>dataProd1Seg1TotalRecurCust*dataProd1Seg1Comp2TotalShare</f>
        <v>973.43948799999998</v>
      </c>
      <c r="E596" s="380">
        <f>dataProd1Seg1TotalRecurCust*dataProd1Seg1Comp2TotalShare</f>
        <v>973.43948799999998</v>
      </c>
      <c r="F596" s="380">
        <f>dataProd1Seg1TotalRecurCust*dataProd1Seg1Comp2TotalShare</f>
        <v>1051.31464704</v>
      </c>
      <c r="G596" t="s">
        <v>902</v>
      </c>
    </row>
    <row r="597" spans="2:7">
      <c r="B597" t="s">
        <v>779</v>
      </c>
      <c r="C597" s="380">
        <f>dataProd1Seg1TotalNewCust*dataProd1Seg1Comp2TotalShare</f>
        <v>45.705599999999997</v>
      </c>
      <c r="D597" s="380">
        <f>dataProd1Seg1TotalNewCust*dataProd1Seg1Comp2TotalShare</f>
        <v>19.866112000000001</v>
      </c>
      <c r="E597" s="380">
        <f>dataProd1Seg1TotalNewCust*dataProd1Seg1Comp2TotalShare</f>
        <v>99.330560000000006</v>
      </c>
      <c r="F597" s="380">
        <f>dataProd1Seg1TotalNewCust*dataProd1Seg1Comp2TotalShare</f>
        <v>160.91550719999998</v>
      </c>
      <c r="G597" t="s">
        <v>903</v>
      </c>
    </row>
    <row r="598" spans="2:7">
      <c r="B598" t="s">
        <v>13</v>
      </c>
      <c r="C598" s="380">
        <f>dataProd1Seg1Comp2RecurCust+dataProd1Seg1Comp2NewCust</f>
        <v>993.30560000000003</v>
      </c>
      <c r="D598" s="380">
        <f>dataProd1Seg1Comp2RecurCust+dataProd1Seg1Comp2NewCust</f>
        <v>993.30560000000003</v>
      </c>
      <c r="E598" s="380">
        <f>dataProd1Seg1Comp2RecurCust+dataProd1Seg1Comp2NewCust</f>
        <v>1072.7700480000001</v>
      </c>
      <c r="F598" s="380">
        <f>dataProd1Seg1Comp2RecurCust+dataProd1Seg1Comp2NewCust</f>
        <v>1212.23015424</v>
      </c>
      <c r="G598" t="s">
        <v>904</v>
      </c>
    </row>
    <row r="599" spans="2:7">
      <c r="C599" s="380"/>
      <c r="D599" s="387"/>
      <c r="E599" s="387"/>
      <c r="F599" s="387"/>
    </row>
    <row r="600" spans="2:7">
      <c r="B600" s="4" t="s">
        <v>631</v>
      </c>
      <c r="C600" s="380"/>
      <c r="D600" s="380"/>
      <c r="E600" s="380"/>
      <c r="F600" s="380"/>
    </row>
    <row r="601" spans="2:7">
      <c r="B601" t="str">
        <f>nmPayer1</f>
        <v>Blue Sword/Blue Shield</v>
      </c>
      <c r="C601" s="382">
        <v>0.5</v>
      </c>
      <c r="D601" s="382">
        <v>0.5</v>
      </c>
      <c r="E601" s="382">
        <v>0.5</v>
      </c>
      <c r="F601" s="382">
        <v>0.5</v>
      </c>
      <c r="G601" t="s">
        <v>905</v>
      </c>
    </row>
    <row r="602" spans="2:7">
      <c r="B602" t="str">
        <f>nmPayer2</f>
        <v>WesterAid</v>
      </c>
      <c r="C602" s="382">
        <v>0.25</v>
      </c>
      <c r="D602" s="382">
        <v>0.25</v>
      </c>
      <c r="E602" s="382">
        <v>0.25</v>
      </c>
      <c r="F602" s="382">
        <v>0.25</v>
      </c>
      <c r="G602" t="s">
        <v>906</v>
      </c>
    </row>
    <row r="603" spans="2:7">
      <c r="B603" t="str">
        <f>nmPayer3</f>
        <v>Dragon Health</v>
      </c>
      <c r="C603" s="381">
        <f>1-SUM(C601:C602)</f>
        <v>0.25</v>
      </c>
      <c r="D603" s="381">
        <f>1-SUM(D601:D602)</f>
        <v>0.25</v>
      </c>
      <c r="E603" s="381">
        <f>1-SUM(E601:E602)</f>
        <v>0.25</v>
      </c>
      <c r="F603" s="381">
        <f>1-SUM(F601:F602)</f>
        <v>0.25</v>
      </c>
      <c r="G603" t="s">
        <v>907</v>
      </c>
    </row>
    <row r="605" spans="2:7">
      <c r="B605" s="4" t="s">
        <v>634</v>
      </c>
    </row>
    <row r="606" spans="2:7">
      <c r="B606" t="str">
        <f>nmPayer1</f>
        <v>Blue Sword/Blue Shield</v>
      </c>
      <c r="C606" s="380">
        <f>dataProd1Seg1Comp2TotalVolume*dataProd1Seg1Comp2Payer1Percentage</f>
        <v>496.65280000000001</v>
      </c>
      <c r="D606" s="380">
        <f>dataProd1Seg1Comp2TotalVolume*dataProd1Seg1Comp2Payer1Percentage</f>
        <v>496.65280000000001</v>
      </c>
      <c r="E606" s="380">
        <f>dataProd1Seg1Comp2TotalVolume*dataProd1Seg1Comp2Payer1Percentage</f>
        <v>536.38502400000004</v>
      </c>
      <c r="F606" s="380">
        <f>dataProd1Seg1Comp2TotalVolume*dataProd1Seg1Comp2Payer1Percentage</f>
        <v>606.11507712000002</v>
      </c>
      <c r="G606" t="s">
        <v>908</v>
      </c>
    </row>
    <row r="607" spans="2:7">
      <c r="B607" t="str">
        <f>nmPayer2</f>
        <v>WesterAid</v>
      </c>
      <c r="C607" s="380">
        <f>dataProd1Seg1Comp2TotalVolume*dataProd1Seg1Comp2Payer2Percentage</f>
        <v>248.32640000000001</v>
      </c>
      <c r="D607" s="380">
        <f>dataProd1Seg1Comp2TotalVolume*dataProd1Seg1Comp2Payer2Percentage</f>
        <v>248.32640000000001</v>
      </c>
      <c r="E607" s="380">
        <f>dataProd1Seg1Comp2TotalVolume*dataProd1Seg1Comp2Payer2Percentage</f>
        <v>268.19251200000002</v>
      </c>
      <c r="F607" s="380">
        <f>dataProd1Seg1Comp2TotalVolume*dataProd1Seg1Comp2Payer2Percentage</f>
        <v>303.05753856000001</v>
      </c>
      <c r="G607" t="s">
        <v>909</v>
      </c>
    </row>
    <row r="608" spans="2:7">
      <c r="B608" t="str">
        <f>nmPayer3</f>
        <v>Dragon Health</v>
      </c>
      <c r="C608" s="380">
        <f>dataProd1Seg1Comp2TotalVolume*dataProd1Seg1Comp2Payer3Percentage</f>
        <v>248.32640000000001</v>
      </c>
      <c r="D608" s="380">
        <f>dataProd1Seg1Comp2TotalVolume*dataProd1Seg1Comp2Payer3Percentage</f>
        <v>248.32640000000001</v>
      </c>
      <c r="E608" s="380">
        <f>dataProd1Seg1Comp2TotalVolume*dataProd1Seg1Comp2Payer3Percentage</f>
        <v>268.19251200000002</v>
      </c>
      <c r="F608" s="380">
        <f>dataProd1Seg1Comp2TotalVolume*dataProd1Seg1Comp2Payer3Percentage</f>
        <v>303.05753856000001</v>
      </c>
      <c r="G608" t="s">
        <v>910</v>
      </c>
    </row>
    <row r="610" spans="2:7">
      <c r="B610" s="376" t="str">
        <f>nmProd1Seg2</f>
        <v>Tullyville</v>
      </c>
      <c r="C610" s="377"/>
      <c r="D610" s="377"/>
      <c r="E610" s="377"/>
      <c r="F610" s="377"/>
    </row>
    <row r="611" spans="2:7" s="434" customFormat="1">
      <c r="B611" s="445" t="str">
        <f>nmComp1</f>
        <v>Vibrant</v>
      </c>
    </row>
    <row r="612" spans="2:7">
      <c r="B612" t="s">
        <v>779</v>
      </c>
      <c r="C612" s="380">
        <f>dataProd1Seg2TotalRecurCust*dataProd1Seg2Comp1TotalShare</f>
        <v>317.39999999999998</v>
      </c>
      <c r="D612" s="380">
        <f>dataProd1Seg2TotalRecurCust*dataProd1Seg2Comp1TotalShare</f>
        <v>319.40983199999999</v>
      </c>
      <c r="E612" s="380">
        <f>dataProd1Seg2TotalRecurCust*dataProd1Seg2Comp1TotalShare</f>
        <v>309.63198</v>
      </c>
      <c r="F612" s="380">
        <f>dataProd1Seg2TotalRecurCust*dataProd1Seg2Comp1TotalShare</f>
        <v>325.11357899999996</v>
      </c>
      <c r="G612" t="s">
        <v>911</v>
      </c>
    </row>
    <row r="613" spans="2:7">
      <c r="B613" t="s">
        <v>779</v>
      </c>
      <c r="C613" s="380">
        <f>dataProd1Seg2TotalNewCust*dataProd1Seg2Comp1TotalShare</f>
        <v>8.5283999999999995</v>
      </c>
      <c r="D613" s="380">
        <f>dataProd1Seg2TotalNewCust*dataProd1Seg2Comp1TotalShare</f>
        <v>6.5185680000000001</v>
      </c>
      <c r="E613" s="380">
        <f>dataProd1Seg2TotalNewCust*dataProd1Seg2Comp1TotalShare</f>
        <v>32.592840000000002</v>
      </c>
      <c r="F613" s="380">
        <f>dataProd1Seg2TotalNewCust*dataProd1Seg2Comp1TotalShare</f>
        <v>51.333722999999992</v>
      </c>
      <c r="G613" t="s">
        <v>912</v>
      </c>
    </row>
    <row r="614" spans="2:7">
      <c r="B614" t="s">
        <v>13</v>
      </c>
      <c r="C614" s="380">
        <f>dataProd1Seg2Comp1RecurCust+dataProd1Seg2Comp1NewCust</f>
        <v>325.92839999999995</v>
      </c>
      <c r="D614" s="380">
        <f>dataProd1Seg2Comp1RecurCust+dataProd1Seg2Comp1NewCust</f>
        <v>325.92840000000001</v>
      </c>
      <c r="E614" s="380">
        <f>dataProd1Seg2Comp1RecurCust+dataProd1Seg2Comp1NewCust</f>
        <v>342.22482000000002</v>
      </c>
      <c r="F614" s="380">
        <f>dataProd1Seg2Comp1RecurCust+dataProd1Seg2Comp1NewCust</f>
        <v>376.44730199999992</v>
      </c>
      <c r="G614" t="s">
        <v>913</v>
      </c>
    </row>
    <row r="615" spans="2:7">
      <c r="C615" s="380"/>
      <c r="D615" s="387"/>
      <c r="E615" s="387"/>
      <c r="F615" s="387"/>
    </row>
    <row r="616" spans="2:7">
      <c r="B616" s="4" t="s">
        <v>631</v>
      </c>
      <c r="C616" s="380"/>
      <c r="D616" s="380"/>
      <c r="E616" s="380"/>
      <c r="F616" s="380"/>
    </row>
    <row r="617" spans="2:7">
      <c r="B617" t="str">
        <f>nmPayer1</f>
        <v>Blue Sword/Blue Shield</v>
      </c>
      <c r="C617" s="382">
        <v>0.5</v>
      </c>
      <c r="D617" s="382">
        <v>0.5</v>
      </c>
      <c r="E617" s="382">
        <v>0.5</v>
      </c>
      <c r="F617" s="382">
        <v>0.5</v>
      </c>
      <c r="G617" t="s">
        <v>914</v>
      </c>
    </row>
    <row r="618" spans="2:7">
      <c r="B618" t="str">
        <f>nmPayer2</f>
        <v>WesterAid</v>
      </c>
      <c r="C618" s="382">
        <v>0.25</v>
      </c>
      <c r="D618" s="382">
        <v>0.25</v>
      </c>
      <c r="E618" s="382">
        <v>0.25</v>
      </c>
      <c r="F618" s="382">
        <v>0.25</v>
      </c>
      <c r="G618" t="s">
        <v>915</v>
      </c>
    </row>
    <row r="619" spans="2:7">
      <c r="B619" t="str">
        <f>nmPayer3</f>
        <v>Dragon Health</v>
      </c>
      <c r="C619" s="381">
        <f>1-SUM(C617:C618)</f>
        <v>0.25</v>
      </c>
      <c r="D619" s="381">
        <f>1-SUM(D617:D618)</f>
        <v>0.25</v>
      </c>
      <c r="E619" s="381">
        <f>1-SUM(E617:E618)</f>
        <v>0.25</v>
      </c>
      <c r="F619" s="381">
        <f>1-SUM(F617:F618)</f>
        <v>0.25</v>
      </c>
      <c r="G619" t="s">
        <v>916</v>
      </c>
    </row>
    <row r="621" spans="2:7">
      <c r="B621" s="4" t="s">
        <v>634</v>
      </c>
    </row>
    <row r="622" spans="2:7">
      <c r="B622" t="str">
        <f>nmPayer1</f>
        <v>Blue Sword/Blue Shield</v>
      </c>
      <c r="C622" s="380">
        <f>dataProd1Seg2Comp1TotalVolume*dataProd1Seg2Comp1Payer1Percentage</f>
        <v>162.96419999999998</v>
      </c>
      <c r="D622" s="380">
        <f>dataProd1Seg2Comp1TotalVolume*dataProd1Seg2Comp1Payer1Percentage</f>
        <v>162.96420000000001</v>
      </c>
      <c r="E622" s="380">
        <f>dataProd1Seg2Comp1TotalVolume*dataProd1Seg2Comp1Payer1Percentage</f>
        <v>171.11241000000001</v>
      </c>
      <c r="F622" s="380">
        <f>dataProd1Seg2Comp1TotalVolume*dataProd1Seg2Comp1Payer1Percentage</f>
        <v>188.22365099999996</v>
      </c>
      <c r="G622" t="s">
        <v>917</v>
      </c>
    </row>
    <row r="623" spans="2:7">
      <c r="B623" t="str">
        <f>nmPayer2</f>
        <v>WesterAid</v>
      </c>
      <c r="C623" s="380">
        <f>dataProd1Seg2Comp1TotalVolume*dataProd1Seg2Comp1Payer2Percentage</f>
        <v>81.482099999999988</v>
      </c>
      <c r="D623" s="380">
        <f>dataProd1Seg2Comp1TotalVolume*dataProd1Seg2Comp1Payer2Percentage</f>
        <v>81.482100000000003</v>
      </c>
      <c r="E623" s="380">
        <f>dataProd1Seg2Comp1TotalVolume*dataProd1Seg2Comp1Payer2Percentage</f>
        <v>85.556205000000006</v>
      </c>
      <c r="F623" s="380">
        <f>dataProd1Seg2Comp1TotalVolume*dataProd1Seg2Comp1Payer2Percentage</f>
        <v>94.111825499999981</v>
      </c>
      <c r="G623" t="s">
        <v>918</v>
      </c>
    </row>
    <row r="624" spans="2:7">
      <c r="B624" t="str">
        <f>nmPayer3</f>
        <v>Dragon Health</v>
      </c>
      <c r="C624" s="380">
        <f>dataProd1Seg2Comp1TotalVolume*dataProd1Seg2Comp1Payer3Percentage</f>
        <v>81.482099999999988</v>
      </c>
      <c r="D624" s="380">
        <f>dataProd1Seg2Comp1TotalVolume*dataProd1Seg2Comp1Payer3Percentage</f>
        <v>81.482100000000003</v>
      </c>
      <c r="E624" s="380">
        <f>dataProd1Seg2Comp1TotalVolume*dataProd1Seg2Comp1Payer3Percentage</f>
        <v>85.556205000000006</v>
      </c>
      <c r="F624" s="380">
        <f>dataProd1Seg2Comp1TotalVolume*dataProd1Seg2Comp1Payer3Percentage</f>
        <v>94.111825499999981</v>
      </c>
      <c r="G624" t="s">
        <v>919</v>
      </c>
    </row>
    <row r="626" spans="2:7" s="434" customFormat="1">
      <c r="B626" s="445" t="str">
        <f>nmComp2</f>
        <v>Pristine</v>
      </c>
    </row>
    <row r="627" spans="2:7">
      <c r="B627" t="s">
        <v>779</v>
      </c>
      <c r="C627" s="380">
        <f>dataProd1Seg2TotalRecurCust*dataProd1Seg2Comp2TotalShare</f>
        <v>846.4</v>
      </c>
      <c r="D627" s="380">
        <f>dataProd1Seg2TotalRecurCust*dataProd1Seg2Comp2TotalShare</f>
        <v>851.75955199999999</v>
      </c>
      <c r="E627" s="380">
        <f>dataProd1Seg2TotalRecurCust*dataProd1Seg2Comp2TotalShare</f>
        <v>825.68527999999992</v>
      </c>
      <c r="F627" s="380">
        <f>dataProd1Seg2TotalRecurCust*dataProd1Seg2Comp2TotalShare</f>
        <v>866.96954399999993</v>
      </c>
      <c r="G627" t="s">
        <v>920</v>
      </c>
    </row>
    <row r="628" spans="2:7">
      <c r="B628" t="s">
        <v>779</v>
      </c>
      <c r="C628" s="380">
        <f>dataProd1Seg2TotalNewCust*dataProd1Seg2Comp2TotalShare</f>
        <v>22.7424</v>
      </c>
      <c r="D628" s="380">
        <f>dataProd1Seg2TotalNewCust*dataProd1Seg2Comp2TotalShare</f>
        <v>17.382847999999999</v>
      </c>
      <c r="E628" s="380">
        <f>dataProd1Seg2TotalNewCust*dataProd1Seg2Comp2TotalShare</f>
        <v>86.914240000000007</v>
      </c>
      <c r="F628" s="380">
        <f>dataProd1Seg2TotalNewCust*dataProd1Seg2Comp2TotalShare</f>
        <v>136.88992799999997</v>
      </c>
      <c r="G628" t="s">
        <v>921</v>
      </c>
    </row>
    <row r="629" spans="2:7">
      <c r="B629" t="s">
        <v>13</v>
      </c>
      <c r="C629" s="380">
        <f>dataProd1Seg2Comp2RecurCust+dataProd1Seg2Comp2NewCust</f>
        <v>869.14239999999995</v>
      </c>
      <c r="D629" s="380">
        <f>dataProd1Seg2Comp2RecurCust+dataProd1Seg2Comp2NewCust</f>
        <v>869.14239999999995</v>
      </c>
      <c r="E629" s="380">
        <f>dataProd1Seg2Comp2RecurCust+dataProd1Seg2Comp2NewCust</f>
        <v>912.59951999999998</v>
      </c>
      <c r="F629" s="380">
        <f>dataProd1Seg2Comp2RecurCust+dataProd1Seg2Comp2NewCust</f>
        <v>1003.8594719999999</v>
      </c>
      <c r="G629" t="s">
        <v>922</v>
      </c>
    </row>
    <row r="630" spans="2:7">
      <c r="C630" s="380"/>
      <c r="D630" s="387"/>
      <c r="E630" s="387"/>
      <c r="F630" s="387"/>
    </row>
    <row r="631" spans="2:7">
      <c r="B631" s="4" t="s">
        <v>631</v>
      </c>
      <c r="C631" s="380"/>
      <c r="D631" s="380"/>
      <c r="E631" s="380"/>
      <c r="F631" s="380"/>
    </row>
    <row r="632" spans="2:7">
      <c r="B632" t="str">
        <f>nmPayer1</f>
        <v>Blue Sword/Blue Shield</v>
      </c>
      <c r="C632" s="382">
        <v>0.5</v>
      </c>
      <c r="D632" s="382">
        <v>0.5</v>
      </c>
      <c r="E632" s="382">
        <v>0.5</v>
      </c>
      <c r="F632" s="382">
        <v>0.5</v>
      </c>
      <c r="G632" t="s">
        <v>923</v>
      </c>
    </row>
    <row r="633" spans="2:7">
      <c r="B633" t="str">
        <f>nmPayer2</f>
        <v>WesterAid</v>
      </c>
      <c r="C633" s="382">
        <v>0.25</v>
      </c>
      <c r="D633" s="382">
        <v>0.25</v>
      </c>
      <c r="E633" s="382">
        <v>0.25</v>
      </c>
      <c r="F633" s="382">
        <v>0.25</v>
      </c>
      <c r="G633" t="s">
        <v>924</v>
      </c>
    </row>
    <row r="634" spans="2:7">
      <c r="B634" t="str">
        <f>nmPayer3</f>
        <v>Dragon Health</v>
      </c>
      <c r="C634" s="381">
        <f>1-SUM(C632:C633)</f>
        <v>0.25</v>
      </c>
      <c r="D634" s="381">
        <f>1-SUM(D632:D633)</f>
        <v>0.25</v>
      </c>
      <c r="E634" s="381">
        <f>1-SUM(E632:E633)</f>
        <v>0.25</v>
      </c>
      <c r="F634" s="381">
        <f>1-SUM(F632:F633)</f>
        <v>0.25</v>
      </c>
      <c r="G634" t="s">
        <v>925</v>
      </c>
    </row>
    <row r="636" spans="2:7">
      <c r="B636" s="4" t="s">
        <v>634</v>
      </c>
    </row>
    <row r="637" spans="2:7">
      <c r="B637" t="str">
        <f>nmPayer1</f>
        <v>Blue Sword/Blue Shield</v>
      </c>
      <c r="C637" s="380">
        <f>dataProd1Seg2Comp2TotalVolume*dataProd1Seg2Comp2Payer1Percentage</f>
        <v>434.57119999999998</v>
      </c>
      <c r="D637" s="380">
        <f>dataProd1Seg2Comp2TotalVolume*dataProd1Seg2Comp2Payer1Percentage</f>
        <v>434.57119999999998</v>
      </c>
      <c r="E637" s="380">
        <f>dataProd1Seg2Comp2TotalVolume*dataProd1Seg2Comp2Payer1Percentage</f>
        <v>456.29975999999999</v>
      </c>
      <c r="F637" s="380">
        <f>dataProd1Seg2Comp2TotalVolume*dataProd1Seg2Comp2Payer1Percentage</f>
        <v>501.92973599999993</v>
      </c>
      <c r="G637" t="s">
        <v>926</v>
      </c>
    </row>
    <row r="638" spans="2:7">
      <c r="B638" t="str">
        <f>nmPayer2</f>
        <v>WesterAid</v>
      </c>
      <c r="C638" s="380">
        <f>dataProd1Seg2Comp2TotalVolume*dataProd1Seg2Comp2Payer2Percentage</f>
        <v>217.28559999999999</v>
      </c>
      <c r="D638" s="380">
        <f>dataProd1Seg2Comp2TotalVolume*dataProd1Seg2Comp2Payer2Percentage</f>
        <v>217.28559999999999</v>
      </c>
      <c r="E638" s="380">
        <f>dataProd1Seg2Comp2TotalVolume*dataProd1Seg2Comp2Payer2Percentage</f>
        <v>228.14988</v>
      </c>
      <c r="F638" s="380">
        <f>dataProd1Seg2Comp2TotalVolume*dataProd1Seg2Comp2Payer2Percentage</f>
        <v>250.96486799999997</v>
      </c>
      <c r="G638" t="s">
        <v>927</v>
      </c>
    </row>
    <row r="639" spans="2:7">
      <c r="B639" t="str">
        <f>nmPayer3</f>
        <v>Dragon Health</v>
      </c>
      <c r="C639" s="380">
        <f>dataProd1Seg2Comp2TotalVolume*dataProd1Seg2Comp2Payer3Percentage</f>
        <v>217.28559999999999</v>
      </c>
      <c r="D639" s="380">
        <f>dataProd1Seg2Comp2TotalVolume*dataProd1Seg2Comp2Payer3Percentage</f>
        <v>217.28559999999999</v>
      </c>
      <c r="E639" s="380">
        <f>dataProd1Seg2Comp2TotalVolume*dataProd1Seg2Comp2Payer3Percentage</f>
        <v>228.14988</v>
      </c>
      <c r="F639" s="380">
        <f>dataProd1Seg2Comp2TotalVolume*dataProd1Seg2Comp2Payer3Percentage</f>
        <v>250.96486799999997</v>
      </c>
      <c r="G639" t="s">
        <v>928</v>
      </c>
    </row>
    <row r="641" spans="2:7">
      <c r="B641" s="376" t="str">
        <f>nmProd1Seg3</f>
        <v>Lordfrey City</v>
      </c>
      <c r="C641" s="377"/>
      <c r="D641" s="377"/>
      <c r="E641" s="377"/>
      <c r="F641" s="377"/>
    </row>
    <row r="642" spans="2:7" s="434" customFormat="1">
      <c r="B642" s="445" t="str">
        <f>nmComp1</f>
        <v>Vibrant</v>
      </c>
    </row>
    <row r="643" spans="2:7">
      <c r="B643" t="s">
        <v>779</v>
      </c>
      <c r="C643" s="380">
        <f>dataProd1Seg3TotalRecurCust*dataProd1Seg3Comp1TotalShare</f>
        <v>227.7</v>
      </c>
      <c r="D643" s="380">
        <f>dataProd1Seg3TotalRecurCust*dataProd1Seg3Comp1TotalShare</f>
        <v>228.14987999999997</v>
      </c>
      <c r="E643" s="380">
        <f>dataProd1Seg3TotalRecurCust*dataProd1Seg3Comp1TotalShare</f>
        <v>228.14987999999997</v>
      </c>
      <c r="F643" s="380">
        <f>dataProd1Seg3TotalRecurCust*dataProd1Seg3Comp1TotalShare</f>
        <v>244.12037159999997</v>
      </c>
      <c r="G643" t="s">
        <v>929</v>
      </c>
    </row>
    <row r="644" spans="2:7">
      <c r="B644" t="s">
        <v>779</v>
      </c>
      <c r="C644" s="380">
        <f>dataProd1Seg3TotalNewCust*dataProd1Seg3Comp1TotalShare</f>
        <v>5.1059999999999999</v>
      </c>
      <c r="D644" s="380">
        <f>dataProd1Seg3TotalNewCust*dataProd1Seg3Comp1TotalShare</f>
        <v>4.6561200000000005</v>
      </c>
      <c r="E644" s="380">
        <f>dataProd1Seg3TotalNewCust*dataProd1Seg3Comp1TotalShare</f>
        <v>20.952539999999999</v>
      </c>
      <c r="F644" s="380">
        <f>dataProd1Seg3TotalNewCust*dataProd1Seg3Comp1TotalShare</f>
        <v>22.419217799999995</v>
      </c>
      <c r="G644" t="s">
        <v>930</v>
      </c>
    </row>
    <row r="645" spans="2:7">
      <c r="B645" t="s">
        <v>13</v>
      </c>
      <c r="C645" s="380">
        <f>dataProd1Seg3Comp1RecurCust+dataProd1Seg3Comp1NewCust</f>
        <v>232.80599999999998</v>
      </c>
      <c r="D645" s="380">
        <f>dataProd1Seg3Comp1RecurCust+dataProd1Seg3Comp1NewCust</f>
        <v>232.80599999999995</v>
      </c>
      <c r="E645" s="380">
        <f>dataProd1Seg3Comp1RecurCust+dataProd1Seg3Comp1NewCust</f>
        <v>249.10241999999997</v>
      </c>
      <c r="F645" s="380">
        <f>dataProd1Seg3Comp1RecurCust+dataProd1Seg3Comp1NewCust</f>
        <v>266.53958939999995</v>
      </c>
      <c r="G645" t="s">
        <v>931</v>
      </c>
    </row>
    <row r="646" spans="2:7">
      <c r="C646" s="380"/>
      <c r="D646" s="387"/>
      <c r="E646" s="387"/>
      <c r="F646" s="387"/>
    </row>
    <row r="647" spans="2:7">
      <c r="B647" s="4" t="s">
        <v>631</v>
      </c>
      <c r="C647" s="380"/>
      <c r="D647" s="380"/>
      <c r="E647" s="380"/>
      <c r="F647" s="380"/>
    </row>
    <row r="648" spans="2:7">
      <c r="B648" t="str">
        <f>nmPayer1</f>
        <v>Blue Sword/Blue Shield</v>
      </c>
      <c r="C648" s="382">
        <v>0.5</v>
      </c>
      <c r="D648" s="382">
        <v>0.5</v>
      </c>
      <c r="E648" s="382">
        <v>0.5</v>
      </c>
      <c r="F648" s="382">
        <v>0.5</v>
      </c>
      <c r="G648" t="s">
        <v>932</v>
      </c>
    </row>
    <row r="649" spans="2:7">
      <c r="B649" t="str">
        <f>nmPayer2</f>
        <v>WesterAid</v>
      </c>
      <c r="C649" s="382">
        <v>0.25</v>
      </c>
      <c r="D649" s="382">
        <v>0.25</v>
      </c>
      <c r="E649" s="382">
        <v>0.25</v>
      </c>
      <c r="F649" s="382">
        <v>0.25</v>
      </c>
      <c r="G649" t="s">
        <v>933</v>
      </c>
    </row>
    <row r="650" spans="2:7">
      <c r="B650" t="str">
        <f>nmPayer3</f>
        <v>Dragon Health</v>
      </c>
      <c r="C650" s="381">
        <f>1-SUM(C648:C649)</f>
        <v>0.25</v>
      </c>
      <c r="D650" s="381">
        <f>1-SUM(D648:D649)</f>
        <v>0.25</v>
      </c>
      <c r="E650" s="381">
        <f>1-SUM(E648:E649)</f>
        <v>0.25</v>
      </c>
      <c r="F650" s="381">
        <f>1-SUM(F648:F649)</f>
        <v>0.25</v>
      </c>
      <c r="G650" t="s">
        <v>934</v>
      </c>
    </row>
    <row r="652" spans="2:7">
      <c r="B652" s="4" t="s">
        <v>634</v>
      </c>
    </row>
    <row r="653" spans="2:7">
      <c r="B653" t="str">
        <f>nmPayer1</f>
        <v>Blue Sword/Blue Shield</v>
      </c>
      <c r="C653" s="380">
        <f>dataProd1Seg3Comp1TotalVolume*dataProd1Seg3Comp1Payer1Percentage</f>
        <v>116.40299999999999</v>
      </c>
      <c r="D653" s="380">
        <f>dataProd1Seg3Comp1TotalVolume*dataProd1Seg3Comp1Payer1Percentage</f>
        <v>116.40299999999998</v>
      </c>
      <c r="E653" s="380">
        <f>dataProd1Seg3Comp1TotalVolume*dataProd1Seg3Comp1Payer1Percentage</f>
        <v>124.55120999999998</v>
      </c>
      <c r="F653" s="380">
        <f>dataProd1Seg3Comp1TotalVolume*dataProd1Seg3Comp1Payer1Percentage</f>
        <v>133.26979469999998</v>
      </c>
      <c r="G653" t="s">
        <v>935</v>
      </c>
    </row>
    <row r="654" spans="2:7">
      <c r="B654" t="str">
        <f>nmPayer2</f>
        <v>WesterAid</v>
      </c>
      <c r="C654" s="380">
        <f>dataProd1Seg3Comp1TotalVolume*dataProd1Seg3Comp1Payer2Percentage</f>
        <v>58.201499999999996</v>
      </c>
      <c r="D654" s="380">
        <f>dataProd1Seg3Comp1TotalVolume*dataProd1Seg3Comp1Payer2Percentage</f>
        <v>58.201499999999989</v>
      </c>
      <c r="E654" s="380">
        <f>dataProd1Seg3Comp1TotalVolume*dataProd1Seg3Comp1Payer2Percentage</f>
        <v>62.275604999999992</v>
      </c>
      <c r="F654" s="380">
        <f>dataProd1Seg3Comp1TotalVolume*dataProd1Seg3Comp1Payer2Percentage</f>
        <v>66.634897349999989</v>
      </c>
      <c r="G654" t="s">
        <v>936</v>
      </c>
    </row>
    <row r="655" spans="2:7">
      <c r="B655" t="str">
        <f>nmPayer3</f>
        <v>Dragon Health</v>
      </c>
      <c r="C655" s="380">
        <f>dataProd1Seg3Comp1TotalVolume*dataProd1Seg3Comp1Payer3Percentage</f>
        <v>58.201499999999996</v>
      </c>
      <c r="D655" s="380">
        <f>dataProd1Seg3Comp1TotalVolume*dataProd1Seg3Comp1Payer3Percentage</f>
        <v>58.201499999999989</v>
      </c>
      <c r="E655" s="380">
        <f>dataProd1Seg3Comp1TotalVolume*dataProd1Seg3Comp1Payer3Percentage</f>
        <v>62.275604999999992</v>
      </c>
      <c r="F655" s="380">
        <f>dataProd1Seg3Comp1TotalVolume*dataProd1Seg3Comp1Payer3Percentage</f>
        <v>66.634897349999989</v>
      </c>
      <c r="G655" t="s">
        <v>937</v>
      </c>
    </row>
    <row r="657" spans="2:7" s="434" customFormat="1">
      <c r="B657" s="445" t="str">
        <f>nmComp2</f>
        <v>Pristine</v>
      </c>
    </row>
    <row r="658" spans="2:7">
      <c r="B658" t="s">
        <v>779</v>
      </c>
      <c r="C658" s="380">
        <f>dataProd1Seg3TotalRecurCust*dataProd1Seg3Comp2TotalShare</f>
        <v>607.20000000000005</v>
      </c>
      <c r="D658" s="380">
        <f>dataProd1Seg3TotalRecurCust*dataProd1Seg3Comp2TotalShare</f>
        <v>608.39967999999999</v>
      </c>
      <c r="E658" s="380">
        <f>dataProd1Seg3TotalRecurCust*dataProd1Seg3Comp2TotalShare</f>
        <v>608.39967999999999</v>
      </c>
      <c r="F658" s="380">
        <f>dataProd1Seg3TotalRecurCust*dataProd1Seg3Comp2TotalShare</f>
        <v>650.98765759999992</v>
      </c>
      <c r="G658" t="s">
        <v>938</v>
      </c>
    </row>
    <row r="659" spans="2:7">
      <c r="B659" t="s">
        <v>779</v>
      </c>
      <c r="C659" s="380">
        <f>dataProd1Seg3TotalNewCust*dataProd1Seg3Comp2TotalShare</f>
        <v>13.616</v>
      </c>
      <c r="D659" s="380">
        <f>dataProd1Seg3TotalNewCust*dataProd1Seg3Comp2TotalShare</f>
        <v>12.416320000000001</v>
      </c>
      <c r="E659" s="380">
        <f>dataProd1Seg3TotalNewCust*dataProd1Seg3Comp2TotalShare</f>
        <v>55.873439999999995</v>
      </c>
      <c r="F659" s="380">
        <f>dataProd1Seg3TotalNewCust*dataProd1Seg3Comp2TotalShare</f>
        <v>59.784580799999986</v>
      </c>
      <c r="G659" t="s">
        <v>939</v>
      </c>
    </row>
    <row r="660" spans="2:7">
      <c r="B660" t="s">
        <v>13</v>
      </c>
      <c r="C660" s="380">
        <f>dataProd1Seg3Comp2RecurCust+dataProd1Seg3Comp2NewCust</f>
        <v>620.81600000000003</v>
      </c>
      <c r="D660" s="380">
        <f>dataProd1Seg3Comp2RecurCust+dataProd1Seg3Comp2NewCust</f>
        <v>620.81600000000003</v>
      </c>
      <c r="E660" s="380">
        <f>dataProd1Seg3Comp2RecurCust+dataProd1Seg3Comp2NewCust</f>
        <v>664.27311999999995</v>
      </c>
      <c r="F660" s="380">
        <f>dataProd1Seg3Comp2RecurCust+dataProd1Seg3Comp2NewCust</f>
        <v>710.77223839999988</v>
      </c>
      <c r="G660" t="s">
        <v>940</v>
      </c>
    </row>
    <row r="661" spans="2:7">
      <c r="C661" s="380"/>
      <c r="D661" s="387"/>
      <c r="E661" s="387"/>
      <c r="F661" s="387"/>
    </row>
    <row r="662" spans="2:7">
      <c r="B662" s="4" t="s">
        <v>631</v>
      </c>
      <c r="C662" s="380"/>
      <c r="D662" s="380"/>
      <c r="E662" s="380"/>
      <c r="F662" s="380"/>
    </row>
    <row r="663" spans="2:7">
      <c r="B663" t="str">
        <f>nmPayer1</f>
        <v>Blue Sword/Blue Shield</v>
      </c>
      <c r="C663" s="382">
        <v>0.5</v>
      </c>
      <c r="D663" s="382">
        <v>0.5</v>
      </c>
      <c r="E663" s="382">
        <v>0.5</v>
      </c>
      <c r="F663" s="382">
        <v>0.5</v>
      </c>
      <c r="G663" t="s">
        <v>941</v>
      </c>
    </row>
    <row r="664" spans="2:7">
      <c r="B664" t="str">
        <f>nmPayer2</f>
        <v>WesterAid</v>
      </c>
      <c r="C664" s="382">
        <v>0.25</v>
      </c>
      <c r="D664" s="382">
        <v>0.25</v>
      </c>
      <c r="E664" s="382">
        <v>0.25</v>
      </c>
      <c r="F664" s="382">
        <v>0.25</v>
      </c>
      <c r="G664" t="s">
        <v>942</v>
      </c>
    </row>
    <row r="665" spans="2:7">
      <c r="B665" t="str">
        <f>nmPayer3</f>
        <v>Dragon Health</v>
      </c>
      <c r="C665" s="381">
        <f>1-SUM(C663:C664)</f>
        <v>0.25</v>
      </c>
      <c r="D665" s="381">
        <f>1-SUM(D663:D664)</f>
        <v>0.25</v>
      </c>
      <c r="E665" s="381">
        <f>1-SUM(E663:E664)</f>
        <v>0.25</v>
      </c>
      <c r="F665" s="381">
        <f>1-SUM(F663:F664)</f>
        <v>0.25</v>
      </c>
      <c r="G665" t="s">
        <v>943</v>
      </c>
    </row>
    <row r="667" spans="2:7">
      <c r="B667" s="4" t="s">
        <v>634</v>
      </c>
    </row>
    <row r="668" spans="2:7">
      <c r="B668" t="str">
        <f>nmPayer1</f>
        <v>Blue Sword/Blue Shield</v>
      </c>
      <c r="C668" s="380">
        <f>dataProd1Seg3Comp2TotalVolume*dataProd1Seg3Comp2Payer1Percentage</f>
        <v>310.40800000000002</v>
      </c>
      <c r="D668" s="380">
        <f>dataProd1Seg3Comp2TotalVolume*dataProd1Seg3Comp2Payer1Percentage</f>
        <v>310.40800000000002</v>
      </c>
      <c r="E668" s="380">
        <f>dataProd1Seg3Comp2TotalVolume*dataProd1Seg3Comp2Payer1Percentage</f>
        <v>332.13655999999997</v>
      </c>
      <c r="F668" s="380">
        <f>dataProd1Seg3Comp2TotalVolume*dataProd1Seg3Comp2Payer1Percentage</f>
        <v>355.38611919999994</v>
      </c>
      <c r="G668" t="s">
        <v>944</v>
      </c>
    </row>
    <row r="669" spans="2:7">
      <c r="B669" t="str">
        <f>nmPayer2</f>
        <v>WesterAid</v>
      </c>
      <c r="C669" s="380">
        <f>dataProd1Seg3Comp2TotalVolume*dataProd1Seg3Comp2Payer2Percentage</f>
        <v>155.20400000000001</v>
      </c>
      <c r="D669" s="380">
        <f>dataProd1Seg3Comp2TotalVolume*dataProd1Seg3Comp2Payer2Percentage</f>
        <v>155.20400000000001</v>
      </c>
      <c r="E669" s="380">
        <f>dataProd1Seg3Comp2TotalVolume*dataProd1Seg3Comp2Payer2Percentage</f>
        <v>166.06827999999999</v>
      </c>
      <c r="F669" s="380">
        <f>dataProd1Seg3Comp2TotalVolume*dataProd1Seg3Comp2Payer2Percentage</f>
        <v>177.69305959999997</v>
      </c>
      <c r="G669" t="s">
        <v>945</v>
      </c>
    </row>
    <row r="670" spans="2:7">
      <c r="B670" t="str">
        <f>nmPayer3</f>
        <v>Dragon Health</v>
      </c>
      <c r="C670" s="380">
        <f>dataProd1Seg3Comp2TotalVolume*dataProd1Seg3Comp2Payer3Percentage</f>
        <v>155.20400000000001</v>
      </c>
      <c r="D670" s="380">
        <f>dataProd1Seg3Comp2TotalVolume*dataProd1Seg3Comp2Payer3Percentage</f>
        <v>155.20400000000001</v>
      </c>
      <c r="E670" s="380">
        <f>dataProd1Seg3Comp2TotalVolume*dataProd1Seg3Comp2Payer3Percentage</f>
        <v>166.06827999999999</v>
      </c>
      <c r="F670" s="380">
        <f>dataProd1Seg3Comp2TotalVolume*dataProd1Seg3Comp2Payer3Percentage</f>
        <v>177.69305959999997</v>
      </c>
      <c r="G670" t="s">
        <v>946</v>
      </c>
    </row>
    <row r="672" spans="2:7">
      <c r="B672" s="4" t="s">
        <v>1095</v>
      </c>
    </row>
    <row r="673" spans="2:7">
      <c r="B673" s="4" t="str">
        <f>nmProd1Seg1</f>
        <v>Riverrun Central</v>
      </c>
      <c r="C673" t="s">
        <v>677</v>
      </c>
    </row>
    <row r="674" spans="2:7">
      <c r="B674" t="str">
        <f>nmPayer1</f>
        <v>Blue Sword/Blue Shield</v>
      </c>
      <c r="C674" s="432">
        <v>0.33</v>
      </c>
      <c r="D674" s="432">
        <v>0.33</v>
      </c>
      <c r="E674" s="432">
        <v>0.33</v>
      </c>
      <c r="F674" s="432">
        <v>0.33</v>
      </c>
      <c r="G674" t="s">
        <v>2825</v>
      </c>
    </row>
    <row r="675" spans="2:7">
      <c r="B675" t="str">
        <f>nmPayer2</f>
        <v>WesterAid</v>
      </c>
      <c r="C675" s="432">
        <v>0.2</v>
      </c>
      <c r="D675" s="432">
        <v>0.2</v>
      </c>
      <c r="E675" s="432">
        <v>0.2</v>
      </c>
      <c r="F675" s="432">
        <v>0.2</v>
      </c>
      <c r="G675" t="s">
        <v>2826</v>
      </c>
    </row>
    <row r="676" spans="2:7">
      <c r="B676" t="str">
        <f>nmPayer3</f>
        <v>Dragon Health</v>
      </c>
      <c r="C676" s="432">
        <v>0.22</v>
      </c>
      <c r="D676" s="432">
        <v>0.22</v>
      </c>
      <c r="E676" s="432">
        <v>0.22</v>
      </c>
      <c r="F676" s="432">
        <v>0.22</v>
      </c>
      <c r="G676" t="s">
        <v>2827</v>
      </c>
    </row>
    <row r="677" spans="2:7">
      <c r="B677" t="s">
        <v>157</v>
      </c>
      <c r="C677" s="387">
        <f>1-SUM(C674:C676)</f>
        <v>0.25</v>
      </c>
      <c r="D677" s="387">
        <f t="shared" ref="D677:F677" si="13">1-SUM(D674:D676)</f>
        <v>0.25</v>
      </c>
      <c r="E677" s="387">
        <f t="shared" si="13"/>
        <v>0.25</v>
      </c>
      <c r="F677" s="387">
        <f t="shared" si="13"/>
        <v>0.25</v>
      </c>
    </row>
    <row r="678" spans="2:7">
      <c r="B678" s="4" t="str">
        <f>nmProd1Seg2</f>
        <v>Tullyville</v>
      </c>
      <c r="C678" t="s">
        <v>677</v>
      </c>
    </row>
    <row r="679" spans="2:7">
      <c r="B679" t="str">
        <f>nmPayer1</f>
        <v>Blue Sword/Blue Shield</v>
      </c>
      <c r="C679" s="432">
        <v>0.28000000000000003</v>
      </c>
      <c r="D679" s="432">
        <v>0.28000000000000003</v>
      </c>
      <c r="E679" s="432">
        <v>0.28000000000000003</v>
      </c>
      <c r="F679" s="432">
        <v>0.28000000000000003</v>
      </c>
      <c r="G679" t="s">
        <v>2828</v>
      </c>
    </row>
    <row r="680" spans="2:7">
      <c r="B680" t="str">
        <f>nmPayer2</f>
        <v>WesterAid</v>
      </c>
      <c r="C680" s="432">
        <v>0.09</v>
      </c>
      <c r="D680" s="432">
        <v>0.09</v>
      </c>
      <c r="E680" s="432">
        <v>0.09</v>
      </c>
      <c r="F680" s="432">
        <v>0.09</v>
      </c>
      <c r="G680" t="s">
        <v>2829</v>
      </c>
    </row>
    <row r="681" spans="2:7">
      <c r="B681" t="str">
        <f>nmPayer3</f>
        <v>Dragon Health</v>
      </c>
      <c r="C681" s="432">
        <v>0.35</v>
      </c>
      <c r="D681" s="432">
        <v>0.35</v>
      </c>
      <c r="E681" s="432">
        <v>0.35</v>
      </c>
      <c r="F681" s="432">
        <v>0.35</v>
      </c>
      <c r="G681" t="s">
        <v>2830</v>
      </c>
    </row>
    <row r="682" spans="2:7">
      <c r="B682" t="s">
        <v>157</v>
      </c>
      <c r="C682" s="387">
        <f>1-SUM(C679:C681)</f>
        <v>0.28000000000000003</v>
      </c>
      <c r="D682" s="387">
        <f t="shared" ref="D682" si="14">1-SUM(D679:D681)</f>
        <v>0.28000000000000003</v>
      </c>
      <c r="E682" s="387">
        <f t="shared" ref="E682" si="15">1-SUM(E679:E681)</f>
        <v>0.28000000000000003</v>
      </c>
      <c r="F682" s="387">
        <f t="shared" ref="F682" si="16">1-SUM(F679:F681)</f>
        <v>0.28000000000000003</v>
      </c>
    </row>
    <row r="683" spans="2:7">
      <c r="B683" s="4" t="str">
        <f>nmProd1Seg3</f>
        <v>Lordfrey City</v>
      </c>
      <c r="C683" t="s">
        <v>677</v>
      </c>
    </row>
    <row r="684" spans="2:7">
      <c r="B684" t="str">
        <f>nmPayer1</f>
        <v>Blue Sword/Blue Shield</v>
      </c>
      <c r="C684" s="432">
        <v>0.25</v>
      </c>
      <c r="D684" s="432">
        <v>0.25</v>
      </c>
      <c r="E684" s="432">
        <v>0.25</v>
      </c>
      <c r="F684" s="432">
        <v>0.25</v>
      </c>
      <c r="G684" t="s">
        <v>2831</v>
      </c>
    </row>
    <row r="685" spans="2:7">
      <c r="B685" t="str">
        <f>nmPayer2</f>
        <v>WesterAid</v>
      </c>
      <c r="C685" s="432">
        <v>0.33</v>
      </c>
      <c r="D685" s="432">
        <v>0.33</v>
      </c>
      <c r="E685" s="432">
        <v>0.35</v>
      </c>
      <c r="F685" s="432">
        <v>0.37</v>
      </c>
      <c r="G685" t="s">
        <v>2832</v>
      </c>
    </row>
    <row r="686" spans="2:7">
      <c r="B686" t="str">
        <f>nmPayer3</f>
        <v>Dragon Health</v>
      </c>
      <c r="C686" s="432">
        <v>0.19</v>
      </c>
      <c r="D686" s="432">
        <v>0.19</v>
      </c>
      <c r="E686" s="432">
        <v>0.22</v>
      </c>
      <c r="F686" s="432">
        <v>0.22</v>
      </c>
      <c r="G686" t="s">
        <v>2833</v>
      </c>
    </row>
    <row r="687" spans="2:7">
      <c r="B687" t="s">
        <v>157</v>
      </c>
      <c r="C687" s="387">
        <f>1-SUM(C684:C686)</f>
        <v>0.22999999999999998</v>
      </c>
      <c r="D687" s="387">
        <f t="shared" ref="D687" si="17">1-SUM(D684:D686)</f>
        <v>0.22999999999999998</v>
      </c>
      <c r="E687" s="387">
        <f t="shared" ref="E687" si="18">1-SUM(E684:E686)</f>
        <v>0.18000000000000005</v>
      </c>
      <c r="F687" s="387">
        <f t="shared" ref="F687" si="19">1-SUM(F684:F686)</f>
        <v>0.16000000000000003</v>
      </c>
    </row>
    <row r="688" spans="2:7">
      <c r="B688" s="4" t="s">
        <v>2844</v>
      </c>
    </row>
    <row r="689" spans="2:7">
      <c r="B689" s="4" t="str">
        <f>nmProd1Seg1</f>
        <v>Riverrun Central</v>
      </c>
      <c r="C689" t="s">
        <v>677</v>
      </c>
    </row>
    <row r="690" spans="2:7">
      <c r="B690" t="str">
        <f>nmPayer1</f>
        <v>Blue Sword/Blue Shield</v>
      </c>
      <c r="C690" s="432">
        <v>0.33</v>
      </c>
      <c r="D690" s="432">
        <v>0.33</v>
      </c>
      <c r="E690" s="432">
        <v>0.33</v>
      </c>
      <c r="F690" s="432">
        <v>0.33</v>
      </c>
      <c r="G690" t="s">
        <v>2845</v>
      </c>
    </row>
    <row r="691" spans="2:7">
      <c r="B691" t="str">
        <f>nmPayer2</f>
        <v>WesterAid</v>
      </c>
      <c r="C691" s="432">
        <v>0.2</v>
      </c>
      <c r="D691" s="432">
        <v>0.2</v>
      </c>
      <c r="E691" s="432">
        <v>0.2</v>
      </c>
      <c r="F691" s="432">
        <v>0.2</v>
      </c>
      <c r="G691" t="s">
        <v>2846</v>
      </c>
    </row>
    <row r="692" spans="2:7">
      <c r="B692" t="str">
        <f>nmPayer3</f>
        <v>Dragon Health</v>
      </c>
      <c r="C692" s="432">
        <v>0.22</v>
      </c>
      <c r="D692" s="432">
        <v>0.22</v>
      </c>
      <c r="E692" s="432">
        <v>0.22</v>
      </c>
      <c r="F692" s="432">
        <v>0.22</v>
      </c>
      <c r="G692" t="s">
        <v>2847</v>
      </c>
    </row>
    <row r="693" spans="2:7">
      <c r="B693" t="s">
        <v>157</v>
      </c>
      <c r="C693" s="387">
        <f>1-SUM(C690:C692)</f>
        <v>0.25</v>
      </c>
      <c r="D693" s="387">
        <f t="shared" ref="D693:F693" si="20">1-SUM(D690:D692)</f>
        <v>0.25</v>
      </c>
      <c r="E693" s="387">
        <f t="shared" si="20"/>
        <v>0.25</v>
      </c>
      <c r="F693" s="387">
        <f t="shared" si="20"/>
        <v>0.25</v>
      </c>
    </row>
    <row r="694" spans="2:7">
      <c r="B694" s="4" t="str">
        <f>nmProd1Seg2</f>
        <v>Tullyville</v>
      </c>
      <c r="C694" t="s">
        <v>677</v>
      </c>
    </row>
    <row r="695" spans="2:7">
      <c r="B695" t="str">
        <f>nmPayer1</f>
        <v>Blue Sword/Blue Shield</v>
      </c>
      <c r="C695" s="432">
        <v>0.28000000000000003</v>
      </c>
      <c r="D695" s="432">
        <v>0.28000000000000003</v>
      </c>
      <c r="E695" s="432">
        <v>0.28000000000000003</v>
      </c>
      <c r="F695" s="432">
        <v>0.28000000000000003</v>
      </c>
      <c r="G695" t="s">
        <v>2848</v>
      </c>
    </row>
    <row r="696" spans="2:7">
      <c r="B696" t="str">
        <f>nmPayer2</f>
        <v>WesterAid</v>
      </c>
      <c r="C696" s="432">
        <v>0.09</v>
      </c>
      <c r="D696" s="432">
        <v>0.09</v>
      </c>
      <c r="E696" s="432">
        <v>0.09</v>
      </c>
      <c r="F696" s="432">
        <v>0.09</v>
      </c>
      <c r="G696" t="s">
        <v>2849</v>
      </c>
    </row>
    <row r="697" spans="2:7">
      <c r="B697" t="str">
        <f>nmPayer3</f>
        <v>Dragon Health</v>
      </c>
      <c r="C697" s="432">
        <v>0.35</v>
      </c>
      <c r="D697" s="432">
        <v>0.35</v>
      </c>
      <c r="E697" s="432">
        <v>0.35</v>
      </c>
      <c r="F697" s="432">
        <v>0.35</v>
      </c>
      <c r="G697" t="s">
        <v>2850</v>
      </c>
    </row>
    <row r="698" spans="2:7">
      <c r="B698" t="s">
        <v>157</v>
      </c>
      <c r="C698" s="387">
        <f>1-SUM(C695:C697)</f>
        <v>0.28000000000000003</v>
      </c>
      <c r="D698" s="387">
        <f t="shared" ref="D698:F698" si="21">1-SUM(D695:D697)</f>
        <v>0.28000000000000003</v>
      </c>
      <c r="E698" s="387">
        <f t="shared" si="21"/>
        <v>0.28000000000000003</v>
      </c>
      <c r="F698" s="387">
        <f t="shared" si="21"/>
        <v>0.28000000000000003</v>
      </c>
    </row>
    <row r="699" spans="2:7">
      <c r="B699" s="4" t="str">
        <f>nmProd1Seg3</f>
        <v>Lordfrey City</v>
      </c>
      <c r="C699" t="s">
        <v>677</v>
      </c>
    </row>
    <row r="700" spans="2:7">
      <c r="B700" t="str">
        <f>nmPayer1</f>
        <v>Blue Sword/Blue Shield</v>
      </c>
      <c r="C700" s="432">
        <v>0.25</v>
      </c>
      <c r="D700" s="432">
        <v>0.25</v>
      </c>
      <c r="E700" s="432">
        <v>0.25</v>
      </c>
      <c r="F700" s="432">
        <v>0.25</v>
      </c>
      <c r="G700" t="s">
        <v>2851</v>
      </c>
    </row>
    <row r="701" spans="2:7">
      <c r="B701" t="str">
        <f>nmPayer2</f>
        <v>WesterAid</v>
      </c>
      <c r="C701" s="432">
        <v>0.33</v>
      </c>
      <c r="D701" s="432">
        <v>0.33</v>
      </c>
      <c r="E701" s="432">
        <v>0.33</v>
      </c>
      <c r="F701" s="432">
        <v>0.33</v>
      </c>
      <c r="G701" t="s">
        <v>2852</v>
      </c>
    </row>
    <row r="702" spans="2:7">
      <c r="B702" t="str">
        <f>nmPayer3</f>
        <v>Dragon Health</v>
      </c>
      <c r="C702" s="432">
        <v>0.19</v>
      </c>
      <c r="D702" s="432">
        <v>0.19</v>
      </c>
      <c r="E702" s="432">
        <v>0.19</v>
      </c>
      <c r="F702" s="432">
        <v>0.19</v>
      </c>
      <c r="G702" t="s">
        <v>2853</v>
      </c>
    </row>
    <row r="703" spans="2:7">
      <c r="B703" t="s">
        <v>157</v>
      </c>
      <c r="C703" s="387">
        <f>1-SUM(C700:C702)</f>
        <v>0.22999999999999998</v>
      </c>
      <c r="D703" s="387">
        <f t="shared" ref="D703:F703" si="22">1-SUM(D700:D702)</f>
        <v>0.22999999999999998</v>
      </c>
      <c r="E703" s="387">
        <f t="shared" si="22"/>
        <v>0.22999999999999998</v>
      </c>
      <c r="F703" s="387">
        <f t="shared" si="22"/>
        <v>0.22999999999999998</v>
      </c>
    </row>
    <row r="706" spans="2:7">
      <c r="B706" s="4" t="str">
        <f>nmPayer1</f>
        <v>Blue Sword/Blue Shield</v>
      </c>
    </row>
    <row r="707" spans="2:7">
      <c r="B707" t="str">
        <f>nmProd1Seg1</f>
        <v>Riverrun Central</v>
      </c>
      <c r="C707" s="380">
        <f>dataProd1Seg1TotalMarket*dataProd1Seg1Payer1TotalVolPerc</f>
        <v>17814.72</v>
      </c>
      <c r="D707" s="380">
        <f>dataProd1Seg1TotalMarket*dataProd1Seg1Payer1TotalVolPerc</f>
        <v>17814.72</v>
      </c>
      <c r="E707" s="380">
        <f>dataProd1Seg1TotalMarket*dataProd1Seg1Payer1TotalVolPerc</f>
        <v>19239.8976</v>
      </c>
      <c r="F707" s="380">
        <f>dataProd1Seg1TotalMarket*dataProd1Seg1Payer1TotalVolPerc</f>
        <v>21741.084288000002</v>
      </c>
      <c r="G707" t="s">
        <v>1096</v>
      </c>
    </row>
    <row r="708" spans="2:7">
      <c r="B708" t="str">
        <f>nmProd1Seg2</f>
        <v>Tullyville</v>
      </c>
      <c r="C708" s="380">
        <f>dataProd1Seg2TotalMarket*dataProd1Seg2Payer1TotalVolPerc</f>
        <v>13226.080000000002</v>
      </c>
      <c r="D708" s="380">
        <f>dataProd1Seg2TotalMarket*dataProd1Seg2Payer1TotalVolPerc</f>
        <v>13226.080000000002</v>
      </c>
      <c r="E708" s="380">
        <f>dataProd1Seg2TotalMarket*dataProd1Seg2Payer1TotalVolPerc</f>
        <v>13887.384</v>
      </c>
      <c r="F708" s="380">
        <f>dataProd1Seg2TotalMarket*dataProd1Seg2Payer1TotalVolPerc</f>
        <v>15276.1224</v>
      </c>
      <c r="G708" t="s">
        <v>1097</v>
      </c>
    </row>
    <row r="709" spans="2:7">
      <c r="B709" t="str">
        <f>nmProd1Seg3</f>
        <v>Lordfrey City</v>
      </c>
      <c r="C709" s="380">
        <f>dataProd1Seg3TotalMarket*dataProd1Seg3Payer1TotalVolPerc</f>
        <v>8435</v>
      </c>
      <c r="D709" s="380">
        <f>dataProd1Seg3TotalMarket*dataProd1Seg3Payer1TotalVolPerc</f>
        <v>8435</v>
      </c>
      <c r="E709" s="380">
        <f>dataProd1Seg3TotalMarket*dataProd1Seg3Payer1TotalVolPerc</f>
        <v>9025.4499999999989</v>
      </c>
      <c r="F709" s="380">
        <f>dataProd1Seg3TotalMarket*dataProd1Seg3Payer1TotalVolPerc</f>
        <v>9657.2314999999981</v>
      </c>
      <c r="G709" t="s">
        <v>1098</v>
      </c>
    </row>
    <row r="710" spans="2:7" s="457" customFormat="1">
      <c r="B710" s="457" t="s">
        <v>1095</v>
      </c>
      <c r="C710" s="457">
        <f>dataProd1Seg1Payer1TotalVolume+dataProd1Seg2Payer1TotalVolume+dataProd1Seg3Payer1TotalVolume</f>
        <v>39475.800000000003</v>
      </c>
      <c r="D710" s="457">
        <f>dataProd1Seg1Payer1TotalVolume+dataProd1Seg2Payer1TotalVolume+dataProd1Seg3Payer1TotalVolume</f>
        <v>39475.800000000003</v>
      </c>
      <c r="E710" s="457">
        <f>dataProd1Seg1Payer1TotalVolume+dataProd1Seg2Payer1TotalVolume+dataProd1Seg3Payer1TotalVolume</f>
        <v>42152.731599999999</v>
      </c>
      <c r="F710" s="457">
        <f>dataProd1Seg1Payer1TotalVolume+dataProd1Seg2Payer1TotalVolume+dataProd1Seg3Payer1TotalVolume</f>
        <v>46674.438188</v>
      </c>
      <c r="G710" s="457" t="s">
        <v>1105</v>
      </c>
    </row>
    <row r="711" spans="2:7">
      <c r="B711" s="4" t="str">
        <f>nmPayer2</f>
        <v>WesterAid</v>
      </c>
    </row>
    <row r="712" spans="2:7">
      <c r="B712" t="str">
        <f>nmProd1Seg1</f>
        <v>Riverrun Central</v>
      </c>
      <c r="C712" s="380">
        <f>dataProd1Seg1TotalMarket*dataProd1Seg1Payer2TotalVolPerc</f>
        <v>10796.800000000001</v>
      </c>
      <c r="D712" s="380">
        <f>dataProd1Seg1TotalMarket*dataProd1Seg1Payer2TotalVolPerc</f>
        <v>10796.800000000001</v>
      </c>
      <c r="E712" s="380">
        <f>dataProd1Seg1TotalMarket*dataProd1Seg1Payer2TotalVolPerc</f>
        <v>11660.544000000002</v>
      </c>
      <c r="F712" s="380">
        <f>dataProd1Seg1TotalMarket*dataProd1Seg1Payer2TotalVolPerc</f>
        <v>13176.414720000001</v>
      </c>
      <c r="G712" t="s">
        <v>1099</v>
      </c>
    </row>
    <row r="713" spans="2:7">
      <c r="B713" t="str">
        <f>nmProd1Seg2</f>
        <v>Tullyville</v>
      </c>
      <c r="C713" s="380">
        <f>dataProd1Seg2TotalMarket*dataProd1Seg2Payer2TotalVolPerc</f>
        <v>4251.24</v>
      </c>
      <c r="D713" s="380">
        <f>dataProd1Seg2TotalMarket*dataProd1Seg2Payer2TotalVolPerc</f>
        <v>4251.24</v>
      </c>
      <c r="E713" s="380">
        <f>dataProd1Seg2TotalMarket*dataProd1Seg2Payer2TotalVolPerc</f>
        <v>4463.8019999999997</v>
      </c>
      <c r="F713" s="380">
        <f>dataProd1Seg2TotalMarket*dataProd1Seg2Payer2TotalVolPerc</f>
        <v>4910.1821999999993</v>
      </c>
      <c r="G713" t="s">
        <v>1100</v>
      </c>
    </row>
    <row r="714" spans="2:7">
      <c r="B714" t="str">
        <f>nmProd1Seg3</f>
        <v>Lordfrey City</v>
      </c>
      <c r="C714" s="380">
        <f>dataProd1Seg3TotalMarket*dataProd1Seg3Payer2TotalVolPerc</f>
        <v>11134.2</v>
      </c>
      <c r="D714" s="380">
        <f>dataProd1Seg3TotalMarket*dataProd1Seg3Payer2TotalVolPerc</f>
        <v>11134.2</v>
      </c>
      <c r="E714" s="380">
        <f>dataProd1Seg3TotalMarket*dataProd1Seg3Payer2TotalVolPerc</f>
        <v>12635.629999999997</v>
      </c>
      <c r="F714" s="380">
        <f>dataProd1Seg3TotalMarket*dataProd1Seg3Payer2TotalVolPerc</f>
        <v>14292.702619999996</v>
      </c>
      <c r="G714" t="s">
        <v>1101</v>
      </c>
    </row>
    <row r="715" spans="2:7" s="457" customFormat="1">
      <c r="B715" s="457" t="s">
        <v>1095</v>
      </c>
      <c r="C715" s="457">
        <f>dataProd1Seg1Payer2TotalVolume+dataProd1Seg2Payer2TotalVolume+dataProd1Seg3Payer2TotalVolume</f>
        <v>26182.240000000002</v>
      </c>
      <c r="D715" s="457">
        <f>dataProd1Seg1Payer2TotalVolume+dataProd1Seg2Payer2TotalVolume+dataProd1Seg3Payer2TotalVolume</f>
        <v>26182.240000000002</v>
      </c>
      <c r="E715" s="457">
        <f>dataProd1Seg1Payer2TotalVolume+dataProd1Seg2Payer2TotalVolume+dataProd1Seg3Payer2TotalVolume</f>
        <v>28759.975999999999</v>
      </c>
      <c r="F715" s="457">
        <f>dataProd1Seg1Payer2TotalVolume+dataProd1Seg2Payer2TotalVolume+dataProd1Seg3Payer2TotalVolume</f>
        <v>32379.299539999996</v>
      </c>
      <c r="G715" s="457" t="s">
        <v>1106</v>
      </c>
    </row>
    <row r="716" spans="2:7">
      <c r="B716" s="4" t="str">
        <f>nmPayer3</f>
        <v>Dragon Health</v>
      </c>
    </row>
    <row r="717" spans="2:7">
      <c r="B717" t="str">
        <f>nmProd1Seg1</f>
        <v>Riverrun Central</v>
      </c>
      <c r="C717" s="380">
        <f>dataProd1Seg1TotalMarket*dataProd1Seg1Payer3TotalVolPerc</f>
        <v>11876.48</v>
      </c>
      <c r="D717" s="380">
        <f>dataProd1Seg1TotalMarket*dataProd1Seg1Payer3TotalVolPerc</f>
        <v>11876.48</v>
      </c>
      <c r="E717" s="380">
        <f>dataProd1Seg1TotalMarket*dataProd1Seg1Payer3TotalVolPerc</f>
        <v>12826.598400000001</v>
      </c>
      <c r="F717" s="380">
        <f>dataProd1Seg1TotalMarket*dataProd1Seg1Payer3TotalVolPerc</f>
        <v>14494.056192</v>
      </c>
      <c r="G717" t="s">
        <v>1102</v>
      </c>
    </row>
    <row r="718" spans="2:7">
      <c r="B718" t="str">
        <f>nmProd1Seg2</f>
        <v>Tullyville</v>
      </c>
      <c r="C718" s="380">
        <f>dataProd1Seg2TotalMarket*dataProd1Seg2Payer3TotalVolPerc</f>
        <v>16532.599999999999</v>
      </c>
      <c r="D718" s="380">
        <f>dataProd1Seg2TotalMarket*dataProd1Seg2Payer3TotalVolPerc</f>
        <v>16532.599999999999</v>
      </c>
      <c r="E718" s="380">
        <f>dataProd1Seg2TotalMarket*dataProd1Seg2Payer3TotalVolPerc</f>
        <v>17359.229999999996</v>
      </c>
      <c r="F718" s="380">
        <f>dataProd1Seg2TotalMarket*dataProd1Seg2Payer3TotalVolPerc</f>
        <v>19095.152999999998</v>
      </c>
      <c r="G718" t="s">
        <v>1103</v>
      </c>
    </row>
    <row r="719" spans="2:7">
      <c r="B719" t="str">
        <f>nmProd1Seg3</f>
        <v>Lordfrey City</v>
      </c>
      <c r="C719" s="380">
        <f>dataProd1Seg3TotalMarket*dataProd1Seg3Payer3TotalVolPerc</f>
        <v>6410.6</v>
      </c>
      <c r="D719" s="380">
        <f>dataProd1Seg3TotalMarket*dataProd1Seg3Payer3TotalVolPerc</f>
        <v>6410.6</v>
      </c>
      <c r="E719" s="380">
        <f>dataProd1Seg3TotalMarket*dataProd1Seg3Payer3TotalVolPerc</f>
        <v>7942.3959999999988</v>
      </c>
      <c r="F719" s="380">
        <f>dataProd1Seg3TotalMarket*dataProd1Seg3Payer3TotalVolPerc</f>
        <v>8498.3637199999976</v>
      </c>
      <c r="G719" t="s">
        <v>1104</v>
      </c>
    </row>
    <row r="720" spans="2:7" s="457" customFormat="1">
      <c r="B720" s="457" t="s">
        <v>1095</v>
      </c>
      <c r="C720" s="457">
        <f>dataProd1Seg1Payer3TotalVolume+dataProd1Seg2Payer3TotalVolume+dataProd1Seg3Payer3TotalVolume</f>
        <v>34819.68</v>
      </c>
      <c r="D720" s="457">
        <f>dataProd1Seg1Payer3TotalVolume+dataProd1Seg2Payer3TotalVolume+dataProd1Seg3Payer3TotalVolume</f>
        <v>34819.68</v>
      </c>
      <c r="E720" s="457">
        <f>dataProd1Seg1Payer3TotalVolume+dataProd1Seg2Payer3TotalVolume+dataProd1Seg3Payer3TotalVolume</f>
        <v>38128.224399999999</v>
      </c>
      <c r="F720" s="457">
        <f>dataProd1Seg1Payer3TotalVolume+dataProd1Seg2Payer3TotalVolume+dataProd1Seg3Payer3TotalVolume</f>
        <v>42087.572911999989</v>
      </c>
      <c r="G720" s="457" t="s">
        <v>1107</v>
      </c>
    </row>
    <row r="722" spans="2:7">
      <c r="B722" s="4" t="str">
        <f>nmPayer1</f>
        <v>Blue Sword/Blue Shield</v>
      </c>
    </row>
    <row r="723" spans="2:7">
      <c r="B723" t="str">
        <f>nmProd1Seg1</f>
        <v>Riverrun Central</v>
      </c>
      <c r="C723" s="380">
        <f>dataProd1Seg1TotalNewCust*dataProd1Seg1Payer1NewVolPerc</f>
        <v>819.72</v>
      </c>
      <c r="D723" s="380">
        <f>dataProd1Seg1TotalNewCust*dataProd1Seg1Payer1NewVolPerc</f>
        <v>356.29440000000005</v>
      </c>
      <c r="E723" s="380">
        <f>dataProd1Seg1TotalNewCust*dataProd1Seg1Payer1NewVolPerc</f>
        <v>1781.4720000000002</v>
      </c>
      <c r="F723" s="380">
        <f>dataProd1Seg1TotalNewCust*dataProd1Seg1Payer1NewVolPerc</f>
        <v>2885.9846400000001</v>
      </c>
      <c r="G723" t="s">
        <v>2854</v>
      </c>
    </row>
    <row r="724" spans="2:7">
      <c r="B724" t="str">
        <f>nmProd1Seg2</f>
        <v>Tullyville</v>
      </c>
      <c r="C724" s="380">
        <f>dataProd1Seg2TotalNewCust*dataProd1Seg2Payer1NewVolPerc</f>
        <v>346.08000000000004</v>
      </c>
      <c r="D724" s="380">
        <f>dataProd1Seg2TotalNewCust*dataProd1Seg2Payer1NewVolPerc</f>
        <v>264.52160000000003</v>
      </c>
      <c r="E724" s="380">
        <f>dataProd1Seg2TotalNewCust*dataProd1Seg2Payer1NewVolPerc</f>
        <v>1322.6080000000002</v>
      </c>
      <c r="F724" s="380">
        <f>dataProd1Seg2TotalNewCust*dataProd1Seg2Payer1NewVolPerc</f>
        <v>2083.1075999999998</v>
      </c>
      <c r="G724" t="s">
        <v>2855</v>
      </c>
    </row>
    <row r="725" spans="2:7">
      <c r="B725" t="str">
        <f>nmProd1Seg3</f>
        <v>Lordfrey City</v>
      </c>
      <c r="C725" s="380">
        <f>dataProd1Seg3TotalNewCust*dataProd1Seg3Payer1NewVolPerc</f>
        <v>185</v>
      </c>
      <c r="D725" s="380">
        <f>dataProd1Seg3TotalNewCust*dataProd1Seg3Payer1NewVolPerc</f>
        <v>168.70000000000002</v>
      </c>
      <c r="E725" s="380">
        <f>dataProd1Seg3TotalNewCust*dataProd1Seg3Payer1NewVolPerc</f>
        <v>759.15</v>
      </c>
      <c r="F725" s="380">
        <f>dataProd1Seg3TotalNewCust*dataProd1Seg3Payer1NewVolPerc</f>
        <v>812.29049999999984</v>
      </c>
      <c r="G725" t="s">
        <v>2856</v>
      </c>
    </row>
    <row r="726" spans="2:7" s="457" customFormat="1">
      <c r="B726" s="457" t="s">
        <v>1095</v>
      </c>
      <c r="C726" s="457">
        <f>dataProd1Seg1Payer1NewVolume+dataProd1Seg2Payer1NewVolume+dataProd1Seg3Payer1NewVolume</f>
        <v>1350.8000000000002</v>
      </c>
      <c r="D726" s="457">
        <f>dataProd1Seg1Payer1NewVolume+dataProd1Seg2Payer1NewVolume+dataProd1Seg3Payer1NewVolume</f>
        <v>789.51600000000008</v>
      </c>
      <c r="E726" s="457">
        <f>dataProd1Seg1Payer1NewVolume+dataProd1Seg2Payer1NewVolume+dataProd1Seg3Payer1NewVolume</f>
        <v>3863.2300000000005</v>
      </c>
      <c r="F726" s="457">
        <f>dataProd1Seg1Payer1NewVolume+dataProd1Seg2Payer1NewVolume+dataProd1Seg3Payer1NewVolume</f>
        <v>5781.38274</v>
      </c>
      <c r="G726" s="457" t="s">
        <v>2857</v>
      </c>
    </row>
    <row r="727" spans="2:7">
      <c r="B727" s="4" t="str">
        <f>nmPayer2</f>
        <v>WesterAid</v>
      </c>
    </row>
    <row r="728" spans="2:7">
      <c r="B728" t="str">
        <f>nmProd1Seg1</f>
        <v>Riverrun Central</v>
      </c>
      <c r="C728" s="380">
        <f>dataProd1Seg1TotalNewCust*dataProd1Seg1Payer2NewVolPerc</f>
        <v>496.8</v>
      </c>
      <c r="D728" s="380">
        <f>dataProd1Seg1TotalNewCust*dataProd1Seg1Payer2NewVolPerc</f>
        <v>215.93600000000004</v>
      </c>
      <c r="E728" s="380">
        <f>dataProd1Seg1TotalNewCust*dataProd1Seg1Payer2NewVolPerc</f>
        <v>1079.68</v>
      </c>
      <c r="F728" s="380">
        <f>dataProd1Seg1TotalNewCust*dataProd1Seg1Payer2NewVolPerc</f>
        <v>1749.0816</v>
      </c>
      <c r="G728" t="s">
        <v>2858</v>
      </c>
    </row>
    <row r="729" spans="2:7">
      <c r="B729" t="str">
        <f>nmProd1Seg2</f>
        <v>Tullyville</v>
      </c>
      <c r="C729" s="380">
        <f>dataProd1Seg2TotalNewCust*dataProd1Seg2Payer2NewVolPerc</f>
        <v>111.24</v>
      </c>
      <c r="D729" s="380">
        <f>dataProd1Seg2TotalNewCust*dataProd1Seg2Payer2NewVolPerc</f>
        <v>85.024799999999999</v>
      </c>
      <c r="E729" s="380">
        <f>dataProd1Seg2TotalNewCust*dataProd1Seg2Payer2NewVolPerc</f>
        <v>425.12400000000002</v>
      </c>
      <c r="F729" s="380">
        <f>dataProd1Seg2TotalNewCust*dataProd1Seg2Payer2NewVolPerc</f>
        <v>669.57029999999986</v>
      </c>
      <c r="G729" t="s">
        <v>2859</v>
      </c>
    </row>
    <row r="730" spans="2:7">
      <c r="B730" t="str">
        <f>nmProd1Seg3</f>
        <v>Lordfrey City</v>
      </c>
      <c r="C730" s="380">
        <f>dataProd1Seg3TotalNewCust*dataProd1Seg3Payer2NewVolPerc</f>
        <v>244.20000000000002</v>
      </c>
      <c r="D730" s="380">
        <f>dataProd1Seg3TotalNewCust*dataProd1Seg3Payer2NewVolPerc</f>
        <v>222.68400000000003</v>
      </c>
      <c r="E730" s="380">
        <f>dataProd1Seg3TotalNewCust*dataProd1Seg3Payer2NewVolPerc</f>
        <v>1002.078</v>
      </c>
      <c r="F730" s="380">
        <f>dataProd1Seg3TotalNewCust*dataProd1Seg3Payer2NewVolPerc</f>
        <v>1072.2234599999999</v>
      </c>
      <c r="G730" t="s">
        <v>2860</v>
      </c>
    </row>
    <row r="731" spans="2:7" s="457" customFormat="1">
      <c r="B731" s="457" t="s">
        <v>1095</v>
      </c>
      <c r="C731" s="457">
        <f>dataProd1Seg1Payer2NewVolume+dataProd1Seg2Payer2NewVolume+dataProd1Seg3Payer2NewVolume</f>
        <v>852.24</v>
      </c>
      <c r="D731" s="457">
        <f>dataProd1Seg1Payer2NewVolume+dataProd1Seg2Payer2NewVolume+dataProd1Seg3Payer2NewVolume</f>
        <v>523.64480000000003</v>
      </c>
      <c r="E731" s="457">
        <f>dataProd1Seg1Payer2NewVolume+dataProd1Seg2Payer2NewVolume+dataProd1Seg3Payer2NewVolume</f>
        <v>2506.8820000000001</v>
      </c>
      <c r="F731" s="457">
        <f>dataProd1Seg1Payer2NewVolume+dataProd1Seg2Payer2NewVolume+dataProd1Seg3Payer2NewVolume</f>
        <v>3490.87536</v>
      </c>
      <c r="G731" s="457" t="s">
        <v>2861</v>
      </c>
    </row>
    <row r="732" spans="2:7">
      <c r="B732" s="4" t="str">
        <f>nmPayer3</f>
        <v>Dragon Health</v>
      </c>
    </row>
    <row r="733" spans="2:7">
      <c r="B733" t="str">
        <f>nmProd1Seg1</f>
        <v>Riverrun Central</v>
      </c>
      <c r="C733" s="380">
        <f>dataProd1Seg1TotalNewCust*dataProd1Seg1Payer3NewVolPerc</f>
        <v>546.48</v>
      </c>
      <c r="D733" s="380">
        <f>dataProd1Seg1TotalNewCust*dataProd1Seg1Payer3NewVolPerc</f>
        <v>237.52960000000002</v>
      </c>
      <c r="E733" s="380">
        <f>dataProd1Seg1TotalNewCust*dataProd1Seg1Payer3NewVolPerc</f>
        <v>1187.6480000000001</v>
      </c>
      <c r="F733" s="380">
        <f>dataProd1Seg1TotalNewCust*dataProd1Seg1Payer3NewVolPerc</f>
        <v>1923.9897599999999</v>
      </c>
      <c r="G733" t="s">
        <v>2862</v>
      </c>
    </row>
    <row r="734" spans="2:7">
      <c r="B734" t="str">
        <f>nmProd1Seg2</f>
        <v>Tullyville</v>
      </c>
      <c r="C734" s="380">
        <f>dataProd1Seg2TotalNewCust*dataProd1Seg2Payer3NewVolPerc</f>
        <v>432.59999999999997</v>
      </c>
      <c r="D734" s="380">
        <f>dataProd1Seg2TotalNewCust*dataProd1Seg2Payer3NewVolPerc</f>
        <v>330.65199999999999</v>
      </c>
      <c r="E734" s="380">
        <f>dataProd1Seg2TotalNewCust*dataProd1Seg2Payer3NewVolPerc</f>
        <v>1653.26</v>
      </c>
      <c r="F734" s="380">
        <f>dataProd1Seg2TotalNewCust*dataProd1Seg2Payer3NewVolPerc</f>
        <v>2603.8844999999997</v>
      </c>
      <c r="G734" t="s">
        <v>2863</v>
      </c>
    </row>
    <row r="735" spans="2:7">
      <c r="B735" t="str">
        <f>nmProd1Seg3</f>
        <v>Lordfrey City</v>
      </c>
      <c r="C735" s="380">
        <f>dataProd1Seg3TotalNewCust*dataProd1Seg3Payer3NewVolPerc</f>
        <v>140.6</v>
      </c>
      <c r="D735" s="380">
        <f>dataProd1Seg3TotalNewCust*dataProd1Seg3Payer3NewVolPerc</f>
        <v>128.21200000000002</v>
      </c>
      <c r="E735" s="380">
        <f>dataProd1Seg3TotalNewCust*dataProd1Seg3Payer3NewVolPerc</f>
        <v>576.95399999999995</v>
      </c>
      <c r="F735" s="380">
        <f>dataProd1Seg3TotalNewCust*dataProd1Seg3Payer3NewVolPerc</f>
        <v>617.34077999999988</v>
      </c>
      <c r="G735" t="s">
        <v>2864</v>
      </c>
    </row>
    <row r="736" spans="2:7" s="457" customFormat="1">
      <c r="B736" s="457" t="s">
        <v>1095</v>
      </c>
      <c r="C736" s="457">
        <f>dataProd1Seg1Payer3NewVolume+dataProd1Seg2Payer3NewVolume+dataProd1Seg3Payer3NewVolume</f>
        <v>1119.6799999999998</v>
      </c>
      <c r="D736" s="457">
        <f>dataProd1Seg1Payer3NewVolume+dataProd1Seg2Payer3NewVolume+dataProd1Seg3Payer3NewVolume</f>
        <v>696.39359999999999</v>
      </c>
      <c r="E736" s="457">
        <f>dataProd1Seg1Payer3NewVolume+dataProd1Seg2Payer3NewVolume+dataProd1Seg3Payer3NewVolume</f>
        <v>3417.8620000000001</v>
      </c>
      <c r="F736" s="457">
        <f>dataProd1Seg1Payer3NewVolume+dataProd1Seg2Payer3NewVolume+dataProd1Seg3Payer3NewVolume</f>
        <v>5145.2150399999991</v>
      </c>
      <c r="G736" s="457" t="s">
        <v>2865</v>
      </c>
    </row>
    <row r="737" spans="2:7" s="457" customFormat="1"/>
    <row r="738" spans="2:7">
      <c r="B738" s="4" t="s">
        <v>201</v>
      </c>
    </row>
    <row r="739" spans="2:7">
      <c r="B739" s="4" t="str">
        <f>nmPayer1</f>
        <v>Blue Sword/Blue Shield</v>
      </c>
    </row>
    <row r="740" spans="2:7">
      <c r="B740" t="str">
        <f>nmProd1Seg1</f>
        <v>Riverrun Central</v>
      </c>
      <c r="C740" s="511">
        <f>dataProd1Seg1Payer1Volume/dataProd1Seg1Payer1TotalVolume</f>
        <v>5.0909090909090904E-3</v>
      </c>
      <c r="D740" s="511">
        <f>dataProd1Seg1Payer1Volume/dataProd1Seg1Payer1TotalVolume</f>
        <v>5.0909090909090904E-3</v>
      </c>
      <c r="E740" s="511">
        <f>dataProd1Seg1Payer1Volume/dataProd1Seg1Payer1TotalVolume</f>
        <v>4.5818181818181817E-3</v>
      </c>
      <c r="F740" s="511">
        <f>dataProd1Seg1Payer1Volume/dataProd1Seg1Payer1TotalVolume</f>
        <v>4.3636363636363629E-3</v>
      </c>
      <c r="G740" t="s">
        <v>1120</v>
      </c>
    </row>
    <row r="741" spans="2:7">
      <c r="B741" t="str">
        <f>nmProd1Seg2</f>
        <v>Tullyville</v>
      </c>
      <c r="C741" s="511">
        <f>dataProd1Seg2Payer1Volume/dataProd1Seg2Payer1TotalVolume</f>
        <v>5.9999999999999984E-3</v>
      </c>
      <c r="D741" s="511">
        <f>dataProd1Seg2Payer1Volume/dataProd1Seg2Payer1TotalVolume</f>
        <v>5.9999999999999984E-3</v>
      </c>
      <c r="E741" s="511">
        <f>dataProd1Seg2Payer1Volume/dataProd1Seg2Payer1TotalVolume</f>
        <v>4.2857142857142851E-3</v>
      </c>
      <c r="F741" s="511">
        <f>dataProd1Seg2Payer1Volume/dataProd1Seg2Payer1TotalVolume</f>
        <v>4.2857142857142851E-3</v>
      </c>
      <c r="G741" t="s">
        <v>1121</v>
      </c>
    </row>
    <row r="742" spans="2:7">
      <c r="B742" t="str">
        <f>nmProd1Seg3</f>
        <v>Lordfrey City</v>
      </c>
      <c r="C742" s="511">
        <f>dataProd1Seg3Payer1Volume/dataProd1Seg3Payer1TotalVolume</f>
        <v>6.7199999999999985E-3</v>
      </c>
      <c r="D742" s="511">
        <f>dataProd1Seg3Payer1Volume/dataProd1Seg3Payer1TotalVolume</f>
        <v>6.7199999999999985E-3</v>
      </c>
      <c r="E742" s="511">
        <f>dataProd1Seg3Payer1Volume/dataProd1Seg3Payer1TotalVolume</f>
        <v>6.7200000000000003E-3</v>
      </c>
      <c r="F742" s="511">
        <f>dataProd1Seg3Payer1Volume/dataProd1Seg3Payer1TotalVolume</f>
        <v>6.7199999999999985E-3</v>
      </c>
      <c r="G742" t="s">
        <v>1122</v>
      </c>
    </row>
    <row r="743" spans="2:7" s="4" customFormat="1">
      <c r="B743" s="4" t="s">
        <v>841</v>
      </c>
      <c r="C743" s="569">
        <f>(dataProd1Seg1Payer1Volume+dataProd1Seg2Payer1Volume+dataProd1Seg3Payer1Volume)/(dataProd1Seg1Payer1TotalVolume+dataProd1Seg2Payer1TotalVolume+dataProd1Seg3Payer1TotalVolume)</f>
        <v>5.7435897435897431E-3</v>
      </c>
      <c r="D743" s="569">
        <f>(dataProd1Seg1Payer1Volume+dataProd1Seg2Payer1Volume+dataProd1Seg3Payer1Volume)/(dataProd1Seg1Payer1TotalVolume+dataProd1Seg2Payer1TotalVolume+dataProd1Seg3Payer1TotalVolume)</f>
        <v>5.7435897435897431E-3</v>
      </c>
      <c r="E743" s="569">
        <f>(dataProd1Seg1Payer1Volume+dataProd1Seg2Payer1Volume+dataProd1Seg3Payer1Volume)/(dataProd1Seg1Payer1TotalVolume+dataProd1Seg2Payer1TotalVolume+dataProd1Seg3Payer1TotalVolume)</f>
        <v>4.9420782172987336E-3</v>
      </c>
      <c r="F743" s="569">
        <f>(dataProd1Seg1Payer1Volume+dataProd1Seg2Payer1Volume+dataProd1Seg3Payer1Volume)/(dataProd1Seg1Payer1TotalVolume+dataProd1Seg2Payer1TotalVolume+dataProd1Seg3Payer1TotalVolume)</f>
        <v>4.8256794598527828E-3</v>
      </c>
      <c r="G743" s="4" t="s">
        <v>1123</v>
      </c>
    </row>
    <row r="745" spans="2:7">
      <c r="B745" s="4" t="str">
        <f>nmPayer2</f>
        <v>WesterAid</v>
      </c>
    </row>
    <row r="746" spans="2:7">
      <c r="B746" t="str">
        <f>nmProd1Seg1</f>
        <v>Riverrun Central</v>
      </c>
      <c r="C746" s="387">
        <f>dataProd1Seg1Payer2Volume/dataProd1Seg1Payer2TotalVolume</f>
        <v>0</v>
      </c>
      <c r="D746" s="387">
        <f>dataProd1Seg1Payer2Volume/dataProd1Seg1Payer2TotalVolume</f>
        <v>0</v>
      </c>
      <c r="E746" s="387">
        <f>dataProd1Seg1Payer2Volume/dataProd1Seg1Payer2TotalVolume</f>
        <v>5.9999999999999995E-4</v>
      </c>
      <c r="F746" s="387">
        <f>dataProd1Seg1Payer2Volume/dataProd1Seg1Payer2TotalVolume</f>
        <v>1.1999999999999999E-3</v>
      </c>
      <c r="G746" t="s">
        <v>1124</v>
      </c>
    </row>
    <row r="747" spans="2:7">
      <c r="B747" t="str">
        <f>nmProd1Seg2</f>
        <v>Tullyville</v>
      </c>
      <c r="C747" s="387">
        <f>dataProd1Seg2Payer2Volume/dataProd1Seg2Payer2TotalVolume</f>
        <v>0</v>
      </c>
      <c r="D747" s="387">
        <f>dataProd1Seg2Payer2Volume/dataProd1Seg2Payer2TotalVolume</f>
        <v>0</v>
      </c>
      <c r="E747" s="387">
        <f>dataProd1Seg2Payer2Volume/dataProd1Seg2Payer2TotalVolume</f>
        <v>6.6666666666666671E-3</v>
      </c>
      <c r="F747" s="387">
        <f>dataProd1Seg2Payer2Volume/dataProd1Seg2Payer2TotalVolume</f>
        <v>6.6666666666666671E-3</v>
      </c>
      <c r="G747" t="s">
        <v>1125</v>
      </c>
    </row>
    <row r="748" spans="2:7">
      <c r="B748" t="str">
        <f>nmProd1Seg3</f>
        <v>Lordfrey City</v>
      </c>
      <c r="C748" s="387">
        <f>dataProd1Seg3Payer2Volume/dataProd1Seg3Payer2TotalVolume</f>
        <v>0</v>
      </c>
      <c r="D748" s="387">
        <f>dataProd1Seg3Payer2Volume/dataProd1Seg3Payer2TotalVolume</f>
        <v>0</v>
      </c>
      <c r="E748" s="387">
        <f>dataProd1Seg3Payer2Volume/dataProd1Seg3Payer2TotalVolume</f>
        <v>0</v>
      </c>
      <c r="F748" s="387">
        <f>dataProd1Seg3Payer2Volume/dataProd1Seg3Payer2TotalVolume</f>
        <v>0</v>
      </c>
      <c r="G748" t="s">
        <v>1126</v>
      </c>
    </row>
    <row r="749" spans="2:7" s="4" customFormat="1">
      <c r="B749" s="4" t="s">
        <v>841</v>
      </c>
      <c r="C749" s="569">
        <f>(dataProd1Seg1Payer2Volume+dataProd1Seg2Payer2Volume+dataProd1Seg3Payer2Volume)/(dataProd1Seg1Payer2TotalVolume+dataProd1Seg2Payer2TotalVolume+dataProd1Seg3Payer2TotalVolume)</f>
        <v>0</v>
      </c>
      <c r="D749" s="569">
        <f>(dataProd1Seg1Payer2Volume+dataProd1Seg2Payer2Volume+dataProd1Seg3Payer2Volume)/(dataProd1Seg1Payer2TotalVolume+dataProd1Seg2Payer2TotalVolume+dataProd1Seg3Payer2TotalVolume)</f>
        <v>0</v>
      </c>
      <c r="E749" s="569">
        <f>(dataProd1Seg1Payer2Volume+dataProd1Seg2Payer2Volume+dataProd1Seg3Payer2Volume)/(dataProd1Seg1Payer2TotalVolume+dataProd1Seg2Payer2TotalVolume+dataProd1Seg3Payer2TotalVolume)</f>
        <v>1.2779915532613797E-3</v>
      </c>
      <c r="F749" s="569">
        <f>(dataProd1Seg1Payer2Volume+dataProd1Seg2Payer2Volume+dataProd1Seg3Payer2Volume)/(dataProd1Seg1Payer2TotalVolume+dataProd1Seg2Payer2TotalVolume+dataProd1Seg3Payer2TotalVolume)</f>
        <v>1.4992988222005251E-3</v>
      </c>
      <c r="G749" s="4" t="s">
        <v>1127</v>
      </c>
    </row>
    <row r="751" spans="2:7">
      <c r="B751" s="4" t="str">
        <f>nmPayer3</f>
        <v>Dragon Health</v>
      </c>
    </row>
    <row r="752" spans="2:7">
      <c r="B752" t="str">
        <f>nmProd1Seg1</f>
        <v>Riverrun Central</v>
      </c>
      <c r="C752" s="511">
        <f>dataProd1Seg1Payer3Volume/dataProd1Seg1Payer3TotalVolume</f>
        <v>3.2727272727272735E-3</v>
      </c>
      <c r="D752" s="511">
        <f>dataProd1Seg1Payer3Volume/dataProd1Seg1Payer3TotalVolume</f>
        <v>3.2727272727272735E-3</v>
      </c>
      <c r="E752" s="511">
        <f>dataProd1Seg1Payer3Volume/dataProd1Seg1Payer3TotalVolume</f>
        <v>3.4909090909090897E-3</v>
      </c>
      <c r="F752" s="511">
        <f>dataProd1Seg1Payer3Volume/dataProd1Seg1Payer3TotalVolume</f>
        <v>3.2727272727272726E-3</v>
      </c>
      <c r="G752" t="s">
        <v>1128</v>
      </c>
    </row>
    <row r="753" spans="2:7">
      <c r="B753" t="str">
        <f>nmProd1Seg2</f>
        <v>Tullyville</v>
      </c>
      <c r="C753" s="511">
        <f>dataProd1Seg2Payer3Volume/dataProd1Seg2Payer3TotalVolume</f>
        <v>2.0571428571428572E-3</v>
      </c>
      <c r="D753" s="511">
        <f>dataProd1Seg2Payer3Volume/dataProd1Seg2Payer3TotalVolume</f>
        <v>2.0571428571428576E-3</v>
      </c>
      <c r="E753" s="511">
        <f>dataProd1Seg2Payer3Volume/dataProd1Seg2Payer3TotalVolume</f>
        <v>1.7142857142857146E-3</v>
      </c>
      <c r="F753" s="511">
        <f>dataProd1Seg2Payer3Volume/dataProd1Seg2Payer3TotalVolume</f>
        <v>1.7142857142857142E-3</v>
      </c>
      <c r="G753" t="s">
        <v>1129</v>
      </c>
    </row>
    <row r="754" spans="2:7">
      <c r="B754" t="str">
        <f>nmProd1Seg3</f>
        <v>Lordfrey City</v>
      </c>
      <c r="C754" s="511">
        <f>dataProd1Seg3Payer3Volume/dataProd1Seg3Payer3TotalVolume</f>
        <v>3.7894736842105261E-3</v>
      </c>
      <c r="D754" s="511">
        <f>dataProd1Seg3Payer3Volume/dataProd1Seg3Payer3TotalVolume</f>
        <v>3.7894736842105261E-3</v>
      </c>
      <c r="E754" s="511">
        <f>dataProd1Seg3Payer3Volume/dataProd1Seg3Payer3TotalVolume</f>
        <v>3.2727272727272735E-3</v>
      </c>
      <c r="F754" s="511">
        <f>dataProd1Seg3Payer3Volume/dataProd1Seg3Payer3TotalVolume</f>
        <v>3.2727272727272735E-3</v>
      </c>
      <c r="G754" t="s">
        <v>1130</v>
      </c>
    </row>
    <row r="755" spans="2:7" s="4" customFormat="1">
      <c r="B755" s="4" t="s">
        <v>841</v>
      </c>
      <c r="C755" s="569">
        <f>(dataProd1Seg1Payer3Volume+dataProd1Seg2Payer3Volume+dataProd1Seg3Payer3Volume)/(dataProd1Seg1Payer3TotalVolume+dataProd1Seg2Payer3TotalVolume+dataProd1Seg3Payer3TotalVolume)</f>
        <v>2.7906976744186047E-3</v>
      </c>
      <c r="D755" s="569">
        <f>(dataProd1Seg1Payer3Volume+dataProd1Seg2Payer3Volume+dataProd1Seg3Payer3Volume)/(dataProd1Seg1Payer3TotalVolume+dataProd1Seg2Payer3TotalVolume+dataProd1Seg3Payer3TotalVolume)</f>
        <v>2.7906976744186051E-3</v>
      </c>
      <c r="E755" s="569">
        <f>(dataProd1Seg1Payer3Volume+dataProd1Seg2Payer3Volume+dataProd1Seg3Payer3Volume)/(dataProd1Seg1Payer3TotalVolume+dataProd1Seg2Payer3TotalVolume+dataProd1Seg3Payer3TotalVolume)</f>
        <v>2.636589207652691E-3</v>
      </c>
      <c r="F755" s="569">
        <f>(dataProd1Seg1Payer3Volume+dataProd1Seg2Payer3Volume+dataProd1Seg3Payer3Volume)/(dataProd1Seg1Payer3TotalVolume+dataProd1Seg2Payer3TotalVolume+dataProd1Seg3Payer3TotalVolume)</f>
        <v>2.5656615537745127E-3</v>
      </c>
      <c r="G755" s="4" t="s">
        <v>1131</v>
      </c>
    </row>
    <row r="757" spans="2:7">
      <c r="B757" s="4" t="str">
        <f>nmComp1</f>
        <v>Vibrant</v>
      </c>
    </row>
    <row r="758" spans="2:7">
      <c r="B758" s="4" t="str">
        <f>nmPayer1</f>
        <v>Blue Sword/Blue Shield</v>
      </c>
    </row>
    <row r="759" spans="2:7">
      <c r="B759" t="str">
        <f>nmProd1Seg1</f>
        <v>Riverrun Central</v>
      </c>
      <c r="C759" s="387">
        <f>dataProd1Seg1Comp1Payer1Volume/dataProd1Seg1Payer1TotalVolume</f>
        <v>1.0454545454545452E-2</v>
      </c>
      <c r="D759" s="387">
        <f>dataProd1Seg1Comp1Payer1Volume/dataProd1Seg1Payer1TotalVolume</f>
        <v>1.0454545454545454E-2</v>
      </c>
      <c r="E759" s="387">
        <f>dataProd1Seg1Comp1Payer1Volume/dataProd1Seg1Payer1TotalVolume</f>
        <v>1.0454545454545454E-2</v>
      </c>
      <c r="F759" s="387">
        <f>dataProd1Seg1Comp1Payer1Volume/dataProd1Seg1Payer1TotalVolume</f>
        <v>1.0454545454545454E-2</v>
      </c>
      <c r="G759" t="s">
        <v>1132</v>
      </c>
    </row>
    <row r="760" spans="2:7">
      <c r="B760" t="str">
        <f>nmProd1Seg2</f>
        <v>Tullyville</v>
      </c>
      <c r="C760" s="387">
        <f>dataProd1Seg2Comp1Payer1Volume/dataProd1Seg2Payer1TotalVolume</f>
        <v>1.2321428571428568E-2</v>
      </c>
      <c r="D760" s="387">
        <f>dataProd1Seg2Comp1Payer1Volume/dataProd1Seg2Payer1TotalVolume</f>
        <v>1.232142857142857E-2</v>
      </c>
      <c r="E760" s="387">
        <f>dataProd1Seg2Comp1Payer1Volume/dataProd1Seg2Payer1TotalVolume</f>
        <v>1.2321428571428572E-2</v>
      </c>
      <c r="F760" s="387">
        <f>dataProd1Seg2Comp1Payer1Volume/dataProd1Seg2Payer1TotalVolume</f>
        <v>1.2321428571428568E-2</v>
      </c>
      <c r="G760" t="s">
        <v>1133</v>
      </c>
    </row>
    <row r="761" spans="2:7">
      <c r="B761" t="str">
        <f>nmProd1Seg3</f>
        <v>Lordfrey City</v>
      </c>
      <c r="C761" s="387">
        <f>dataProd1Seg3Comp1Payer1Volume/dataProd1Seg3Payer1TotalVolume</f>
        <v>1.38E-2</v>
      </c>
      <c r="D761" s="387">
        <f>dataProd1Seg3Comp1Payer1Volume/dataProd1Seg3Payer1TotalVolume</f>
        <v>1.3799999999999998E-2</v>
      </c>
      <c r="E761" s="387">
        <f>dataProd1Seg3Comp1Payer1Volume/dataProd1Seg3Payer1TotalVolume</f>
        <v>1.38E-2</v>
      </c>
      <c r="F761" s="387">
        <f>dataProd1Seg3Comp1Payer1Volume/dataProd1Seg3Payer1TotalVolume</f>
        <v>1.38E-2</v>
      </c>
      <c r="G761" t="s">
        <v>1134</v>
      </c>
    </row>
    <row r="762" spans="2:7" s="4" customFormat="1">
      <c r="B762" s="4" t="s">
        <v>841</v>
      </c>
      <c r="C762" s="458">
        <f>(dataProd1Seg1Comp1Payer1Volume+dataProd1Seg2Comp1Payer1Volume+dataProd1Seg3Comp1Payer1Volume)/dataProd1Payer1TotalVolume</f>
        <v>1.1794871794871794E-2</v>
      </c>
      <c r="D762" s="458">
        <f>(dataProd1Seg1Comp1Payer1Volume+dataProd1Seg2Comp1Payer1Volume+dataProd1Seg3Comp1Payer1Volume)/dataProd1Payer1TotalVolume</f>
        <v>1.1794871794871794E-2</v>
      </c>
      <c r="E762" s="458">
        <f>(dataProd1Seg1Comp1Payer1Volume+dataProd1Seg2Comp1Payer1Volume+dataProd1Seg3Comp1Payer1Volume)/dataProd1Payer1TotalVolume</f>
        <v>1.1785902956761169E-2</v>
      </c>
      <c r="F762" s="458">
        <f>(dataProd1Seg1Comp1Payer1Volume+dataProd1Seg2Comp1Payer1Volume+dataProd1Seg3Comp1Payer1Volume)/dataProd1Payer1TotalVolume</f>
        <v>1.1757754799523071E-2</v>
      </c>
      <c r="G762" s="4" t="s">
        <v>1135</v>
      </c>
    </row>
    <row r="764" spans="2:7">
      <c r="B764" s="4" t="str">
        <f>nmPayer2</f>
        <v>WesterAid</v>
      </c>
    </row>
    <row r="765" spans="2:7">
      <c r="B765" t="str">
        <f>nmProd1Seg1</f>
        <v>Riverrun Central</v>
      </c>
      <c r="C765" s="387">
        <f>dataProd1Seg1Comp1Payer2Volume/dataProd1Seg1Payer2TotalVolume</f>
        <v>8.6249999999999973E-3</v>
      </c>
      <c r="D765" s="387">
        <f>dataProd1Seg1Comp1Payer2Volume/dataProd1Seg1Payer2TotalVolume</f>
        <v>8.624999999999999E-3</v>
      </c>
      <c r="E765" s="387">
        <f>dataProd1Seg1Comp1Payer2Volume/dataProd1Seg1Payer2TotalVolume</f>
        <v>8.624999999999999E-3</v>
      </c>
      <c r="F765" s="387">
        <f>dataProd1Seg1Comp1Payer2Volume/dataProd1Seg1Payer2TotalVolume</f>
        <v>8.6250000000000007E-3</v>
      </c>
      <c r="G765" t="s">
        <v>1136</v>
      </c>
    </row>
    <row r="766" spans="2:7">
      <c r="B766" t="str">
        <f>nmProd1Seg2</f>
        <v>Tullyville</v>
      </c>
      <c r="C766" s="387">
        <f>dataProd1Seg2Comp1Payer2Volume/dataProd1Seg2Payer2TotalVolume</f>
        <v>1.9166666666666665E-2</v>
      </c>
      <c r="D766" s="387">
        <f>dataProd1Seg2Comp1Payer2Volume/dataProd1Seg2Payer2TotalVolume</f>
        <v>1.9166666666666669E-2</v>
      </c>
      <c r="E766" s="387">
        <f>dataProd1Seg2Comp1Payer2Volume/dataProd1Seg2Payer2TotalVolume</f>
        <v>1.9166666666666669E-2</v>
      </c>
      <c r="F766" s="387">
        <f>dataProd1Seg2Comp1Payer2Volume/dataProd1Seg2Payer2TotalVolume</f>
        <v>1.9166666666666665E-2</v>
      </c>
      <c r="G766" t="s">
        <v>1137</v>
      </c>
    </row>
    <row r="767" spans="2:7">
      <c r="B767" t="str">
        <f>nmProd1Seg3</f>
        <v>Lordfrey City</v>
      </c>
      <c r="C767" s="387">
        <f>dataProd1Seg3Comp1Payer2Volume/dataProd1Seg3Payer2TotalVolume</f>
        <v>5.2272727272727262E-3</v>
      </c>
      <c r="D767" s="387">
        <f>dataProd1Seg3Comp1Payer2Volume/dataProd1Seg3Payer2TotalVolume</f>
        <v>5.2272727272727262E-3</v>
      </c>
      <c r="E767" s="387">
        <f>dataProd1Seg3Comp1Payer2Volume/dataProd1Seg3Payer2TotalVolume</f>
        <v>4.9285714285714289E-3</v>
      </c>
      <c r="F767" s="387">
        <f>dataProd1Seg3Comp1Payer2Volume/dataProd1Seg3Payer2TotalVolume</f>
        <v>4.6621621621621622E-3</v>
      </c>
      <c r="G767" t="s">
        <v>1138</v>
      </c>
    </row>
    <row r="768" spans="2:7" s="4" customFormat="1">
      <c r="B768" s="4" t="s">
        <v>841</v>
      </c>
      <c r="C768" s="458">
        <f>(dataProd1Seg1Comp1Payer2Volume+dataProd1Seg2Comp1Payer2Volume+dataProd1Seg3Comp1Payer2Volume)/dataProd1Payer2TotalVolume</f>
        <v>8.8917525773195873E-3</v>
      </c>
      <c r="D768" s="458">
        <f>(dataProd1Seg1Comp1Payer2Volume+dataProd1Seg2Comp1Payer2Volume+dataProd1Seg3Comp1Payer2Volume)/dataProd1Payer2TotalVolume</f>
        <v>8.8917525773195873E-3</v>
      </c>
      <c r="E768" s="458">
        <f>(dataProd1Seg1Comp1Payer2Volume+dataProd1Seg2Comp1Payer2Volume+dataProd1Seg3Comp1Payer2Volume)/dataProd1Payer2TotalVolume</f>
        <v>8.6371421867667761E-3</v>
      </c>
      <c r="F768" s="458">
        <f>(dataProd1Seg1Comp1Payer2Volume+dataProd1Seg2Comp1Payer2Volume+dataProd1Seg3Comp1Payer2Volume)/dataProd1Payer2TotalVolume</f>
        <v>8.4743432905652043E-3</v>
      </c>
      <c r="G768" s="4" t="s">
        <v>1139</v>
      </c>
    </row>
    <row r="770" spans="2:7">
      <c r="B770" s="4" t="str">
        <f>nmPayer3</f>
        <v>Dragon Health</v>
      </c>
    </row>
    <row r="771" spans="2:7">
      <c r="B771" t="str">
        <f>nmProd1Seg1</f>
        <v>Riverrun Central</v>
      </c>
      <c r="C771" s="387">
        <f>dataProd1Seg1Comp1Payer3Volume/dataProd1Seg1Payer3TotalVolume</f>
        <v>7.8409090909090894E-3</v>
      </c>
      <c r="D771" s="387">
        <f>dataProd1Seg1Comp1Payer3Volume/dataProd1Seg1Payer3TotalVolume</f>
        <v>7.8409090909090911E-3</v>
      </c>
      <c r="E771" s="387">
        <f>dataProd1Seg1Comp1Payer3Volume/dataProd1Seg1Payer3TotalVolume</f>
        <v>7.8409090909090911E-3</v>
      </c>
      <c r="F771" s="387">
        <f>dataProd1Seg1Comp1Payer3Volume/dataProd1Seg1Payer3TotalVolume</f>
        <v>7.8409090909090911E-3</v>
      </c>
      <c r="G771" t="s">
        <v>1140</v>
      </c>
    </row>
    <row r="772" spans="2:7">
      <c r="B772" t="str">
        <f>nmProd1Seg2</f>
        <v>Tullyville</v>
      </c>
      <c r="C772" s="387">
        <f>dataProd1Seg2Comp1Payer3Volume/dataProd1Seg2Payer3TotalVolume</f>
        <v>4.928571428571428E-3</v>
      </c>
      <c r="D772" s="387">
        <f>dataProd1Seg2Comp1Payer3Volume/dataProd1Seg2Payer3TotalVolume</f>
        <v>4.9285714285714289E-3</v>
      </c>
      <c r="E772" s="387">
        <f>dataProd1Seg2Comp1Payer3Volume/dataProd1Seg2Payer3TotalVolume</f>
        <v>4.9285714285714297E-3</v>
      </c>
      <c r="F772" s="387">
        <f>dataProd1Seg2Comp1Payer3Volume/dataProd1Seg2Payer3TotalVolume</f>
        <v>4.928571428571428E-3</v>
      </c>
      <c r="G772" t="s">
        <v>1141</v>
      </c>
    </row>
    <row r="773" spans="2:7">
      <c r="B773" t="str">
        <f>nmProd1Seg3</f>
        <v>Lordfrey City</v>
      </c>
      <c r="C773" s="387">
        <f>dataProd1Seg3Comp1Payer3Volume/dataProd1Seg3Payer3TotalVolume</f>
        <v>9.078947368421051E-3</v>
      </c>
      <c r="D773" s="387">
        <f>dataProd1Seg3Comp1Payer3Volume/dataProd1Seg3Payer3TotalVolume</f>
        <v>9.078947368421051E-3</v>
      </c>
      <c r="E773" s="387">
        <f>dataProd1Seg3Comp1Payer3Volume/dataProd1Seg3Payer3TotalVolume</f>
        <v>7.8409090909090911E-3</v>
      </c>
      <c r="F773" s="387">
        <f>dataProd1Seg3Comp1Payer3Volume/dataProd1Seg3Payer3TotalVolume</f>
        <v>7.8409090909090911E-3</v>
      </c>
      <c r="G773" t="s">
        <v>1142</v>
      </c>
    </row>
    <row r="774" spans="2:7" s="4" customFormat="1">
      <c r="B774" s="4" t="s">
        <v>841</v>
      </c>
      <c r="C774" s="458">
        <f>(dataProd1Seg1Comp1Payer3Volume+dataProd1Seg2Comp1Payer3Volume+dataProd1Seg3Comp1Payer3Volume)/dataProd1Payer3TotalVolume</f>
        <v>6.686046511627906E-3</v>
      </c>
      <c r="D774" s="458">
        <f>(dataProd1Seg1Comp1Payer3Volume+dataProd1Seg2Comp1Payer3Volume+dataProd1Seg3Comp1Payer3Volume)/dataProd1Payer3TotalVolume</f>
        <v>6.686046511627906E-3</v>
      </c>
      <c r="E774" s="458">
        <f>(dataProd1Seg1Comp1Payer3Volume+dataProd1Seg2Comp1Payer3Volume+dataProd1Seg3Comp1Payer3Volume)/dataProd1Payer3TotalVolume</f>
        <v>6.5149638072314747E-3</v>
      </c>
      <c r="F774" s="458">
        <f>(dataProd1Seg1Comp1Payer3Volume+dataProd1Seg2Comp1Payer3Volume+dataProd1Seg3Comp1Payer3Volume)/dataProd1Payer3TotalVolume</f>
        <v>6.5195800286161213E-3</v>
      </c>
      <c r="G774" s="4" t="s">
        <v>1143</v>
      </c>
    </row>
    <row r="776" spans="2:7">
      <c r="B776" s="4" t="str">
        <f>nmComp2</f>
        <v>Pristine</v>
      </c>
    </row>
    <row r="777" spans="2:7">
      <c r="B777" s="4" t="str">
        <f>nmPayer1</f>
        <v>Blue Sword/Blue Shield</v>
      </c>
    </row>
    <row r="778" spans="2:7">
      <c r="B778" t="str">
        <f>nmProd1Seg1</f>
        <v>Riverrun Central</v>
      </c>
      <c r="C778" s="387">
        <f>dataProd1Seg1Comp2Payer1Volume/dataProd1Seg1Payer1TotalVolume</f>
        <v>2.7878787878787878E-2</v>
      </c>
      <c r="D778" s="387">
        <f>dataProd1Seg1Comp2Payer1Volume/dataProd1Seg1Payer1TotalVolume</f>
        <v>2.7878787878787878E-2</v>
      </c>
      <c r="E778" s="387">
        <f>dataProd1Seg1Comp2Payer1Volume/dataProd1Seg1Payer1TotalVolume</f>
        <v>2.7878787878787881E-2</v>
      </c>
      <c r="F778" s="387">
        <f>dataProd1Seg1Comp2Payer1Volume/dataProd1Seg1Payer1TotalVolume</f>
        <v>2.7878787878787878E-2</v>
      </c>
      <c r="G778" t="s">
        <v>1144</v>
      </c>
    </row>
    <row r="779" spans="2:7">
      <c r="B779" t="str">
        <f>nmProd1Seg2</f>
        <v>Tullyville</v>
      </c>
      <c r="C779" s="387">
        <f>dataProd1Seg2Comp2Payer1Volume/dataProd1Seg2Payer1TotalVolume</f>
        <v>3.2857142857142849E-2</v>
      </c>
      <c r="D779" s="387">
        <f>dataProd1Seg2Comp2Payer1Volume/dataProd1Seg2Payer1TotalVolume</f>
        <v>3.2857142857142849E-2</v>
      </c>
      <c r="E779" s="387">
        <f>dataProd1Seg2Comp2Payer1Volume/dataProd1Seg2Payer1TotalVolume</f>
        <v>3.2857142857142856E-2</v>
      </c>
      <c r="F779" s="387">
        <f>dataProd1Seg2Comp2Payer1Volume/dataProd1Seg2Payer1TotalVolume</f>
        <v>3.2857142857142856E-2</v>
      </c>
      <c r="G779" t="s">
        <v>1145</v>
      </c>
    </row>
    <row r="780" spans="2:7">
      <c r="B780" t="str">
        <f>nmProd1Seg3</f>
        <v>Lordfrey City</v>
      </c>
      <c r="C780" s="387">
        <f>dataProd1Seg3Comp2Payer1Volume/dataProd1Seg3Payer1TotalVolume</f>
        <v>3.6799999999999999E-2</v>
      </c>
      <c r="D780" s="387">
        <f>dataProd1Seg3Comp2Payer1Volume/dataProd1Seg3Payer1TotalVolume</f>
        <v>3.6799999999999999E-2</v>
      </c>
      <c r="E780" s="387">
        <f>dataProd1Seg3Comp2Payer1Volume/dataProd1Seg3Payer1TotalVolume</f>
        <v>3.6799999999999999E-2</v>
      </c>
      <c r="F780" s="387">
        <f>dataProd1Seg3Comp2Payer1Volume/dataProd1Seg3Payer1TotalVolume</f>
        <v>3.6799999999999999E-2</v>
      </c>
      <c r="G780" t="s">
        <v>1146</v>
      </c>
    </row>
    <row r="781" spans="2:7" s="4" customFormat="1">
      <c r="B781" s="4" t="s">
        <v>841</v>
      </c>
      <c r="C781" s="458">
        <f>(dataProd1Seg1Comp2Payer1Volume+dataProd1Seg2Comp2Payer1Volume+dataProd1Seg3Comp2Payer1Volume)/dataProd1Payer1TotalVolume</f>
        <v>3.1452991452991449E-2</v>
      </c>
      <c r="D781" s="458">
        <f>(dataProd1Seg1Comp2Payer1Volume+dataProd1Seg2Comp2Payer1Volume+dataProd1Seg3Comp2Payer1Volume)/dataProd1Payer1TotalVolume</f>
        <v>3.1452991452991449E-2</v>
      </c>
      <c r="E781" s="458">
        <f>(dataProd1Seg1Comp2Payer1Volume+dataProd1Seg2Comp2Payer1Volume+dataProd1Seg3Comp2Payer1Volume)/dataProd1Payer1TotalVolume</f>
        <v>3.1429074551363116E-2</v>
      </c>
      <c r="F781" s="458">
        <f>(dataProd1Seg1Comp2Payer1Volume+dataProd1Seg2Comp2Payer1Volume+dataProd1Seg3Comp2Payer1Volume)/dataProd1Payer1TotalVolume</f>
        <v>3.1354012798728195E-2</v>
      </c>
      <c r="G781" s="4" t="s">
        <v>1147</v>
      </c>
    </row>
    <row r="783" spans="2:7">
      <c r="B783" s="4" t="str">
        <f>nmPayer2</f>
        <v>WesterAid</v>
      </c>
    </row>
    <row r="784" spans="2:7">
      <c r="B784" t="str">
        <f>nmProd1Seg1</f>
        <v>Riverrun Central</v>
      </c>
      <c r="C784" s="387">
        <f>dataProd1Seg1Comp2Payer2Volume/dataProd1Seg1Payer2TotalVolume</f>
        <v>2.3E-2</v>
      </c>
      <c r="D784" s="387">
        <f>dataProd1Seg1Comp2Payer2Volume/dataProd1Seg1Payer2TotalVolume</f>
        <v>2.3E-2</v>
      </c>
      <c r="E784" s="387">
        <f>dataProd1Seg1Comp2Payer2Volume/dataProd1Seg1Payer2TotalVolume</f>
        <v>2.3E-2</v>
      </c>
      <c r="F784" s="387">
        <f>dataProd1Seg1Comp2Payer2Volume/dataProd1Seg1Payer2TotalVolume</f>
        <v>2.3E-2</v>
      </c>
      <c r="G784" t="s">
        <v>1148</v>
      </c>
    </row>
    <row r="785" spans="2:7">
      <c r="B785" t="str">
        <f>nmProd1Seg2</f>
        <v>Tullyville</v>
      </c>
      <c r="C785" s="387">
        <f>dataProd1Seg2Comp2Payer2Volume/dataProd1Seg2Payer2TotalVolume</f>
        <v>5.1111111111111114E-2</v>
      </c>
      <c r="D785" s="387">
        <f>dataProd1Seg2Comp2Payer2Volume/dataProd1Seg2Payer2TotalVolume</f>
        <v>5.1111111111111114E-2</v>
      </c>
      <c r="E785" s="387">
        <f>dataProd1Seg2Comp2Payer2Volume/dataProd1Seg2Payer2TotalVolume</f>
        <v>5.1111111111111114E-2</v>
      </c>
      <c r="F785" s="387">
        <f>dataProd1Seg2Comp2Payer2Volume/dataProd1Seg2Payer2TotalVolume</f>
        <v>5.1111111111111114E-2</v>
      </c>
      <c r="G785" t="s">
        <v>1149</v>
      </c>
    </row>
    <row r="786" spans="2:7">
      <c r="B786" t="str">
        <f>nmProd1Seg3</f>
        <v>Lordfrey City</v>
      </c>
      <c r="C786" s="387">
        <f>dataProd1Seg3Comp2Payer2Volume/dataProd1Seg3Payer2TotalVolume</f>
        <v>1.3939393939393939E-2</v>
      </c>
      <c r="D786" s="387">
        <f>dataProd1Seg3Comp2Payer2Volume/dataProd1Seg3Payer2TotalVolume</f>
        <v>1.3939393939393939E-2</v>
      </c>
      <c r="E786" s="387">
        <f>dataProd1Seg3Comp2Payer2Volume/dataProd1Seg3Payer2TotalVolume</f>
        <v>1.3142857142857145E-2</v>
      </c>
      <c r="F786" s="387">
        <f>dataProd1Seg3Comp2Payer2Volume/dataProd1Seg3Payer2TotalVolume</f>
        <v>1.2432432432432434E-2</v>
      </c>
      <c r="G786" t="s">
        <v>1150</v>
      </c>
    </row>
    <row r="787" spans="2:7" s="4" customFormat="1">
      <c r="B787" s="4" t="s">
        <v>841</v>
      </c>
      <c r="C787" s="458">
        <f>(dataProd1Seg1Comp2Payer2Volume+dataProd1Seg2Comp2Payer2Volume+dataProd1Seg3Comp2Payer2Volume)/dataProd1Payer2TotalVolume</f>
        <v>2.3711340206185566E-2</v>
      </c>
      <c r="D787" s="458">
        <f>(dataProd1Seg1Comp2Payer2Volume+dataProd1Seg2Comp2Payer2Volume+dataProd1Seg3Comp2Payer2Volume)/dataProd1Payer2TotalVolume</f>
        <v>2.3711340206185566E-2</v>
      </c>
      <c r="E787" s="458">
        <f>(dataProd1Seg1Comp2Payer2Volume+dataProd1Seg2Comp2Payer2Volume+dataProd1Seg3Comp2Payer2Volume)/dataProd1Payer2TotalVolume</f>
        <v>2.3032379164711403E-2</v>
      </c>
      <c r="F787" s="458">
        <f>(dataProd1Seg1Comp2Payer2Volume+dataProd1Seg2Comp2Payer2Volume+dataProd1Seg3Comp2Payer2Volume)/dataProd1Payer2TotalVolume</f>
        <v>2.2598248774840547E-2</v>
      </c>
      <c r="G787" s="4" t="s">
        <v>1151</v>
      </c>
    </row>
    <row r="789" spans="2:7">
      <c r="B789" s="4" t="str">
        <f>nmPayer3</f>
        <v>Dragon Health</v>
      </c>
    </row>
    <row r="790" spans="2:7">
      <c r="B790" t="str">
        <f>nmProd1Seg1</f>
        <v>Riverrun Central</v>
      </c>
      <c r="C790" s="387">
        <f>dataProd1Seg1Comp2Payer3Volume/dataProd1Seg1Payer3TotalVolume</f>
        <v>2.0909090909090912E-2</v>
      </c>
      <c r="D790" s="387">
        <f>dataProd1Seg1Comp2Payer3Volume/dataProd1Seg1Payer3TotalVolume</f>
        <v>2.0909090909090912E-2</v>
      </c>
      <c r="E790" s="387">
        <f>dataProd1Seg1Comp2Payer3Volume/dataProd1Seg1Payer3TotalVolume</f>
        <v>2.0909090909090908E-2</v>
      </c>
      <c r="F790" s="387">
        <f>dataProd1Seg1Comp2Payer3Volume/dataProd1Seg1Payer3TotalVolume</f>
        <v>2.0909090909090908E-2</v>
      </c>
      <c r="G790" t="s">
        <v>1152</v>
      </c>
    </row>
    <row r="791" spans="2:7">
      <c r="B791" t="str">
        <f>nmProd1Seg2</f>
        <v>Tullyville</v>
      </c>
      <c r="C791" s="387">
        <f>dataProd1Seg2Comp2Payer3Volume/dataProd1Seg2Payer3TotalVolume</f>
        <v>1.3142857142857144E-2</v>
      </c>
      <c r="D791" s="387">
        <f>dataProd1Seg2Comp2Payer3Volume/dataProd1Seg2Payer3TotalVolume</f>
        <v>1.3142857142857144E-2</v>
      </c>
      <c r="E791" s="387">
        <f>dataProd1Seg2Comp2Payer3Volume/dataProd1Seg2Payer3TotalVolume</f>
        <v>1.3142857142857145E-2</v>
      </c>
      <c r="F791" s="387">
        <f>dataProd1Seg2Comp2Payer3Volume/dataProd1Seg2Payer3TotalVolume</f>
        <v>1.3142857142857142E-2</v>
      </c>
      <c r="G791" t="s">
        <v>1153</v>
      </c>
    </row>
    <row r="792" spans="2:7">
      <c r="B792" t="str">
        <f>nmProd1Seg3</f>
        <v>Lordfrey City</v>
      </c>
      <c r="C792" s="387">
        <f>dataProd1Seg3Comp2Payer3Volume/dataProd1Seg3Payer3TotalVolume</f>
        <v>2.4210526315789474E-2</v>
      </c>
      <c r="D792" s="387">
        <f>dataProd1Seg3Comp2Payer3Volume/dataProd1Seg3Payer3TotalVolume</f>
        <v>2.4210526315789474E-2</v>
      </c>
      <c r="E792" s="387">
        <f>dataProd1Seg3Comp2Payer3Volume/dataProd1Seg3Payer3TotalVolume</f>
        <v>2.0909090909090912E-2</v>
      </c>
      <c r="F792" s="387">
        <f>dataProd1Seg3Comp2Payer3Volume/dataProd1Seg3Payer3TotalVolume</f>
        <v>2.0909090909090912E-2</v>
      </c>
      <c r="G792" t="s">
        <v>1154</v>
      </c>
    </row>
    <row r="793" spans="2:7" s="4" customFormat="1">
      <c r="B793" s="4" t="s">
        <v>841</v>
      </c>
      <c r="C793" s="458">
        <f>(dataProd1Seg1Comp2Payer3Volume+dataProd1Seg2Comp2Payer3Volume+dataProd1Seg3Comp2Payer3Volume)/dataProd1Payer3TotalVolume</f>
        <v>1.7829457364341085E-2</v>
      </c>
      <c r="D793" s="458">
        <f>(dataProd1Seg1Comp2Payer3Volume+dataProd1Seg2Comp2Payer3Volume+dataProd1Seg3Comp2Payer3Volume)/dataProd1Payer3TotalVolume</f>
        <v>1.7829457364341085E-2</v>
      </c>
      <c r="E793" s="458">
        <f>(dataProd1Seg1Comp2Payer3Volume+dataProd1Seg2Comp2Payer3Volume+dataProd1Seg3Comp2Payer3Volume)/dataProd1Payer3TotalVolume</f>
        <v>1.7373236819283933E-2</v>
      </c>
      <c r="F793" s="458">
        <f>(dataProd1Seg1Comp2Payer3Volume+dataProd1Seg2Comp2Payer3Volume+dataProd1Seg3Comp2Payer3Volume)/dataProd1Payer3TotalVolume</f>
        <v>1.7385546742976325E-2</v>
      </c>
      <c r="G793" s="4" t="s">
        <v>1155</v>
      </c>
    </row>
    <row r="796" spans="2:7">
      <c r="B796" s="4" t="s">
        <v>3787</v>
      </c>
    </row>
    <row r="797" spans="2:7">
      <c r="B797" t="str">
        <f>nmProd1Seg1</f>
        <v>Riverrun Central</v>
      </c>
      <c r="C797" s="511">
        <f>(dataProd1Seg1Payer1Volume+dataProd1Seg1Payer2Volume+dataProd1Seg1Payer3Volume)/(dataProd1Seg1Payer1TotalVolume+dataProd1Seg1Payer2TotalVolume+dataProd1Seg1Payer3TotalVolume)</f>
        <v>3.2000000000000002E-3</v>
      </c>
      <c r="D797" s="511">
        <f>(dataProd1Seg1Payer1Volume+dataProd1Seg1Payer2Volume+dataProd1Seg1Payer3Volume)/(dataProd1Seg1Payer1TotalVolume+dataProd1Seg1Payer2TotalVolume+dataProd1Seg1Payer3TotalVolume)</f>
        <v>3.2000000000000002E-3</v>
      </c>
      <c r="E797" s="511">
        <f>(dataProd1Seg1Payer1Volume+dataProd1Seg1Payer2Volume+dataProd1Seg1Payer3Volume)/(dataProd1Seg1Payer1TotalVolume+dataProd1Seg1Payer2TotalVolume+dataProd1Seg1Payer3TotalVolume)</f>
        <v>3.1999999999999997E-3</v>
      </c>
      <c r="F797" s="511">
        <f>(dataProd1Seg1Payer1Volume+dataProd1Seg1Payer2Volume+dataProd1Seg1Payer3Volume)/(dataProd1Seg1Payer1TotalVolume+dataProd1Seg1Payer2TotalVolume+dataProd1Seg1Payer3TotalVolume)</f>
        <v>3.1999999999999997E-3</v>
      </c>
      <c r="G797" t="s">
        <v>3788</v>
      </c>
    </row>
    <row r="798" spans="2:7">
      <c r="B798" t="str">
        <f>nmProd1Seg2</f>
        <v>Tullyville</v>
      </c>
      <c r="C798" s="511">
        <f>(dataProd1Seg2Payer1Volume+dataProd1Seg2Payer2Volume+dataProd1Seg2Payer3Volume)/(dataProd1Seg2Payer1TotalVolume+dataProd1Seg2Payer2TotalVolume+dataProd1Seg2Payer3TotalVolume)</f>
        <v>3.3333333333333335E-3</v>
      </c>
      <c r="D798" s="511">
        <f>(dataProd1Seg2Payer1Volume+dataProd1Seg2Payer2Volume+dataProd1Seg2Payer3Volume)/(dataProd1Seg2Payer1TotalVolume+dataProd1Seg2Payer2TotalVolume+dataProd1Seg2Payer3TotalVolume)</f>
        <v>3.3333333333333335E-3</v>
      </c>
      <c r="E798" s="511">
        <f>(dataProd1Seg2Payer1Volume+dataProd1Seg2Payer2Volume+dataProd1Seg2Payer3Volume)/(dataProd1Seg2Payer1TotalVolume+dataProd1Seg2Payer2TotalVolume+dataProd1Seg2Payer3TotalVolume)</f>
        <v>3.3333333333333335E-3</v>
      </c>
      <c r="F798" s="511">
        <f>(dataProd1Seg2Payer1Volume+dataProd1Seg2Payer2Volume+dataProd1Seg2Payer3Volume)/(dataProd1Seg2Payer1TotalVolume+dataProd1Seg2Payer2TotalVolume+dataProd1Seg2Payer3TotalVolume)</f>
        <v>3.3333333333333335E-3</v>
      </c>
      <c r="G798" t="s">
        <v>3789</v>
      </c>
    </row>
    <row r="799" spans="2:7">
      <c r="B799" t="str">
        <f>nmProd1Seg3</f>
        <v>Lordfrey City</v>
      </c>
      <c r="C799" s="511">
        <f>(dataProd1Seg3Payer1Volume+dataProd1Seg3Payer2Volume+dataProd1Seg3Payer3Volume)/(dataProd1Seg3Payer1TotalVolume+dataProd1Seg3Payer2TotalVolume+dataProd1Seg3Payer3TotalVolume)</f>
        <v>3.116883116883116E-3</v>
      </c>
      <c r="D799" s="511">
        <f>(dataProd1Seg3Payer1Volume+dataProd1Seg3Payer2Volume+dataProd1Seg3Payer3Volume)/(dataProd1Seg3Payer1TotalVolume+dataProd1Seg3Payer2TotalVolume+dataProd1Seg3Payer3TotalVolume)</f>
        <v>3.116883116883116E-3</v>
      </c>
      <c r="E799" s="511">
        <f>(dataProd1Seg3Payer1Volume+dataProd1Seg3Payer2Volume+dataProd1Seg3Payer3Volume)/(dataProd1Seg3Payer1TotalVolume+dataProd1Seg3Payer2TotalVolume+dataProd1Seg3Payer3TotalVolume)</f>
        <v>2.9268292682926834E-3</v>
      </c>
      <c r="F799" s="511">
        <f>(dataProd1Seg3Payer1Volume+dataProd1Seg3Payer2Volume+dataProd1Seg3Payer3Volume)/(dataProd1Seg3Payer1TotalVolume+dataProd1Seg3Payer2TotalVolume+dataProd1Seg3Payer3TotalVolume)</f>
        <v>2.8571428571428567E-3</v>
      </c>
      <c r="G799" t="s">
        <v>3790</v>
      </c>
    </row>
    <row r="801" spans="2:7">
      <c r="B801" t="s">
        <v>841</v>
      </c>
      <c r="C801" s="511">
        <f>(dataProd1Seg1TotalVolume+dataProd1Seg2TotalVolume+dataProd1Seg3TotalVolume)/(dataProd1Payer1TotalVolume+dataProd1Payer2TotalVolume+dataProd1Payer3TotalVolume)</f>
        <v>3.2236400268636669E-3</v>
      </c>
      <c r="D801" s="511">
        <f>(dataProd1Seg1TotalVolume+dataProd1Seg2TotalVolume+dataProd1Seg3TotalVolume)/(dataProd1Payer1TotalVolume+dataProd1Payer2TotalVolume+dataProd1Payer3TotalVolume)</f>
        <v>3.2236400268636669E-3</v>
      </c>
      <c r="E801" s="511">
        <f>(dataProd1Seg1TotalVolume+dataProd1Seg2TotalVolume+dataProd1Seg3TotalVolume)/(dataProd1Payer1TotalVolume+dataProd1Payer2TotalVolume+dataProd1Payer3TotalVolume)</f>
        <v>3.1695030633083726E-3</v>
      </c>
      <c r="F801" s="511">
        <f>(dataProd1Seg1TotalVolume+dataProd1Seg2TotalVolume+dataProd1Seg3TotalVolume)/(dataProd1Payer1TotalVolume+dataProd1Payer2TotalVolume+dataProd1Payer3TotalVolume)</f>
        <v>3.1513988830325903E-3</v>
      </c>
      <c r="G801" t="s">
        <v>3794</v>
      </c>
    </row>
    <row r="803" spans="2:7">
      <c r="B803" t="str">
        <f>nmReg1Seg1</f>
        <v>Riverrun</v>
      </c>
      <c r="C803" s="511">
        <f>(dataReg1Seg1Payer1Volume+dataReg1Seg1Payer2Volume+dataReg1Seg1Payer3Volume)/(dataReg1Seg1Payer1TotalVolume+dataReg1Seg1Payer2TotalVolume+dataReg1Seg1Payer3TotalVolume)</f>
        <v>3.2432432432432435E-3</v>
      </c>
      <c r="D803" s="511">
        <f>(dataReg1Seg1Payer1Volume+dataReg1Seg1Payer2Volume+dataReg1Seg1Payer3Volume)/(dataReg1Seg1Payer1TotalVolume+dataReg1Seg1Payer2TotalVolume+dataReg1Seg1Payer3TotalVolume)</f>
        <v>3.2432432432432426E-3</v>
      </c>
      <c r="E803" s="511">
        <f>(dataReg1Seg1Payer1Volume+dataReg1Seg1Payer2Volume+dataReg1Seg1Payer3Volume)/(dataReg1Seg1Payer1TotalVolume+dataReg1Seg1Payer2TotalVolume+dataReg1Seg1Payer3TotalVolume)</f>
        <v>3.2432432432432435E-3</v>
      </c>
      <c r="F803" s="511">
        <f>(dataReg1Seg1Payer1Volume+dataReg1Seg1Payer2Volume+dataReg1Seg1Payer3Volume)/(dataReg1Seg1Payer1TotalVolume+dataReg1Seg1Payer2TotalVolume+dataReg1Seg1Payer3TotalVolume)</f>
        <v>3.2432432432432422E-3</v>
      </c>
      <c r="G803" t="s">
        <v>3791</v>
      </c>
    </row>
    <row r="804" spans="2:7">
      <c r="B804" t="str">
        <f>nmReg1Seg2</f>
        <v>Winterfell</v>
      </c>
      <c r="C804" s="511">
        <f>(dataReg1Seg2Payer1Volume+dataReg1Seg2Payer2Volume+dataReg1Seg2Payer3Volume)/(dataReg1Seg2Payer1TotalVolume+dataReg1Seg2Payer2TotalVolume+dataReg1Seg2Payer3TotalVolume)</f>
        <v>4.0000000000000001E-3</v>
      </c>
      <c r="D804" s="511">
        <f>(dataReg1Seg2Payer1Volume+dataReg1Seg2Payer2Volume+dataReg1Seg2Payer3Volume)/(dataReg1Seg2Payer1TotalVolume+dataReg1Seg2Payer2TotalVolume+dataReg1Seg2Payer3TotalVolume)</f>
        <v>4.0000000000000001E-3</v>
      </c>
      <c r="E804" s="511">
        <f>(dataReg1Seg2Payer1Volume+dataReg1Seg2Payer2Volume+dataReg1Seg2Payer3Volume)/(dataReg1Seg2Payer1TotalVolume+dataReg1Seg2Payer2TotalVolume+dataReg1Seg2Payer3TotalVolume)</f>
        <v>4.0000000000000001E-3</v>
      </c>
      <c r="F804" s="511">
        <f>(dataReg1Seg2Payer1Volume+dataReg1Seg2Payer2Volume+dataReg1Seg2Payer3Volume)/(dataReg1Seg2Payer1TotalVolume+dataReg1Seg2Payer2TotalVolume+dataReg1Seg2Payer3TotalVolume)</f>
        <v>4.0000000000000001E-3</v>
      </c>
      <c r="G804" t="s">
        <v>3792</v>
      </c>
    </row>
    <row r="805" spans="2:7">
      <c r="B805" t="str">
        <f>nmReg1Seg3</f>
        <v>Harrenhal</v>
      </c>
      <c r="C805" s="511">
        <f>(dataReg1Seg3Payer1Volume+dataReg1Seg3Payer2Volume+dataReg1Seg3Payer3Volume)/(dataReg1Seg3Payer1TotalVolume+dataReg1Seg3Payer2TotalVolume+dataReg1Seg3Payer3TotalVolume)</f>
        <v>3.18840579710145E-3</v>
      </c>
      <c r="D805" s="511">
        <f>(dataReg1Seg3Payer1Volume+dataReg1Seg3Payer2Volume+dataReg1Seg3Payer3Volume)/(dataReg1Seg3Payer1TotalVolume+dataReg1Seg3Payer2TotalVolume+dataReg1Seg3Payer3TotalVolume)</f>
        <v>3.1884057971014496E-3</v>
      </c>
      <c r="E805" s="511">
        <f>(dataReg1Seg3Payer1Volume+dataReg1Seg3Payer2Volume+dataReg1Seg3Payer3Volume)/(dataReg1Seg3Payer1TotalVolume+dataReg1Seg3Payer2TotalVolume+dataReg1Seg3Payer3TotalVolume)</f>
        <v>3.1884057971014491E-3</v>
      </c>
      <c r="F805" s="511">
        <f>(dataReg1Seg3Payer1Volume+dataReg1Seg3Payer2Volume+dataReg1Seg3Payer3Volume)/(dataReg1Seg3Payer1TotalVolume+dataReg1Seg3Payer2TotalVolume+dataReg1Seg3Payer3TotalVolume)</f>
        <v>3.1884057971014496E-3</v>
      </c>
      <c r="G805" t="s">
        <v>3793</v>
      </c>
    </row>
    <row r="807" spans="2:7">
      <c r="B807" t="s">
        <v>841</v>
      </c>
      <c r="C807" s="511">
        <f>(dataReg1Seg1TotalVolume+dataReg1Seg2TotalVolume+dataReg1Seg3TotalVolume)/(dataReg1Payer1TotalVolume+dataReg1Payer2TotalVolume+dataReg1Payer3TotalVolume)</f>
        <v>3.4354762713991191E-3</v>
      </c>
      <c r="D807" s="511">
        <f>(dataReg1Seg1TotalVolume+dataReg1Seg2TotalVolume+dataReg1Seg3TotalVolume)/(dataReg1Payer1TotalVolume+dataReg1Payer2TotalVolume+dataReg1Payer3TotalVolume)</f>
        <v>3.4354762713991183E-3</v>
      </c>
      <c r="E807" s="511">
        <f>(dataReg1Seg1TotalVolume+dataReg1Seg2TotalVolume+dataReg1Seg3TotalVolume)/(dataReg1Payer1TotalVolume+dataReg1Payer2TotalVolume+dataReg1Payer3TotalVolume)</f>
        <v>3.4392551920407995E-3</v>
      </c>
      <c r="F807" s="511">
        <f>(dataReg1Seg1TotalVolume+dataReg1Seg2TotalVolume+dataReg1Seg3TotalVolume)/(dataReg1Payer1TotalVolume+dataReg1Payer2TotalVolume+dataReg1Payer3TotalVolume)</f>
        <v>3.4407316834230458E-3</v>
      </c>
      <c r="G807" t="s">
        <v>3795</v>
      </c>
    </row>
    <row r="809" spans="2:7">
      <c r="B809" s="4" t="str">
        <f>nmComp1</f>
        <v>Vibrant</v>
      </c>
    </row>
    <row r="810" spans="2:7">
      <c r="B810" t="str">
        <f>nmProd1Seg1</f>
        <v>Riverrun Central</v>
      </c>
      <c r="C810" s="511">
        <f>(dataProd1Seg1Comp1Payer1Volume+dataProd1Seg1Comp1Payer2Volume+dataProd1Seg1Comp1Payer3Volume)/(dataProd1Seg1Payer1TotalVolume+dataProd1Seg1Payer2TotalVolume+dataProd1Seg1Payer3TotalVolume)</f>
        <v>9.1999999999999981E-3</v>
      </c>
      <c r="D810" s="511">
        <f>(dataProd1Seg1Comp1Payer1Volume+dataProd1Seg1Comp1Payer2Volume+dataProd1Seg1Comp1Payer3Volume)/(dataProd1Seg1Payer1TotalVolume+dataProd1Seg1Payer2TotalVolume+dataProd1Seg1Payer3TotalVolume)</f>
        <v>9.1999999999999998E-3</v>
      </c>
      <c r="E810" s="511">
        <f>(dataProd1Seg1Comp1Payer1Volume+dataProd1Seg1Comp1Payer2Volume+dataProd1Seg1Comp1Payer3Volume)/(dataProd1Seg1Payer1TotalVolume+dataProd1Seg1Payer2TotalVolume+dataProd1Seg1Payer3TotalVolume)</f>
        <v>9.1999999999999998E-3</v>
      </c>
      <c r="F810" s="511">
        <f>(dataProd1Seg1Comp1Payer1Volume+dataProd1Seg1Comp1Payer2Volume+dataProd1Seg1Comp1Payer3Volume)/(dataProd1Seg1Payer1TotalVolume+dataProd1Seg1Payer2TotalVolume+dataProd1Seg1Payer3TotalVolume)</f>
        <v>9.1999999999999998E-3</v>
      </c>
      <c r="G810" t="s">
        <v>3839</v>
      </c>
    </row>
    <row r="811" spans="2:7">
      <c r="B811" t="str">
        <f>nmProd1Seg2</f>
        <v>Tullyville</v>
      </c>
      <c r="C811" s="511">
        <f>(dataProd1Seg2Comp1Payer1Volume+dataProd1Seg2Comp1Payer2Volume+dataProd1Seg2Comp1Payer3Volume)/(dataProd1Seg2Payer1TotalVolume+dataProd1Seg2Payer2TotalVolume+dataProd1Seg2Payer3TotalVolume)</f>
        <v>9.5833333333333326E-3</v>
      </c>
      <c r="D811" s="511">
        <f>(dataProd1Seg2Comp1Payer1Volume+dataProd1Seg2Comp1Payer2Volume+dataProd1Seg2Comp1Payer3Volume)/(dataProd1Seg2Payer1TotalVolume+dataProd1Seg2Payer2TotalVolume+dataProd1Seg2Payer3TotalVolume)</f>
        <v>9.5833333333333343E-3</v>
      </c>
      <c r="E811" s="511">
        <f>(dataProd1Seg2Comp1Payer1Volume+dataProd1Seg2Comp1Payer2Volume+dataProd1Seg2Comp1Payer3Volume)/(dataProd1Seg2Payer1TotalVolume+dataProd1Seg2Payer2TotalVolume+dataProd1Seg2Payer3TotalVolume)</f>
        <v>9.5833333333333343E-3</v>
      </c>
      <c r="F811" s="511">
        <f>(dataProd1Seg2Comp1Payer1Volume+dataProd1Seg2Comp1Payer2Volume+dataProd1Seg2Comp1Payer3Volume)/(dataProd1Seg2Payer1TotalVolume+dataProd1Seg2Payer2TotalVolume+dataProd1Seg2Payer3TotalVolume)</f>
        <v>9.5833333333333326E-3</v>
      </c>
      <c r="G811" t="s">
        <v>3840</v>
      </c>
    </row>
    <row r="812" spans="2:7">
      <c r="B812" t="str">
        <f>nmProd1Seg3</f>
        <v>Lordfrey City</v>
      </c>
      <c r="C812" s="511">
        <f>(dataProd1Seg3Comp1Payer1Volume+dataProd1Seg3Comp1Payer2Volume+dataProd1Seg3Comp1Payer3Volume)/(dataProd1Seg3Payer1TotalVolume+dataProd1Seg3Payer2TotalVolume+dataProd1Seg3Payer3TotalVolume)</f>
        <v>8.9610389610389595E-3</v>
      </c>
      <c r="D812" s="511">
        <f>(dataProd1Seg3Comp1Payer1Volume+dataProd1Seg3Comp1Payer2Volume+dataProd1Seg3Comp1Payer3Volume)/(dataProd1Seg3Payer1TotalVolume+dataProd1Seg3Payer2TotalVolume+dataProd1Seg3Payer3TotalVolume)</f>
        <v>8.9610389610389578E-3</v>
      </c>
      <c r="E812" s="511">
        <f>(dataProd1Seg3Comp1Payer1Volume+dataProd1Seg3Comp1Payer2Volume+dataProd1Seg3Comp1Payer3Volume)/(dataProd1Seg3Payer1TotalVolume+dataProd1Seg3Payer2TotalVolume+dataProd1Seg3Payer3TotalVolume)</f>
        <v>8.4146341463414639E-3</v>
      </c>
      <c r="F812" s="511">
        <f>(dataProd1Seg3Comp1Payer1Volume+dataProd1Seg3Comp1Payer2Volume+dataProd1Seg3Comp1Payer3Volume)/(dataProd1Seg3Payer1TotalVolume+dataProd1Seg3Payer2TotalVolume+dataProd1Seg3Payer3TotalVolume)</f>
        <v>8.2142857142857156E-3</v>
      </c>
      <c r="G812" t="s">
        <v>3841</v>
      </c>
    </row>
    <row r="814" spans="2:7">
      <c r="B814" t="s">
        <v>841</v>
      </c>
      <c r="C814" s="511">
        <f>(dataProd1Seg1Comp1TotalVolume+dataProd1Seg2Comp1TotalVolume+dataProd1Seg3Comp1TotalVolume)/(dataProd1Payer1TotalVolume+dataProd1Payer2TotalVolume+dataProd1Payer3TotalVolume)</f>
        <v>9.2679650772330407E-3</v>
      </c>
      <c r="D814" s="511">
        <f>(dataProd1Seg1Comp1TotalVolume+dataProd1Seg2Comp1TotalVolume+dataProd1Seg3Comp1TotalVolume)/(dataProd1Payer1TotalVolume+dataProd1Payer2TotalVolume+dataProd1Payer3TotalVolume)</f>
        <v>9.2679650772330407E-3</v>
      </c>
      <c r="E814" s="511">
        <f>(dataProd1Seg1Comp1TotalVolume+dataProd1Seg2Comp1TotalVolume+dataProd1Seg3Comp1TotalVolume)/(dataProd1Payer1TotalVolume+dataProd1Payer2TotalVolume+dataProd1Payer3TotalVolume)</f>
        <v>9.112321307011572E-3</v>
      </c>
      <c r="F814" s="511">
        <f>(dataProd1Seg1Comp1TotalVolume+dataProd1Seg2Comp1TotalVolume+dataProd1Seg3Comp1TotalVolume)/(dataProd1Payer1TotalVolume+dataProd1Payer2TotalVolume+dataProd1Payer3TotalVolume)</f>
        <v>9.0602717887186962E-3</v>
      </c>
      <c r="G814" t="s">
        <v>3842</v>
      </c>
    </row>
    <row r="816" spans="2:7">
      <c r="B816" s="4" t="str">
        <f>nmComp2</f>
        <v>Pristine</v>
      </c>
    </row>
    <row r="817" spans="2:7">
      <c r="B817" t="str">
        <f>nmProd1Seg1</f>
        <v>Riverrun Central</v>
      </c>
      <c r="C817" s="511">
        <f>(dataProd1Seg1Comp2Payer1Volume+dataProd1Seg1Comp2Payer2Volume+dataProd1Seg1Comp2Payer3Volume)/(dataProd1Seg1Payer1TotalVolume+dataProd1Seg1Payer2TotalVolume+dataProd1Seg1Payer3TotalVolume)</f>
        <v>2.4533333333333334E-2</v>
      </c>
      <c r="D817" s="511">
        <f>(dataProd1Seg1Comp2Payer1Volume+dataProd1Seg1Comp2Payer2Volume+dataProd1Seg1Comp2Payer3Volume)/(dataProd1Seg1Payer1TotalVolume+dataProd1Seg1Payer2TotalVolume+dataProd1Seg1Payer3TotalVolume)</f>
        <v>2.4533333333333334E-2</v>
      </c>
      <c r="E817" s="511">
        <f>(dataProd1Seg1Comp2Payer1Volume+dataProd1Seg1Comp2Payer2Volume+dataProd1Seg1Comp2Payer3Volume)/(dataProd1Seg1Payer1TotalVolume+dataProd1Seg1Payer2TotalVolume+dataProd1Seg1Payer3TotalVolume)</f>
        <v>2.4533333333333334E-2</v>
      </c>
      <c r="F817" s="511">
        <f>(dataProd1Seg1Comp2Payer1Volume+dataProd1Seg1Comp2Payer2Volume+dataProd1Seg1Comp2Payer3Volume)/(dataProd1Seg1Payer1TotalVolume+dataProd1Seg1Payer2TotalVolume+dataProd1Seg1Payer3TotalVolume)</f>
        <v>2.4533333333333334E-2</v>
      </c>
      <c r="G817" t="s">
        <v>3843</v>
      </c>
    </row>
    <row r="818" spans="2:7">
      <c r="B818" t="str">
        <f>nmProd1Seg2</f>
        <v>Tullyville</v>
      </c>
      <c r="C818" s="511">
        <f>(dataProd1Seg2Comp2Payer1Volume+dataProd1Seg2Comp2Payer2Volume+dataProd1Seg2Comp2Payer3Volume)/(dataProd1Seg2Payer1TotalVolume+dataProd1Seg2Payer2TotalVolume+dataProd1Seg2Payer3TotalVolume)</f>
        <v>2.5555555555555557E-2</v>
      </c>
      <c r="D818" s="511">
        <f>(dataProd1Seg2Comp2Payer1Volume+dataProd1Seg2Comp2Payer2Volume+dataProd1Seg2Comp2Payer3Volume)/(dataProd1Seg2Payer1TotalVolume+dataProd1Seg2Payer2TotalVolume+dataProd1Seg2Payer3TotalVolume)</f>
        <v>2.5555555555555557E-2</v>
      </c>
      <c r="E818" s="511">
        <f>(dataProd1Seg2Comp2Payer1Volume+dataProd1Seg2Comp2Payer2Volume+dataProd1Seg2Comp2Payer3Volume)/(dataProd1Seg2Payer1TotalVolume+dataProd1Seg2Payer2TotalVolume+dataProd1Seg2Payer3TotalVolume)</f>
        <v>2.5555555555555557E-2</v>
      </c>
      <c r="F818" s="511">
        <f>(dataProd1Seg2Comp2Payer1Volume+dataProd1Seg2Comp2Payer2Volume+dataProd1Seg2Comp2Payer3Volume)/(dataProd1Seg2Payer1TotalVolume+dataProd1Seg2Payer2TotalVolume+dataProd1Seg2Payer3TotalVolume)</f>
        <v>2.5555555555555557E-2</v>
      </c>
      <c r="G818" t="s">
        <v>3844</v>
      </c>
    </row>
    <row r="819" spans="2:7">
      <c r="B819" t="str">
        <f>nmProd1Seg3</f>
        <v>Lordfrey City</v>
      </c>
      <c r="C819" s="511">
        <f>(dataProd1Seg3Comp2Payer1Volume+dataProd1Seg3Comp2Payer2Volume+dataProd1Seg3Comp2Payer3Volume)/(dataProd1Seg3Payer1TotalVolume+dataProd1Seg3Payer2TotalVolume+dataProd1Seg3Payer3TotalVolume)</f>
        <v>2.3896103896103894E-2</v>
      </c>
      <c r="D819" s="511">
        <f>(dataProd1Seg3Comp2Payer1Volume+dataProd1Seg3Comp2Payer2Volume+dataProd1Seg3Comp2Payer3Volume)/(dataProd1Seg3Payer1TotalVolume+dataProd1Seg3Payer2TotalVolume+dataProd1Seg3Payer3TotalVolume)</f>
        <v>2.3896103896103894E-2</v>
      </c>
      <c r="E819" s="511">
        <f>(dataProd1Seg3Comp2Payer1Volume+dataProd1Seg3Comp2Payer2Volume+dataProd1Seg3Comp2Payer3Volume)/(dataProd1Seg3Payer1TotalVolume+dataProd1Seg3Payer2TotalVolume+dataProd1Seg3Payer3TotalVolume)</f>
        <v>2.2439024390243905E-2</v>
      </c>
      <c r="F819" s="511">
        <f>(dataProd1Seg3Comp2Payer1Volume+dataProd1Seg3Comp2Payer2Volume+dataProd1Seg3Comp2Payer3Volume)/(dataProd1Seg3Payer1TotalVolume+dataProd1Seg3Payer2TotalVolume+dataProd1Seg3Payer3TotalVolume)</f>
        <v>2.1904761904761906E-2</v>
      </c>
      <c r="G819" t="s">
        <v>3845</v>
      </c>
    </row>
    <row r="821" spans="2:7">
      <c r="B821" t="s">
        <v>841</v>
      </c>
      <c r="C821" s="511">
        <f>(dataProd1Seg1Comp2TotalVolume+dataProd1Seg2Comp2TotalVolume+dataProd1Seg3Comp2TotalVolume)/(dataProd1Payer1TotalVolume+dataProd1Payer2TotalVolume+dataProd1Payer3TotalVolume)</f>
        <v>2.4714573539288114E-2</v>
      </c>
      <c r="D821" s="511">
        <f>(dataProd1Seg1Comp2TotalVolume+dataProd1Seg2Comp2TotalVolume+dataProd1Seg3Comp2TotalVolume)/(dataProd1Payer1TotalVolume+dataProd1Payer2TotalVolume+dataProd1Payer3TotalVolume)</f>
        <v>2.4714573539288114E-2</v>
      </c>
      <c r="E821" s="511">
        <f>(dataProd1Seg1Comp2TotalVolume+dataProd1Seg2Comp2TotalVolume+dataProd1Seg3Comp2TotalVolume)/(dataProd1Payer1TotalVolume+dataProd1Payer2TotalVolume+dataProd1Payer3TotalVolume)</f>
        <v>2.4299523485364193E-2</v>
      </c>
      <c r="F821" s="511">
        <f>(dataProd1Seg1Comp2TotalVolume+dataProd1Seg2Comp2TotalVolume+dataProd1Seg3Comp2TotalVolume)/(dataProd1Payer1TotalVolume+dataProd1Payer2TotalVolume+dataProd1Payer3TotalVolume)</f>
        <v>2.4160724769916528E-2</v>
      </c>
      <c r="G821" t="s">
        <v>3846</v>
      </c>
    </row>
    <row r="823" spans="2:7">
      <c r="B823" s="4" t="str">
        <f>nmComp1</f>
        <v>Vibrant</v>
      </c>
    </row>
    <row r="824" spans="2:7">
      <c r="B824" t="str">
        <f>nmReg1Seg1</f>
        <v>Riverrun</v>
      </c>
      <c r="C824" s="511">
        <f>(dataReg1Seg1Comp1Payer1Volume+dataReg1Seg1Comp1Payer2Volume+dataReg1Seg1Comp1Payer3Volume)/(dataReg1Seg1Payer1TotalVolume+dataReg1Seg1Payer2TotalVolume+dataReg1Seg1Payer3TotalVolume)</f>
        <v>9.3243243243243245E-3</v>
      </c>
      <c r="D824" s="511">
        <f>(dataReg1Seg1Comp1Payer1Volume+dataReg1Seg1Comp1Payer2Volume+dataReg1Seg1Comp1Payer3Volume)/(dataReg1Seg1Payer1TotalVolume+dataReg1Seg1Payer2TotalVolume+dataReg1Seg1Payer3TotalVolume)</f>
        <v>9.3243243243243228E-3</v>
      </c>
      <c r="E824" s="511">
        <f>(dataReg1Seg1Comp1Payer1Volume+dataReg1Seg1Comp1Payer2Volume+dataReg1Seg1Comp1Payer3Volume)/(dataReg1Seg1Payer1TotalVolume+dataReg1Seg1Payer2TotalVolume+dataReg1Seg1Payer3TotalVolume)</f>
        <v>9.3243243243243245E-3</v>
      </c>
      <c r="F824" s="511">
        <f>(dataReg1Seg1Comp1Payer1Volume+dataReg1Seg1Comp1Payer2Volume+dataReg1Seg1Comp1Payer3Volume)/(dataReg1Seg1Payer1TotalVolume+dataReg1Seg1Payer2TotalVolume+dataReg1Seg1Payer3TotalVolume)</f>
        <v>9.3243243243243245E-3</v>
      </c>
      <c r="G824" t="s">
        <v>3847</v>
      </c>
    </row>
    <row r="825" spans="2:7">
      <c r="B825" t="str">
        <f>nmReg1Seg2</f>
        <v>Winterfell</v>
      </c>
      <c r="C825" s="511">
        <f>(dataReg1Seg2Comp1Payer1Volume+dataReg1Seg2Comp1Payer2Volume+dataReg1Seg2Comp1Payer3Volume)/(dataReg1Seg2Payer1TotalVolume+dataReg1Seg2Payer2TotalVolume+dataReg1Seg2Payer3TotalVolume)</f>
        <v>8.624999999999999E-3</v>
      </c>
      <c r="D825" s="511">
        <f>(dataReg1Seg2Comp1Payer1Volume+dataReg1Seg2Comp1Payer2Volume+dataReg1Seg2Comp1Payer3Volume)/(dataReg1Seg2Payer1TotalVolume+dataReg1Seg2Payer2TotalVolume+dataReg1Seg2Payer3TotalVolume)</f>
        <v>8.624999999999999E-3</v>
      </c>
      <c r="E825" s="511">
        <f>(dataReg1Seg2Comp1Payer1Volume+dataReg1Seg2Comp1Payer2Volume+dataReg1Seg2Comp1Payer3Volume)/(dataReg1Seg2Payer1TotalVolume+dataReg1Seg2Payer2TotalVolume+dataReg1Seg2Payer3TotalVolume)</f>
        <v>8.624999999999999E-3</v>
      </c>
      <c r="F825" s="511">
        <f>(dataReg1Seg2Comp1Payer1Volume+dataReg1Seg2Comp1Payer2Volume+dataReg1Seg2Comp1Payer3Volume)/(dataReg1Seg2Payer1TotalVolume+dataReg1Seg2Payer2TotalVolume+dataReg1Seg2Payer3TotalVolume)</f>
        <v>8.624999999999999E-3</v>
      </c>
      <c r="G825" t="s">
        <v>3848</v>
      </c>
    </row>
    <row r="826" spans="2:7">
      <c r="B826" t="str">
        <f>nmReg1Seg3</f>
        <v>Harrenhal</v>
      </c>
      <c r="C826" s="511">
        <f>(dataReg1Seg3Comp1Payer1Volume+dataReg1Seg3Comp1Payer2Volume+dataReg1Seg3Comp1Payer3Volume)/(dataReg1Seg3Payer1TotalVolume+dataReg1Seg3Payer2TotalVolume+dataReg1Seg3Payer3TotalVolume)</f>
        <v>1.0000000000000002E-2</v>
      </c>
      <c r="D826" s="511">
        <f>(dataReg1Seg3Comp1Payer1Volume+dataReg1Seg3Comp1Payer2Volume+dataReg1Seg3Comp1Payer3Volume)/(dataReg1Seg3Payer1TotalVolume+dataReg1Seg3Payer2TotalVolume+dataReg1Seg3Payer3TotalVolume)</f>
        <v>1.0000000000000002E-2</v>
      </c>
      <c r="E826" s="511">
        <f>(dataReg1Seg3Comp1Payer1Volume+dataReg1Seg3Comp1Payer2Volume+dataReg1Seg3Comp1Payer3Volume)/(dataReg1Seg3Payer1TotalVolume+dataReg1Seg3Payer2TotalVolume+dataReg1Seg3Payer3TotalVolume)</f>
        <v>0.01</v>
      </c>
      <c r="F826" s="511">
        <f>(dataReg1Seg3Comp1Payer1Volume+dataReg1Seg3Comp1Payer2Volume+dataReg1Seg3Comp1Payer3Volume)/(dataReg1Seg3Payer1TotalVolume+dataReg1Seg3Payer2TotalVolume+dataReg1Seg3Payer3TotalVolume)</f>
        <v>0.01</v>
      </c>
      <c r="G826" t="s">
        <v>3849</v>
      </c>
    </row>
    <row r="828" spans="2:7">
      <c r="B828" t="s">
        <v>841</v>
      </c>
      <c r="C828" s="511">
        <f>(dataReg1Seg1Comp1TotalVolume+dataReg1Seg2Comp1TotalVolume+dataReg1Seg3Comp1TotalVolume)/(dataReg1Payer1TotalVolume+dataReg1Payer2TotalVolume+dataReg1Payer3TotalVolume)</f>
        <v>9.3798929929805996E-3</v>
      </c>
      <c r="D828" s="511">
        <f>(dataReg1Seg1Comp1TotalVolume+dataReg1Seg2Comp1TotalVolume+dataReg1Seg3Comp1TotalVolume)/(dataReg1Payer1TotalVolume+dataReg1Payer2TotalVolume+dataReg1Payer3TotalVolume)</f>
        <v>9.3798929929805978E-3</v>
      </c>
      <c r="E828" s="511">
        <f>(dataReg1Seg1Comp1TotalVolume+dataReg1Seg2Comp1TotalVolume+dataReg1Seg3Comp1TotalVolume)/(dataReg1Payer1TotalVolume+dataReg1Payer2TotalVolume+dataReg1Payer3TotalVolume)</f>
        <v>9.3809853629600454E-3</v>
      </c>
      <c r="F828" s="511">
        <f>(dataReg1Seg1Comp1TotalVolume+dataReg1Seg2Comp1TotalVolume+dataReg1Seg3Comp1TotalVolume)/(dataReg1Payer1TotalVolume+dataReg1Payer2TotalVolume+dataReg1Payer3TotalVolume)</f>
        <v>9.3814121713039662E-3</v>
      </c>
      <c r="G828" t="s">
        <v>3850</v>
      </c>
    </row>
    <row r="830" spans="2:7">
      <c r="B830" s="4" t="str">
        <f>nmComp2</f>
        <v>Pristine</v>
      </c>
    </row>
    <row r="831" spans="2:7">
      <c r="B831" t="str">
        <f>nmReg1Seg1</f>
        <v>Riverrun</v>
      </c>
      <c r="C831" s="511">
        <f>(dataReg1Seg1Comp2Payer1Volume+dataReg1Seg1Comp2Payer2Volume+dataReg1Seg1Comp2Payer3Volume)/(dataReg1Seg1Payer1TotalVolume+dataReg1Seg1Payer2TotalVolume+dataReg1Seg1Payer3TotalVolume)</f>
        <v>2.4864864864864864E-2</v>
      </c>
      <c r="D831" s="511">
        <f>(dataReg1Seg1Comp2Payer1Volume+dataReg1Seg1Comp2Payer2Volume+dataReg1Seg1Comp2Payer3Volume)/(dataReg1Seg1Payer1TotalVolume+dataReg1Seg1Payer2TotalVolume+dataReg1Seg1Payer3TotalVolume)</f>
        <v>2.4864864864864868E-2</v>
      </c>
      <c r="E831" s="511">
        <f>(dataReg1Seg1Comp2Payer1Volume+dataReg1Seg1Comp2Payer2Volume+dataReg1Seg1Comp2Payer3Volume)/(dataReg1Seg1Payer1TotalVolume+dataReg1Seg1Payer2TotalVolume+dataReg1Seg1Payer3TotalVolume)</f>
        <v>2.4864864864864864E-2</v>
      </c>
      <c r="F831" s="511">
        <f>(dataReg1Seg1Comp2Payer1Volume+dataReg1Seg1Comp2Payer2Volume+dataReg1Seg1Comp2Payer3Volume)/(dataReg1Seg1Payer1TotalVolume+dataReg1Seg1Payer2TotalVolume+dataReg1Seg1Payer3TotalVolume)</f>
        <v>2.4864864864864864E-2</v>
      </c>
      <c r="G831" t="s">
        <v>3851</v>
      </c>
    </row>
    <row r="832" spans="2:7">
      <c r="B832" t="str">
        <f>nmReg1Seg2</f>
        <v>Winterfell</v>
      </c>
      <c r="C832" s="511">
        <f>(dataReg1Seg2Comp2Payer1Volume+dataReg1Seg2Comp2Payer2Volume+dataReg1Seg2Comp2Payer3Volume)/(dataReg1Seg2Payer1TotalVolume+dataReg1Seg2Payer2TotalVolume+dataReg1Seg2Payer3TotalVolume)</f>
        <v>2.3E-2</v>
      </c>
      <c r="D832" s="511">
        <f>(dataReg1Seg2Comp2Payer1Volume+dataReg1Seg2Comp2Payer2Volume+dataReg1Seg2Comp2Payer3Volume)/(dataReg1Seg2Payer1TotalVolume+dataReg1Seg2Payer2TotalVolume+dataReg1Seg2Payer3TotalVolume)</f>
        <v>2.3E-2</v>
      </c>
      <c r="E832" s="511">
        <f>(dataReg1Seg2Comp2Payer1Volume+dataReg1Seg2Comp2Payer2Volume+dataReg1Seg2Comp2Payer3Volume)/(dataReg1Seg2Payer1TotalVolume+dataReg1Seg2Payer2TotalVolume+dataReg1Seg2Payer3TotalVolume)</f>
        <v>2.3E-2</v>
      </c>
      <c r="F832" s="511">
        <f>(dataReg1Seg2Comp2Payer1Volume+dataReg1Seg2Comp2Payer2Volume+dataReg1Seg2Comp2Payer3Volume)/(dataReg1Seg2Payer1TotalVolume+dataReg1Seg2Payer2TotalVolume+dataReg1Seg2Payer3TotalVolume)</f>
        <v>2.3000000000000003E-2</v>
      </c>
      <c r="G832" t="s">
        <v>3852</v>
      </c>
    </row>
    <row r="833" spans="2:7">
      <c r="B833" t="str">
        <f>nmReg1Seg3</f>
        <v>Harrenhal</v>
      </c>
      <c r="C833" s="511">
        <f>(dataReg1Seg3Comp2Payer1Volume+dataReg1Seg3Comp2Payer2Volume+dataReg1Seg3Comp2Payer3Volume)/(dataReg1Seg3Payer1TotalVolume+dataReg1Seg3Payer2TotalVolume+dataReg1Seg3Payer3TotalVolume)</f>
        <v>2.6666666666666672E-2</v>
      </c>
      <c r="D833" s="511">
        <f>(dataReg1Seg3Comp2Payer1Volume+dataReg1Seg3Comp2Payer2Volume+dataReg1Seg3Comp2Payer3Volume)/(dataReg1Seg3Payer1TotalVolume+dataReg1Seg3Payer2TotalVolume+dataReg1Seg3Payer3TotalVolume)</f>
        <v>2.6666666666666672E-2</v>
      </c>
      <c r="E833" s="511">
        <f>(dataReg1Seg3Comp2Payer1Volume+dataReg1Seg3Comp2Payer2Volume+dataReg1Seg3Comp2Payer3Volume)/(dataReg1Seg3Payer1TotalVolume+dataReg1Seg3Payer2TotalVolume+dataReg1Seg3Payer3TotalVolume)</f>
        <v>2.6666666666666672E-2</v>
      </c>
      <c r="F833" s="511">
        <f>(dataReg1Seg3Comp2Payer1Volume+dataReg1Seg3Comp2Payer2Volume+dataReg1Seg3Comp2Payer3Volume)/(dataReg1Seg3Payer1TotalVolume+dataReg1Seg3Payer2TotalVolume+dataReg1Seg3Payer3TotalVolume)</f>
        <v>2.6666666666666668E-2</v>
      </c>
      <c r="G833" t="s">
        <v>3853</v>
      </c>
    </row>
    <row r="835" spans="2:7">
      <c r="B835" t="s">
        <v>841</v>
      </c>
      <c r="C835" s="511">
        <f>(dataReg1Seg1Comp2TotalVolume+dataReg1Seg2Comp2TotalVolume+dataReg1Seg3Comp2TotalVolume)/(dataReg1Payer1TotalVolume+dataReg1Payer2TotalVolume+dataReg1Payer3TotalVolume)</f>
        <v>2.5013047981281594E-2</v>
      </c>
      <c r="D835" s="511">
        <f>(dataReg1Seg1Comp2TotalVolume+dataReg1Seg2Comp2TotalVolume+dataReg1Seg3Comp2TotalVolume)/(dataReg1Payer1TotalVolume+dataReg1Payer2TotalVolume+dataReg1Payer3TotalVolume)</f>
        <v>2.5013047981281594E-2</v>
      </c>
      <c r="E835" s="511">
        <f>(dataReg1Seg1Comp2TotalVolume+dataReg1Seg2Comp2TotalVolume+dataReg1Seg3Comp2TotalVolume)/(dataReg1Payer1TotalVolume+dataReg1Payer2TotalVolume+dataReg1Payer3TotalVolume)</f>
        <v>2.501596096789346E-2</v>
      </c>
      <c r="F835" s="511">
        <f>(dataReg1Seg1Comp2TotalVolume+dataReg1Seg2Comp2TotalVolume+dataReg1Seg3Comp2TotalVolume)/(dataReg1Payer1TotalVolume+dataReg1Payer2TotalVolume+dataReg1Payer3TotalVolume)</f>
        <v>2.5017099123477243E-2</v>
      </c>
      <c r="G835" t="s">
        <v>3854</v>
      </c>
    </row>
  </sheetData>
  <dataValidations disablePrompts="1" count="2">
    <dataValidation type="list" allowBlank="1" showInputMessage="1" showErrorMessage="1" sqref="C9 E9 C5:E5 C12 E14 C14 E12 H5:I5">
      <formula1>dataPayerTier</formula1>
    </dataValidation>
    <dataValidation type="list" allowBlank="1" showInputMessage="1" showErrorMessage="1" sqref="D9 D12 D14">
      <formula1>dataPayer2Tier</formula1>
    </dataValidation>
  </dataValidation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FF00"/>
  </sheetPr>
  <dimension ref="A1:P18"/>
  <sheetViews>
    <sheetView workbookViewId="0"/>
  </sheetViews>
  <sheetFormatPr defaultRowHeight="14.25"/>
  <cols>
    <col min="1" max="1" width="1" customWidth="1"/>
    <col min="2" max="2" width="0.69921875" customWidth="1"/>
    <col min="3" max="3" width="27.69921875" customWidth="1"/>
    <col min="4" max="4" width="17.3984375" customWidth="1"/>
    <col min="5" max="5" width="9.765625E-2" customWidth="1"/>
    <col min="6" max="6" width="4.8984375" customWidth="1"/>
    <col min="7" max="7" width="8.796875" customWidth="1"/>
    <col min="8" max="8" width="15" customWidth="1"/>
    <col min="9" max="9" width="2.59765625" customWidth="1"/>
    <col min="10" max="10" width="8.796875" customWidth="1"/>
    <col min="11" max="11" width="15" customWidth="1"/>
    <col min="12" max="12" width="2.59765625" customWidth="1"/>
    <col min="13" max="13" width="8.796875" customWidth="1"/>
    <col min="14" max="14" width="15" customWidth="1"/>
    <col min="15" max="15" width="2.59765625" customWidth="1"/>
    <col min="16" max="16" width="8.796875" customWidth="1"/>
    <col min="17" max="17" width="15" customWidth="1"/>
    <col min="18" max="35" width="8.796875" customWidth="1"/>
  </cols>
  <sheetData>
    <row r="1" spans="1:16" s="1" customFormat="1">
      <c r="A1" s="111"/>
    </row>
    <row r="2" spans="1:16" s="366" customFormat="1">
      <c r="C2" s="367"/>
      <c r="D2" s="367"/>
      <c r="E2" s="367"/>
      <c r="F2" s="367"/>
      <c r="G2" s="367"/>
      <c r="I2" s="367"/>
      <c r="J2" s="367"/>
      <c r="K2" s="367"/>
      <c r="L2" s="367"/>
      <c r="M2" s="367"/>
      <c r="N2" s="367"/>
      <c r="O2" s="367"/>
    </row>
    <row r="3" spans="1:16" s="366" customFormat="1">
      <c r="C3" s="366" t="s">
        <v>138</v>
      </c>
      <c r="D3" s="75" t="s">
        <v>122</v>
      </c>
      <c r="F3" s="75"/>
      <c r="G3" s="74"/>
      <c r="I3" s="74"/>
      <c r="J3" s="74"/>
      <c r="K3" s="74"/>
      <c r="L3" s="74"/>
      <c r="M3" s="74"/>
      <c r="N3" s="74"/>
      <c r="O3" s="74"/>
    </row>
    <row r="4" spans="1:16" s="6" customFormat="1"/>
    <row r="5" spans="1:16" s="2" customFormat="1">
      <c r="A5" s="7"/>
      <c r="C5" s="2" t="s">
        <v>137</v>
      </c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s="6" customFormat="1"/>
    <row r="7" spans="1:16" s="6" customFormat="1">
      <c r="C7" s="4" t="s">
        <v>136</v>
      </c>
      <c r="D7" s="4"/>
      <c r="E7" s="4"/>
      <c r="F7" s="4"/>
      <c r="K7" s="103" t="s">
        <v>135</v>
      </c>
    </row>
    <row r="8" spans="1:16" s="6" customFormat="1">
      <c r="C8" s="8"/>
      <c r="D8" s="9" t="s">
        <v>109</v>
      </c>
      <c r="K8" s="10"/>
      <c r="L8" s="9" t="s">
        <v>110</v>
      </c>
    </row>
    <row r="9" spans="1:16" s="6" customFormat="1">
      <c r="C9" s="11"/>
      <c r="D9" s="9" t="s">
        <v>106</v>
      </c>
    </row>
    <row r="10" spans="1:16" s="6" customFormat="1">
      <c r="C10" s="12"/>
      <c r="D10" s="9" t="s">
        <v>111</v>
      </c>
    </row>
    <row r="11" spans="1:16" s="6" customFormat="1"/>
    <row r="12" spans="1:16" s="2" customFormat="1">
      <c r="A12" s="7"/>
      <c r="C12" s="2" t="s">
        <v>133</v>
      </c>
      <c r="G12" s="3"/>
      <c r="H12" s="3"/>
      <c r="I12" s="3"/>
      <c r="J12" s="3"/>
      <c r="K12" s="3"/>
      <c r="L12" s="3"/>
      <c r="M12" s="3"/>
      <c r="N12" s="3"/>
      <c r="O12" s="3"/>
      <c r="P12" s="3"/>
    </row>
    <row r="14" spans="1:16">
      <c r="C14" t="s">
        <v>601</v>
      </c>
      <c r="D14" s="225" t="b">
        <v>0</v>
      </c>
      <c r="E14" t="s">
        <v>602</v>
      </c>
    </row>
    <row r="16" spans="1:16">
      <c r="C16" t="s">
        <v>603</v>
      </c>
      <c r="D16" s="13" t="s">
        <v>604</v>
      </c>
      <c r="E16" t="s">
        <v>605</v>
      </c>
    </row>
    <row r="17" spans="3:5">
      <c r="D17" s="81"/>
    </row>
    <row r="18" spans="3:5">
      <c r="C18" t="s">
        <v>606</v>
      </c>
      <c r="D18" s="13" t="s">
        <v>607</v>
      </c>
      <c r="E18" t="s">
        <v>608</v>
      </c>
    </row>
  </sheetData>
  <dataValidations count="1">
    <dataValidation type="list" allowBlank="1" showInputMessage="1" showErrorMessage="1" sqref="D14">
      <formula1>"TRUE, FALSE"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5" name="Button 1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19</xdr:row>
                    <xdr:rowOff>19050</xdr:rowOff>
                  </from>
                  <to>
                    <xdr:col>3</xdr:col>
                    <xdr:colOff>1638300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"/>
  <sheetViews>
    <sheetView workbookViewId="0"/>
  </sheetViews>
  <sheetFormatPr defaultRowHeight="14.25"/>
  <cols>
    <col min="1" max="1" width="14.59765625" bestFit="1" customWidth="1"/>
  </cols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/>
  </sheetPr>
  <dimension ref="A1:R30"/>
  <sheetViews>
    <sheetView workbookViewId="0">
      <selection activeCell="F15" sqref="F15"/>
    </sheetView>
  </sheetViews>
  <sheetFormatPr defaultColWidth="8.796875" defaultRowHeight="12.75"/>
  <cols>
    <col min="1" max="1" width="8.796875" style="124" customWidth="1"/>
    <col min="2" max="3" width="8.796875" style="124"/>
    <col min="4" max="4" width="13.296875" style="124" bestFit="1" customWidth="1"/>
    <col min="5" max="14" width="9.8984375" style="124" customWidth="1"/>
    <col min="15" max="15" width="22.3984375" style="124" bestFit="1" customWidth="1"/>
    <col min="16" max="16" width="9.59765625" style="124" bestFit="1" customWidth="1"/>
    <col min="17" max="16384" width="8.796875" style="124"/>
  </cols>
  <sheetData>
    <row r="1" spans="1:18" s="203" customFormat="1">
      <c r="A1" s="203" t="s">
        <v>308</v>
      </c>
      <c r="E1" s="204" t="s">
        <v>172</v>
      </c>
      <c r="F1" s="204" t="s">
        <v>171</v>
      </c>
      <c r="G1" s="204" t="s">
        <v>170</v>
      </c>
      <c r="H1" s="204" t="s">
        <v>169</v>
      </c>
      <c r="I1" s="204" t="s">
        <v>168</v>
      </c>
      <c r="J1" s="204" t="s">
        <v>327</v>
      </c>
      <c r="K1" s="204" t="s">
        <v>326</v>
      </c>
      <c r="L1" s="204" t="s">
        <v>325</v>
      </c>
      <c r="M1" s="204" t="s">
        <v>324</v>
      </c>
      <c r="N1" s="204" t="s">
        <v>323</v>
      </c>
      <c r="O1" s="203" t="s">
        <v>322</v>
      </c>
      <c r="Q1" s="203">
        <f>COUNTIF(P:P,"Graph Type")</f>
        <v>1</v>
      </c>
      <c r="R1" s="203" t="s">
        <v>321</v>
      </c>
    </row>
    <row r="3" spans="1:18" s="2" customFormat="1" ht="14.25">
      <c r="A3" s="7"/>
      <c r="B3" s="2" t="s">
        <v>320</v>
      </c>
      <c r="G3" s="3"/>
      <c r="H3" s="3"/>
      <c r="I3" s="3"/>
      <c r="J3" s="3"/>
      <c r="K3" s="3"/>
      <c r="L3" s="3"/>
      <c r="M3" s="3"/>
      <c r="N3" s="3"/>
      <c r="O3" s="3"/>
      <c r="P3" s="3"/>
    </row>
    <row r="4" spans="1:18">
      <c r="D4" s="97"/>
      <c r="F4" s="97"/>
      <c r="G4" s="97"/>
      <c r="H4" s="97"/>
      <c r="I4" s="97"/>
      <c r="J4" s="97"/>
      <c r="K4" s="97"/>
      <c r="L4" s="97"/>
      <c r="M4" s="97"/>
      <c r="N4" s="97"/>
    </row>
    <row r="5" spans="1:18" ht="14.25">
      <c r="B5" s="8"/>
      <c r="C5" s="126" t="s">
        <v>319</v>
      </c>
      <c r="D5" s="202"/>
      <c r="F5" s="202"/>
      <c r="G5" s="202"/>
      <c r="H5" s="10"/>
      <c r="I5" s="126" t="s">
        <v>110</v>
      </c>
      <c r="J5" s="202"/>
      <c r="K5" s="202"/>
      <c r="L5" s="202"/>
      <c r="M5" s="202"/>
      <c r="N5" s="202"/>
      <c r="R5" s="124" t="s">
        <v>318</v>
      </c>
    </row>
    <row r="6" spans="1:18" ht="14.25">
      <c r="B6" s="11"/>
      <c r="C6" s="126" t="s">
        <v>106</v>
      </c>
      <c r="D6" s="202"/>
      <c r="F6" s="202"/>
      <c r="G6" s="202"/>
      <c r="H6" s="202"/>
      <c r="I6" s="202"/>
      <c r="J6" s="202"/>
      <c r="K6" s="202"/>
      <c r="L6" s="202"/>
      <c r="M6" s="202"/>
      <c r="N6" s="202"/>
      <c r="R6" s="124" t="s">
        <v>306</v>
      </c>
    </row>
    <row r="7" spans="1:18" ht="14.25">
      <c r="B7" s="12"/>
      <c r="C7" s="126" t="s">
        <v>317</v>
      </c>
      <c r="D7" s="202"/>
      <c r="F7" s="202"/>
      <c r="G7" s="202"/>
      <c r="H7" s="202"/>
      <c r="I7" s="202"/>
      <c r="J7" s="202"/>
      <c r="K7" s="202"/>
      <c r="L7" s="202"/>
      <c r="M7" s="202"/>
      <c r="N7" s="202"/>
      <c r="R7" s="124" t="s">
        <v>316</v>
      </c>
    </row>
    <row r="8" spans="1:18">
      <c r="D8" s="97"/>
      <c r="F8" s="97"/>
      <c r="G8" s="97"/>
      <c r="H8" s="97"/>
      <c r="I8" s="97"/>
      <c r="J8" s="97"/>
      <c r="K8" s="97"/>
      <c r="L8" s="97"/>
      <c r="M8" s="97"/>
      <c r="N8" s="97"/>
      <c r="R8" s="124" t="s">
        <v>315</v>
      </c>
    </row>
    <row r="9" spans="1:18" hidden="1">
      <c r="D9" s="97"/>
      <c r="F9" s="97"/>
      <c r="G9" s="97"/>
      <c r="H9" s="97"/>
      <c r="I9" s="97"/>
      <c r="J9" s="97"/>
      <c r="K9" s="97"/>
      <c r="L9" s="97"/>
      <c r="M9" s="97"/>
      <c r="N9" s="97"/>
      <c r="R9" s="124" t="s">
        <v>314</v>
      </c>
    </row>
    <row r="10" spans="1:18" hidden="1">
      <c r="D10" s="97"/>
      <c r="F10" s="97"/>
      <c r="G10" s="97"/>
      <c r="H10" s="97"/>
      <c r="I10" s="97"/>
      <c r="J10" s="97"/>
      <c r="K10" s="97"/>
      <c r="L10" s="97"/>
      <c r="M10" s="97"/>
      <c r="N10" s="97"/>
      <c r="R10" s="124" t="s">
        <v>313</v>
      </c>
    </row>
    <row r="11" spans="1:18" hidden="1">
      <c r="D11" s="97"/>
      <c r="F11" s="97"/>
      <c r="G11" s="97"/>
      <c r="H11" s="97"/>
      <c r="I11" s="97"/>
      <c r="J11" s="97"/>
      <c r="K11" s="97"/>
      <c r="L11" s="97"/>
      <c r="M11" s="97"/>
      <c r="N11" s="97"/>
      <c r="R11" s="124" t="s">
        <v>312</v>
      </c>
    </row>
    <row r="12" spans="1:18" hidden="1">
      <c r="D12" s="97"/>
      <c r="F12" s="97"/>
      <c r="G12" s="97"/>
      <c r="H12" s="97"/>
      <c r="I12" s="97"/>
      <c r="J12" s="97"/>
      <c r="K12" s="97"/>
      <c r="L12" s="97"/>
      <c r="M12" s="97"/>
      <c r="N12" s="97"/>
    </row>
    <row r="13" spans="1:18" s="2" customFormat="1" ht="14.25">
      <c r="A13" s="7"/>
      <c r="B13" s="2" t="s">
        <v>133</v>
      </c>
      <c r="G13" s="3"/>
      <c r="H13" s="3"/>
      <c r="I13" s="3"/>
      <c r="J13" s="3"/>
      <c r="K13" s="3"/>
      <c r="L13" s="3"/>
      <c r="M13" s="3"/>
      <c r="N13" s="3"/>
      <c r="O13" s="3"/>
      <c r="P13" s="3"/>
    </row>
    <row r="14" spans="1:18">
      <c r="D14" s="97"/>
      <c r="F14" s="97"/>
      <c r="G14" s="97"/>
      <c r="H14" s="97"/>
      <c r="I14" s="97"/>
      <c r="J14" s="97"/>
      <c r="K14" s="97"/>
      <c r="L14" s="97"/>
      <c r="M14" s="97"/>
      <c r="N14" s="97"/>
    </row>
    <row r="15" spans="1:18">
      <c r="B15" s="124" t="s">
        <v>311</v>
      </c>
      <c r="D15" s="201">
        <f>xxNumOfTeams</f>
        <v>5</v>
      </c>
      <c r="E15" s="124" t="s">
        <v>310</v>
      </c>
      <c r="F15" s="200" t="s">
        <v>309</v>
      </c>
      <c r="G15" s="200"/>
      <c r="H15" s="200"/>
      <c r="I15" s="200"/>
      <c r="J15" s="200"/>
      <c r="K15" s="200"/>
      <c r="L15" s="200"/>
      <c r="M15" s="200"/>
      <c r="N15" s="200"/>
    </row>
    <row r="16" spans="1:18">
      <c r="D16" s="97"/>
      <c r="F16" s="97"/>
      <c r="G16" s="97"/>
      <c r="H16" s="97"/>
      <c r="I16" s="97"/>
      <c r="J16" s="97"/>
      <c r="K16" s="97"/>
      <c r="L16" s="97"/>
      <c r="M16" s="97"/>
      <c r="N16" s="97"/>
    </row>
    <row r="17" spans="1:16">
      <c r="D17" s="97"/>
      <c r="F17" s="97"/>
      <c r="G17" s="97"/>
      <c r="H17" s="97"/>
      <c r="I17" s="97"/>
      <c r="J17" s="97"/>
      <c r="K17" s="97"/>
      <c r="L17" s="97"/>
      <c r="M17" s="97"/>
      <c r="N17" s="97"/>
    </row>
    <row r="18" spans="1:16">
      <c r="D18" s="97"/>
      <c r="F18" s="97"/>
      <c r="G18" s="97"/>
      <c r="H18" s="97"/>
      <c r="I18" s="97"/>
      <c r="J18" s="97"/>
      <c r="K18" s="97"/>
      <c r="L18" s="97"/>
      <c r="M18" s="97"/>
      <c r="N18" s="97"/>
    </row>
    <row r="19" spans="1:16">
      <c r="D19" s="97"/>
      <c r="F19" s="97"/>
      <c r="G19" s="97"/>
      <c r="H19" s="97"/>
      <c r="I19" s="97"/>
      <c r="J19" s="97"/>
      <c r="K19" s="97"/>
      <c r="L19" s="97"/>
      <c r="M19" s="97"/>
      <c r="N19" s="97"/>
    </row>
    <row r="20" spans="1:16" s="2" customFormat="1" ht="14.25">
      <c r="A20" s="7"/>
      <c r="B20" s="2" t="s">
        <v>308</v>
      </c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>
      <c r="D21" s="97"/>
      <c r="F21" s="97"/>
      <c r="G21" s="97"/>
      <c r="H21" s="97"/>
      <c r="I21" s="97"/>
      <c r="J21" s="97"/>
      <c r="K21" s="97"/>
      <c r="L21" s="97"/>
      <c r="M21" s="97"/>
      <c r="N21" s="97"/>
    </row>
    <row r="22" spans="1:16" s="197" customFormat="1">
      <c r="D22" s="199" t="s">
        <v>208</v>
      </c>
      <c r="E22" s="190"/>
      <c r="F22" s="190"/>
      <c r="G22" s="190"/>
      <c r="H22" s="190"/>
      <c r="I22" s="190"/>
      <c r="J22" s="190"/>
      <c r="K22" s="190"/>
      <c r="L22" s="190"/>
      <c r="M22" s="190"/>
      <c r="N22" s="190"/>
      <c r="O22" s="197" t="s">
        <v>307</v>
      </c>
    </row>
    <row r="23" spans="1:16" s="197" customFormat="1">
      <c r="E23" s="198" t="str">
        <f>E22&amp; " (1)"</f>
        <v xml:space="preserve"> (1)</v>
      </c>
      <c r="F23" s="198" t="str">
        <f>F22&amp; " (2)"</f>
        <v xml:space="preserve"> (2)</v>
      </c>
      <c r="G23" s="198" t="str">
        <f>G22&amp; " (3)"</f>
        <v xml:space="preserve"> (3)</v>
      </c>
      <c r="H23" s="198" t="str">
        <f>H22&amp; " (4)"</f>
        <v xml:space="preserve"> (4)</v>
      </c>
      <c r="I23" s="198" t="str">
        <f>I22&amp; " (5)"</f>
        <v xml:space="preserve"> (5)</v>
      </c>
      <c r="J23" s="198" t="str">
        <f>J22&amp; " (6)"</f>
        <v xml:space="preserve"> (6)</v>
      </c>
      <c r="K23" s="198" t="str">
        <f>K22&amp; " (7)"</f>
        <v xml:space="preserve"> (7)</v>
      </c>
      <c r="L23" s="198" t="str">
        <f>L22&amp; " (8)"</f>
        <v xml:space="preserve"> (8)</v>
      </c>
      <c r="M23" s="198" t="str">
        <f>M22&amp; " (9)"</f>
        <v xml:space="preserve"> (9)</v>
      </c>
      <c r="N23" s="198" t="str">
        <f>N22&amp; " (10)"</f>
        <v xml:space="preserve"> (10)</v>
      </c>
    </row>
    <row r="24" spans="1:16" s="197" customFormat="1" ht="13.5" thickBot="1">
      <c r="E24" s="198"/>
      <c r="F24" s="198"/>
      <c r="G24" s="198"/>
      <c r="H24" s="198"/>
      <c r="I24" s="198"/>
      <c r="J24" s="198"/>
      <c r="K24" s="198"/>
      <c r="L24" s="198"/>
      <c r="M24" s="198"/>
      <c r="N24" s="198"/>
    </row>
    <row r="25" spans="1:16">
      <c r="E25" s="196" t="str">
        <f t="shared" ref="E25:N25" si="0">E$23</f>
        <v xml:space="preserve"> (1)</v>
      </c>
      <c r="F25" s="196" t="str">
        <f t="shared" si="0"/>
        <v xml:space="preserve"> (2)</v>
      </c>
      <c r="G25" s="196" t="str">
        <f t="shared" si="0"/>
        <v xml:space="preserve"> (3)</v>
      </c>
      <c r="H25" s="196" t="str">
        <f t="shared" si="0"/>
        <v xml:space="preserve"> (4)</v>
      </c>
      <c r="I25" s="196" t="str">
        <f t="shared" si="0"/>
        <v xml:space="preserve"> (5)</v>
      </c>
      <c r="J25" s="196" t="str">
        <f t="shared" si="0"/>
        <v xml:space="preserve"> (6)</v>
      </c>
      <c r="K25" s="196" t="str">
        <f t="shared" si="0"/>
        <v xml:space="preserve"> (7)</v>
      </c>
      <c r="L25" s="196" t="str">
        <f t="shared" si="0"/>
        <v xml:space="preserve"> (8)</v>
      </c>
      <c r="M25" s="196" t="str">
        <f t="shared" si="0"/>
        <v xml:space="preserve"> (9)</v>
      </c>
      <c r="N25" s="196" t="str">
        <f t="shared" si="0"/>
        <v xml:space="preserve"> (10)</v>
      </c>
      <c r="O25" s="195" t="s">
        <v>306</v>
      </c>
      <c r="P25" s="194" t="s">
        <v>305</v>
      </c>
    </row>
    <row r="26" spans="1:16">
      <c r="D26" s="191" t="s">
        <v>304</v>
      </c>
      <c r="E26" s="190"/>
      <c r="F26" s="190"/>
      <c r="G26" s="190"/>
      <c r="H26" s="190"/>
      <c r="I26" s="190"/>
      <c r="J26" s="190"/>
      <c r="K26" s="190"/>
      <c r="L26" s="190"/>
      <c r="M26" s="190"/>
      <c r="N26" s="190"/>
      <c r="O26" s="193" t="s">
        <v>303</v>
      </c>
      <c r="P26" s="192" t="s">
        <v>17</v>
      </c>
    </row>
    <row r="27" spans="1:16">
      <c r="D27" s="191" t="s">
        <v>302</v>
      </c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3" t="s">
        <v>301</v>
      </c>
      <c r="P27" s="192" t="s">
        <v>300</v>
      </c>
    </row>
    <row r="28" spans="1:16">
      <c r="D28" s="191" t="s">
        <v>299</v>
      </c>
      <c r="E28" s="190"/>
      <c r="F28" s="190"/>
      <c r="G28" s="190"/>
      <c r="H28" s="190"/>
      <c r="I28" s="190"/>
      <c r="J28" s="190"/>
      <c r="K28" s="190"/>
      <c r="L28" s="190"/>
      <c r="M28" s="190"/>
      <c r="N28" s="190"/>
      <c r="O28" s="193"/>
      <c r="P28" s="192" t="s">
        <v>298</v>
      </c>
    </row>
    <row r="29" spans="1:16">
      <c r="D29" s="191" t="s">
        <v>297</v>
      </c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3" t="s">
        <v>296</v>
      </c>
      <c r="P29" s="192" t="s">
        <v>295</v>
      </c>
    </row>
    <row r="30" spans="1:16" ht="13.5" thickBot="1">
      <c r="D30" s="191" t="s">
        <v>294</v>
      </c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89">
        <v>6</v>
      </c>
      <c r="P30" s="188" t="s">
        <v>293</v>
      </c>
    </row>
  </sheetData>
  <dataValidations count="2">
    <dataValidation type="list" allowBlank="1" showInputMessage="1" showErrorMessage="1" sqref="O25">
      <formula1>$R$5:$R$11</formula1>
    </dataValidation>
    <dataValidation type="whole" allowBlank="1" showInputMessage="1" showErrorMessage="1" errorTitle="Number of Teams" error="Please enter a valid number of teams: a whole number between 1 and 10, inclusive." sqref="D15">
      <formula1>1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fbSimSizeColumns">
                <anchor moveWithCells="1" sizeWithCells="1">
                  <from>
                    <xdr:col>1</xdr:col>
                    <xdr:colOff>704850</xdr:colOff>
                    <xdr:row>16</xdr:row>
                    <xdr:rowOff>0</xdr:rowOff>
                  </from>
                  <to>
                    <xdr:col>3</xdr:col>
                    <xdr:colOff>1247775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R52"/>
  <sheetViews>
    <sheetView workbookViewId="0"/>
  </sheetViews>
  <sheetFormatPr defaultColWidth="8.796875" defaultRowHeight="12.75"/>
  <cols>
    <col min="1" max="2" width="15.19921875" style="197" customWidth="1"/>
    <col min="3" max="3" width="4.69921875" style="197" customWidth="1"/>
    <col min="4" max="4" width="12.69921875" style="197" customWidth="1"/>
    <col min="5" max="14" width="14.69921875" style="198" customWidth="1"/>
    <col min="15" max="16384" width="8.796875" style="197"/>
  </cols>
  <sheetData>
    <row r="1" spans="1:18" s="219" customFormat="1">
      <c r="A1" s="219" t="s">
        <v>350</v>
      </c>
      <c r="E1" s="204" t="s">
        <v>172</v>
      </c>
      <c r="F1" s="204" t="s">
        <v>171</v>
      </c>
      <c r="G1" s="204" t="s">
        <v>170</v>
      </c>
      <c r="H1" s="204" t="s">
        <v>169</v>
      </c>
      <c r="I1" s="204" t="s">
        <v>168</v>
      </c>
      <c r="J1" s="204" t="s">
        <v>327</v>
      </c>
      <c r="K1" s="204" t="s">
        <v>326</v>
      </c>
      <c r="L1" s="204" t="s">
        <v>325</v>
      </c>
      <c r="M1" s="204" t="s">
        <v>324</v>
      </c>
      <c r="N1" s="204" t="s">
        <v>323</v>
      </c>
      <c r="O1" s="219" t="s">
        <v>349</v>
      </c>
      <c r="Q1" s="220">
        <f>COUNTIF(A:A,"Graph Type")</f>
        <v>2</v>
      </c>
      <c r="R1" s="203" t="s">
        <v>321</v>
      </c>
    </row>
    <row r="2" spans="1:18" s="124" customFormat="1">
      <c r="D2" s="97"/>
      <c r="F2" s="97"/>
      <c r="G2" s="97"/>
      <c r="H2" s="97"/>
      <c r="I2" s="97"/>
      <c r="J2" s="97"/>
      <c r="K2" s="97"/>
    </row>
    <row r="3" spans="1:18" s="2" customFormat="1" ht="14.25">
      <c r="A3" s="7"/>
      <c r="B3" s="2" t="s">
        <v>320</v>
      </c>
      <c r="G3" s="3"/>
      <c r="H3" s="3"/>
      <c r="I3" s="3"/>
      <c r="J3" s="3"/>
      <c r="K3" s="3"/>
      <c r="L3" s="3"/>
      <c r="M3" s="3"/>
      <c r="N3" s="3"/>
      <c r="O3" s="3"/>
      <c r="P3" s="3"/>
    </row>
    <row r="4" spans="1:18" s="124" customFormat="1">
      <c r="D4" s="97"/>
      <c r="F4" s="97"/>
      <c r="G4" s="97"/>
      <c r="H4" s="97"/>
      <c r="I4" s="97"/>
      <c r="J4" s="97"/>
      <c r="K4" s="97"/>
    </row>
    <row r="5" spans="1:18" s="124" customFormat="1" ht="14.25">
      <c r="B5" s="8"/>
      <c r="C5" s="126" t="s">
        <v>319</v>
      </c>
      <c r="D5" s="202"/>
      <c r="F5" s="202"/>
      <c r="G5" s="202"/>
      <c r="H5" s="10"/>
      <c r="I5" s="126" t="s">
        <v>110</v>
      </c>
      <c r="J5" s="202"/>
      <c r="K5" s="202"/>
      <c r="R5" s="124" t="s">
        <v>331</v>
      </c>
    </row>
    <row r="6" spans="1:18" s="124" customFormat="1" ht="14.25">
      <c r="B6" s="11"/>
      <c r="C6" s="126" t="s">
        <v>110</v>
      </c>
      <c r="D6" s="202"/>
      <c r="F6" s="202"/>
      <c r="G6" s="202"/>
      <c r="H6" s="202"/>
      <c r="I6" s="202"/>
      <c r="J6" s="202"/>
      <c r="K6" s="202"/>
      <c r="R6" s="124" t="s">
        <v>346</v>
      </c>
    </row>
    <row r="7" spans="1:18" s="124" customFormat="1" ht="14.25">
      <c r="B7" s="12"/>
      <c r="C7" s="126" t="s">
        <v>317</v>
      </c>
      <c r="D7" s="202"/>
      <c r="F7" s="202"/>
      <c r="G7" s="202"/>
      <c r="H7" s="202"/>
      <c r="I7" s="202"/>
      <c r="J7" s="202"/>
      <c r="K7" s="202"/>
    </row>
    <row r="8" spans="1:18" s="124" customFormat="1">
      <c r="D8" s="97"/>
      <c r="F8" s="97"/>
      <c r="G8" s="97"/>
      <c r="H8" s="97"/>
      <c r="I8" s="97"/>
      <c r="J8" s="97"/>
      <c r="K8" s="97"/>
    </row>
    <row r="9" spans="1:18" s="2" customFormat="1" ht="14.25">
      <c r="A9" s="7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8" s="124" customFormat="1">
      <c r="D10" s="97"/>
      <c r="F10" s="97"/>
      <c r="G10" s="97"/>
      <c r="H10" s="97"/>
      <c r="I10" s="97"/>
      <c r="J10" s="97"/>
      <c r="K10" s="97"/>
    </row>
    <row r="11" spans="1:18">
      <c r="D11" s="199" t="s">
        <v>208</v>
      </c>
      <c r="E11" s="190" t="s">
        <v>348</v>
      </c>
      <c r="F11" s="190" t="s">
        <v>348</v>
      </c>
      <c r="G11" s="190" t="s">
        <v>348</v>
      </c>
      <c r="H11" s="190" t="s">
        <v>348</v>
      </c>
      <c r="I11" s="190" t="s">
        <v>348</v>
      </c>
      <c r="J11" s="190" t="s">
        <v>348</v>
      </c>
      <c r="K11" s="190" t="s">
        <v>348</v>
      </c>
      <c r="L11" s="190" t="s">
        <v>348</v>
      </c>
      <c r="M11" s="190" t="s">
        <v>348</v>
      </c>
      <c r="N11" s="190" t="s">
        <v>348</v>
      </c>
    </row>
    <row r="12" spans="1:18">
      <c r="E12" s="198" t="str">
        <f>E11&amp; " (1)"</f>
        <v>decteamname (1)</v>
      </c>
      <c r="F12" s="198" t="str">
        <f>F11&amp; " (2)"</f>
        <v>decteamname (2)</v>
      </c>
      <c r="G12" s="198" t="str">
        <f>G11&amp; " (3)"</f>
        <v>decteamname (3)</v>
      </c>
      <c r="H12" s="198" t="str">
        <f>H11&amp; " (4)"</f>
        <v>decteamname (4)</v>
      </c>
      <c r="I12" s="198" t="str">
        <f>I11&amp; " (5)"</f>
        <v>decteamname (5)</v>
      </c>
      <c r="J12" s="198" t="str">
        <f>J11&amp; " (6)"</f>
        <v>decteamname (6)</v>
      </c>
      <c r="K12" s="198" t="str">
        <f>K11&amp; " (7)"</f>
        <v>decteamname (7)</v>
      </c>
      <c r="L12" s="198" t="str">
        <f>L11&amp; " (8)"</f>
        <v>decteamname (8)</v>
      </c>
      <c r="M12" s="198" t="str">
        <f>M11&amp; " (9)"</f>
        <v>decteamname (9)</v>
      </c>
      <c r="N12" s="198" t="str">
        <f>N11&amp; " (10)"</f>
        <v>decteamname (10)</v>
      </c>
    </row>
    <row r="14" spans="1:18" ht="13.5" thickBot="1">
      <c r="D14" s="213" t="s">
        <v>215</v>
      </c>
      <c r="E14" s="190" t="s">
        <v>333</v>
      </c>
      <c r="F14" s="190" t="s">
        <v>333</v>
      </c>
      <c r="G14" s="190" t="s">
        <v>333</v>
      </c>
      <c r="H14" s="190" t="s">
        <v>333</v>
      </c>
      <c r="I14" s="190" t="s">
        <v>333</v>
      </c>
      <c r="J14" s="190" t="s">
        <v>333</v>
      </c>
      <c r="K14" s="190" t="s">
        <v>333</v>
      </c>
      <c r="L14" s="190" t="s">
        <v>333</v>
      </c>
      <c r="M14" s="190" t="s">
        <v>333</v>
      </c>
      <c r="N14" s="190" t="s">
        <v>333</v>
      </c>
      <c r="O14" s="212" t="s">
        <v>347</v>
      </c>
    </row>
    <row r="15" spans="1:18">
      <c r="A15" s="211" t="s">
        <v>305</v>
      </c>
      <c r="B15" s="195" t="s">
        <v>346</v>
      </c>
      <c r="D15" s="206"/>
      <c r="E15" s="218" t="str">
        <f t="shared" ref="E15:N15" si="0">E$12</f>
        <v>decteamname (1)</v>
      </c>
      <c r="F15" s="218" t="str">
        <f t="shared" si="0"/>
        <v>decteamname (2)</v>
      </c>
      <c r="G15" s="218" t="str">
        <f t="shared" si="0"/>
        <v>decteamname (3)</v>
      </c>
      <c r="H15" s="218" t="str">
        <f t="shared" si="0"/>
        <v>decteamname (4)</v>
      </c>
      <c r="I15" s="218" t="str">
        <f t="shared" si="0"/>
        <v>decteamname (5)</v>
      </c>
      <c r="J15" s="218" t="str">
        <f t="shared" si="0"/>
        <v>decteamname (6)</v>
      </c>
      <c r="K15" s="218" t="str">
        <f t="shared" si="0"/>
        <v>decteamname (7)</v>
      </c>
      <c r="L15" s="218" t="str">
        <f t="shared" si="0"/>
        <v>decteamname (8)</v>
      </c>
      <c r="M15" s="218" t="str">
        <f t="shared" si="0"/>
        <v>decteamname (9)</v>
      </c>
      <c r="N15" s="218" t="str">
        <f t="shared" si="0"/>
        <v>decteamname (10)</v>
      </c>
    </row>
    <row r="16" spans="1:18">
      <c r="A16" s="209" t="s">
        <v>17</v>
      </c>
      <c r="B16" s="193" t="s">
        <v>345</v>
      </c>
      <c r="D16" s="206">
        <v>0</v>
      </c>
      <c r="E16" s="217"/>
      <c r="F16" s="217"/>
      <c r="G16" s="217"/>
      <c r="H16" s="217"/>
      <c r="I16" s="217"/>
      <c r="J16" s="217"/>
      <c r="K16" s="217"/>
      <c r="L16" s="217"/>
      <c r="M16" s="217"/>
      <c r="N16" s="217"/>
    </row>
    <row r="17" spans="1:15">
      <c r="A17" s="209" t="s">
        <v>300</v>
      </c>
      <c r="B17" s="193" t="s">
        <v>215</v>
      </c>
      <c r="D17" s="206">
        <v>1</v>
      </c>
      <c r="E17" s="217"/>
      <c r="F17" s="217"/>
      <c r="G17" s="217"/>
      <c r="H17" s="217"/>
      <c r="I17" s="217"/>
      <c r="J17" s="217"/>
      <c r="K17" s="217"/>
      <c r="L17" s="217"/>
      <c r="M17" s="217"/>
      <c r="N17" s="217"/>
    </row>
    <row r="18" spans="1:15">
      <c r="A18" s="209" t="s">
        <v>298</v>
      </c>
      <c r="B18" s="193" t="s">
        <v>340</v>
      </c>
      <c r="D18" s="206">
        <v>2</v>
      </c>
      <c r="E18" s="217"/>
      <c r="F18" s="217"/>
      <c r="G18" s="217"/>
      <c r="H18" s="217"/>
      <c r="I18" s="217"/>
      <c r="J18" s="217"/>
      <c r="K18" s="217"/>
      <c r="L18" s="217"/>
      <c r="M18" s="217"/>
      <c r="N18" s="217"/>
    </row>
    <row r="19" spans="1:15" ht="13.5" thickBot="1">
      <c r="A19" s="209" t="s">
        <v>295</v>
      </c>
      <c r="B19" s="189" t="s">
        <v>344</v>
      </c>
      <c r="D19" s="206">
        <v>3</v>
      </c>
      <c r="E19" s="217"/>
      <c r="F19" s="217"/>
      <c r="G19" s="217"/>
      <c r="H19" s="217"/>
      <c r="I19" s="217"/>
      <c r="J19" s="217"/>
      <c r="K19" s="217"/>
      <c r="L19" s="217"/>
      <c r="M19" s="217"/>
      <c r="N19" s="217"/>
    </row>
    <row r="20" spans="1:15">
      <c r="A20" s="209" t="s">
        <v>343</v>
      </c>
      <c r="B20" s="193">
        <v>24</v>
      </c>
      <c r="D20" s="206">
        <v>4</v>
      </c>
      <c r="E20" s="217"/>
      <c r="F20" s="217"/>
      <c r="G20" s="217"/>
      <c r="H20" s="217"/>
      <c r="I20" s="217"/>
      <c r="J20" s="217"/>
      <c r="K20" s="217"/>
      <c r="L20" s="217"/>
      <c r="M20" s="217"/>
      <c r="N20" s="217"/>
    </row>
    <row r="21" spans="1:15">
      <c r="A21" s="209" t="s">
        <v>342</v>
      </c>
      <c r="B21" s="193">
        <v>32</v>
      </c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06"/>
    </row>
    <row r="22" spans="1:15" ht="13.5" thickBot="1">
      <c r="A22" s="208" t="s">
        <v>341</v>
      </c>
      <c r="B22" s="193">
        <v>40</v>
      </c>
      <c r="D22" s="213" t="s">
        <v>340</v>
      </c>
      <c r="E22" s="190" t="s">
        <v>333</v>
      </c>
      <c r="F22" s="190" t="s">
        <v>333</v>
      </c>
      <c r="G22" s="190" t="s">
        <v>333</v>
      </c>
      <c r="H22" s="190" t="s">
        <v>333</v>
      </c>
      <c r="I22" s="190" t="s">
        <v>333</v>
      </c>
      <c r="J22" s="190" t="s">
        <v>333</v>
      </c>
      <c r="K22" s="190" t="s">
        <v>333</v>
      </c>
      <c r="L22" s="190" t="s">
        <v>333</v>
      </c>
      <c r="M22" s="190" t="s">
        <v>333</v>
      </c>
      <c r="N22" s="190" t="s">
        <v>333</v>
      </c>
      <c r="O22" s="212" t="s">
        <v>339</v>
      </c>
    </row>
    <row r="23" spans="1:15" ht="13.5" thickBot="1">
      <c r="A23" s="216" t="s">
        <v>338</v>
      </c>
      <c r="B23" s="215"/>
      <c r="D23" s="206"/>
      <c r="E23" s="210" t="str">
        <f t="shared" ref="E23:N23" si="1">E$12</f>
        <v>decteamname (1)</v>
      </c>
      <c r="F23" s="210" t="str">
        <f t="shared" si="1"/>
        <v>decteamname (2)</v>
      </c>
      <c r="G23" s="210" t="str">
        <f t="shared" si="1"/>
        <v>decteamname (3)</v>
      </c>
      <c r="H23" s="210" t="str">
        <f t="shared" si="1"/>
        <v>decteamname (4)</v>
      </c>
      <c r="I23" s="210" t="str">
        <f t="shared" si="1"/>
        <v>decteamname (5)</v>
      </c>
      <c r="J23" s="210" t="str">
        <f t="shared" si="1"/>
        <v>decteamname (6)</v>
      </c>
      <c r="K23" s="210" t="str">
        <f t="shared" si="1"/>
        <v>decteamname (7)</v>
      </c>
      <c r="L23" s="210" t="str">
        <f t="shared" si="1"/>
        <v>decteamname (8)</v>
      </c>
      <c r="M23" s="210" t="str">
        <f t="shared" si="1"/>
        <v>decteamname (9)</v>
      </c>
      <c r="N23" s="210" t="str">
        <f t="shared" si="1"/>
        <v>decteamname (10)</v>
      </c>
    </row>
    <row r="24" spans="1:15">
      <c r="D24" s="206">
        <v>0</v>
      </c>
      <c r="E24" s="205"/>
      <c r="F24" s="205"/>
      <c r="G24" s="205"/>
      <c r="H24" s="205"/>
      <c r="I24" s="205"/>
      <c r="J24" s="205"/>
      <c r="K24" s="205"/>
      <c r="L24" s="205"/>
      <c r="M24" s="205"/>
      <c r="N24" s="205"/>
    </row>
    <row r="25" spans="1:15">
      <c r="D25" s="206">
        <v>1</v>
      </c>
      <c r="E25" s="205"/>
      <c r="F25" s="205"/>
      <c r="G25" s="205"/>
      <c r="H25" s="205"/>
      <c r="I25" s="205"/>
      <c r="J25" s="205"/>
      <c r="K25" s="205"/>
      <c r="L25" s="205"/>
      <c r="M25" s="205"/>
      <c r="N25" s="205"/>
    </row>
    <row r="26" spans="1:15">
      <c r="D26" s="206">
        <v>2</v>
      </c>
      <c r="E26" s="205"/>
      <c r="F26" s="205"/>
      <c r="G26" s="205"/>
      <c r="H26" s="205"/>
      <c r="I26" s="205"/>
      <c r="J26" s="205"/>
      <c r="K26" s="205"/>
      <c r="L26" s="205"/>
      <c r="M26" s="205"/>
      <c r="N26" s="205"/>
    </row>
    <row r="27" spans="1:15">
      <c r="D27" s="206">
        <v>3</v>
      </c>
      <c r="E27" s="205"/>
      <c r="F27" s="205"/>
      <c r="G27" s="205"/>
      <c r="H27" s="205"/>
      <c r="I27" s="205"/>
      <c r="J27" s="205"/>
      <c r="K27" s="205"/>
      <c r="L27" s="205"/>
      <c r="M27" s="205"/>
      <c r="N27" s="205"/>
    </row>
    <row r="28" spans="1:15">
      <c r="D28" s="206">
        <v>4</v>
      </c>
      <c r="E28" s="205"/>
      <c r="F28" s="205"/>
      <c r="G28" s="205"/>
      <c r="H28" s="205"/>
      <c r="I28" s="205"/>
      <c r="J28" s="205"/>
      <c r="K28" s="205"/>
      <c r="L28" s="205"/>
      <c r="M28" s="205"/>
      <c r="N28" s="205"/>
    </row>
    <row r="29" spans="1:15"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</row>
    <row r="30" spans="1:15">
      <c r="D30" s="213" t="s">
        <v>337</v>
      </c>
      <c r="E30" s="190" t="s">
        <v>333</v>
      </c>
      <c r="F30" s="190" t="s">
        <v>333</v>
      </c>
      <c r="G30" s="190" t="s">
        <v>333</v>
      </c>
      <c r="H30" s="190" t="s">
        <v>333</v>
      </c>
      <c r="I30" s="190" t="s">
        <v>333</v>
      </c>
      <c r="J30" s="190" t="s">
        <v>333</v>
      </c>
      <c r="K30" s="190" t="s">
        <v>333</v>
      </c>
      <c r="L30" s="190" t="s">
        <v>333</v>
      </c>
      <c r="M30" s="190" t="s">
        <v>333</v>
      </c>
      <c r="N30" s="190" t="s">
        <v>333</v>
      </c>
      <c r="O30" s="212" t="s">
        <v>336</v>
      </c>
    </row>
    <row r="31" spans="1:15">
      <c r="D31" s="206"/>
      <c r="E31" s="210" t="str">
        <f t="shared" ref="E31:N31" si="2">E$12</f>
        <v>decteamname (1)</v>
      </c>
      <c r="F31" s="210" t="str">
        <f t="shared" si="2"/>
        <v>decteamname (2)</v>
      </c>
      <c r="G31" s="210" t="str">
        <f t="shared" si="2"/>
        <v>decteamname (3)</v>
      </c>
      <c r="H31" s="210" t="str">
        <f t="shared" si="2"/>
        <v>decteamname (4)</v>
      </c>
      <c r="I31" s="210" t="str">
        <f t="shared" si="2"/>
        <v>decteamname (5)</v>
      </c>
      <c r="J31" s="210" t="str">
        <f t="shared" si="2"/>
        <v>decteamname (6)</v>
      </c>
      <c r="K31" s="210" t="str">
        <f t="shared" si="2"/>
        <v>decteamname (7)</v>
      </c>
      <c r="L31" s="210" t="str">
        <f t="shared" si="2"/>
        <v>decteamname (8)</v>
      </c>
      <c r="M31" s="210" t="str">
        <f t="shared" si="2"/>
        <v>decteamname (9)</v>
      </c>
      <c r="N31" s="210" t="str">
        <f t="shared" si="2"/>
        <v>decteamname (10)</v>
      </c>
    </row>
    <row r="32" spans="1:15">
      <c r="D32" s="206">
        <v>0</v>
      </c>
      <c r="E32" s="205"/>
      <c r="F32" s="205"/>
      <c r="G32" s="205"/>
      <c r="H32" s="205"/>
      <c r="I32" s="205"/>
      <c r="J32" s="205"/>
      <c r="K32" s="205"/>
      <c r="L32" s="205"/>
      <c r="M32" s="205"/>
      <c r="N32" s="205"/>
    </row>
    <row r="33" spans="1:15">
      <c r="D33" s="206">
        <v>1</v>
      </c>
      <c r="E33" s="205"/>
      <c r="F33" s="205"/>
      <c r="G33" s="205"/>
      <c r="H33" s="205"/>
      <c r="I33" s="205"/>
      <c r="J33" s="205"/>
      <c r="K33" s="205"/>
      <c r="L33" s="205"/>
      <c r="M33" s="205"/>
      <c r="N33" s="205"/>
    </row>
    <row r="34" spans="1:15">
      <c r="D34" s="206">
        <v>2</v>
      </c>
      <c r="E34" s="205"/>
      <c r="F34" s="205"/>
      <c r="G34" s="205"/>
      <c r="H34" s="205"/>
      <c r="I34" s="205"/>
      <c r="J34" s="205"/>
      <c r="K34" s="205"/>
      <c r="L34" s="205"/>
      <c r="M34" s="205"/>
      <c r="N34" s="205"/>
    </row>
    <row r="35" spans="1:15">
      <c r="D35" s="206">
        <v>3</v>
      </c>
      <c r="E35" s="205"/>
      <c r="F35" s="205"/>
      <c r="G35" s="205"/>
      <c r="H35" s="205"/>
      <c r="I35" s="205"/>
      <c r="J35" s="205"/>
      <c r="K35" s="205"/>
      <c r="L35" s="205"/>
      <c r="M35" s="205"/>
      <c r="N35" s="205"/>
    </row>
    <row r="36" spans="1:15">
      <c r="D36" s="206">
        <v>4</v>
      </c>
      <c r="E36" s="205"/>
      <c r="F36" s="205"/>
      <c r="G36" s="205"/>
      <c r="H36" s="205"/>
      <c r="I36" s="205"/>
      <c r="J36" s="205"/>
      <c r="K36" s="205"/>
      <c r="L36" s="205"/>
      <c r="M36" s="205"/>
      <c r="N36" s="205"/>
    </row>
    <row r="37" spans="1:15">
      <c r="D37" s="206"/>
      <c r="E37" s="214"/>
      <c r="F37" s="214"/>
      <c r="G37" s="214"/>
      <c r="H37" s="214"/>
      <c r="I37" s="214"/>
      <c r="J37" s="214"/>
      <c r="K37" s="214"/>
      <c r="L37" s="214"/>
      <c r="M37" s="214"/>
      <c r="N37" s="214"/>
    </row>
    <row r="38" spans="1:15">
      <c r="D38" s="213" t="s">
        <v>335</v>
      </c>
      <c r="E38" s="190" t="s">
        <v>333</v>
      </c>
      <c r="F38" s="190" t="s">
        <v>333</v>
      </c>
      <c r="G38" s="190" t="s">
        <v>333</v>
      </c>
      <c r="H38" s="190" t="s">
        <v>333</v>
      </c>
      <c r="I38" s="190" t="s">
        <v>333</v>
      </c>
      <c r="J38" s="190" t="s">
        <v>333</v>
      </c>
      <c r="K38" s="190" t="s">
        <v>333</v>
      </c>
      <c r="L38" s="190" t="s">
        <v>333</v>
      </c>
      <c r="M38" s="190" t="s">
        <v>333</v>
      </c>
      <c r="N38" s="190" t="s">
        <v>333</v>
      </c>
      <c r="O38" s="212" t="s">
        <v>334</v>
      </c>
    </row>
    <row r="39" spans="1:15">
      <c r="D39" s="206"/>
      <c r="E39" s="210" t="str">
        <f t="shared" ref="E39:N39" si="3">E$12</f>
        <v>decteamname (1)</v>
      </c>
      <c r="F39" s="210" t="str">
        <f t="shared" si="3"/>
        <v>decteamname (2)</v>
      </c>
      <c r="G39" s="210" t="str">
        <f t="shared" si="3"/>
        <v>decteamname (3)</v>
      </c>
      <c r="H39" s="210" t="str">
        <f t="shared" si="3"/>
        <v>decteamname (4)</v>
      </c>
      <c r="I39" s="210" t="str">
        <f t="shared" si="3"/>
        <v>decteamname (5)</v>
      </c>
      <c r="J39" s="210" t="str">
        <f t="shared" si="3"/>
        <v>decteamname (6)</v>
      </c>
      <c r="K39" s="210" t="str">
        <f t="shared" si="3"/>
        <v>decteamname (7)</v>
      </c>
      <c r="L39" s="210" t="str">
        <f t="shared" si="3"/>
        <v>decteamname (8)</v>
      </c>
      <c r="M39" s="210" t="str">
        <f t="shared" si="3"/>
        <v>decteamname (9)</v>
      </c>
      <c r="N39" s="210" t="str">
        <f t="shared" si="3"/>
        <v>decteamname (10)</v>
      </c>
    </row>
    <row r="40" spans="1:15">
      <c r="D40" s="206">
        <v>0</v>
      </c>
      <c r="E40" s="205"/>
      <c r="F40" s="205"/>
      <c r="G40" s="205"/>
      <c r="H40" s="205"/>
      <c r="I40" s="205"/>
      <c r="J40" s="205"/>
      <c r="K40" s="205"/>
      <c r="L40" s="205"/>
      <c r="M40" s="205"/>
      <c r="N40" s="205"/>
    </row>
    <row r="41" spans="1:15">
      <c r="D41" s="206">
        <v>1</v>
      </c>
      <c r="E41" s="205"/>
      <c r="F41" s="205"/>
      <c r="G41" s="205"/>
      <c r="H41" s="205"/>
      <c r="I41" s="205"/>
      <c r="J41" s="205"/>
      <c r="K41" s="205"/>
      <c r="L41" s="205"/>
      <c r="M41" s="205"/>
      <c r="N41" s="205"/>
    </row>
    <row r="42" spans="1:15">
      <c r="D42" s="206">
        <v>2</v>
      </c>
      <c r="E42" s="205"/>
      <c r="F42" s="205"/>
      <c r="G42" s="205"/>
      <c r="H42" s="205"/>
      <c r="I42" s="205"/>
      <c r="J42" s="205"/>
      <c r="K42" s="205"/>
      <c r="L42" s="205"/>
      <c r="M42" s="205"/>
      <c r="N42" s="205"/>
    </row>
    <row r="43" spans="1:15">
      <c r="D43" s="206">
        <v>3</v>
      </c>
      <c r="E43" s="205"/>
      <c r="F43" s="205"/>
      <c r="G43" s="205"/>
      <c r="H43" s="205"/>
      <c r="I43" s="205"/>
      <c r="J43" s="205"/>
      <c r="K43" s="205"/>
      <c r="L43" s="205"/>
      <c r="M43" s="205"/>
      <c r="N43" s="205"/>
    </row>
    <row r="44" spans="1:15">
      <c r="D44" s="206">
        <v>4</v>
      </c>
      <c r="E44" s="205"/>
      <c r="F44" s="205"/>
      <c r="G44" s="205"/>
      <c r="H44" s="205"/>
      <c r="I44" s="205"/>
      <c r="J44" s="205"/>
      <c r="K44" s="205"/>
      <c r="L44" s="205"/>
      <c r="M44" s="205"/>
      <c r="N44" s="205"/>
    </row>
    <row r="46" spans="1:15" ht="13.5" thickBot="1">
      <c r="D46" s="207"/>
      <c r="E46" s="190" t="s">
        <v>333</v>
      </c>
      <c r="F46" s="190" t="s">
        <v>333</v>
      </c>
      <c r="G46" s="190" t="s">
        <v>333</v>
      </c>
      <c r="H46" s="190" t="s">
        <v>333</v>
      </c>
      <c r="I46" s="190" t="s">
        <v>333</v>
      </c>
      <c r="J46" s="190" t="s">
        <v>333</v>
      </c>
      <c r="K46" s="190" t="s">
        <v>333</v>
      </c>
      <c r="L46" s="190" t="s">
        <v>333</v>
      </c>
      <c r="M46" s="190" t="s">
        <v>333</v>
      </c>
      <c r="N46" s="190" t="s">
        <v>333</v>
      </c>
      <c r="O46" s="212" t="s">
        <v>332</v>
      </c>
    </row>
    <row r="47" spans="1:15">
      <c r="A47" s="211" t="s">
        <v>305</v>
      </c>
      <c r="B47" s="195" t="s">
        <v>331</v>
      </c>
      <c r="D47" s="207"/>
      <c r="E47" s="210" t="str">
        <f t="shared" ref="E47:N47" si="4">E$12</f>
        <v>decteamname (1)</v>
      </c>
      <c r="F47" s="210" t="str">
        <f t="shared" si="4"/>
        <v>decteamname (2)</v>
      </c>
      <c r="G47" s="210" t="str">
        <f t="shared" si="4"/>
        <v>decteamname (3)</v>
      </c>
      <c r="H47" s="210" t="str">
        <f t="shared" si="4"/>
        <v>decteamname (4)</v>
      </c>
      <c r="I47" s="210" t="str">
        <f t="shared" si="4"/>
        <v>decteamname (5)</v>
      </c>
      <c r="J47" s="210" t="str">
        <f t="shared" si="4"/>
        <v>decteamname (6)</v>
      </c>
      <c r="K47" s="210" t="str">
        <f t="shared" si="4"/>
        <v>decteamname (7)</v>
      </c>
      <c r="L47" s="210" t="str">
        <f t="shared" si="4"/>
        <v>decteamname (8)</v>
      </c>
      <c r="M47" s="210" t="str">
        <f t="shared" si="4"/>
        <v>decteamname (9)</v>
      </c>
      <c r="N47" s="210" t="str">
        <f t="shared" si="4"/>
        <v>decteamname (10)</v>
      </c>
      <c r="O47" s="207"/>
    </row>
    <row r="48" spans="1:15">
      <c r="A48" s="209" t="s">
        <v>17</v>
      </c>
      <c r="B48" s="193" t="s">
        <v>330</v>
      </c>
      <c r="D48" s="206">
        <v>0</v>
      </c>
      <c r="E48" s="205"/>
      <c r="F48" s="205"/>
      <c r="G48" s="205"/>
      <c r="H48" s="205"/>
      <c r="I48" s="205"/>
      <c r="J48" s="205"/>
      <c r="K48" s="205"/>
      <c r="L48" s="205"/>
      <c r="M48" s="205"/>
      <c r="N48" s="205"/>
      <c r="O48" s="207"/>
    </row>
    <row r="49" spans="1:15">
      <c r="A49" s="209" t="s">
        <v>300</v>
      </c>
      <c r="B49" s="193"/>
      <c r="D49" s="206">
        <v>1</v>
      </c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7"/>
    </row>
    <row r="50" spans="1:15">
      <c r="A50" s="209" t="s">
        <v>298</v>
      </c>
      <c r="B50" s="193" t="s">
        <v>329</v>
      </c>
      <c r="D50" s="206">
        <v>2</v>
      </c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7"/>
    </row>
    <row r="51" spans="1:15" ht="13.5" thickBot="1">
      <c r="A51" s="208" t="s">
        <v>295</v>
      </c>
      <c r="B51" s="189" t="s">
        <v>328</v>
      </c>
      <c r="D51" s="206">
        <v>3</v>
      </c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7"/>
    </row>
    <row r="52" spans="1:15">
      <c r="D52" s="206">
        <v>4</v>
      </c>
      <c r="E52" s="205"/>
      <c r="F52" s="205"/>
      <c r="G52" s="205"/>
      <c r="H52" s="205"/>
      <c r="I52" s="205"/>
      <c r="J52" s="205"/>
      <c r="K52" s="205"/>
      <c r="L52" s="205"/>
      <c r="M52" s="205"/>
      <c r="N52" s="205"/>
    </row>
  </sheetData>
  <conditionalFormatting sqref="N6:N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B47">
      <formula1>listFBTypes</formula1>
    </dataValidation>
    <dataValidation type="list" allowBlank="1" showInputMessage="1" showErrorMessage="1" sqref="B15">
      <formula1>$R$5:$R$6</formula1>
    </dataValidation>
  </dataValidation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K37"/>
  <sheetViews>
    <sheetView workbookViewId="0"/>
  </sheetViews>
  <sheetFormatPr defaultRowHeight="14.25"/>
  <cols>
    <col min="1" max="1" width="2.3984375" customWidth="1"/>
    <col min="2" max="3" width="4.69921875" customWidth="1"/>
    <col min="5" max="6" width="24.69921875" customWidth="1"/>
  </cols>
  <sheetData>
    <row r="1" spans="1:11" s="1" customFormat="1">
      <c r="A1" s="111" t="s">
        <v>364</v>
      </c>
    </row>
    <row r="2" spans="1:11" s="228" customFormat="1" ht="15" customHeight="1">
      <c r="B2" s="247"/>
      <c r="D2" s="246"/>
    </row>
    <row r="3" spans="1:11" s="244" customFormat="1" ht="15" customHeight="1">
      <c r="C3" s="244" t="s">
        <v>352</v>
      </c>
      <c r="F3" s="245" t="s">
        <v>122</v>
      </c>
    </row>
    <row r="4" spans="1:11" s="244" customFormat="1" ht="15" customHeight="1">
      <c r="E4" s="245"/>
    </row>
    <row r="5" spans="1:11" s="241" customFormat="1" ht="15">
      <c r="A5" s="242"/>
      <c r="B5" s="243" t="s">
        <v>137</v>
      </c>
      <c r="C5" s="242"/>
      <c r="D5" s="243"/>
      <c r="F5" s="243"/>
      <c r="H5" s="242"/>
      <c r="I5" s="242"/>
      <c r="J5" s="242"/>
    </row>
    <row r="6" spans="1:11" s="228" customFormat="1" ht="15" customHeight="1">
      <c r="A6" s="230"/>
      <c r="B6" s="230"/>
      <c r="C6" s="230"/>
      <c r="D6" s="230"/>
      <c r="E6" s="230"/>
      <c r="F6" s="230"/>
      <c r="G6" s="230"/>
      <c r="H6" s="230"/>
      <c r="I6" s="230"/>
      <c r="J6" s="230"/>
    </row>
    <row r="7" spans="1:11" s="228" customFormat="1" ht="15" customHeight="1">
      <c r="A7" s="230"/>
      <c r="D7" s="240" t="s">
        <v>136</v>
      </c>
      <c r="E7" s="230"/>
      <c r="F7" s="240"/>
      <c r="G7" s="230"/>
      <c r="H7" s="240" t="s">
        <v>363</v>
      </c>
      <c r="I7" s="230"/>
      <c r="J7" s="239"/>
    </row>
    <row r="8" spans="1:11" s="228" customFormat="1" ht="15" customHeight="1">
      <c r="A8" s="230"/>
      <c r="D8" s="238"/>
      <c r="E8" s="231" t="s">
        <v>109</v>
      </c>
      <c r="F8" s="232"/>
      <c r="G8" s="237"/>
      <c r="H8" s="236"/>
      <c r="I8" s="231" t="s">
        <v>110</v>
      </c>
      <c r="J8" s="235"/>
      <c r="K8" s="234"/>
    </row>
    <row r="9" spans="1:11" s="228" customFormat="1" ht="15" customHeight="1">
      <c r="A9" s="230"/>
      <c r="D9" s="233"/>
      <c r="E9" s="231" t="s">
        <v>106</v>
      </c>
      <c r="F9" s="232"/>
      <c r="G9" s="231"/>
      <c r="H9" s="230"/>
      <c r="I9" s="230"/>
      <c r="J9" s="229"/>
    </row>
    <row r="10" spans="1:11" s="6" customFormat="1">
      <c r="D10" s="12"/>
      <c r="E10" s="9" t="s">
        <v>111</v>
      </c>
    </row>
    <row r="12" spans="1:11" s="5" customFormat="1">
      <c r="B12" s="224" t="s">
        <v>351</v>
      </c>
    </row>
    <row r="14" spans="1:11">
      <c r="D14" s="227" t="str">
        <f>F19&amp;F20&amp;F21&amp;F22&amp;F23&amp;F24&amp;F25&amp;F26&amp;F27&amp;F28</f>
        <v/>
      </c>
      <c r="E14" t="s">
        <v>362</v>
      </c>
    </row>
    <row r="16" spans="1:11" s="5" customFormat="1">
      <c r="B16" s="224" t="s">
        <v>134</v>
      </c>
    </row>
    <row r="18" spans="2:6">
      <c r="D18" t="s">
        <v>361</v>
      </c>
      <c r="E18" t="s">
        <v>360</v>
      </c>
      <c r="F18" t="s">
        <v>359</v>
      </c>
    </row>
    <row r="19" spans="2:6">
      <c r="C19">
        <v>1</v>
      </c>
      <c r="D19" s="226" t="b">
        <v>0</v>
      </c>
      <c r="E19" s="225" t="s">
        <v>358</v>
      </c>
      <c r="F19" s="122" t="str">
        <f t="shared" ref="F19:F28" si="0">IF(D19,E19 &amp; ErrorMessage_LineBreak,"")</f>
        <v/>
      </c>
    </row>
    <row r="20" spans="2:6">
      <c r="C20">
        <v>2</v>
      </c>
      <c r="D20" s="226" t="b">
        <v>0</v>
      </c>
      <c r="E20" s="225"/>
      <c r="F20" s="122" t="str">
        <f t="shared" si="0"/>
        <v/>
      </c>
    </row>
    <row r="21" spans="2:6">
      <c r="C21">
        <v>3</v>
      </c>
      <c r="D21" s="226" t="b">
        <v>0</v>
      </c>
      <c r="E21" s="225"/>
      <c r="F21" s="122" t="str">
        <f t="shared" si="0"/>
        <v/>
      </c>
    </row>
    <row r="22" spans="2:6">
      <c r="C22">
        <v>4</v>
      </c>
      <c r="D22" s="226" t="b">
        <v>0</v>
      </c>
      <c r="E22" s="225"/>
      <c r="F22" s="122" t="str">
        <f t="shared" si="0"/>
        <v/>
      </c>
    </row>
    <row r="23" spans="2:6">
      <c r="C23">
        <v>5</v>
      </c>
      <c r="D23" s="226" t="b">
        <v>0</v>
      </c>
      <c r="E23" s="225"/>
      <c r="F23" s="122" t="str">
        <f t="shared" si="0"/>
        <v/>
      </c>
    </row>
    <row r="24" spans="2:6">
      <c r="C24">
        <v>6</v>
      </c>
      <c r="D24" s="226" t="b">
        <v>0</v>
      </c>
      <c r="E24" s="225"/>
      <c r="F24" s="122" t="str">
        <f t="shared" si="0"/>
        <v/>
      </c>
    </row>
    <row r="25" spans="2:6">
      <c r="C25">
        <v>7</v>
      </c>
      <c r="D25" s="226" t="b">
        <v>0</v>
      </c>
      <c r="E25" s="225"/>
      <c r="F25" s="122" t="str">
        <f t="shared" si="0"/>
        <v/>
      </c>
    </row>
    <row r="26" spans="2:6">
      <c r="C26">
        <v>8</v>
      </c>
      <c r="D26" s="226" t="b">
        <v>0</v>
      </c>
      <c r="E26" s="225"/>
      <c r="F26" s="122" t="str">
        <f t="shared" si="0"/>
        <v/>
      </c>
    </row>
    <row r="27" spans="2:6">
      <c r="C27">
        <v>9</v>
      </c>
      <c r="D27" s="226" t="b">
        <v>0</v>
      </c>
      <c r="E27" s="225"/>
      <c r="F27" s="122" t="str">
        <f t="shared" si="0"/>
        <v/>
      </c>
    </row>
    <row r="28" spans="2:6">
      <c r="C28">
        <v>10</v>
      </c>
      <c r="D28" s="226" t="b">
        <v>0</v>
      </c>
      <c r="E28" s="225"/>
      <c r="F28" s="122" t="str">
        <f t="shared" si="0"/>
        <v/>
      </c>
    </row>
    <row r="32" spans="2:6" s="5" customFormat="1">
      <c r="B32" s="224" t="s">
        <v>357</v>
      </c>
    </row>
    <row r="34" spans="4:6">
      <c r="D34" s="223" t="b">
        <f>OR(D19:D28)</f>
        <v>0</v>
      </c>
      <c r="E34" t="s">
        <v>356</v>
      </c>
    </row>
    <row r="37" spans="4:6">
      <c r="D37" s="223" t="str">
        <f>CHAR(10)</f>
        <v xml:space="preserve">
</v>
      </c>
      <c r="E37" t="s">
        <v>355</v>
      </c>
      <c r="F37" t="s">
        <v>354</v>
      </c>
    </row>
  </sheetData>
  <conditionalFormatting sqref="G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F3" r:id="rId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P81"/>
  <sheetViews>
    <sheetView topLeftCell="A52" workbookViewId="0">
      <selection activeCell="E55" sqref="E55"/>
    </sheetView>
  </sheetViews>
  <sheetFormatPr defaultRowHeight="14.25"/>
  <cols>
    <col min="1" max="2" width="2.69921875" customWidth="1"/>
    <col min="3" max="3" width="24.69921875" customWidth="1"/>
    <col min="4" max="8" width="14.69921875" customWidth="1"/>
  </cols>
  <sheetData>
    <row r="1" spans="1:16" s="1" customFormat="1">
      <c r="A1" s="1" t="s">
        <v>403</v>
      </c>
    </row>
    <row r="2" spans="1:16" s="73" customFormat="1">
      <c r="C2" s="76"/>
      <c r="D2" s="76"/>
      <c r="E2" s="76"/>
      <c r="F2" s="76"/>
      <c r="G2" s="76"/>
      <c r="I2" s="76"/>
      <c r="J2" s="76"/>
      <c r="K2" s="76"/>
      <c r="L2" s="76"/>
      <c r="M2" s="76"/>
      <c r="N2" s="76"/>
      <c r="O2" s="76"/>
    </row>
    <row r="3" spans="1:16" s="73" customFormat="1">
      <c r="C3" s="73" t="s">
        <v>138</v>
      </c>
      <c r="E3" s="75" t="s">
        <v>122</v>
      </c>
      <c r="F3" s="75"/>
      <c r="G3" s="74"/>
      <c r="I3" s="74"/>
      <c r="J3" s="74"/>
      <c r="K3" s="74"/>
      <c r="L3" s="74"/>
      <c r="M3" s="74"/>
      <c r="N3" s="74"/>
      <c r="O3" s="74"/>
    </row>
    <row r="4" spans="1:16" s="6" customFormat="1"/>
    <row r="5" spans="1:16" s="2" customFormat="1">
      <c r="A5" s="7"/>
      <c r="C5" s="2" t="s">
        <v>137</v>
      </c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s="6" customFormat="1"/>
    <row r="7" spans="1:16" s="6" customFormat="1">
      <c r="D7" s="4" t="s">
        <v>136</v>
      </c>
      <c r="E7" s="4"/>
      <c r="F7" s="4"/>
      <c r="H7" s="103" t="s">
        <v>135</v>
      </c>
    </row>
    <row r="8" spans="1:16" s="6" customFormat="1">
      <c r="D8" s="8"/>
      <c r="E8" s="9" t="s">
        <v>109</v>
      </c>
      <c r="H8" s="10"/>
      <c r="I8" s="9" t="s">
        <v>110</v>
      </c>
    </row>
    <row r="9" spans="1:16" s="6" customFormat="1">
      <c r="D9" s="11"/>
      <c r="E9" s="9" t="s">
        <v>106</v>
      </c>
    </row>
    <row r="10" spans="1:16" s="6" customFormat="1">
      <c r="D10" s="12"/>
      <c r="E10" s="9" t="s">
        <v>111</v>
      </c>
    </row>
    <row r="11" spans="1:16" s="6" customFormat="1"/>
    <row r="12" spans="1:16" s="2" customFormat="1">
      <c r="A12" s="7"/>
      <c r="C12" s="2" t="s">
        <v>133</v>
      </c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1:16" s="83" customFormat="1">
      <c r="B13" s="84"/>
    </row>
    <row r="14" spans="1:16" s="83" customFormat="1">
      <c r="B14" s="84"/>
      <c r="D14" s="83" t="s">
        <v>402</v>
      </c>
      <c r="E14" s="248">
        <v>1</v>
      </c>
      <c r="F14" s="84" t="s">
        <v>401</v>
      </c>
      <c r="H14" s="187"/>
    </row>
    <row r="15" spans="1:16" s="6" customFormat="1"/>
    <row r="16" spans="1:16" s="2" customFormat="1">
      <c r="A16" s="7"/>
      <c r="C16" s="2" t="s">
        <v>400</v>
      </c>
      <c r="G16" s="3"/>
      <c r="H16" s="3"/>
      <c r="I16" s="3"/>
      <c r="J16" s="3"/>
      <c r="K16" s="3"/>
      <c r="L16" s="3"/>
      <c r="M16" s="3"/>
      <c r="N16" s="3"/>
      <c r="O16" s="3"/>
      <c r="P16" s="3"/>
    </row>
    <row r="18" spans="2:7">
      <c r="B18" s="4" t="s">
        <v>399</v>
      </c>
    </row>
    <row r="19" spans="2:7">
      <c r="D19" s="248">
        <v>1000000</v>
      </c>
      <c r="E19" s="138" t="s">
        <v>398</v>
      </c>
    </row>
    <row r="20" spans="2:7">
      <c r="E20" s="138"/>
    </row>
    <row r="21" spans="2:7">
      <c r="E21" s="138"/>
    </row>
    <row r="22" spans="2:7">
      <c r="E22" s="138"/>
    </row>
    <row r="23" spans="2:7">
      <c r="B23" s="4" t="s">
        <v>397</v>
      </c>
      <c r="E23" t="s">
        <v>396</v>
      </c>
      <c r="F23" t="s">
        <v>395</v>
      </c>
      <c r="G23" t="s">
        <v>394</v>
      </c>
    </row>
    <row r="24" spans="2:7">
      <c r="B24" s="4"/>
      <c r="C24" t="s">
        <v>393</v>
      </c>
      <c r="D24" s="122" t="str">
        <f>INDEX(E24:G24,glossaryLanguage)</f>
        <v>Resourcing for Results</v>
      </c>
      <c r="E24" s="225" t="s">
        <v>3435</v>
      </c>
      <c r="F24" s="225"/>
      <c r="G24" s="225"/>
    </row>
    <row r="25" spans="2:7">
      <c r="B25" s="4"/>
      <c r="C25" t="s">
        <v>392</v>
      </c>
      <c r="D25" s="122" t="str">
        <f>INDEX(E25:G25,glossaryLanguage)</f>
        <v>Resourcing for Results</v>
      </c>
      <c r="E25" s="225" t="s">
        <v>3435</v>
      </c>
      <c r="F25" s="225"/>
      <c r="G25" s="225"/>
    </row>
    <row r="26" spans="2:7">
      <c r="C26" t="s">
        <v>391</v>
      </c>
      <c r="D26" s="122" t="str">
        <f>INDEX(E26:G26,glossaryLanguage)</f>
        <v>Team Name</v>
      </c>
      <c r="E26" s="225" t="s">
        <v>208</v>
      </c>
      <c r="F26" s="225"/>
      <c r="G26" s="225"/>
    </row>
    <row r="27" spans="2:7">
      <c r="C27" t="s">
        <v>390</v>
      </c>
      <c r="D27" s="122" t="str">
        <f>INDEX(E27:G27,glossaryLanguage)</f>
        <v>Team Number</v>
      </c>
      <c r="E27" s="225" t="s">
        <v>207</v>
      </c>
      <c r="F27" s="225"/>
      <c r="G27" s="225"/>
    </row>
    <row r="28" spans="2:7">
      <c r="C28" t="s">
        <v>389</v>
      </c>
      <c r="D28" s="122" t="str">
        <f>INDEX(E28:G28,glossaryLanguage)</f>
        <v>Round</v>
      </c>
      <c r="E28" s="225" t="s">
        <v>206</v>
      </c>
      <c r="F28" s="225"/>
      <c r="G28" s="225"/>
    </row>
    <row r="30" spans="2:7">
      <c r="C30" t="s">
        <v>388</v>
      </c>
      <c r="D30" s="122" t="str">
        <f>INDEX(E30:G30,glossaryLanguage)</f>
        <v>Mn</v>
      </c>
      <c r="E30" s="225" t="s">
        <v>387</v>
      </c>
      <c r="F30" s="225"/>
      <c r="G30" s="225"/>
    </row>
    <row r="32" spans="2:7">
      <c r="C32" t="s">
        <v>613</v>
      </c>
      <c r="D32" s="122" t="str">
        <f>INDEX(E32:G32,glossaryLanguage)</f>
        <v>The Region</v>
      </c>
      <c r="E32" s="225" t="s">
        <v>3525</v>
      </c>
      <c r="F32" s="225"/>
      <c r="G32" s="225"/>
    </row>
    <row r="33" spans="3:7">
      <c r="C33" t="s">
        <v>614</v>
      </c>
      <c r="D33" s="122" t="str">
        <f>INDEX(E33:G33,glossaryLanguage)</f>
        <v>Riverrun</v>
      </c>
      <c r="E33" s="225" t="s">
        <v>766</v>
      </c>
      <c r="F33" s="225"/>
      <c r="G33" s="225"/>
    </row>
    <row r="34" spans="3:7">
      <c r="C34" t="s">
        <v>615</v>
      </c>
      <c r="D34" s="122" t="str">
        <f>INDEX(E34:G34,glossaryLanguage)</f>
        <v>Winterfell</v>
      </c>
      <c r="E34" s="225" t="s">
        <v>767</v>
      </c>
      <c r="F34" s="225"/>
      <c r="G34" s="225"/>
    </row>
    <row r="35" spans="3:7">
      <c r="C35" t="s">
        <v>616</v>
      </c>
      <c r="D35" s="122" t="str">
        <f>INDEX(E35:G35,glossaryLanguage)</f>
        <v>Harrenhal</v>
      </c>
      <c r="E35" s="225" t="s">
        <v>768</v>
      </c>
      <c r="F35" s="225"/>
      <c r="G35" s="225"/>
    </row>
    <row r="37" spans="3:7">
      <c r="C37" t="s">
        <v>386</v>
      </c>
      <c r="D37" s="122" t="str">
        <f t="shared" ref="D37:D43" si="0">INDEX(E37:G37,glossaryLanguage)</f>
        <v>Riverrun</v>
      </c>
      <c r="E37" s="225" t="s">
        <v>766</v>
      </c>
      <c r="F37" s="225"/>
      <c r="G37" s="225"/>
    </row>
    <row r="38" spans="3:7">
      <c r="C38" t="s">
        <v>385</v>
      </c>
      <c r="D38" s="122" t="str">
        <f t="shared" si="0"/>
        <v>Riverrun Central</v>
      </c>
      <c r="E38" s="225" t="s">
        <v>3186</v>
      </c>
      <c r="F38" s="225"/>
      <c r="G38" s="225"/>
    </row>
    <row r="39" spans="3:7">
      <c r="C39" t="s">
        <v>384</v>
      </c>
      <c r="D39" s="122" t="str">
        <f t="shared" si="0"/>
        <v>Tullyville</v>
      </c>
      <c r="E39" s="225" t="s">
        <v>3838</v>
      </c>
      <c r="F39" s="225"/>
      <c r="G39" s="225"/>
    </row>
    <row r="40" spans="3:7">
      <c r="C40" t="s">
        <v>383</v>
      </c>
      <c r="D40" s="122" t="str">
        <f t="shared" si="0"/>
        <v>Lordfrey City</v>
      </c>
      <c r="E40" s="225" t="s">
        <v>2824</v>
      </c>
      <c r="F40" s="225"/>
      <c r="G40" s="225"/>
    </row>
    <row r="41" spans="3:7">
      <c r="C41" t="s">
        <v>2307</v>
      </c>
      <c r="D41" s="122" t="str">
        <f t="shared" si="0"/>
        <v>Rep Allen</v>
      </c>
      <c r="E41" s="225" t="s">
        <v>2916</v>
      </c>
      <c r="F41" s="225"/>
      <c r="G41" s="225"/>
    </row>
    <row r="42" spans="3:7">
      <c r="C42" t="s">
        <v>2311</v>
      </c>
      <c r="D42" s="122" t="str">
        <f t="shared" si="0"/>
        <v>Rep Betty</v>
      </c>
      <c r="E42" s="225" t="s">
        <v>2917</v>
      </c>
      <c r="F42" s="225"/>
      <c r="G42" s="225"/>
    </row>
    <row r="43" spans="3:7">
      <c r="C43" t="s">
        <v>2310</v>
      </c>
      <c r="D43" s="122" t="str">
        <f t="shared" si="0"/>
        <v>Rep Chris</v>
      </c>
      <c r="E43" s="225" t="s">
        <v>2918</v>
      </c>
      <c r="F43" s="225"/>
      <c r="G43" s="225"/>
    </row>
    <row r="45" spans="3:7">
      <c r="C45" t="s">
        <v>535</v>
      </c>
      <c r="D45" s="122" t="str">
        <f t="shared" ref="D45:D51" si="1">INDEX(E45:G45,glossaryLanguage)</f>
        <v>District 2</v>
      </c>
      <c r="E45" s="225" t="s">
        <v>540</v>
      </c>
      <c r="F45" s="225"/>
      <c r="G45" s="225"/>
    </row>
    <row r="46" spans="3:7">
      <c r="C46" t="s">
        <v>536</v>
      </c>
      <c r="D46" s="122" t="str">
        <f t="shared" si="1"/>
        <v>Territory 1</v>
      </c>
      <c r="E46" s="225" t="s">
        <v>545</v>
      </c>
      <c r="F46" s="225"/>
      <c r="G46" s="225"/>
    </row>
    <row r="47" spans="3:7">
      <c r="C47" t="s">
        <v>537</v>
      </c>
      <c r="D47" s="122" t="str">
        <f t="shared" si="1"/>
        <v>Territory 2</v>
      </c>
      <c r="E47" s="225" t="s">
        <v>546</v>
      </c>
      <c r="F47" s="225"/>
      <c r="G47" s="225"/>
    </row>
    <row r="48" spans="3:7">
      <c r="C48" t="s">
        <v>538</v>
      </c>
      <c r="D48" s="122" t="str">
        <f t="shared" si="1"/>
        <v>Territory 3</v>
      </c>
      <c r="E48" s="225" t="s">
        <v>547</v>
      </c>
      <c r="F48" s="225"/>
      <c r="G48" s="225"/>
    </row>
    <row r="49" spans="3:7">
      <c r="C49" s="519" t="s">
        <v>2312</v>
      </c>
      <c r="D49" s="520" t="str">
        <f t="shared" si="1"/>
        <v>Rep Danielle</v>
      </c>
      <c r="E49" s="225" t="str">
        <f>IF(xxRound&lt;2,"Rep Danielle","Rep Charles")</f>
        <v>Rep Danielle</v>
      </c>
      <c r="F49" s="225"/>
      <c r="G49" s="225"/>
    </row>
    <row r="50" spans="3:7">
      <c r="C50" s="519" t="s">
        <v>2308</v>
      </c>
      <c r="D50" s="520" t="str">
        <f t="shared" si="1"/>
        <v>Rep Elliot</v>
      </c>
      <c r="E50" s="225" t="s">
        <v>2919</v>
      </c>
      <c r="F50" s="225"/>
      <c r="G50" s="225"/>
    </row>
    <row r="51" spans="3:7">
      <c r="C51" s="519" t="s">
        <v>2313</v>
      </c>
      <c r="D51" s="520" t="str">
        <f t="shared" si="1"/>
        <v>Rep Fiona</v>
      </c>
      <c r="E51" s="225" t="s">
        <v>2920</v>
      </c>
      <c r="F51" s="225"/>
      <c r="G51" s="225"/>
    </row>
    <row r="52" spans="3:7">
      <c r="C52" s="519"/>
      <c r="D52" s="519"/>
    </row>
    <row r="53" spans="3:7">
      <c r="C53" s="519" t="s">
        <v>541</v>
      </c>
      <c r="D53" s="520" t="str">
        <f t="shared" ref="D53:D59" si="2">INDEX(E53:G53,glossaryLanguage)</f>
        <v>District 3</v>
      </c>
      <c r="E53" s="225" t="s">
        <v>539</v>
      </c>
      <c r="F53" s="225"/>
      <c r="G53" s="225"/>
    </row>
    <row r="54" spans="3:7">
      <c r="C54" s="519" t="s">
        <v>542</v>
      </c>
      <c r="D54" s="520" t="str">
        <f t="shared" si="2"/>
        <v>Territory 1</v>
      </c>
      <c r="E54" s="225" t="s">
        <v>545</v>
      </c>
      <c r="F54" s="225"/>
      <c r="G54" s="225"/>
    </row>
    <row r="55" spans="3:7">
      <c r="C55" s="519" t="s">
        <v>543</v>
      </c>
      <c r="D55" s="520" t="str">
        <f t="shared" si="2"/>
        <v>Territory 2</v>
      </c>
      <c r="E55" s="225" t="s">
        <v>546</v>
      </c>
      <c r="F55" s="225"/>
      <c r="G55" s="225"/>
    </row>
    <row r="56" spans="3:7">
      <c r="C56" s="519" t="s">
        <v>544</v>
      </c>
      <c r="D56" s="520" t="str">
        <f t="shared" si="2"/>
        <v>Territory 3</v>
      </c>
      <c r="E56" s="225" t="s">
        <v>547</v>
      </c>
      <c r="F56" s="225"/>
      <c r="G56" s="225"/>
    </row>
    <row r="57" spans="3:7">
      <c r="C57" s="519" t="s">
        <v>2314</v>
      </c>
      <c r="D57" s="520" t="str">
        <f t="shared" si="2"/>
        <v>Rep Gregg</v>
      </c>
      <c r="E57" s="225" t="s">
        <v>2921</v>
      </c>
      <c r="F57" s="225"/>
      <c r="G57" s="225"/>
    </row>
    <row r="58" spans="3:7">
      <c r="C58" s="519" t="s">
        <v>2315</v>
      </c>
      <c r="D58" s="520" t="str">
        <f t="shared" si="2"/>
        <v>Rep Howard</v>
      </c>
      <c r="E58" s="225" t="s">
        <v>2922</v>
      </c>
      <c r="F58" s="225"/>
      <c r="G58" s="225"/>
    </row>
    <row r="59" spans="3:7">
      <c r="C59" s="519" t="s">
        <v>2309</v>
      </c>
      <c r="D59" s="520" t="str">
        <f t="shared" si="2"/>
        <v>Rep Isabelle</v>
      </c>
      <c r="E59" s="225" t="s">
        <v>2923</v>
      </c>
      <c r="F59" s="225"/>
      <c r="G59" s="225"/>
    </row>
    <row r="61" spans="3:7">
      <c r="C61" t="s">
        <v>552</v>
      </c>
      <c r="D61" s="122" t="str">
        <f t="shared" ref="D61:D66" si="3">INDEX(E61:G61,glossaryLanguage)</f>
        <v>Wintellix</v>
      </c>
      <c r="E61" s="225" t="s">
        <v>2643</v>
      </c>
      <c r="F61" s="225"/>
      <c r="G61" s="225"/>
    </row>
    <row r="62" spans="3:7">
      <c r="C62" t="s">
        <v>553</v>
      </c>
      <c r="D62" s="122" t="str">
        <f t="shared" si="3"/>
        <v>Ammadeus</v>
      </c>
      <c r="E62" s="225" t="s">
        <v>555</v>
      </c>
      <c r="F62" s="225"/>
      <c r="G62" s="225"/>
    </row>
    <row r="63" spans="3:7">
      <c r="C63" t="s">
        <v>618</v>
      </c>
      <c r="D63" s="122" t="str">
        <f t="shared" si="3"/>
        <v>Squintrellix</v>
      </c>
      <c r="E63" s="225" t="s">
        <v>554</v>
      </c>
      <c r="F63" s="225"/>
      <c r="G63" s="225"/>
    </row>
    <row r="64" spans="3:7">
      <c r="C64" t="s">
        <v>382</v>
      </c>
      <c r="D64" s="122" t="str">
        <f t="shared" si="3"/>
        <v>Forecast</v>
      </c>
      <c r="E64" s="225" t="s">
        <v>256</v>
      </c>
      <c r="F64" s="225"/>
      <c r="G64" s="225"/>
    </row>
    <row r="65" spans="3:7">
      <c r="C65" t="s">
        <v>381</v>
      </c>
      <c r="D65" s="122" t="str">
        <f t="shared" si="3"/>
        <v>Price</v>
      </c>
      <c r="E65" s="225" t="s">
        <v>215</v>
      </c>
      <c r="F65" s="225"/>
      <c r="G65" s="225"/>
    </row>
    <row r="66" spans="3:7">
      <c r="C66" t="s">
        <v>380</v>
      </c>
      <c r="D66" s="122" t="str">
        <f t="shared" si="3"/>
        <v>Marketing</v>
      </c>
      <c r="E66" s="225" t="s">
        <v>379</v>
      </c>
      <c r="F66" s="225"/>
      <c r="G66" s="225"/>
    </row>
    <row r="68" spans="3:7">
      <c r="C68" t="s">
        <v>378</v>
      </c>
      <c r="D68" s="122" t="str">
        <f>INDEX(E68:G68,glossaryLanguage)</f>
        <v>Strategic Initiatives</v>
      </c>
      <c r="E68" s="225" t="s">
        <v>186</v>
      </c>
      <c r="F68" s="225"/>
      <c r="G68" s="225"/>
    </row>
    <row r="71" spans="3:7">
      <c r="C71" t="s">
        <v>377</v>
      </c>
      <c r="D71" s="122" t="str">
        <f>INDEX(E71:G71,glossaryLanguage)</f>
        <v>Revenue</v>
      </c>
      <c r="E71" s="225" t="s">
        <v>376</v>
      </c>
      <c r="F71" s="225"/>
      <c r="G71" s="225"/>
    </row>
    <row r="72" spans="3:7">
      <c r="C72" t="s">
        <v>375</v>
      </c>
      <c r="D72" s="122" t="str">
        <f>INDEX(E72:G72,glossaryLanguage)</f>
        <v>COGS</v>
      </c>
      <c r="E72" s="225" t="s">
        <v>374</v>
      </c>
      <c r="F72" s="225"/>
      <c r="G72" s="225"/>
    </row>
    <row r="73" spans="3:7">
      <c r="C73" t="s">
        <v>373</v>
      </c>
      <c r="D73" s="122" t="str">
        <f>INDEX(E73:G73,glossaryLanguage)</f>
        <v>Gross Profit</v>
      </c>
      <c r="E73" s="225" t="s">
        <v>372</v>
      </c>
      <c r="F73" s="225"/>
      <c r="G73" s="225"/>
    </row>
    <row r="74" spans="3:7">
      <c r="C74" t="s">
        <v>371</v>
      </c>
      <c r="D74" s="122" t="str">
        <f>INDEX(E74:G74,glossaryLanguage)</f>
        <v>Gross Margin</v>
      </c>
      <c r="E74" s="225" t="s">
        <v>370</v>
      </c>
      <c r="F74" s="225"/>
      <c r="G74" s="225"/>
    </row>
    <row r="76" spans="3:7">
      <c r="C76" t="s">
        <v>582</v>
      </c>
      <c r="D76" s="122" t="str">
        <f>INDEX(E76:G76,glossaryLanguage)</f>
        <v>Blue Sword/Blue Shield</v>
      </c>
      <c r="E76" s="225" t="s">
        <v>769</v>
      </c>
      <c r="F76" s="225"/>
      <c r="G76" s="225"/>
    </row>
    <row r="77" spans="3:7">
      <c r="C77" t="s">
        <v>583</v>
      </c>
      <c r="D77" s="122" t="str">
        <f>INDEX(E77:G77,glossaryLanguage)</f>
        <v>WesterAid</v>
      </c>
      <c r="E77" s="225" t="s">
        <v>770</v>
      </c>
      <c r="F77" s="225"/>
      <c r="G77" s="225"/>
    </row>
    <row r="78" spans="3:7">
      <c r="C78" t="s">
        <v>584</v>
      </c>
      <c r="D78" s="122" t="str">
        <f>INDEX(E78:G78,glossaryLanguage)</f>
        <v>Dragon Health</v>
      </c>
      <c r="E78" s="225" t="s">
        <v>3187</v>
      </c>
      <c r="F78" s="225"/>
      <c r="G78" s="225"/>
    </row>
    <row r="80" spans="3:7">
      <c r="C80" t="s">
        <v>755</v>
      </c>
      <c r="D80" s="122" t="str">
        <f>INDEX(E80:G80,glossaryLanguage)</f>
        <v>Vibrant</v>
      </c>
      <c r="E80" s="225" t="s">
        <v>3192</v>
      </c>
      <c r="F80" s="225"/>
      <c r="G80" s="225"/>
    </row>
    <row r="81" spans="3:7">
      <c r="C81" t="s">
        <v>756</v>
      </c>
      <c r="D81" s="122" t="str">
        <f>INDEX(E81:G81,glossaryLanguage)</f>
        <v>Pristine</v>
      </c>
      <c r="E81" s="225" t="s">
        <v>3193</v>
      </c>
      <c r="F81" s="225"/>
      <c r="G81" s="225"/>
    </row>
  </sheetData>
  <hyperlinks>
    <hyperlink ref="E3" r:id="rId1"/>
  </hyperlinks>
  <pageMargins left="0.7" right="0.7" top="0.75" bottom="0.75" header="0.3" footer="0.3"/>
  <pageSetup paperSize="9"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rgb="FFFFFF00"/>
  </sheetPr>
  <dimension ref="A1:Z101"/>
  <sheetViews>
    <sheetView workbookViewId="0"/>
  </sheetViews>
  <sheetFormatPr defaultColWidth="18.69921875" defaultRowHeight="12.75" customHeight="1"/>
  <cols>
    <col min="1" max="1" width="3.19921875" style="249" customWidth="1"/>
    <col min="2" max="2" width="18.59765625" style="249" customWidth="1"/>
    <col min="3" max="3" width="13.09765625" style="249" customWidth="1"/>
    <col min="4" max="4" width="0.59765625" style="249" customWidth="1"/>
    <col min="5" max="5" width="13.09765625" style="249" customWidth="1"/>
    <col min="6" max="6" width="0.59765625" style="249" customWidth="1"/>
    <col min="7" max="7" width="13.09765625" style="249" customWidth="1"/>
    <col min="8" max="8" width="0.59765625" style="249" customWidth="1"/>
    <col min="9" max="9" width="13.09765625" style="249" customWidth="1"/>
    <col min="10" max="10" width="0.59765625" style="249" customWidth="1"/>
    <col min="11" max="16384" width="18.69921875" style="249"/>
  </cols>
  <sheetData>
    <row r="1" spans="1:26" s="282" customFormat="1" ht="18.75" customHeight="1">
      <c r="A1" s="222"/>
      <c r="B1" s="222" t="s">
        <v>494</v>
      </c>
      <c r="C1" s="283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</row>
    <row r="2" spans="1:26" s="255" customFormat="1">
      <c r="D2" s="257"/>
      <c r="F2" s="257"/>
      <c r="H2" s="257"/>
      <c r="J2" s="257"/>
    </row>
    <row r="3" spans="1:26" s="255" customFormat="1" ht="14.25">
      <c r="B3" s="255" t="s">
        <v>352</v>
      </c>
      <c r="D3" s="281" t="s">
        <v>122</v>
      </c>
      <c r="F3" s="281"/>
      <c r="H3" s="281"/>
      <c r="J3" s="281"/>
    </row>
    <row r="4" spans="1:26" s="255" customFormat="1">
      <c r="C4" s="257"/>
      <c r="E4" s="257"/>
    </row>
    <row r="5" spans="1:26" s="36" customFormat="1" ht="14.25">
      <c r="B5" s="58" t="s">
        <v>137</v>
      </c>
      <c r="E5" s="57"/>
      <c r="F5" s="57"/>
      <c r="G5" s="57"/>
      <c r="H5" s="57"/>
      <c r="I5" s="57"/>
    </row>
    <row r="6" spans="1:26" s="255" customFormat="1">
      <c r="C6" s="257"/>
      <c r="E6" s="257"/>
    </row>
    <row r="7" spans="1:26" s="255" customFormat="1">
      <c r="B7" s="280" t="s">
        <v>136</v>
      </c>
      <c r="C7" s="280"/>
      <c r="E7" s="258"/>
      <c r="I7" s="279" t="s">
        <v>135</v>
      </c>
      <c r="J7" s="133"/>
      <c r="K7" s="133"/>
    </row>
    <row r="8" spans="1:26" s="255" customFormat="1">
      <c r="B8" s="278"/>
      <c r="C8" s="273" t="s">
        <v>109</v>
      </c>
      <c r="G8" s="275"/>
      <c r="I8" s="277"/>
      <c r="J8" s="273" t="s">
        <v>110</v>
      </c>
      <c r="K8" s="133"/>
    </row>
    <row r="9" spans="1:26" s="275" customFormat="1">
      <c r="B9" s="276"/>
      <c r="C9" s="273" t="s">
        <v>106</v>
      </c>
    </row>
    <row r="10" spans="1:26" s="255" customFormat="1">
      <c r="B10" s="274"/>
      <c r="C10" s="273" t="s">
        <v>111</v>
      </c>
      <c r="E10" s="257"/>
    </row>
    <row r="11" spans="1:26" s="255" customFormat="1">
      <c r="C11" s="257"/>
      <c r="E11" s="257"/>
    </row>
    <row r="12" spans="1:26" s="36" customFormat="1" ht="21" customHeight="1">
      <c r="B12" s="221" t="s">
        <v>493</v>
      </c>
      <c r="E12" s="57"/>
      <c r="F12" s="57"/>
      <c r="G12" s="57"/>
      <c r="H12" s="57"/>
      <c r="I12" s="57"/>
    </row>
    <row r="13" spans="1:26" s="255" customFormat="1">
      <c r="C13" s="257"/>
      <c r="E13" s="257"/>
    </row>
    <row r="14" spans="1:26" s="255" customFormat="1">
      <c r="B14" s="272" t="s">
        <v>47</v>
      </c>
      <c r="C14" s="271" t="s">
        <v>105</v>
      </c>
      <c r="E14" s="257"/>
    </row>
    <row r="15" spans="1:26" ht="3" customHeight="1">
      <c r="C15" s="251"/>
      <c r="D15" s="251"/>
      <c r="E15" s="251"/>
      <c r="F15" s="251"/>
      <c r="H15" s="251"/>
      <c r="I15" s="251"/>
      <c r="J15" s="251"/>
    </row>
    <row r="16" spans="1:26" s="255" customFormat="1">
      <c r="B16" s="269" t="s">
        <v>492</v>
      </c>
      <c r="C16" s="268" t="s">
        <v>491</v>
      </c>
      <c r="E16" s="257"/>
    </row>
    <row r="17" spans="2:10" ht="3" customHeight="1">
      <c r="B17" s="270"/>
      <c r="C17" s="251"/>
      <c r="D17" s="251"/>
      <c r="E17" s="251"/>
      <c r="F17" s="251"/>
      <c r="H17" s="251"/>
      <c r="I17" s="251"/>
      <c r="J17" s="251"/>
    </row>
    <row r="18" spans="2:10" s="255" customFormat="1">
      <c r="B18" s="269" t="s">
        <v>490</v>
      </c>
      <c r="C18" s="268" t="s">
        <v>489</v>
      </c>
      <c r="E18" s="257"/>
    </row>
    <row r="19" spans="2:10" ht="3" customHeight="1">
      <c r="B19" s="270"/>
      <c r="C19" s="251"/>
      <c r="D19" s="251"/>
      <c r="E19" s="251"/>
      <c r="F19" s="251"/>
      <c r="H19" s="251"/>
      <c r="I19" s="251"/>
      <c r="J19" s="251"/>
    </row>
    <row r="20" spans="2:10" s="255" customFormat="1">
      <c r="B20" s="269" t="s">
        <v>488</v>
      </c>
      <c r="C20" s="268" t="s">
        <v>487</v>
      </c>
      <c r="E20" s="257"/>
    </row>
    <row r="21" spans="2:10" ht="3" customHeight="1">
      <c r="B21" s="270"/>
      <c r="C21" s="251"/>
      <c r="D21" s="251"/>
      <c r="E21" s="251"/>
      <c r="F21" s="251"/>
      <c r="H21" s="251"/>
      <c r="I21" s="251"/>
      <c r="J21" s="251"/>
    </row>
    <row r="22" spans="2:10" s="255" customFormat="1">
      <c r="B22" s="269" t="s">
        <v>486</v>
      </c>
      <c r="C22" s="268" t="s">
        <v>485</v>
      </c>
      <c r="E22" s="257"/>
    </row>
    <row r="23" spans="2:10" ht="3" customHeight="1">
      <c r="B23" s="270"/>
      <c r="C23" s="251"/>
      <c r="D23" s="251"/>
      <c r="E23" s="251"/>
      <c r="F23" s="251"/>
      <c r="H23" s="251"/>
      <c r="I23" s="251"/>
      <c r="J23" s="251"/>
    </row>
    <row r="24" spans="2:10" s="255" customFormat="1">
      <c r="B24" s="269" t="s">
        <v>484</v>
      </c>
      <c r="C24" s="268" t="s">
        <v>483</v>
      </c>
      <c r="E24" s="257"/>
    </row>
    <row r="25" spans="2:10" s="255" customFormat="1">
      <c r="C25" s="257"/>
      <c r="E25" s="257"/>
    </row>
    <row r="26" spans="2:10" s="36" customFormat="1" ht="21" customHeight="1">
      <c r="B26" s="221" t="s">
        <v>482</v>
      </c>
      <c r="E26" s="57"/>
      <c r="F26" s="57"/>
      <c r="G26" s="57"/>
      <c r="H26" s="57"/>
      <c r="I26" s="57"/>
    </row>
    <row r="27" spans="2:10" s="255" customFormat="1">
      <c r="B27" s="267"/>
      <c r="C27" s="257"/>
      <c r="E27" s="257"/>
      <c r="G27" s="267"/>
    </row>
    <row r="28" spans="2:10" s="255" customFormat="1" ht="15.75" customHeight="1">
      <c r="B28" s="259" t="s">
        <v>311</v>
      </c>
      <c r="C28" s="266">
        <v>5</v>
      </c>
      <c r="D28" s="265" t="s">
        <v>481</v>
      </c>
      <c r="F28" s="265"/>
      <c r="H28" s="265"/>
      <c r="I28" s="260" t="s">
        <v>480</v>
      </c>
      <c r="J28" s="265"/>
    </row>
    <row r="29" spans="2:10" ht="3" customHeight="1"/>
    <row r="30" spans="2:10" s="255" customFormat="1" ht="15.75" customHeight="1">
      <c r="B30" s="259" t="s">
        <v>479</v>
      </c>
      <c r="C30" s="266">
        <v>1</v>
      </c>
      <c r="D30" s="265" t="s">
        <v>478</v>
      </c>
      <c r="F30" s="265"/>
      <c r="H30" s="265"/>
      <c r="I30" s="260" t="s">
        <v>477</v>
      </c>
      <c r="J30" s="265"/>
    </row>
    <row r="31" spans="2:10" s="255" customFormat="1" ht="15.75" customHeight="1">
      <c r="B31" s="259"/>
      <c r="D31" s="265"/>
      <c r="F31" s="265"/>
      <c r="G31" s="259"/>
      <c r="H31" s="265"/>
      <c r="J31" s="265"/>
    </row>
    <row r="32" spans="2:10" s="255" customFormat="1" ht="15.75" customHeight="1">
      <c r="B32" s="259"/>
      <c r="C32" s="256"/>
      <c r="E32" s="256"/>
      <c r="G32" s="259"/>
      <c r="I32" s="256"/>
    </row>
    <row r="33" spans="2:10" s="255" customFormat="1" ht="15.75" customHeight="1">
      <c r="B33" s="260" t="s">
        <v>476</v>
      </c>
      <c r="C33" s="252">
        <f>COUNTA(B37:B55)</f>
        <v>10</v>
      </c>
      <c r="D33" s="255" t="s">
        <v>475</v>
      </c>
      <c r="E33" s="256"/>
    </row>
    <row r="34" spans="2:10" s="255" customFormat="1" ht="15.75" customHeight="1">
      <c r="B34" s="259"/>
      <c r="C34" s="256"/>
      <c r="E34" s="256"/>
      <c r="G34" s="259"/>
      <c r="I34" s="256"/>
    </row>
    <row r="35" spans="2:10" s="255" customFormat="1" ht="15.75" customHeight="1">
      <c r="B35" s="259" t="s">
        <v>474</v>
      </c>
      <c r="C35" s="256" t="s">
        <v>446</v>
      </c>
      <c r="E35" s="256" t="s">
        <v>445</v>
      </c>
      <c r="G35" s="256" t="s">
        <v>444</v>
      </c>
      <c r="I35" s="255" t="s">
        <v>473</v>
      </c>
    </row>
    <row r="36" spans="2:10" ht="3" customHeight="1"/>
    <row r="37" spans="2:10" ht="14.25">
      <c r="B37" s="258" t="s">
        <v>472</v>
      </c>
      <c r="C37" s="250" t="b">
        <v>1</v>
      </c>
      <c r="D37" s="251"/>
      <c r="E37" s="250" t="s">
        <v>471</v>
      </c>
      <c r="F37" s="251"/>
      <c r="G37" s="250" t="s">
        <v>212</v>
      </c>
      <c r="H37" s="251"/>
      <c r="I37" s="252" t="b">
        <f>IF(PrintReports_Annuals_Range1="Screen",TRUE,FALSE)</f>
        <v>1</v>
      </c>
      <c r="J37" s="251"/>
    </row>
    <row r="38" spans="2:10" ht="3" customHeight="1">
      <c r="C38" s="251"/>
      <c r="D38" s="251"/>
      <c r="E38" s="251"/>
      <c r="F38" s="251"/>
      <c r="G38" s="251"/>
      <c r="H38" s="251"/>
      <c r="I38" s="251"/>
      <c r="J38" s="251"/>
    </row>
    <row r="39" spans="2:10" ht="14.25">
      <c r="B39" s="258" t="s">
        <v>470</v>
      </c>
      <c r="C39" s="250" t="b">
        <v>0</v>
      </c>
      <c r="D39" s="251"/>
      <c r="E39" s="250"/>
      <c r="F39" s="251"/>
      <c r="G39" s="250"/>
      <c r="H39" s="251"/>
      <c r="I39" s="252" t="b">
        <f>IF(PrintReports_Annuals_Range2="Screen",TRUE,FALSE)</f>
        <v>0</v>
      </c>
      <c r="J39" s="251"/>
    </row>
    <row r="40" spans="2:10" ht="3" customHeight="1">
      <c r="C40" s="251"/>
      <c r="D40" s="251"/>
      <c r="E40" s="251"/>
      <c r="F40" s="251"/>
      <c r="G40" s="251"/>
      <c r="H40" s="251"/>
      <c r="J40" s="251"/>
    </row>
    <row r="41" spans="2:10" ht="14.25">
      <c r="B41" s="258" t="s">
        <v>469</v>
      </c>
      <c r="C41" s="250" t="b">
        <v>0</v>
      </c>
      <c r="D41" s="251"/>
      <c r="E41" s="250"/>
      <c r="F41" s="251"/>
      <c r="G41" s="250"/>
      <c r="H41" s="251"/>
      <c r="I41" s="252" t="b">
        <f>IF(PrintReports_Annuals_Range3="Screen",TRUE,FALSE)</f>
        <v>0</v>
      </c>
      <c r="J41" s="251"/>
    </row>
    <row r="42" spans="2:10" ht="3" customHeight="1">
      <c r="C42" s="251"/>
      <c r="D42" s="251"/>
      <c r="E42" s="251"/>
      <c r="F42" s="251"/>
      <c r="G42" s="251"/>
      <c r="H42" s="251"/>
      <c r="J42" s="251"/>
    </row>
    <row r="43" spans="2:10" ht="14.25">
      <c r="B43" s="258" t="s">
        <v>468</v>
      </c>
      <c r="C43" s="250" t="b">
        <v>0</v>
      </c>
      <c r="D43" s="251"/>
      <c r="E43" s="250"/>
      <c r="F43" s="251"/>
      <c r="G43" s="250"/>
      <c r="H43" s="251"/>
      <c r="I43" s="252" t="b">
        <f>IF(PrintReports_Annuals_Range4="Screen",TRUE,FALSE)</f>
        <v>0</v>
      </c>
      <c r="J43" s="251"/>
    </row>
    <row r="44" spans="2:10" ht="3" customHeight="1">
      <c r="C44" s="251"/>
      <c r="D44" s="251"/>
      <c r="E44" s="251"/>
      <c r="F44" s="251"/>
      <c r="G44" s="251"/>
      <c r="H44" s="251"/>
      <c r="J44" s="251"/>
    </row>
    <row r="45" spans="2:10" ht="14.25">
      <c r="B45" s="264" t="s">
        <v>467</v>
      </c>
      <c r="C45" s="250" t="b">
        <v>0</v>
      </c>
      <c r="D45" s="251"/>
      <c r="E45" s="250" t="s">
        <v>466</v>
      </c>
      <c r="F45" s="251"/>
      <c r="G45" s="250" t="s">
        <v>212</v>
      </c>
      <c r="H45" s="251"/>
      <c r="I45" s="252" t="b">
        <f>IF(PrintReports_Annuals_Range5="Screen",TRUE,FALSE)</f>
        <v>1</v>
      </c>
      <c r="J45" s="251"/>
    </row>
    <row r="46" spans="2:10" ht="3" customHeight="1">
      <c r="C46" s="251"/>
      <c r="D46" s="251"/>
      <c r="E46" s="251"/>
      <c r="F46" s="251"/>
      <c r="G46" s="251"/>
      <c r="H46" s="251"/>
      <c r="J46" s="251"/>
    </row>
    <row r="47" spans="2:10" ht="14.25">
      <c r="B47" s="264" t="s">
        <v>465</v>
      </c>
      <c r="C47" s="250" t="b">
        <v>0</v>
      </c>
      <c r="D47" s="251"/>
      <c r="E47" s="250"/>
      <c r="F47" s="251"/>
      <c r="G47" s="250"/>
      <c r="H47" s="251"/>
      <c r="I47" s="252" t="b">
        <f>IF(PrintReports_Annuals_Range6="Screen",TRUE,FALSE)</f>
        <v>0</v>
      </c>
      <c r="J47" s="251"/>
    </row>
    <row r="48" spans="2:10" ht="3" customHeight="1">
      <c r="C48" s="251"/>
      <c r="D48" s="251"/>
      <c r="E48" s="251"/>
      <c r="F48" s="251"/>
      <c r="G48" s="251"/>
      <c r="H48" s="251"/>
      <c r="J48" s="251"/>
    </row>
    <row r="49" spans="2:10" ht="14.25">
      <c r="B49" s="264" t="s">
        <v>464</v>
      </c>
      <c r="C49" s="250" t="b">
        <v>0</v>
      </c>
      <c r="D49" s="251"/>
      <c r="E49" s="250"/>
      <c r="F49" s="251"/>
      <c r="G49" s="250"/>
      <c r="H49" s="251"/>
      <c r="I49" s="252" t="b">
        <f>IF(PrintReports_Annuals_Range7="Screen",TRUE,FALSE)</f>
        <v>0</v>
      </c>
      <c r="J49" s="251"/>
    </row>
    <row r="50" spans="2:10" ht="3" customHeight="1">
      <c r="C50" s="251"/>
      <c r="D50" s="251"/>
      <c r="E50" s="251"/>
      <c r="F50" s="251"/>
      <c r="G50" s="251"/>
      <c r="H50" s="251"/>
      <c r="J50" s="251"/>
    </row>
    <row r="51" spans="2:10" ht="14.25">
      <c r="B51" s="264" t="s">
        <v>463</v>
      </c>
      <c r="C51" s="250" t="b">
        <v>0</v>
      </c>
      <c r="D51" s="251"/>
      <c r="E51" s="250"/>
      <c r="F51" s="251"/>
      <c r="G51" s="250"/>
      <c r="H51" s="251"/>
      <c r="I51" s="252" t="b">
        <f>IF(PrintReports_Annuals_Range8="Screen",TRUE,FALSE)</f>
        <v>0</v>
      </c>
      <c r="J51" s="251"/>
    </row>
    <row r="52" spans="2:10" ht="3" customHeight="1">
      <c r="C52" s="251"/>
      <c r="D52" s="251"/>
      <c r="E52" s="251"/>
      <c r="F52" s="251"/>
      <c r="G52" s="251"/>
      <c r="H52" s="251"/>
      <c r="J52" s="251"/>
    </row>
    <row r="53" spans="2:10" ht="14.25">
      <c r="B53" s="264" t="s">
        <v>462</v>
      </c>
      <c r="C53" s="250" t="b">
        <v>0</v>
      </c>
      <c r="D53" s="251"/>
      <c r="E53" s="250"/>
      <c r="F53" s="251"/>
      <c r="G53" s="250"/>
      <c r="H53" s="251"/>
      <c r="I53" s="252" t="b">
        <f>IF(PrintReports_Annuals_Range9="Screen",TRUE,FALSE)</f>
        <v>0</v>
      </c>
      <c r="J53" s="251"/>
    </row>
    <row r="54" spans="2:10" ht="3" customHeight="1">
      <c r="C54" s="251"/>
      <c r="D54" s="251"/>
      <c r="E54" s="251"/>
      <c r="F54" s="251"/>
      <c r="G54" s="251"/>
      <c r="H54" s="251"/>
      <c r="J54" s="251"/>
    </row>
    <row r="55" spans="2:10" ht="14.25">
      <c r="B55" s="264" t="s">
        <v>461</v>
      </c>
      <c r="C55" s="250" t="b">
        <v>0</v>
      </c>
      <c r="D55" s="251"/>
      <c r="E55" s="250"/>
      <c r="F55" s="251"/>
      <c r="G55" s="250"/>
      <c r="H55" s="251"/>
      <c r="I55" s="252" t="b">
        <f>IF(PrintReports_Annuals_Range10="Screen",TRUE,FALSE)</f>
        <v>0</v>
      </c>
      <c r="J55" s="251"/>
    </row>
    <row r="56" spans="2:10" ht="3" customHeight="1"/>
    <row r="57" spans="2:10" ht="14.25">
      <c r="B57" s="264"/>
      <c r="C57" s="249" t="s">
        <v>460</v>
      </c>
      <c r="E57" s="249" t="s">
        <v>459</v>
      </c>
    </row>
    <row r="58" spans="2:10" ht="15" thickBot="1">
      <c r="C58" s="251"/>
      <c r="D58" s="251"/>
      <c r="E58" s="251"/>
      <c r="F58" s="251"/>
      <c r="G58" s="251"/>
      <c r="H58" s="251"/>
      <c r="J58" s="251"/>
    </row>
    <row r="59" spans="2:10" ht="15">
      <c r="B59" s="259" t="s">
        <v>410</v>
      </c>
      <c r="C59" s="256" t="s">
        <v>446</v>
      </c>
      <c r="D59" s="255"/>
      <c r="E59" s="263" t="s">
        <v>458</v>
      </c>
      <c r="G59" s="256" t="s">
        <v>445</v>
      </c>
      <c r="H59" s="251"/>
      <c r="I59" s="256" t="s">
        <v>444</v>
      </c>
      <c r="J59" s="251"/>
    </row>
    <row r="60" spans="2:10" ht="3" customHeight="1">
      <c r="C60" s="251"/>
      <c r="D60" s="251"/>
      <c r="E60" s="262"/>
      <c r="G60" s="251"/>
      <c r="H60" s="251"/>
      <c r="I60" s="251"/>
      <c r="J60" s="251"/>
    </row>
    <row r="61" spans="2:10" ht="15" thickBot="1">
      <c r="B61" s="249" t="s">
        <v>457</v>
      </c>
      <c r="C61" s="250" t="b">
        <v>1</v>
      </c>
      <c r="D61" s="251"/>
      <c r="E61" s="261" t="b">
        <v>1</v>
      </c>
      <c r="G61" s="250" t="s">
        <v>410</v>
      </c>
      <c r="H61" s="251"/>
      <c r="I61" s="250" t="s">
        <v>456</v>
      </c>
      <c r="J61" s="251"/>
    </row>
    <row r="62" spans="2:10" ht="14.25">
      <c r="C62" s="249" t="s">
        <v>455</v>
      </c>
      <c r="E62" s="249" t="s">
        <v>454</v>
      </c>
      <c r="G62" s="249" t="s">
        <v>453</v>
      </c>
      <c r="H62" s="251"/>
      <c r="I62" s="249" t="s">
        <v>452</v>
      </c>
      <c r="J62" s="251"/>
    </row>
    <row r="63" spans="2:10" ht="14.25">
      <c r="C63" s="251"/>
      <c r="D63" s="251"/>
      <c r="E63" s="251"/>
      <c r="F63" s="251"/>
      <c r="G63" s="251"/>
      <c r="H63" s="251"/>
      <c r="J63" s="251"/>
    </row>
    <row r="64" spans="2:10" ht="14.25">
      <c r="B64" s="259" t="s">
        <v>409</v>
      </c>
      <c r="C64" s="256" t="s">
        <v>446</v>
      </c>
      <c r="D64" s="255"/>
      <c r="E64" s="256" t="s">
        <v>445</v>
      </c>
      <c r="F64" s="251"/>
      <c r="G64" s="251"/>
      <c r="H64" s="251"/>
      <c r="J64" s="251"/>
    </row>
    <row r="65" spans="2:10" ht="14.25">
      <c r="B65" s="249" t="s">
        <v>451</v>
      </c>
      <c r="C65" s="250" t="b">
        <v>1</v>
      </c>
      <c r="D65" s="251"/>
      <c r="E65" s="250" t="s">
        <v>409</v>
      </c>
      <c r="F65" s="251"/>
      <c r="G65" s="251"/>
      <c r="H65" s="251"/>
      <c r="J65" s="251"/>
    </row>
    <row r="66" spans="2:10" ht="14.25">
      <c r="C66" s="249" t="s">
        <v>450</v>
      </c>
      <c r="E66" s="249" t="s">
        <v>449</v>
      </c>
      <c r="F66" s="251"/>
      <c r="G66" s="251"/>
      <c r="H66" s="251"/>
      <c r="J66" s="251"/>
    </row>
    <row r="67" spans="2:10" s="255" customFormat="1" ht="15.75" customHeight="1">
      <c r="B67" s="259"/>
      <c r="C67" s="256"/>
      <c r="E67" s="256"/>
      <c r="G67" s="256"/>
      <c r="I67" s="256"/>
    </row>
    <row r="68" spans="2:10" s="255" customFormat="1" ht="15.75" customHeight="1">
      <c r="B68" s="260" t="s">
        <v>448</v>
      </c>
      <c r="C68" s="252">
        <f>COUNTA(B72:B82)</f>
        <v>6</v>
      </c>
      <c r="D68" s="255" t="s">
        <v>447</v>
      </c>
      <c r="E68" s="256"/>
      <c r="G68" s="256"/>
      <c r="I68" s="256"/>
    </row>
    <row r="69" spans="2:10" ht="14.25">
      <c r="C69" s="251"/>
      <c r="D69" s="251"/>
      <c r="E69" s="251"/>
      <c r="F69" s="251"/>
      <c r="G69" s="251"/>
      <c r="H69" s="251"/>
      <c r="J69" s="251"/>
    </row>
    <row r="70" spans="2:10" ht="14.25">
      <c r="B70" s="259" t="s">
        <v>408</v>
      </c>
      <c r="C70" s="256" t="s">
        <v>446</v>
      </c>
      <c r="D70" s="255"/>
      <c r="E70" s="256" t="s">
        <v>445</v>
      </c>
      <c r="G70" s="256" t="s">
        <v>444</v>
      </c>
      <c r="I70" s="256" t="s">
        <v>443</v>
      </c>
    </row>
    <row r="71" spans="2:10" ht="3" customHeight="1">
      <c r="C71" s="251"/>
      <c r="D71" s="251"/>
      <c r="E71" s="251"/>
      <c r="F71" s="251"/>
      <c r="G71" s="251"/>
      <c r="H71" s="251"/>
      <c r="J71" s="251"/>
    </row>
    <row r="72" spans="2:10" ht="12.75" customHeight="1">
      <c r="B72" s="258" t="s">
        <v>442</v>
      </c>
      <c r="C72" s="250" t="b">
        <v>1</v>
      </c>
      <c r="D72" s="251"/>
      <c r="E72" s="250" t="s">
        <v>441</v>
      </c>
      <c r="F72" s="251"/>
      <c r="G72" s="250" t="s">
        <v>440</v>
      </c>
      <c r="H72" s="251"/>
      <c r="I72" s="250" t="s">
        <v>439</v>
      </c>
      <c r="J72" s="251"/>
    </row>
    <row r="73" spans="2:10" ht="3" customHeight="1">
      <c r="C73" s="251"/>
      <c r="D73" s="251"/>
      <c r="E73" s="251"/>
      <c r="F73" s="251"/>
      <c r="G73" s="251"/>
      <c r="H73" s="251"/>
      <c r="I73" s="251"/>
      <c r="J73" s="251"/>
    </row>
    <row r="74" spans="2:10" ht="14.25">
      <c r="B74" s="258" t="s">
        <v>438</v>
      </c>
      <c r="C74" s="250" t="b">
        <v>1</v>
      </c>
      <c r="D74" s="251"/>
      <c r="E74" s="250" t="s">
        <v>437</v>
      </c>
      <c r="F74" s="251"/>
      <c r="G74" s="250" t="s">
        <v>436</v>
      </c>
      <c r="H74" s="251"/>
      <c r="I74" s="250" t="s">
        <v>435</v>
      </c>
      <c r="J74" s="251"/>
    </row>
    <row r="75" spans="2:10" ht="3" customHeight="1"/>
    <row r="76" spans="2:10" ht="14.25">
      <c r="B76" s="258" t="s">
        <v>434</v>
      </c>
      <c r="C76" s="250" t="b">
        <v>1</v>
      </c>
      <c r="D76" s="251"/>
      <c r="E76" s="250" t="s">
        <v>433</v>
      </c>
      <c r="F76" s="251"/>
      <c r="G76" s="250" t="s">
        <v>432</v>
      </c>
      <c r="H76" s="251"/>
      <c r="I76" s="250" t="s">
        <v>431</v>
      </c>
      <c r="J76" s="251"/>
    </row>
    <row r="77" spans="2:10" ht="3" customHeight="1"/>
    <row r="78" spans="2:10" ht="14.25">
      <c r="B78" s="258" t="s">
        <v>430</v>
      </c>
      <c r="C78" s="250" t="b">
        <v>1</v>
      </c>
      <c r="D78" s="251"/>
      <c r="E78" s="250" t="s">
        <v>429</v>
      </c>
      <c r="F78" s="251"/>
      <c r="G78" s="250" t="s">
        <v>428</v>
      </c>
      <c r="H78" s="251"/>
      <c r="I78" s="250" t="s">
        <v>427</v>
      </c>
      <c r="J78" s="251"/>
    </row>
    <row r="79" spans="2:10" ht="3" customHeight="1"/>
    <row r="80" spans="2:10" ht="14.25">
      <c r="B80" s="258" t="s">
        <v>426</v>
      </c>
      <c r="C80" s="250" t="b">
        <v>1</v>
      </c>
      <c r="D80" s="251"/>
      <c r="E80" s="250" t="s">
        <v>425</v>
      </c>
      <c r="F80" s="251"/>
      <c r="G80" s="250" t="s">
        <v>424</v>
      </c>
      <c r="H80" s="251"/>
      <c r="I80" s="250" t="s">
        <v>423</v>
      </c>
      <c r="J80" s="251"/>
    </row>
    <row r="81" spans="2:10" ht="3" customHeight="1"/>
    <row r="82" spans="2:10" ht="14.25">
      <c r="B82" s="258" t="s">
        <v>422</v>
      </c>
      <c r="C82" s="250" t="b">
        <v>0</v>
      </c>
      <c r="D82" s="251"/>
      <c r="E82" s="250"/>
      <c r="F82" s="251"/>
      <c r="G82" s="250"/>
      <c r="H82" s="251"/>
      <c r="I82" s="250"/>
      <c r="J82" s="251"/>
    </row>
    <row r="83" spans="2:10" ht="12.75" customHeight="1">
      <c r="C83" s="249" t="s">
        <v>421</v>
      </c>
      <c r="E83" s="249" t="s">
        <v>420</v>
      </c>
      <c r="G83" s="249" t="s">
        <v>419</v>
      </c>
      <c r="I83" s="258" t="s">
        <v>418</v>
      </c>
    </row>
    <row r="84" spans="2:10" s="255" customFormat="1">
      <c r="C84" s="257"/>
      <c r="E84" s="257"/>
    </row>
    <row r="85" spans="2:10" s="36" customFormat="1" ht="21" customHeight="1">
      <c r="B85" s="221" t="s">
        <v>417</v>
      </c>
      <c r="E85" s="57"/>
      <c r="F85" s="57"/>
      <c r="G85" s="57"/>
      <c r="H85" s="57"/>
      <c r="I85" s="57"/>
    </row>
    <row r="87" spans="2:10" s="255" customFormat="1" ht="15.75" customHeight="1">
      <c r="C87" s="254" t="s">
        <v>416</v>
      </c>
      <c r="I87" s="256"/>
    </row>
    <row r="88" spans="2:10" ht="3" customHeight="1"/>
    <row r="89" spans="2:10" ht="12.75" customHeight="1">
      <c r="B89" s="249" t="s">
        <v>415</v>
      </c>
      <c r="C89" s="250" t="s">
        <v>414</v>
      </c>
      <c r="E89" s="255"/>
    </row>
    <row r="90" spans="2:10" ht="3" customHeight="1">
      <c r="E90" s="251"/>
    </row>
    <row r="91" spans="2:10" ht="12.75" customHeight="1">
      <c r="B91" s="249" t="s">
        <v>413</v>
      </c>
      <c r="C91" s="250" t="s">
        <v>412</v>
      </c>
    </row>
    <row r="92" spans="2:10" ht="12.75" customHeight="1">
      <c r="C92" s="254"/>
      <c r="D92" s="253"/>
      <c r="E92" s="254"/>
      <c r="F92" s="253"/>
      <c r="H92" s="253"/>
      <c r="J92" s="253"/>
    </row>
    <row r="93" spans="2:10" ht="12.75" customHeight="1">
      <c r="C93" s="254" t="s">
        <v>411</v>
      </c>
      <c r="D93" s="253"/>
      <c r="E93" s="254" t="s">
        <v>410</v>
      </c>
      <c r="G93" s="254" t="s">
        <v>409</v>
      </c>
      <c r="H93" s="253"/>
      <c r="I93" s="254" t="s">
        <v>408</v>
      </c>
      <c r="J93" s="253"/>
    </row>
    <row r="94" spans="2:10" ht="3" customHeight="1">
      <c r="C94" s="251"/>
      <c r="E94" s="251"/>
      <c r="G94" s="251"/>
      <c r="I94" s="251"/>
    </row>
    <row r="95" spans="2:10" ht="12.75" customHeight="1">
      <c r="B95" s="249" t="s">
        <v>407</v>
      </c>
      <c r="C95" s="250" t="b">
        <v>1</v>
      </c>
      <c r="E95" s="250" t="b">
        <v>1</v>
      </c>
      <c r="G95" s="250" t="b">
        <v>1</v>
      </c>
      <c r="I95" s="250" t="b">
        <v>0</v>
      </c>
    </row>
    <row r="96" spans="2:10" ht="3" customHeight="1">
      <c r="C96" s="251"/>
      <c r="E96" s="251"/>
      <c r="G96" s="251"/>
      <c r="I96" s="251"/>
    </row>
    <row r="97" spans="2:9" ht="12.75" customHeight="1">
      <c r="B97" s="249" t="s">
        <v>406</v>
      </c>
      <c r="C97" s="252" t="b">
        <f>IF(PrintReports_Annuals_Color=TRUE,FALSE,TRUE)</f>
        <v>0</v>
      </c>
      <c r="E97" s="252" t="b">
        <f>IF(PrintReports_Competitor_Color=TRUE,FALSE,TRUE)</f>
        <v>0</v>
      </c>
      <c r="G97" s="252" t="b">
        <f>IF(PrintReports_Analysis_Color=TRUE,FALSE,TRUE)</f>
        <v>0</v>
      </c>
      <c r="I97" s="252" t="b">
        <f>IF(PrintReports_MktAnalysis_Color=TRUE,FALSE,TRUE)</f>
        <v>1</v>
      </c>
    </row>
    <row r="98" spans="2:9" ht="3" customHeight="1">
      <c r="C98" s="251"/>
      <c r="E98" s="251"/>
      <c r="G98" s="251"/>
      <c r="I98" s="251"/>
    </row>
    <row r="99" spans="2:9" ht="12.75" customHeight="1">
      <c r="B99" s="249" t="s">
        <v>405</v>
      </c>
      <c r="C99" s="250">
        <v>1</v>
      </c>
      <c r="E99" s="250">
        <v>1</v>
      </c>
      <c r="G99" s="250">
        <v>1</v>
      </c>
      <c r="I99" s="250">
        <v>1</v>
      </c>
    </row>
    <row r="100" spans="2:9" ht="3" customHeight="1">
      <c r="C100" s="251"/>
      <c r="E100" s="251"/>
      <c r="G100" s="251"/>
      <c r="I100" s="251"/>
    </row>
    <row r="101" spans="2:9" ht="12.75" customHeight="1">
      <c r="B101" s="249" t="s">
        <v>404</v>
      </c>
      <c r="C101" s="250" t="b">
        <v>0</v>
      </c>
    </row>
  </sheetData>
  <dataValidations count="5">
    <dataValidation type="list" allowBlank="1" showInputMessage="1" showErrorMessage="1" sqref="G99 I99 E99 C99 C101">
      <formula1>"FALSE, 1, 2"</formula1>
    </dataValidation>
    <dataValidation type="list" allowBlank="1" showDropDown="1" showInputMessage="1" showErrorMessage="1" sqref="C97 G97 E97 I97 I55 I37 I39 I41 I43 I45 I47 I49 I51 I53">
      <formula1>"TRUE, FALSE"</formula1>
    </dataValidation>
    <dataValidation type="list" allowBlank="1" showInputMessage="1" showErrorMessage="1" sqref="C89">
      <formula1>"Letter, A4"</formula1>
    </dataValidation>
    <dataValidation type="list" allowBlank="1" showInputMessage="1" showErrorMessage="1" sqref="C37 G95 C39 C41 C74 C82 C43 I95 C72 C76 C95 C78 C80 C65 E61 C61 E95 C45 C47 C55 C53 C49 C51">
      <formula1>"TRUE, FALSE"</formula1>
    </dataValidation>
    <dataValidation type="list" allowBlank="1" showInputMessage="1" showErrorMessage="1" sqref="C91">
      <formula1>"Portrait, Landscape"</formula1>
    </dataValidation>
  </dataValidations>
  <hyperlinks>
    <hyperlink ref="D3" r:id="rId1"/>
  </hyperlinks>
  <printOptions horizontalCentered="1"/>
  <pageMargins left="0.7" right="0.7" top="0.75" bottom="0.75" header="0.3" footer="0.3"/>
  <pageSetup scale="80" fitToWidth="0" fitToHeight="0" orientation="portrait" r:id="rId2"/>
  <headerFooter>
    <oddFooter>&amp;CPage &amp;P of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etPaperLayout">
                <anchor moveWithCells="1" sizeWithCells="1">
                  <from>
                    <xdr:col>4</xdr:col>
                    <xdr:colOff>304800</xdr:colOff>
                    <xdr:row>87</xdr:row>
                    <xdr:rowOff>9525</xdr:rowOff>
                  </from>
                  <to>
                    <xdr:col>7</xdr:col>
                    <xdr:colOff>0</xdr:colOff>
                    <xdr:row>90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5677</vt:i4>
      </vt:variant>
    </vt:vector>
  </HeadingPairs>
  <TitlesOfParts>
    <vt:vector size="5717" baseType="lpstr">
      <vt:lpstr>Developer_READ_ME</vt:lpstr>
      <vt:lpstr>Facilitator_Instructions</vt:lpstr>
      <vt:lpstr>Controls</vt:lpstr>
      <vt:lpstr>PopUp</vt:lpstr>
      <vt:lpstr>Dashboard</vt:lpstr>
      <vt:lpstr>param</vt:lpstr>
      <vt:lpstr>adj</vt:lpstr>
      <vt:lpstr>tlIntro</vt:lpstr>
      <vt:lpstr>tlTerritory1R1</vt:lpstr>
      <vt:lpstr>tlTerritory2R1</vt:lpstr>
      <vt:lpstr>tlTerritory3R1</vt:lpstr>
      <vt:lpstr>tlTerritory1R2</vt:lpstr>
      <vt:lpstr>tlTerritory2R2</vt:lpstr>
      <vt:lpstr>tlTerritory3R2</vt:lpstr>
      <vt:lpstr>tlPerfDashboardProd1R1</vt:lpstr>
      <vt:lpstr>tlPerfDashboardProd1R2</vt:lpstr>
      <vt:lpstr>tlPerfDashboardReg1R1</vt:lpstr>
      <vt:lpstr>tlPerfDashboardReg1R2</vt:lpstr>
      <vt:lpstr>tlDistrict1R1</vt:lpstr>
      <vt:lpstr>tlDistrict2R1</vt:lpstr>
      <vt:lpstr>tlDistrict3R1</vt:lpstr>
      <vt:lpstr>tlDistrict1R2</vt:lpstr>
      <vt:lpstr>tlDistrict2R2</vt:lpstr>
      <vt:lpstr>tlDistrict3R2</vt:lpstr>
      <vt:lpstr>ModuleClearDecisions</vt:lpstr>
      <vt:lpstr>ExportList</vt:lpstr>
      <vt:lpstr>Dec</vt:lpstr>
      <vt:lpstr>calc</vt:lpstr>
      <vt:lpstr>Cbal</vt:lpstr>
      <vt:lpstr>Obal</vt:lpstr>
      <vt:lpstr>datatbl</vt:lpstr>
      <vt:lpstr>Data</vt:lpstr>
      <vt:lpstr>MarketData</vt:lpstr>
      <vt:lpstr>ImportExportCSV</vt:lpstr>
      <vt:lpstr>obal_csv_export</vt:lpstr>
      <vt:lpstr>Feedback</vt:lpstr>
      <vt:lpstr>FeedbackTS</vt:lpstr>
      <vt:lpstr>ErrorMessage</vt:lpstr>
      <vt:lpstr>Glossary</vt:lpstr>
      <vt:lpstr>PrintReports</vt:lpstr>
      <vt:lpstr>adj_CostCode</vt:lpstr>
      <vt:lpstr>adj_FTECode</vt:lpstr>
      <vt:lpstr>adj_IndexTeam</vt:lpstr>
      <vt:lpstr>calcBudgetLeftProd1R1</vt:lpstr>
      <vt:lpstr>calcBudgetLeftProd1R2</vt:lpstr>
      <vt:lpstr>calcBudgetLeftReg1R1</vt:lpstr>
      <vt:lpstr>calcBudgetLeftReg1R2</vt:lpstr>
      <vt:lpstr>calcESATProd1</vt:lpstr>
      <vt:lpstr>calcESATProd1R1</vt:lpstr>
      <vt:lpstr>calcESATProd1R2</vt:lpstr>
      <vt:lpstr>calcESATReg1</vt:lpstr>
      <vt:lpstr>calcESATReg1R1</vt:lpstr>
      <vt:lpstr>calcESATReg1R2</vt:lpstr>
      <vt:lpstr>calcOpEffProd1</vt:lpstr>
      <vt:lpstr>calcOpEffProd1R1</vt:lpstr>
      <vt:lpstr>calcOpEffProd1R2</vt:lpstr>
      <vt:lpstr>calcOpEffReg1</vt:lpstr>
      <vt:lpstr>calcOpEffReg1R1</vt:lpstr>
      <vt:lpstr>calcOpEffReg1R2</vt:lpstr>
      <vt:lpstr>calcOpEffReg2R2</vt:lpstr>
      <vt:lpstr>calcPayer1TierStatus</vt:lpstr>
      <vt:lpstr>calcProd1Comp1Payer1TotalShareR1</vt:lpstr>
      <vt:lpstr>calcProd1Comp1Payer1TotalShareR2</vt:lpstr>
      <vt:lpstr>calcProd1Comp1Payer2TotalShareR1</vt:lpstr>
      <vt:lpstr>calcProd1Comp1Payer2TotalShareR2</vt:lpstr>
      <vt:lpstr>calcProd1Comp1Payer3TotalShareR1</vt:lpstr>
      <vt:lpstr>calcProd1Comp1Payer3TotalShareR2</vt:lpstr>
      <vt:lpstr>calcProd1Comp1TotalCustR1</vt:lpstr>
      <vt:lpstr>calcProd1Comp1TotalCustR2</vt:lpstr>
      <vt:lpstr>calcProd1Comp2Payer1TotalShareR1</vt:lpstr>
      <vt:lpstr>calcProd1Comp2Payer1TotalShareR2</vt:lpstr>
      <vt:lpstr>calcProd1Comp2Payer2TotalShareR1</vt:lpstr>
      <vt:lpstr>calcProd1Comp2Payer2TotalShareR2</vt:lpstr>
      <vt:lpstr>calcProd1Comp2Payer3TotalShareR1</vt:lpstr>
      <vt:lpstr>calcProd1Comp2Payer3TotalShareR2</vt:lpstr>
      <vt:lpstr>calcProd1ESAT</vt:lpstr>
      <vt:lpstr>calcProd1FTEsLeft</vt:lpstr>
      <vt:lpstr>calcProd1FTEsLeftR1</vt:lpstr>
      <vt:lpstr>calcProd1FTEsLeftR2</vt:lpstr>
      <vt:lpstr>calcProd1MarketGrowthCustR1</vt:lpstr>
      <vt:lpstr>calcProd1MarketGrowthCustR2</vt:lpstr>
      <vt:lpstr>calcProd1NewCustR1</vt:lpstr>
      <vt:lpstr>calcProd1NewCustR2</vt:lpstr>
      <vt:lpstr>calcProd1Payer1MarketGrowthCustR1</vt:lpstr>
      <vt:lpstr>calcProd1Payer1MarketGrowthCustR2</vt:lpstr>
      <vt:lpstr>calcProd1Payer1NewCustR1</vt:lpstr>
      <vt:lpstr>calcProd1Payer1NewCustR2</vt:lpstr>
      <vt:lpstr>calcProd1Payer1RecurCustR1</vt:lpstr>
      <vt:lpstr>calcProd1Payer1RecurCustR2</vt:lpstr>
      <vt:lpstr>calcProd1Payer1ShareNewCustR1</vt:lpstr>
      <vt:lpstr>calcProd1Payer1ShareNewCustR2</vt:lpstr>
      <vt:lpstr>calcProd1Payer1ShareTotalCustR1</vt:lpstr>
      <vt:lpstr>calcProd1Payer1ShareTotalCustR2</vt:lpstr>
      <vt:lpstr>calcProd1Payer1TierOrientationR1</vt:lpstr>
      <vt:lpstr>calcProd1Payer1TierOrientationR2</vt:lpstr>
      <vt:lpstr>calcProd1Payer1TotalCustR1</vt:lpstr>
      <vt:lpstr>calcProd1Payer1TotalCustR2</vt:lpstr>
      <vt:lpstr>calcProd1Payer1TotalVolumeR1</vt:lpstr>
      <vt:lpstr>calcProd1Payer1TotalVolumeR2</vt:lpstr>
      <vt:lpstr>calcProd1Payer2MarketGrowthCustR1</vt:lpstr>
      <vt:lpstr>calcProd1Payer2MarketGrowthCustR2</vt:lpstr>
      <vt:lpstr>calcProd1Payer2NewCustR1</vt:lpstr>
      <vt:lpstr>calcProd1Payer2NewCustR2</vt:lpstr>
      <vt:lpstr>calcProd1Payer2RecurCustR1</vt:lpstr>
      <vt:lpstr>calcProd1Payer2RecurCustR2</vt:lpstr>
      <vt:lpstr>calcProd1Payer2ShareNewCustR1</vt:lpstr>
      <vt:lpstr>calcProd1Payer2ShareNewCustR2</vt:lpstr>
      <vt:lpstr>calcProd1Payer2ShareTotalCustR1</vt:lpstr>
      <vt:lpstr>calcProd1Payer2ShareTotalCustR2</vt:lpstr>
      <vt:lpstr>calcProd1Payer2TierOrientationR1</vt:lpstr>
      <vt:lpstr>calcProd1Payer2TierOrientationR2</vt:lpstr>
      <vt:lpstr>calcProd1Payer2TotalCustR1</vt:lpstr>
      <vt:lpstr>calcProd1Payer2TotalCustR2</vt:lpstr>
      <vt:lpstr>calcProd1Payer2TotalVolumeR1</vt:lpstr>
      <vt:lpstr>calcProd1Payer2TotalVolumeR2</vt:lpstr>
      <vt:lpstr>calcProd1Payer3MarketGrowthCustR1</vt:lpstr>
      <vt:lpstr>calcProd1Payer3MarketGrowthCustR2</vt:lpstr>
      <vt:lpstr>calcProd1Payer3NewCustR1</vt:lpstr>
      <vt:lpstr>calcProd1Payer3NewCustR2</vt:lpstr>
      <vt:lpstr>calcProd1Payer3RecurCustR1</vt:lpstr>
      <vt:lpstr>calcProd1Payer3RecurCustR2</vt:lpstr>
      <vt:lpstr>calcProd1Payer3ShareNewCustR1</vt:lpstr>
      <vt:lpstr>calcProd1Payer3ShareNewCustR2</vt:lpstr>
      <vt:lpstr>calcProd1Payer3ShareTotalCustR1</vt:lpstr>
      <vt:lpstr>calcProd1Payer3ShareTotalCustR2</vt:lpstr>
      <vt:lpstr>calcProd1Payer3TierOrientationR1</vt:lpstr>
      <vt:lpstr>calcProd1Payer3TierOrientationR2</vt:lpstr>
      <vt:lpstr>calcProd1Payer3TotalCustR1</vt:lpstr>
      <vt:lpstr>calcProd1Payer3TotalCustR2</vt:lpstr>
      <vt:lpstr>calcProd1Payer3TotalVolumeR1</vt:lpstr>
      <vt:lpstr>calcProd1Payer3TotalVolumeR2</vt:lpstr>
      <vt:lpstr>calcProd1RecurCustR1</vt:lpstr>
      <vt:lpstr>calcProd1RecurCustR2</vt:lpstr>
      <vt:lpstr>calcProd1Se1Payer1PromotionShare</vt:lpstr>
      <vt:lpstr>calcProd1Se1Payer1RepCapShare</vt:lpstr>
      <vt:lpstr>calcProd1Se1Payer1SampleShare</vt:lpstr>
      <vt:lpstr>calcProd1Se1Payer1SpeakerShare</vt:lpstr>
      <vt:lpstr>calcProd1Seg1CoachingCostR1</vt:lpstr>
      <vt:lpstr>calcProd1Seg1CoachingCostR2</vt:lpstr>
      <vt:lpstr>calcProd1Seg1Comp1Payer1ShareLostR1</vt:lpstr>
      <vt:lpstr>calcProd1Seg1Comp1Payer1ShareLostR2</vt:lpstr>
      <vt:lpstr>calcProd1Seg1Comp1Payer1ShareWonR1</vt:lpstr>
      <vt:lpstr>calcProd1Seg1Comp1Payer1ShareWonR2</vt:lpstr>
      <vt:lpstr>calcProd1Seg1Comp1Payer1TotalCustR1</vt:lpstr>
      <vt:lpstr>calcProd1Seg1Comp1Payer1TotalCustR2</vt:lpstr>
      <vt:lpstr>calcProd1Seg1Comp1Payer1TotalShareR1</vt:lpstr>
      <vt:lpstr>calcProd1Seg1Comp1Payer1TotalShareR2</vt:lpstr>
      <vt:lpstr>calcProd1Seg1Comp1Payer2ShareLostR1</vt:lpstr>
      <vt:lpstr>calcProd1Seg1Comp1Payer2ShareLostR2</vt:lpstr>
      <vt:lpstr>calcProd1Seg1Comp1Payer2ShareWonR1</vt:lpstr>
      <vt:lpstr>calcProd1Seg1Comp1Payer2ShareWonR2</vt:lpstr>
      <vt:lpstr>calcProd1Seg1Comp1Payer2TotalCustR1</vt:lpstr>
      <vt:lpstr>calcProd1Seg1Comp1Payer2TotalCustR2</vt:lpstr>
      <vt:lpstr>calcProd1Seg1Comp1Payer2TotalShareR1</vt:lpstr>
      <vt:lpstr>calcProd1Seg1Comp1Payer2TotalShareR2</vt:lpstr>
      <vt:lpstr>calcProd1Seg1Comp1Payer3ShareLostR1</vt:lpstr>
      <vt:lpstr>calcProd1Seg1Comp1Payer3ShareLostR2</vt:lpstr>
      <vt:lpstr>calcProd1Seg1Comp1Payer3ShareWonR1</vt:lpstr>
      <vt:lpstr>calcProd1Seg1Comp1Payer3ShareWonR2</vt:lpstr>
      <vt:lpstr>calcProd1Seg1Comp1Payer3TotalCustR1</vt:lpstr>
      <vt:lpstr>calcProd1Seg1Comp1Payer3TotalCustR2</vt:lpstr>
      <vt:lpstr>calcProd1Seg1Comp1Payer3TotalShareR1</vt:lpstr>
      <vt:lpstr>calcProd1Seg1Comp1Payer3TotalShareR2</vt:lpstr>
      <vt:lpstr>calcProd1Seg1Comp1TotalCustR1</vt:lpstr>
      <vt:lpstr>calcProd1Seg1Comp1TotalCustR2</vt:lpstr>
      <vt:lpstr>calcProd1Seg1Comp1TotalShareR1</vt:lpstr>
      <vt:lpstr>calcProd1Seg1Comp1TotalShareR2</vt:lpstr>
      <vt:lpstr>calcProd1Seg1Comp2Payer1ShareLostR1</vt:lpstr>
      <vt:lpstr>calcProd1Seg1Comp2Payer1ShareLostR2</vt:lpstr>
      <vt:lpstr>calcProd1Seg1Comp2Payer1ShareWonR1</vt:lpstr>
      <vt:lpstr>calcProd1Seg1Comp2Payer1ShareWonR2</vt:lpstr>
      <vt:lpstr>calcProd1Seg1Comp2Payer1TotalCustR1</vt:lpstr>
      <vt:lpstr>calcProd1Seg1Comp2Payer1TotalCustR2</vt:lpstr>
      <vt:lpstr>calcProd1Seg1Comp2Payer1TotalShareR1</vt:lpstr>
      <vt:lpstr>calcProd1Seg1Comp2Payer1TotalShareR2</vt:lpstr>
      <vt:lpstr>calcProd1Seg1Comp2Payer2ShareLostR1</vt:lpstr>
      <vt:lpstr>calcProd1Seg1Comp2Payer2ShareLostR2</vt:lpstr>
      <vt:lpstr>calcProd1Seg1Comp2Payer2ShareWonR1</vt:lpstr>
      <vt:lpstr>calcProd1Seg1Comp2Payer2ShareWonR2</vt:lpstr>
      <vt:lpstr>calcProd1Seg1Comp2Payer2TotalCustR1</vt:lpstr>
      <vt:lpstr>calcProd1Seg1Comp2Payer2TotalCustR2</vt:lpstr>
      <vt:lpstr>calcProd1Seg1Comp2Payer2TotalShareR1</vt:lpstr>
      <vt:lpstr>calcProd1Seg1Comp2Payer2TotalShareR2</vt:lpstr>
      <vt:lpstr>calcProd1Seg1Comp2Payer3ShareLostR1</vt:lpstr>
      <vt:lpstr>calcProd1Seg1Comp2Payer3ShareLostR2</vt:lpstr>
      <vt:lpstr>calcProd1Seg1Comp2Payer3ShareWonR1</vt:lpstr>
      <vt:lpstr>calcProd1Seg1Comp2Payer3ShareWonR2</vt:lpstr>
      <vt:lpstr>calcProd1Seg1Comp2Payer3TotalCustR1</vt:lpstr>
      <vt:lpstr>calcProd1Seg1Comp2Payer3TotalCustR2</vt:lpstr>
      <vt:lpstr>calcProd1Seg1Comp2Payer3TotalShareR1</vt:lpstr>
      <vt:lpstr>calcProd1Seg1Comp2Payer3TotalShareR2</vt:lpstr>
      <vt:lpstr>calcProd1Seg1Comp2TotalCustR1</vt:lpstr>
      <vt:lpstr>calcProd1Seg1Comp2TotalCustR2</vt:lpstr>
      <vt:lpstr>calcProd1Seg1Comp2TotalShareR1</vt:lpstr>
      <vt:lpstr>calcProd1Seg1Comp2TotalShareR2</vt:lpstr>
      <vt:lpstr>calcProd1Seg1FTEsCFCollabR1</vt:lpstr>
      <vt:lpstr>calcProd1Seg1FTEsCFCollabR2</vt:lpstr>
      <vt:lpstr>calcProd1Seg1FTEsRegTrainR1</vt:lpstr>
      <vt:lpstr>calcProd1Seg1FTEsRegTrainR2</vt:lpstr>
      <vt:lpstr>calcProd1Seg1FTEsRep1R1</vt:lpstr>
      <vt:lpstr>calcProd1Seg1FTEsRep1R2</vt:lpstr>
      <vt:lpstr>calcProd1Seg1FTEsRep2R1</vt:lpstr>
      <vt:lpstr>calcProd1Seg1FTEsRep2R2</vt:lpstr>
      <vt:lpstr>calcProd1Seg1FTEsRep3R1</vt:lpstr>
      <vt:lpstr>calcProd1Seg1FTEsRep3R2</vt:lpstr>
      <vt:lpstr>calcProd1Seg1GrossRevenueR1</vt:lpstr>
      <vt:lpstr>calcProd1Seg1GrossRevenueR2</vt:lpstr>
      <vt:lpstr>calcProd1Seg1InternalCostR1</vt:lpstr>
      <vt:lpstr>calcProd1Seg1InternalCostR2</vt:lpstr>
      <vt:lpstr>calcProd1Seg1MarketGrowthCustR1</vt:lpstr>
      <vt:lpstr>calcProd1Seg1MarketGrowthCustR2</vt:lpstr>
      <vt:lpstr>calcProd1Seg1NetRevenueR1</vt:lpstr>
      <vt:lpstr>calcProd1Seg1NetRevenueR2</vt:lpstr>
      <vt:lpstr>calcProd1Seg1NewCustR1</vt:lpstr>
      <vt:lpstr>calcProd1Seg1NewCustR2</vt:lpstr>
      <vt:lpstr>calcProd1Seg1Payer1GrossRevenue</vt:lpstr>
      <vt:lpstr>calcProd1Seg1Payer1GrossRevenueR1</vt:lpstr>
      <vt:lpstr>calcProd1Seg1Payer1GrossRevenueR2</vt:lpstr>
      <vt:lpstr>calcProd1Seg1Payer1MarketGrowthCustR1</vt:lpstr>
      <vt:lpstr>calcProd1Seg1Payer1MarketGrowthCustR2</vt:lpstr>
      <vt:lpstr>calcProd1Seg1Payer1MarketRecurCustR1</vt:lpstr>
      <vt:lpstr>calcProd1Seg1Payer1MarketRecurCustR2</vt:lpstr>
      <vt:lpstr>calcProd1Seg1Payer1NetRevenue</vt:lpstr>
      <vt:lpstr>calcProd1Seg1Payer1NetRevenueR1</vt:lpstr>
      <vt:lpstr>calcProd1Seg1Payer1NetRevenueR2</vt:lpstr>
      <vt:lpstr>calcProd1Seg1Payer1PromotionShare</vt:lpstr>
      <vt:lpstr>calcProd1Seg1Payer1PromotionShareNew</vt:lpstr>
      <vt:lpstr>calcProd1Seg1Payer1PromotionShareNewR2</vt:lpstr>
      <vt:lpstr>calcProd1Seg1Payer1PromotionShareR2</vt:lpstr>
      <vt:lpstr>calcProd1Seg1Payer1RepCapShare</vt:lpstr>
      <vt:lpstr>calcProd1Seg1Payer1RepCapShareNew</vt:lpstr>
      <vt:lpstr>calcProd1Seg1Payer1RepCapShareNewR2</vt:lpstr>
      <vt:lpstr>calcProd1Seg1Payer1RepCapShareR2</vt:lpstr>
      <vt:lpstr>calcProd1Seg1Payer1SampleShare</vt:lpstr>
      <vt:lpstr>calcProd1Seg1Payer1SampleShareNew</vt:lpstr>
      <vt:lpstr>calcProd1Seg1Payer1SampleShareNewR2</vt:lpstr>
      <vt:lpstr>calcProd1Seg1Payer1SampleShareR2</vt:lpstr>
      <vt:lpstr>calcProd1Seg1Payer1ShareNewCustR1</vt:lpstr>
      <vt:lpstr>calcProd1Seg1Payer1ShareNewCustR2</vt:lpstr>
      <vt:lpstr>calcProd1Seg1Payer1ShareRecurCustR1</vt:lpstr>
      <vt:lpstr>calcProd1Seg1Payer1ShareRecurCustR2</vt:lpstr>
      <vt:lpstr>calcProd1Seg1Payer1ShareTotalCustR1</vt:lpstr>
      <vt:lpstr>calcProd1Seg1Payer1ShareTotalCustR2</vt:lpstr>
      <vt:lpstr>calcProd1Seg1Payer1SpeakerShare</vt:lpstr>
      <vt:lpstr>calcProd1Seg1Payer1SpeakerShareNew</vt:lpstr>
      <vt:lpstr>calcProd1Seg1Payer1SpeakerShareNewR2</vt:lpstr>
      <vt:lpstr>calcProd1Seg1Payer1SpeakerShareR2</vt:lpstr>
      <vt:lpstr>calcprod1Seg1Payer1TierImpactR1</vt:lpstr>
      <vt:lpstr>calcprod1Seg1Payer1TierImpactR2</vt:lpstr>
      <vt:lpstr>calcProd1Seg1Payer1TotalShareChange</vt:lpstr>
      <vt:lpstr>calcProd1Seg1Payer1TotalShareChangeR1</vt:lpstr>
      <vt:lpstr>calcProd1Seg1Payer1TotalShareChangeR2</vt:lpstr>
      <vt:lpstr>calcProd1Seg1Payer1TotalVolumeR1</vt:lpstr>
      <vt:lpstr>calcProd1Seg1Payer1TotalVolumeR2</vt:lpstr>
      <vt:lpstr>calcProd1Seg1Payer1VolumeNewCustR1</vt:lpstr>
      <vt:lpstr>calcProd1Seg1Payer1VolumeNewCustR2</vt:lpstr>
      <vt:lpstr>calcProd1Seg1Payer1VolumeR1</vt:lpstr>
      <vt:lpstr>calcProd1Seg1Payer1VolumeR2</vt:lpstr>
      <vt:lpstr>calcProd1Seg1Payer1VolumeRecurCustR1</vt:lpstr>
      <vt:lpstr>calcProd1Seg1Payer1VolumeRecurCustR2</vt:lpstr>
      <vt:lpstr>calcProd1Seg1Payer2GrossRevenue</vt:lpstr>
      <vt:lpstr>calcProd1Seg1Payer2GrossRevenueR1</vt:lpstr>
      <vt:lpstr>calcProd1Seg1Payer2GrossRevenueR2</vt:lpstr>
      <vt:lpstr>calcProd1Seg1Payer2MarketGrowthCustR1</vt:lpstr>
      <vt:lpstr>calcProd1Seg1Payer2MarketGrowthCustR2</vt:lpstr>
      <vt:lpstr>calcProd1Seg1Payer2MarketRecurCustR1</vt:lpstr>
      <vt:lpstr>calcProd1Seg1Payer2MarketRecurCustR2</vt:lpstr>
      <vt:lpstr>calcProd1Seg1Payer2NetRevenue</vt:lpstr>
      <vt:lpstr>calcProd1Seg1Payer2NetRevenueR1</vt:lpstr>
      <vt:lpstr>calcProd1Seg1Payer2NetRevenueR2</vt:lpstr>
      <vt:lpstr>calcProd1Seg1Payer2PromotionShare</vt:lpstr>
      <vt:lpstr>calcProd1Seg1Payer2PromotionShareNew</vt:lpstr>
      <vt:lpstr>calcProd1Seg1Payer2PromotionShareNewR2</vt:lpstr>
      <vt:lpstr>calcProd1Seg1Payer2PromotionShareR2</vt:lpstr>
      <vt:lpstr>calcProd1Seg1Payer2RepCapShare</vt:lpstr>
      <vt:lpstr>calcProd1Seg1Payer2RepCapShareNew</vt:lpstr>
      <vt:lpstr>calcProd1Seg1Payer2RepCapShareNewR2</vt:lpstr>
      <vt:lpstr>calcProd1Seg1Payer2RepCapShareR2</vt:lpstr>
      <vt:lpstr>calcProd1Seg1Payer2SampleShare</vt:lpstr>
      <vt:lpstr>calcProd1Seg1Payer2SampleShareNew</vt:lpstr>
      <vt:lpstr>calcProd1Seg1Payer2SampleShareNewR2</vt:lpstr>
      <vt:lpstr>calcProd1Seg1Payer2SampleShareR2</vt:lpstr>
      <vt:lpstr>calcProd1Seg1Payer2ShareNewCustR1</vt:lpstr>
      <vt:lpstr>calcProd1Seg1Payer2ShareNewCustR2</vt:lpstr>
      <vt:lpstr>calcProd1Seg1Payer2ShareRecurCustR1</vt:lpstr>
      <vt:lpstr>calcProd1Seg1Payer2ShareRecurCustR2</vt:lpstr>
      <vt:lpstr>calcProd1Seg1Payer2ShareTotalCustR1</vt:lpstr>
      <vt:lpstr>calcProd1Seg1Payer2ShareTotalCustR2</vt:lpstr>
      <vt:lpstr>calcProd1Seg1Payer2SpeakerShare</vt:lpstr>
      <vt:lpstr>calcProd1Seg1Payer2SpeakerShareNew</vt:lpstr>
      <vt:lpstr>calcProd1Seg1Payer2SpeakerShareNewR2</vt:lpstr>
      <vt:lpstr>calcProd1Seg1Payer2SpeakerShareR2</vt:lpstr>
      <vt:lpstr>calcprod1Seg1Payer2TierImpactR1</vt:lpstr>
      <vt:lpstr>calcprod1Seg1Payer2TierImpactR2</vt:lpstr>
      <vt:lpstr>calcProd1Seg1Payer2TotalShareChangeR1</vt:lpstr>
      <vt:lpstr>calcProd1Seg1Payer2TotalShareChangeR2</vt:lpstr>
      <vt:lpstr>calcProd1Seg1Payer2TotalVolumeR1</vt:lpstr>
      <vt:lpstr>calcProd1Seg1Payer2TotalVolumeR2</vt:lpstr>
      <vt:lpstr>calcProd1Seg1Payer2VolumeNewCustR1</vt:lpstr>
      <vt:lpstr>calcProd1Seg1Payer2VolumeNewCustR2</vt:lpstr>
      <vt:lpstr>calcProd1Seg1Payer2VolumeR1</vt:lpstr>
      <vt:lpstr>calcProd1Seg1Payer2VolumeR2</vt:lpstr>
      <vt:lpstr>calcProd1Seg1Payer2VolumeRecurCustR1</vt:lpstr>
      <vt:lpstr>calcProd1Seg1Payer2VolumeRecurCustR2</vt:lpstr>
      <vt:lpstr>calcProd1Seg1Payer3GrossRevenue</vt:lpstr>
      <vt:lpstr>calcProd1Seg1Payer3GrossRevenueR1</vt:lpstr>
      <vt:lpstr>calcProd1Seg1Payer3GrossRevenueR2</vt:lpstr>
      <vt:lpstr>calcProd1Seg1Payer3MarketGrowthCustR1</vt:lpstr>
      <vt:lpstr>calcProd1Seg1Payer3MarketGrowthCustR2</vt:lpstr>
      <vt:lpstr>calcProd1Seg1Payer3MarketRecurCustR1</vt:lpstr>
      <vt:lpstr>calcProd1Seg1Payer3MarketRecurCustR2</vt:lpstr>
      <vt:lpstr>calcProd1Seg1Payer3NetRevenue</vt:lpstr>
      <vt:lpstr>calcProd1Seg1Payer3NetRevenueR1</vt:lpstr>
      <vt:lpstr>calcProd1Seg1Payer3NetRevenueR2</vt:lpstr>
      <vt:lpstr>calcProd1Seg1Payer3PromotionShare</vt:lpstr>
      <vt:lpstr>calcProd1Seg1Payer3PromotionShareNew</vt:lpstr>
      <vt:lpstr>calcProd1Seg1Payer3PromotionShareNewR2</vt:lpstr>
      <vt:lpstr>calcProd1Seg1Payer3PromotionShareR2</vt:lpstr>
      <vt:lpstr>calcProd1Seg1Payer3RepCapShare</vt:lpstr>
      <vt:lpstr>calcProd1Seg1Payer3RepCapShareNew</vt:lpstr>
      <vt:lpstr>calcProd1Seg1Payer3RepCapShareNewR2</vt:lpstr>
      <vt:lpstr>calcProd1Seg1Payer3RepCapShareR2</vt:lpstr>
      <vt:lpstr>calcProd1Seg1Payer3SampleShare</vt:lpstr>
      <vt:lpstr>calcProd1Seg1Payer3SampleShareNew</vt:lpstr>
      <vt:lpstr>calcProd1Seg1Payer3SampleShareNewR2</vt:lpstr>
      <vt:lpstr>calcProd1Seg1Payer3SampleShareR2</vt:lpstr>
      <vt:lpstr>calcProd1Seg1Payer3ShareNewCustR1</vt:lpstr>
      <vt:lpstr>calcProd1Seg1Payer3ShareNewCustR2</vt:lpstr>
      <vt:lpstr>calcProd1Seg1Payer3ShareRecurCustR1</vt:lpstr>
      <vt:lpstr>calcProd1Seg1Payer3ShareRecurCustR2</vt:lpstr>
      <vt:lpstr>calcProd1Seg1Payer3ShareTotalCustR1</vt:lpstr>
      <vt:lpstr>calcProd1Seg1Payer3ShareTotalCustR2</vt:lpstr>
      <vt:lpstr>calcProd1Seg1Payer3SpeakerShare</vt:lpstr>
      <vt:lpstr>calcProd1Seg1Payer3SpeakerShareNew</vt:lpstr>
      <vt:lpstr>calcProd1Seg1Payer3SpeakerShareNewR2</vt:lpstr>
      <vt:lpstr>calcProd1Seg1Payer3SpeakerShareR2</vt:lpstr>
      <vt:lpstr>calcprod1Seg1Payer3TierImpactR1</vt:lpstr>
      <vt:lpstr>calcprod1Seg1Payer3TierImpactR2</vt:lpstr>
      <vt:lpstr>calcProd1Seg1Payer3TotalShareChangeR1</vt:lpstr>
      <vt:lpstr>calcProd1Seg1Payer3TotalShareChangeR2</vt:lpstr>
      <vt:lpstr>calcProd1Seg1Payer3TotalVolumeR1</vt:lpstr>
      <vt:lpstr>calcProd1Seg1Payer3TotalVolumeR2</vt:lpstr>
      <vt:lpstr>calcProd1Seg1Payer3VolumeNewCustR1</vt:lpstr>
      <vt:lpstr>calcProd1Seg1Payer3VolumeNewCustR2</vt:lpstr>
      <vt:lpstr>calcProd1Seg1Payer3VolumeR1</vt:lpstr>
      <vt:lpstr>calcProd1Seg1Payer3VolumeR2</vt:lpstr>
      <vt:lpstr>calcProd1Seg1Payer3VolumeRecurCustR1</vt:lpstr>
      <vt:lpstr>calcProd1Seg1Payer3VolumeRecurCustR2</vt:lpstr>
      <vt:lpstr>calcProd1Seg1PayerShareRecurCustR2</vt:lpstr>
      <vt:lpstr>calcProd1Seg1PayerVolumeRecurCustR2</vt:lpstr>
      <vt:lpstr>calcProd1Seg1PromotionAllocationR1</vt:lpstr>
      <vt:lpstr>calcProd1Seg1PromotionAllocationR2</vt:lpstr>
      <vt:lpstr>calcProd1Seg1PromotionAllocR1</vt:lpstr>
      <vt:lpstr>calcProd1Seg1PromotionAllocR2</vt:lpstr>
      <vt:lpstr>calcProd1Seg1RecurCustR1</vt:lpstr>
      <vt:lpstr>calcProd1Seg1RecurCustR2</vt:lpstr>
      <vt:lpstr>calcProd1Seg1RegTrainCostR1</vt:lpstr>
      <vt:lpstr>calcProd1Seg1RegTrainCostR2</vt:lpstr>
      <vt:lpstr>calcProd1Seg1Reimbursement</vt:lpstr>
      <vt:lpstr>calcProd1Seg1ReimbursementR2</vt:lpstr>
      <vt:lpstr>calcProd1Seg1Rep1BagWeightImpactR1</vt:lpstr>
      <vt:lpstr>calcProd1Seg1Rep1BagWeightImpactR2</vt:lpstr>
      <vt:lpstr>calcProd1Seg1Rep1BagWeightR1</vt:lpstr>
      <vt:lpstr>calcProd1Seg1Rep1BagWeightR2</vt:lpstr>
      <vt:lpstr>calcProd1Seg1Rep1CapR1</vt:lpstr>
      <vt:lpstr>calcProd1Seg1Rep1CapR2</vt:lpstr>
      <vt:lpstr>calcProd1Seg1Rep1ImpactR1</vt:lpstr>
      <vt:lpstr>calcProd1Seg1Rep1ImpactR2</vt:lpstr>
      <vt:lpstr>calcProd1Seg1Rep1InternalTimeR1</vt:lpstr>
      <vt:lpstr>calcProd1Seg1Rep1InternalTimeR2</vt:lpstr>
      <vt:lpstr>calcProd1Seg1Rep1Payer1ImpactR1</vt:lpstr>
      <vt:lpstr>calcProd1Seg1Rep1Payer1ImpactR2</vt:lpstr>
      <vt:lpstr>calcProd1Seg1Rep1Payer2ImpactR1</vt:lpstr>
      <vt:lpstr>calcProd1Seg1Rep1Payer2ImpactR2</vt:lpstr>
      <vt:lpstr>calcProd1Seg1Rep1Payer3ImpactR1</vt:lpstr>
      <vt:lpstr>calcProd1Seg1Rep1Payer3ImpactR2</vt:lpstr>
      <vt:lpstr>calcProd1Seg1Rep1Products</vt:lpstr>
      <vt:lpstr>calcProd1Seg1Rep2BagWeightImpactR1</vt:lpstr>
      <vt:lpstr>calcProd1Seg1Rep2BagWeightImpactR2</vt:lpstr>
      <vt:lpstr>calcProd1Seg1Rep2BagWeightR1</vt:lpstr>
      <vt:lpstr>calcProd1Seg1Rep2BagWeightR2</vt:lpstr>
      <vt:lpstr>calcProd1Seg1Rep2CapR1</vt:lpstr>
      <vt:lpstr>calcProd1Seg1Rep2CapR2</vt:lpstr>
      <vt:lpstr>calcProd1Seg1Rep2ImpactR1</vt:lpstr>
      <vt:lpstr>calcProd1Seg1Rep2ImpactR2</vt:lpstr>
      <vt:lpstr>calcProd1Seg1Rep2InternalTimeR1</vt:lpstr>
      <vt:lpstr>calcProd1Seg1Rep2InternalTimeR2</vt:lpstr>
      <vt:lpstr>calcProd1Seg1Rep2Payer1ImpactR1</vt:lpstr>
      <vt:lpstr>calcProd1Seg1Rep2Payer1ImpactR2</vt:lpstr>
      <vt:lpstr>calcProd1Seg1Rep2Payer2ImpactR1</vt:lpstr>
      <vt:lpstr>calcProd1Seg1Rep2Payer2ImpactR2</vt:lpstr>
      <vt:lpstr>calcProd1Seg1Rep2Payer3ImpactR1</vt:lpstr>
      <vt:lpstr>calcProd1Seg1Rep2Payer3ImpactR2</vt:lpstr>
      <vt:lpstr>calcProd1Seg1Rep2Products</vt:lpstr>
      <vt:lpstr>calcProd1Seg1Rep3BagWeightImpactR1</vt:lpstr>
      <vt:lpstr>calcProd1Seg1Rep3BagWeightImpactR2</vt:lpstr>
      <vt:lpstr>calcProd1Seg1Rep3BagWeightR1</vt:lpstr>
      <vt:lpstr>calcProd1Seg1Rep3BagWeightR2</vt:lpstr>
      <vt:lpstr>calcProd1Seg1Rep3CapR1</vt:lpstr>
      <vt:lpstr>calcProd1Seg1Rep3CapR2</vt:lpstr>
      <vt:lpstr>calcProd1Seg1Rep3ImpactR1</vt:lpstr>
      <vt:lpstr>calcProd1Seg1Rep3ImpactR2</vt:lpstr>
      <vt:lpstr>calcProd1Seg1Rep3InternalTimeR1</vt:lpstr>
      <vt:lpstr>calcProd1Seg1Rep3InternalTimeR2</vt:lpstr>
      <vt:lpstr>calcProd1Seg1Rep3Payer1ImpactR1</vt:lpstr>
      <vt:lpstr>calcProd1Seg1Rep3Payer1ImpactR2</vt:lpstr>
      <vt:lpstr>calcProd1Seg1Rep3Payer2ImpactR1</vt:lpstr>
      <vt:lpstr>calcProd1Seg1Rep3Payer2ImpactR2</vt:lpstr>
      <vt:lpstr>calcProd1Seg1Rep3Payer3ImpactR1</vt:lpstr>
      <vt:lpstr>calcProd1Seg1Rep3Payer3ImpactR2</vt:lpstr>
      <vt:lpstr>calcProd1Seg1Rep3Products</vt:lpstr>
      <vt:lpstr>calcProd1Seg1RepAvgBagWeightR1</vt:lpstr>
      <vt:lpstr>calcProd1Seg1RepAvgBagWeightR2</vt:lpstr>
      <vt:lpstr>calcProd1Seg1SampleAllocR1</vt:lpstr>
      <vt:lpstr>calcProd1Seg1SampleAllocR2</vt:lpstr>
      <vt:lpstr>calcProd1Seg1ShareNewCustR1</vt:lpstr>
      <vt:lpstr>calcProd1Seg1ShareNewCustR2</vt:lpstr>
      <vt:lpstr>calcProd1Seg1ShareTotalCustR1</vt:lpstr>
      <vt:lpstr>calcProd1Seg1ShareTotalCustR2</vt:lpstr>
      <vt:lpstr>calcProd1Seg1SpeakerAllocR1</vt:lpstr>
      <vt:lpstr>calcProd1Seg1SpeakerAllocR2</vt:lpstr>
      <vt:lpstr>calcProd1Seg1TotalVolumeR1</vt:lpstr>
      <vt:lpstr>calcProd1Seg1TotalVolumeR2</vt:lpstr>
      <vt:lpstr>calcProd1Seg1VolumeTotalCustR1</vt:lpstr>
      <vt:lpstr>calcProd1Seg1VolumeTotalCustR2</vt:lpstr>
      <vt:lpstr>calcProd1Seg2CoachingCostR1</vt:lpstr>
      <vt:lpstr>calcProd1Seg2CoachingCostR2</vt:lpstr>
      <vt:lpstr>calcProd1Seg2Comp1Payer1ShareLostR1</vt:lpstr>
      <vt:lpstr>calcProd1Seg2Comp1Payer1ShareLostR2</vt:lpstr>
      <vt:lpstr>calcProd1Seg2Comp1Payer1ShareWonR1</vt:lpstr>
      <vt:lpstr>calcProd1Seg2Comp1Payer1ShareWonR2</vt:lpstr>
      <vt:lpstr>calcProd1Seg2Comp1Payer1TotalCustR1</vt:lpstr>
      <vt:lpstr>calcProd1Seg2Comp1Payer1TotalCustR2</vt:lpstr>
      <vt:lpstr>calcProd1Seg2Comp1Payer1TotalShareR1</vt:lpstr>
      <vt:lpstr>calcProd1Seg2Comp1Payer1TotalShareR2</vt:lpstr>
      <vt:lpstr>calcProd1Seg2Comp1Payer2ShareLostR1</vt:lpstr>
      <vt:lpstr>calcProd1Seg2Comp1Payer2ShareLostR2</vt:lpstr>
      <vt:lpstr>calcProd1Seg2Comp1Payer2ShareWonR1</vt:lpstr>
      <vt:lpstr>calcProd1Seg2Comp1Payer2ShareWonR2</vt:lpstr>
      <vt:lpstr>calcProd1Seg2Comp1Payer2TotalCustR1</vt:lpstr>
      <vt:lpstr>calcProd1Seg2Comp1Payer2TotalCustR2</vt:lpstr>
      <vt:lpstr>calcProd1Seg2Comp1Payer2TotalShareR1</vt:lpstr>
      <vt:lpstr>calcProd1Seg2Comp1Payer2TotalShareR2</vt:lpstr>
      <vt:lpstr>calcProd1Seg2Comp1Payer3ShareLostR1</vt:lpstr>
      <vt:lpstr>calcProd1Seg2Comp1Payer3ShareLostR2</vt:lpstr>
      <vt:lpstr>calcProd1Seg2Comp1Payer3ShareWonR1</vt:lpstr>
      <vt:lpstr>calcProd1Seg2Comp1Payer3ShareWonR2</vt:lpstr>
      <vt:lpstr>calcProd1Seg2Comp1Payer3TotalCustR1</vt:lpstr>
      <vt:lpstr>calcProd1Seg2Comp1Payer3TotalCustR2</vt:lpstr>
      <vt:lpstr>calcProd1Seg2Comp1Payer3TotalShareR1</vt:lpstr>
      <vt:lpstr>calcProd1Seg2Comp1Payer3TotalShareR2</vt:lpstr>
      <vt:lpstr>calcProd1Seg2Comp1TotalCustR1</vt:lpstr>
      <vt:lpstr>calcProd1Seg2Comp1TotalCustR2</vt:lpstr>
      <vt:lpstr>calcProd1Seg2Comp1TotalShareR1</vt:lpstr>
      <vt:lpstr>calcProd1Seg2Comp1TotalShareR2</vt:lpstr>
      <vt:lpstr>calcProd1Seg2Comp2Payer1ShareLostR1</vt:lpstr>
      <vt:lpstr>calcProd1Seg2Comp2Payer1ShareLostR2</vt:lpstr>
      <vt:lpstr>calcProd1Seg2Comp2Payer1ShareWonR1</vt:lpstr>
      <vt:lpstr>calcProd1Seg2Comp2Payer1ShareWonR2</vt:lpstr>
      <vt:lpstr>calcProd1Seg2Comp2Payer1TotalCustR1</vt:lpstr>
      <vt:lpstr>calcProd1Seg2Comp2Payer1TotalCustR2</vt:lpstr>
      <vt:lpstr>calcProd1Seg2Comp2Payer1TotalShareR1</vt:lpstr>
      <vt:lpstr>calcProd1Seg2Comp2Payer1TotalShareR2</vt:lpstr>
      <vt:lpstr>calcProd1Seg2Comp2Payer2ShareLostR1</vt:lpstr>
      <vt:lpstr>calcProd1Seg2Comp2Payer2ShareLostR2</vt:lpstr>
      <vt:lpstr>calcProd1Seg2Comp2Payer2ShareWonR1</vt:lpstr>
      <vt:lpstr>calcProd1Seg2Comp2Payer2ShareWonR2</vt:lpstr>
      <vt:lpstr>calcProd1Seg2Comp2Payer2TotalCustR1</vt:lpstr>
      <vt:lpstr>calcProd1Seg2Comp2Payer2TotalCustR2</vt:lpstr>
      <vt:lpstr>calcProd1Seg2Comp2Payer2TotalShareR1</vt:lpstr>
      <vt:lpstr>calcProd1Seg2Comp2Payer2TotalShareR2</vt:lpstr>
      <vt:lpstr>calcProd1Seg2Comp2Payer3ShareLostR1</vt:lpstr>
      <vt:lpstr>calcProd1Seg2Comp2Payer3ShareLostR2</vt:lpstr>
      <vt:lpstr>calcProd1Seg2Comp2Payer3ShareWonR1</vt:lpstr>
      <vt:lpstr>calcProd1Seg2Comp2Payer3ShareWonR2</vt:lpstr>
      <vt:lpstr>calcProd1Seg2Comp2Payer3TotalCustR1</vt:lpstr>
      <vt:lpstr>calcProd1Seg2Comp2Payer3TotalCustR2</vt:lpstr>
      <vt:lpstr>calcProd1Seg2Comp2Payer3TotalShareR1</vt:lpstr>
      <vt:lpstr>calcProd1Seg2Comp2Payer3TotalShareR2</vt:lpstr>
      <vt:lpstr>calcProd1Seg2Comp2TotalCustR1</vt:lpstr>
      <vt:lpstr>calcProd1Seg2Comp2TotalCustR2</vt:lpstr>
      <vt:lpstr>calcProd1Seg2Comp2TotalShareR1</vt:lpstr>
      <vt:lpstr>calcProd1Seg2Comp2TotalShareR2</vt:lpstr>
      <vt:lpstr>calcProd1Seg2FTEsCFCollabR1</vt:lpstr>
      <vt:lpstr>calcProd1Seg2FTEsCFCollabR2</vt:lpstr>
      <vt:lpstr>calcProd1Seg2FTEsRegTrainR1</vt:lpstr>
      <vt:lpstr>calcProd1Seg2FTEsRegTrainR2</vt:lpstr>
      <vt:lpstr>calcProd1Seg2FTEsRep1R1</vt:lpstr>
      <vt:lpstr>calcProd1Seg2FTEsRep1R2</vt:lpstr>
      <vt:lpstr>calcProd1Seg2FTEsRep2R1</vt:lpstr>
      <vt:lpstr>calcProd1Seg2FTEsRep2R2</vt:lpstr>
      <vt:lpstr>calcProd1Seg2FTEsRep3R1</vt:lpstr>
      <vt:lpstr>calcProd1Seg2FTEsRep3R2</vt:lpstr>
      <vt:lpstr>calcProd1Seg2GrossRevenueR1</vt:lpstr>
      <vt:lpstr>calcProd1Seg2GrossRevenueR2</vt:lpstr>
      <vt:lpstr>calcProd1Seg2InternalCostR1</vt:lpstr>
      <vt:lpstr>calcProd1Seg2InternalCostR2</vt:lpstr>
      <vt:lpstr>calcProd1Seg2MarketGrowthCustR1</vt:lpstr>
      <vt:lpstr>calcProd1Seg2MarketGrowthCustR2</vt:lpstr>
      <vt:lpstr>calcProd1Seg2NetRevenueR1</vt:lpstr>
      <vt:lpstr>calcProd1Seg2NetRevenueR2</vt:lpstr>
      <vt:lpstr>calcProd1Seg2NewCustR1</vt:lpstr>
      <vt:lpstr>calcProd1Seg2NewCustR2</vt:lpstr>
      <vt:lpstr>calcProd1Seg2Payer1GrossRevenueR1</vt:lpstr>
      <vt:lpstr>calcProd1Seg2Payer1GrossRevenueR2</vt:lpstr>
      <vt:lpstr>calcProd1Seg2Payer1MarketGrowthCustR1</vt:lpstr>
      <vt:lpstr>calcProd1Seg2Payer1MarketGrowthCustR2</vt:lpstr>
      <vt:lpstr>calcProd1Seg2Payer1MarketRecurCustR1</vt:lpstr>
      <vt:lpstr>calcProd1Seg2Payer1MarketRecurCustR2</vt:lpstr>
      <vt:lpstr>calcProd1Seg2Payer1NetRevenueR1</vt:lpstr>
      <vt:lpstr>calcProd1Seg2Payer1NetRevenueR2</vt:lpstr>
      <vt:lpstr>calcProd1Seg2Payer1PromotionShare</vt:lpstr>
      <vt:lpstr>calcProd1Seg2Payer1PromotionShareNew</vt:lpstr>
      <vt:lpstr>calcProd1Seg2Payer1PromotionShareNewR2</vt:lpstr>
      <vt:lpstr>calcProd1Seg2Payer1PromotionShareR2</vt:lpstr>
      <vt:lpstr>calcProd1Seg2Payer1RepCapShare</vt:lpstr>
      <vt:lpstr>calcProd1Seg2Payer1RepCapShareNew</vt:lpstr>
      <vt:lpstr>calcProd1Seg2Payer1RepCapShareNewR2</vt:lpstr>
      <vt:lpstr>calcProd1Seg2Payer1RepCapShareR2</vt:lpstr>
      <vt:lpstr>calcProd1Seg2Payer1SampleShare</vt:lpstr>
      <vt:lpstr>calcProd1Seg2Payer1SampleShareNew</vt:lpstr>
      <vt:lpstr>calcProd1Seg2Payer1SampleShareNewR2</vt:lpstr>
      <vt:lpstr>calcProd1Seg2Payer1SampleShareR2</vt:lpstr>
      <vt:lpstr>calcProd1Seg2Payer1ShareNewCustR1</vt:lpstr>
      <vt:lpstr>calcProd1Seg2Payer1ShareNewCustR2</vt:lpstr>
      <vt:lpstr>calcProd1Seg2Payer1ShareRecurCustR1</vt:lpstr>
      <vt:lpstr>calcProd1Seg2Payer1ShareRecurCustR2</vt:lpstr>
      <vt:lpstr>calcProd1Seg2Payer1ShareTotalCustR1</vt:lpstr>
      <vt:lpstr>calcProd1Seg2Payer1ShareTotalCustR2</vt:lpstr>
      <vt:lpstr>calcProd1Seg2Payer1SpeakerShare</vt:lpstr>
      <vt:lpstr>calcProd1Seg2Payer1SpeakerShareNew</vt:lpstr>
      <vt:lpstr>calcProd1Seg2Payer1SpeakerShareNewR2</vt:lpstr>
      <vt:lpstr>calcProd1Seg2Payer1SpeakerShareR2</vt:lpstr>
      <vt:lpstr>calcprod1Seg2Payer1TierImpactR1</vt:lpstr>
      <vt:lpstr>calcprod1Seg2Payer1TierImpactR2</vt:lpstr>
      <vt:lpstr>calcProd1Seg2Payer1TotalShareChangeR1</vt:lpstr>
      <vt:lpstr>calcProd1Seg2Payer1TotalShareChangeR2</vt:lpstr>
      <vt:lpstr>calcProd1Seg2Payer1TotalVolumeR1</vt:lpstr>
      <vt:lpstr>calcProd1Seg2Payer1TotalVolumeR2</vt:lpstr>
      <vt:lpstr>calcProd1Seg2Payer1VolumeNewCustR1</vt:lpstr>
      <vt:lpstr>calcProd1Seg2Payer1VolumeNewCustR2</vt:lpstr>
      <vt:lpstr>calcProd1Seg2Payer1VolumeR1</vt:lpstr>
      <vt:lpstr>calcProd1Seg2Payer1VolumeR2</vt:lpstr>
      <vt:lpstr>calcProd1Seg2Payer1VolumeRecurCustR1</vt:lpstr>
      <vt:lpstr>calcProd1Seg2Payer1VolumeRecurCustR2</vt:lpstr>
      <vt:lpstr>calcProd1Seg2Payer2GrossRevenueR1</vt:lpstr>
      <vt:lpstr>calcProd1Seg2Payer2GrossRevenueR2</vt:lpstr>
      <vt:lpstr>calcProd1Seg2Payer2MarketGrowthCustR1</vt:lpstr>
      <vt:lpstr>calcProd1Seg2Payer2MarketGrowthCustR2</vt:lpstr>
      <vt:lpstr>calcProd1Seg2Payer2MarketRecurCustR1</vt:lpstr>
      <vt:lpstr>calcProd1Seg2Payer2MarketRecurCustR2</vt:lpstr>
      <vt:lpstr>calcProd1Seg2Payer2NetRevenueR1</vt:lpstr>
      <vt:lpstr>calcProd1Seg2Payer2NetRevenueR2</vt:lpstr>
      <vt:lpstr>calcProd1Seg2Payer2PromotionShare</vt:lpstr>
      <vt:lpstr>calcProd1Seg2Payer2PromotionShareNew</vt:lpstr>
      <vt:lpstr>calcProd1Seg2Payer2PromotionShareNewR2</vt:lpstr>
      <vt:lpstr>calcProd1Seg2Payer2PromotionShareR2</vt:lpstr>
      <vt:lpstr>calcProd1Seg2Payer2RepCapShare</vt:lpstr>
      <vt:lpstr>calcProd1Seg2Payer2RepCapShareNew</vt:lpstr>
      <vt:lpstr>calcProd1Seg2Payer2RepCapShareNewR2</vt:lpstr>
      <vt:lpstr>calcProd1Seg2Payer2RepCapShareR2</vt:lpstr>
      <vt:lpstr>calcProd1Seg2Payer2SampleShare</vt:lpstr>
      <vt:lpstr>calcProd1Seg2Payer2SampleShareNew</vt:lpstr>
      <vt:lpstr>calcProd1Seg2Payer2SampleShareNewR2</vt:lpstr>
      <vt:lpstr>calcProd1Seg2Payer2SampleShareR2</vt:lpstr>
      <vt:lpstr>calcProd1Seg2Payer2ShareNewCustR1</vt:lpstr>
      <vt:lpstr>calcProd1Seg2Payer2ShareNewCustR2</vt:lpstr>
      <vt:lpstr>calcProd1Seg2Payer2ShareRecurCustR1</vt:lpstr>
      <vt:lpstr>calcProd1Seg2Payer2ShareRecurCustR2</vt:lpstr>
      <vt:lpstr>calcProd1Seg2Payer2ShareTotalCustR1</vt:lpstr>
      <vt:lpstr>calcProd1Seg2Payer2ShareTotalCustR2</vt:lpstr>
      <vt:lpstr>calcProd1Seg2Payer2SpeakerShare</vt:lpstr>
      <vt:lpstr>calcProd1Seg2Payer2SpeakerShareNew</vt:lpstr>
      <vt:lpstr>calcProd1Seg2Payer2SpeakerShareNewR2</vt:lpstr>
      <vt:lpstr>calcProd1Seg2Payer2SpeakerShareR2</vt:lpstr>
      <vt:lpstr>calcprod1Seg2Payer2TierImpactR1</vt:lpstr>
      <vt:lpstr>calcprod1Seg2Payer2TierImpactR2</vt:lpstr>
      <vt:lpstr>calcProd1Seg2Payer2TotalShareChangeR1</vt:lpstr>
      <vt:lpstr>calcProd1Seg2Payer2TotalShareChangeR2</vt:lpstr>
      <vt:lpstr>calcProd1Seg2Payer2TotalVolumeR1</vt:lpstr>
      <vt:lpstr>calcProd1Seg2Payer2TotalVolumeR2</vt:lpstr>
      <vt:lpstr>calcProd1Seg2Payer2VolumeNewCustR1</vt:lpstr>
      <vt:lpstr>calcProd1Seg2Payer2VolumeNewCustR2</vt:lpstr>
      <vt:lpstr>calcProd1Seg2Payer2VolumeR1</vt:lpstr>
      <vt:lpstr>calcProd1Seg2Payer2VolumeR2</vt:lpstr>
      <vt:lpstr>calcProd1Seg2Payer2VolumeRecurCustR1</vt:lpstr>
      <vt:lpstr>calcProd1Seg2Payer2VolumeRecurCustR2</vt:lpstr>
      <vt:lpstr>calcProd1Seg2Payer3GrossRevenueR1</vt:lpstr>
      <vt:lpstr>calcProd1Seg2Payer3GrossRevenueR2</vt:lpstr>
      <vt:lpstr>calcProd1Seg2Payer3MarketGrowthCustR1</vt:lpstr>
      <vt:lpstr>calcProd1Seg2Payer3MarketGrowthCustR2</vt:lpstr>
      <vt:lpstr>calcProd1Seg2Payer3MarketRecurCustR1</vt:lpstr>
      <vt:lpstr>calcProd1Seg2Payer3MarketRecurCustR2</vt:lpstr>
      <vt:lpstr>calcProd1Seg2Payer3NetRevenueR1</vt:lpstr>
      <vt:lpstr>calcProd1Seg2Payer3NetRevenueR2</vt:lpstr>
      <vt:lpstr>calcProd1Seg2Payer3PromotionShare</vt:lpstr>
      <vt:lpstr>calcProd1Seg2Payer3PromotionShareNew</vt:lpstr>
      <vt:lpstr>calcProd1Seg2Payer3PromotionShareNewR2</vt:lpstr>
      <vt:lpstr>calcProd1Seg2Payer3PromotionShareR2</vt:lpstr>
      <vt:lpstr>calcProd1Seg2Payer3RepCapShare</vt:lpstr>
      <vt:lpstr>calcProd1Seg2Payer3RepCapShareNew</vt:lpstr>
      <vt:lpstr>calcProd1Seg2Payer3RepCapShareNewR2</vt:lpstr>
      <vt:lpstr>calcProd1Seg2Payer3RepCapShareR2</vt:lpstr>
      <vt:lpstr>calcProd1Seg2Payer3SampleShare</vt:lpstr>
      <vt:lpstr>calcProd1Seg2Payer3SampleShareNew</vt:lpstr>
      <vt:lpstr>calcProd1Seg2Payer3SampleShareNewR2</vt:lpstr>
      <vt:lpstr>calcProd1Seg2Payer3SampleShareR2</vt:lpstr>
      <vt:lpstr>calcProd1Seg2Payer3ShareNewCustR1</vt:lpstr>
      <vt:lpstr>calcProd1Seg2Payer3ShareNewCustR2</vt:lpstr>
      <vt:lpstr>calcProd1Seg2Payer3ShareRecurCustR1</vt:lpstr>
      <vt:lpstr>calcProd1Seg2Payer3ShareRecurCustR2</vt:lpstr>
      <vt:lpstr>calcProd1Seg2Payer3ShareTotalCustR1</vt:lpstr>
      <vt:lpstr>calcProd1Seg2Payer3ShareTotalCustR2</vt:lpstr>
      <vt:lpstr>calcProd1Seg2Payer3SpeakerShare</vt:lpstr>
      <vt:lpstr>calcProd1Seg2Payer3SpeakerShareNew</vt:lpstr>
      <vt:lpstr>calcProd1Seg2Payer3SpeakerShareNewR2</vt:lpstr>
      <vt:lpstr>calcProd1Seg2Payer3SpeakerShareR2</vt:lpstr>
      <vt:lpstr>calcprod1Seg2Payer3TierImpactR1</vt:lpstr>
      <vt:lpstr>calcprod1Seg2Payer3TierImpactR2</vt:lpstr>
      <vt:lpstr>calcProd1Seg2Payer3TotalShareChangeR1</vt:lpstr>
      <vt:lpstr>calcProd1Seg2Payer3TotalShareChangeR2</vt:lpstr>
      <vt:lpstr>calcProd1Seg2Payer3TotalVolumeR1</vt:lpstr>
      <vt:lpstr>calcProd1Seg2Payer3TotalVolumeR2</vt:lpstr>
      <vt:lpstr>calcProd1Seg2Payer3VolumeNewCustR1</vt:lpstr>
      <vt:lpstr>calcProd1Seg2Payer3VolumeNewCustR2</vt:lpstr>
      <vt:lpstr>calcProd1Seg2Payer3VolumeR1</vt:lpstr>
      <vt:lpstr>calcProd1Seg2Payer3VolumeR2</vt:lpstr>
      <vt:lpstr>calcProd1Seg2Payer3VolumeRecurCustR1</vt:lpstr>
      <vt:lpstr>calcProd1Seg2Payer3VolumeRecurCustR2</vt:lpstr>
      <vt:lpstr>calcProd1Seg2PromotionAllocationR1</vt:lpstr>
      <vt:lpstr>calcProd1Seg2PromotionAllocationR2</vt:lpstr>
      <vt:lpstr>calcProd1Seg2PromotionAllocR1</vt:lpstr>
      <vt:lpstr>calcProd1Seg2PromotionAllocR2</vt:lpstr>
      <vt:lpstr>calcProd1Seg2RecurCustR1</vt:lpstr>
      <vt:lpstr>calcProd1Seg2RecurCustR2</vt:lpstr>
      <vt:lpstr>calcProd1Seg2RegTrainCostR1</vt:lpstr>
      <vt:lpstr>calcProd1Seg2RegTrainCostR2</vt:lpstr>
      <vt:lpstr>calcProd1Seg2Reimbursement</vt:lpstr>
      <vt:lpstr>calcProd1Seg2ReimbursementR2</vt:lpstr>
      <vt:lpstr>calcProd1Seg2Rep1BagWeightImpactR1</vt:lpstr>
      <vt:lpstr>calcProd1Seg2Rep1BagWeightImpactR2</vt:lpstr>
      <vt:lpstr>calcProd1Seg2Rep1BagWeightR1</vt:lpstr>
      <vt:lpstr>calcProd1Seg2Rep1BagWeightR2</vt:lpstr>
      <vt:lpstr>calcProd1Seg2Rep1CapR1</vt:lpstr>
      <vt:lpstr>calcProd1Seg2Rep1CapR2</vt:lpstr>
      <vt:lpstr>calcProd1Seg2Rep1ImpactR1</vt:lpstr>
      <vt:lpstr>calcProd1Seg2Rep1ImpactR2</vt:lpstr>
      <vt:lpstr>calcProd1Seg2Rep1InternalTimeR1</vt:lpstr>
      <vt:lpstr>calcProd1Seg2Rep1InternalTimeR2</vt:lpstr>
      <vt:lpstr>calcProd1Seg2Rep1Payer1ImpactR1</vt:lpstr>
      <vt:lpstr>calcProd1Seg2Rep1Payer1ImpactR2</vt:lpstr>
      <vt:lpstr>calcProd1Seg2Rep1Payer2ImpactR1</vt:lpstr>
      <vt:lpstr>calcProd1Seg2Rep1Payer2ImpactR2</vt:lpstr>
      <vt:lpstr>calcProd1Seg2Rep1Payer3ImpactR1</vt:lpstr>
      <vt:lpstr>calcProd1Seg2Rep1Payer3ImpactR2</vt:lpstr>
      <vt:lpstr>calcProd1Seg2Rep1Products</vt:lpstr>
      <vt:lpstr>calcProd1Seg2Rep2BagWeightImpactR1</vt:lpstr>
      <vt:lpstr>calcProd1Seg2Rep2BagWeightImpactR2</vt:lpstr>
      <vt:lpstr>calcProd1Seg2Rep2BagWeightR1</vt:lpstr>
      <vt:lpstr>calcProd1Seg2Rep2BagWeightR2</vt:lpstr>
      <vt:lpstr>calcProd1Seg2Rep2CapR1</vt:lpstr>
      <vt:lpstr>calcProd1Seg2Rep2CapR2</vt:lpstr>
      <vt:lpstr>calcProd1Seg2Rep2ImpactR1</vt:lpstr>
      <vt:lpstr>calcProd1Seg2Rep2ImpactR2</vt:lpstr>
      <vt:lpstr>calcProd1Seg2Rep2InternalTimeR1</vt:lpstr>
      <vt:lpstr>calcProd1Seg2Rep2InternalTimeR2</vt:lpstr>
      <vt:lpstr>calcProd1Seg2Rep2Payer1ImpactR1</vt:lpstr>
      <vt:lpstr>calcProd1Seg2Rep2Payer1ImpactR2</vt:lpstr>
      <vt:lpstr>calcProd1Seg2Rep2Payer2ImpactR1</vt:lpstr>
      <vt:lpstr>calcProd1Seg2Rep2Payer2ImpactR2</vt:lpstr>
      <vt:lpstr>calcProd1Seg2Rep2Payer3ImpactR1</vt:lpstr>
      <vt:lpstr>calcProd1Seg2Rep2Payer3ImpactR2</vt:lpstr>
      <vt:lpstr>calcProd1Seg2Rep2Products</vt:lpstr>
      <vt:lpstr>calcProd1Seg2Rep3BagWeightImpactR1</vt:lpstr>
      <vt:lpstr>calcProd1Seg2Rep3BagWeightImpactR2</vt:lpstr>
      <vt:lpstr>calcProd1Seg2Rep3BagWeightR1</vt:lpstr>
      <vt:lpstr>calcProd1Seg2Rep3BagWeightR2</vt:lpstr>
      <vt:lpstr>calcProd1Seg2Rep3CapR1</vt:lpstr>
      <vt:lpstr>calcProd1Seg2Rep3CapR2</vt:lpstr>
      <vt:lpstr>calcProd1Seg2Rep3ImpactR1</vt:lpstr>
      <vt:lpstr>calcProd1Seg2Rep3ImpactR2</vt:lpstr>
      <vt:lpstr>calcProd1Seg2Rep3InternalTimeR1</vt:lpstr>
      <vt:lpstr>calcProd1Seg2Rep3InternalTimeR2</vt:lpstr>
      <vt:lpstr>calcProd1Seg2Rep3Payer1ImpactR1</vt:lpstr>
      <vt:lpstr>calcProd1Seg2Rep3Payer1ImpactR2</vt:lpstr>
      <vt:lpstr>calcProd1Seg2Rep3Payer2ImpactR1</vt:lpstr>
      <vt:lpstr>calcProd1Seg2Rep3Payer2ImpactR2</vt:lpstr>
      <vt:lpstr>calcProd1Seg2Rep3Payer3ImpactR1</vt:lpstr>
      <vt:lpstr>calcProd1Seg2Rep3Payer3ImpactR2</vt:lpstr>
      <vt:lpstr>calcProd1Seg2Rep3Products</vt:lpstr>
      <vt:lpstr>calcProd1Seg2RepAvgBagWeightR1</vt:lpstr>
      <vt:lpstr>calcProd1Seg2RepAvgBagWeightR2</vt:lpstr>
      <vt:lpstr>calcProd1Seg2SampleAllocR1</vt:lpstr>
      <vt:lpstr>calcProd1Seg2SampleAllocR2</vt:lpstr>
      <vt:lpstr>calcProd1Seg2ShareNewCustR1</vt:lpstr>
      <vt:lpstr>calcProd1Seg2ShareNewCustR2</vt:lpstr>
      <vt:lpstr>calcProd1Seg2ShareTotalCustR1</vt:lpstr>
      <vt:lpstr>calcProd1Seg2ShareTotalCustR2</vt:lpstr>
      <vt:lpstr>calcProd1Seg2SpeakerAllocR1</vt:lpstr>
      <vt:lpstr>calcProd1Seg2SpeakerAllocR2</vt:lpstr>
      <vt:lpstr>calcProd1Seg2TotalVolumeR1</vt:lpstr>
      <vt:lpstr>calcProd1Seg2TotalVolumeR2</vt:lpstr>
      <vt:lpstr>calcProd1Seg2VolumeTotalCustR1</vt:lpstr>
      <vt:lpstr>calcProd1Seg2VolumeTotalCustR2</vt:lpstr>
      <vt:lpstr>calcProd1Seg3CoachingCostR1</vt:lpstr>
      <vt:lpstr>calcProd1Seg3CoachingCostR2</vt:lpstr>
      <vt:lpstr>calcProd1Seg3Comp1Payer1ShareLostR1</vt:lpstr>
      <vt:lpstr>calcProd1Seg3Comp1Payer1ShareLostR2</vt:lpstr>
      <vt:lpstr>calcProd1Seg3Comp1Payer1ShareWonR1</vt:lpstr>
      <vt:lpstr>calcProd1Seg3Comp1Payer1ShareWonR2</vt:lpstr>
      <vt:lpstr>calcProd1Seg3Comp1Payer1TotalCustR1</vt:lpstr>
      <vt:lpstr>calcProd1Seg3Comp1Payer1TotalCustR2</vt:lpstr>
      <vt:lpstr>calcProd1Seg3Comp1Payer1TotalShareR1</vt:lpstr>
      <vt:lpstr>calcProd1Seg3Comp1Payer1TotalShareR2</vt:lpstr>
      <vt:lpstr>calcProd1Seg3Comp1Payer2ShareLostR1</vt:lpstr>
      <vt:lpstr>calcProd1Seg3Comp1Payer2ShareLostR2</vt:lpstr>
      <vt:lpstr>calcProd1Seg3Comp1Payer2ShareWonR1</vt:lpstr>
      <vt:lpstr>calcProd1Seg3Comp1Payer2ShareWonR2</vt:lpstr>
      <vt:lpstr>calcProd1Seg3Comp1Payer2TotalCustR1</vt:lpstr>
      <vt:lpstr>calcProd1Seg3Comp1Payer2TotalCustR2</vt:lpstr>
      <vt:lpstr>calcProd1Seg3Comp1Payer2TotalShareR1</vt:lpstr>
      <vt:lpstr>calcProd1Seg3Comp1Payer2TotalShareR2</vt:lpstr>
      <vt:lpstr>calcProd1Seg3Comp1Payer3ShareLostR1</vt:lpstr>
      <vt:lpstr>calcProd1Seg3Comp1Payer3ShareLostR2</vt:lpstr>
      <vt:lpstr>calcProd1Seg3Comp1Payer3ShareWonR1</vt:lpstr>
      <vt:lpstr>calcProd1Seg3Comp1Payer3ShareWonR2</vt:lpstr>
      <vt:lpstr>calcProd1Seg3Comp1Payer3TotalCustR1</vt:lpstr>
      <vt:lpstr>calcProd1Seg3Comp1Payer3TotalCustR2</vt:lpstr>
      <vt:lpstr>calcProd1Seg3Comp1Payer3TotalShareR1</vt:lpstr>
      <vt:lpstr>calcProd1Seg3Comp1Payer3TotalShareR2</vt:lpstr>
      <vt:lpstr>calcProd1Seg3Comp1TotalCustR1</vt:lpstr>
      <vt:lpstr>calcProd1Seg3Comp1TotalCustR2</vt:lpstr>
      <vt:lpstr>calcProd1Seg3Comp1TotalShareR1</vt:lpstr>
      <vt:lpstr>calcProd1Seg3Comp1TotalShareR2</vt:lpstr>
      <vt:lpstr>calcProd1Seg3Comp2Payer1ShareLostR1</vt:lpstr>
      <vt:lpstr>calcProd1Seg3Comp2Payer1ShareLostR2</vt:lpstr>
      <vt:lpstr>calcProd1Seg3Comp2Payer1ShareWonR1</vt:lpstr>
      <vt:lpstr>calcProd1Seg3Comp2Payer1ShareWonR2</vt:lpstr>
      <vt:lpstr>calcProd1Seg3Comp2Payer1TotalCustR1</vt:lpstr>
      <vt:lpstr>calcProd1Seg3Comp2Payer1TotalCustR2</vt:lpstr>
      <vt:lpstr>calcProd1Seg3Comp2Payer1TotalShareR1</vt:lpstr>
      <vt:lpstr>calcProd1Seg3Comp2Payer1TotalShareR2</vt:lpstr>
      <vt:lpstr>calcProd1Seg3Comp2Payer2ShareLostR1</vt:lpstr>
      <vt:lpstr>calcProd1Seg3Comp2Payer2ShareLostR2</vt:lpstr>
      <vt:lpstr>calcProd1Seg3Comp2Payer2ShareWonR1</vt:lpstr>
      <vt:lpstr>calcProd1Seg3Comp2Payer2ShareWonR2</vt:lpstr>
      <vt:lpstr>calcProd1Seg3Comp2Payer2TotalCustR1</vt:lpstr>
      <vt:lpstr>calcProd1Seg3Comp2Payer2TotalCustR2</vt:lpstr>
      <vt:lpstr>calcProd1Seg3Comp2Payer2TotalShareR1</vt:lpstr>
      <vt:lpstr>calcProd1Seg3Comp2Payer2TotalShareR2</vt:lpstr>
      <vt:lpstr>calcProd1Seg3Comp2Payer3ShareLostR1</vt:lpstr>
      <vt:lpstr>calcProd1Seg3Comp2Payer3ShareLostR2</vt:lpstr>
      <vt:lpstr>calcProd1Seg3Comp2Payer3ShareWonR1</vt:lpstr>
      <vt:lpstr>calcProd1Seg3Comp2Payer3ShareWonR2</vt:lpstr>
      <vt:lpstr>calcProd1Seg3Comp2Payer3TotalCustR1</vt:lpstr>
      <vt:lpstr>calcProd1Seg3Comp2Payer3TotalCustR2</vt:lpstr>
      <vt:lpstr>calcProd1Seg3Comp2Payer3TotalShareR1</vt:lpstr>
      <vt:lpstr>calcProd1Seg3Comp2Payer3TotalShareR2</vt:lpstr>
      <vt:lpstr>calcProd1Seg3Comp2TotalCustR1</vt:lpstr>
      <vt:lpstr>calcProd1Seg3Comp2TotalCustR2</vt:lpstr>
      <vt:lpstr>calcProd1Seg3Comp2TotalShareR1</vt:lpstr>
      <vt:lpstr>calcProd1Seg3Comp2TotalShareR2</vt:lpstr>
      <vt:lpstr>calcProd1Seg3FTEsCFCollabR1</vt:lpstr>
      <vt:lpstr>calcProd1Seg3FTEsCFCollabR2</vt:lpstr>
      <vt:lpstr>calcProd1Seg3FTEsRegTrainR1</vt:lpstr>
      <vt:lpstr>calcProd1Seg3FTEsRegTrainR2</vt:lpstr>
      <vt:lpstr>calcProd1Seg3FTEsRep1R1</vt:lpstr>
      <vt:lpstr>calcProd1Seg3FTEsRep1R2</vt:lpstr>
      <vt:lpstr>calcProd1Seg3FTEsRep2R1</vt:lpstr>
      <vt:lpstr>calcProd1Seg3FTEsRep2R2</vt:lpstr>
      <vt:lpstr>calcProd1Seg3FTEsRep3R1</vt:lpstr>
      <vt:lpstr>calcProd1Seg3FTEsRep3R2</vt:lpstr>
      <vt:lpstr>calcProd1Seg3GrossRevenueR1</vt:lpstr>
      <vt:lpstr>calcProd1Seg3GrossRevenueR2</vt:lpstr>
      <vt:lpstr>calcProd1Seg3InternalCostR1</vt:lpstr>
      <vt:lpstr>calcProd1Seg3InternalCostR2</vt:lpstr>
      <vt:lpstr>calcProd1Seg3MarketGrowthCustR1</vt:lpstr>
      <vt:lpstr>calcProd1Seg3MarketGrowthCustR2</vt:lpstr>
      <vt:lpstr>calcProd1Seg3NetRevenueR1</vt:lpstr>
      <vt:lpstr>calcProd1Seg3NetRevenueR2</vt:lpstr>
      <vt:lpstr>calcProd1Seg3NewCustR1</vt:lpstr>
      <vt:lpstr>calcProd1Seg3NewCustR2</vt:lpstr>
      <vt:lpstr>calcProd1Seg3Payer1GrossRevenueR1</vt:lpstr>
      <vt:lpstr>calcProd1Seg3Payer1GrossRevenueR2</vt:lpstr>
      <vt:lpstr>calcProd1Seg3Payer1MarketGrowthCustR1</vt:lpstr>
      <vt:lpstr>calcProd1Seg3Payer1MarketGrowthCustR2</vt:lpstr>
      <vt:lpstr>calcProd1Seg3Payer1MarketRecurCustR1</vt:lpstr>
      <vt:lpstr>calcProd1Seg3Payer1MarketRecurCustR2</vt:lpstr>
      <vt:lpstr>calcProd1Seg3Payer1NetRevenueR1</vt:lpstr>
      <vt:lpstr>calcProd1Seg3Payer1NetRevenueR2</vt:lpstr>
      <vt:lpstr>calcProd1Seg3Payer1PromotionShare</vt:lpstr>
      <vt:lpstr>calcProd1Seg3Payer1PromotionShareNew</vt:lpstr>
      <vt:lpstr>calcProd1Seg3Payer1PromotionShareNewR2</vt:lpstr>
      <vt:lpstr>calcProd1Seg3Payer1PromotionShareR2</vt:lpstr>
      <vt:lpstr>calcProd1Seg3Payer1RepCapShare</vt:lpstr>
      <vt:lpstr>calcProd1Seg3Payer1RepCapShareNew</vt:lpstr>
      <vt:lpstr>calcProd1Seg3Payer1RepCapShareNewR2</vt:lpstr>
      <vt:lpstr>calcProd1Seg3Payer1RepCapShareR2</vt:lpstr>
      <vt:lpstr>calcProd1Seg3Payer1SampleShare</vt:lpstr>
      <vt:lpstr>calcProd1Seg3Payer1SampleShareNew</vt:lpstr>
      <vt:lpstr>calcProd1Seg3Payer1SampleShareNewR2</vt:lpstr>
      <vt:lpstr>calcProd1Seg3Payer1SampleShareR2</vt:lpstr>
      <vt:lpstr>calcProd1Seg3Payer1ShareNewCustR1</vt:lpstr>
      <vt:lpstr>calcProd1Seg3Payer1ShareNewCustR2</vt:lpstr>
      <vt:lpstr>calcProd1Seg3Payer1ShareRecurCustR1</vt:lpstr>
      <vt:lpstr>calcProd1Seg3Payer1ShareRecurCustR2</vt:lpstr>
      <vt:lpstr>calcProd1Seg3Payer1ShareTotalCustR1</vt:lpstr>
      <vt:lpstr>calcProd1Seg3Payer1ShareTotalCustR2</vt:lpstr>
      <vt:lpstr>calcProd1Seg3Payer1SpeakerShare</vt:lpstr>
      <vt:lpstr>calcProd1Seg3Payer1SpeakerShareNew</vt:lpstr>
      <vt:lpstr>calcProd1Seg3Payer1SpeakerShareNewR2</vt:lpstr>
      <vt:lpstr>calcProd1Seg3Payer1SpeakerShareR2</vt:lpstr>
      <vt:lpstr>calcprod1Seg3Payer1TierImpactR1</vt:lpstr>
      <vt:lpstr>calcprod1Seg3Payer1TierImpactR2</vt:lpstr>
      <vt:lpstr>calcProd1Seg3Payer1TotalShareChangeR1</vt:lpstr>
      <vt:lpstr>calcProd1Seg3Payer1TotalShareChangeR2</vt:lpstr>
      <vt:lpstr>calcProd1Seg3Payer1TotalVolumeR1</vt:lpstr>
      <vt:lpstr>calcProd1Seg3Payer1TotalVolumeR2</vt:lpstr>
      <vt:lpstr>calcProd1Seg3Payer1VolumeNewCustR1</vt:lpstr>
      <vt:lpstr>calcProd1Seg3Payer1VolumeNewCustR2</vt:lpstr>
      <vt:lpstr>calcProd1Seg3Payer1VolumeR1</vt:lpstr>
      <vt:lpstr>calcProd1Seg3Payer1VolumeR2</vt:lpstr>
      <vt:lpstr>calcProd1Seg3Payer1VolumeRecurCustR1</vt:lpstr>
      <vt:lpstr>calcProd1Seg3Payer1VolumeRecurCustR2</vt:lpstr>
      <vt:lpstr>calcProd1Seg3Payer2GrossRevenueR1</vt:lpstr>
      <vt:lpstr>calcProd1Seg3Payer2GrossRevenueR2</vt:lpstr>
      <vt:lpstr>calcProd1Seg3Payer2MarketGrowthCustR1</vt:lpstr>
      <vt:lpstr>calcProd1Seg3Payer2MarketGrowthCustR2</vt:lpstr>
      <vt:lpstr>calcProd1Seg3Payer2MarketRecurCustR1</vt:lpstr>
      <vt:lpstr>calcProd1Seg3Payer2MarketRecurCustR2</vt:lpstr>
      <vt:lpstr>calcProd1Seg3Payer2NetRevenueR1</vt:lpstr>
      <vt:lpstr>calcProd1Seg3Payer2NetRevenueR2</vt:lpstr>
      <vt:lpstr>calcProd1Seg3Payer2PromotionShare</vt:lpstr>
      <vt:lpstr>calcProd1Seg3Payer2PromotionShareNew</vt:lpstr>
      <vt:lpstr>calcProd1Seg3Payer2PromotionShareNewR2</vt:lpstr>
      <vt:lpstr>calcProd1Seg3Payer2PromotionShareR2</vt:lpstr>
      <vt:lpstr>calcProd1Seg3Payer2RepCapShare</vt:lpstr>
      <vt:lpstr>calcProd1Seg3Payer2RepCapShareNew</vt:lpstr>
      <vt:lpstr>calcProd1Seg3Payer2RepCapShareNewR2</vt:lpstr>
      <vt:lpstr>calcProd1Seg3Payer2RepCapShareR2</vt:lpstr>
      <vt:lpstr>calcProd1Seg3Payer2SampleShare</vt:lpstr>
      <vt:lpstr>calcProd1Seg3Payer2SampleShareNew</vt:lpstr>
      <vt:lpstr>calcProd1Seg3Payer2SampleShareNewR2</vt:lpstr>
      <vt:lpstr>calcProd1Seg3Payer2SampleShareR2</vt:lpstr>
      <vt:lpstr>calcProd1Seg3Payer2ShareNewCustR1</vt:lpstr>
      <vt:lpstr>calcProd1Seg3Payer2ShareNewCustR2</vt:lpstr>
      <vt:lpstr>calcProd1Seg3Payer2ShareRecurCustR1</vt:lpstr>
      <vt:lpstr>calcProd1Seg3Payer2ShareRecurCustR2</vt:lpstr>
      <vt:lpstr>calcProd1Seg3Payer2ShareTotalCustR1</vt:lpstr>
      <vt:lpstr>calcProd1Seg3Payer2ShareTotalCustR2</vt:lpstr>
      <vt:lpstr>calcProd1Seg3Payer2SpeakerShare</vt:lpstr>
      <vt:lpstr>calcProd1Seg3Payer2SpeakerShareNew</vt:lpstr>
      <vt:lpstr>calcProd1Seg3Payer2SpeakerShareNewR2</vt:lpstr>
      <vt:lpstr>calcProd1Seg3Payer2SpeakerShareR2</vt:lpstr>
      <vt:lpstr>calcprod1Seg3Payer2TierImpactR1</vt:lpstr>
      <vt:lpstr>calcprod1Seg3Payer2TierImpactR2</vt:lpstr>
      <vt:lpstr>calcProd1Seg3Payer2TotalShareChangeR1</vt:lpstr>
      <vt:lpstr>calcProd1Seg3Payer2TotalShareChangeR2</vt:lpstr>
      <vt:lpstr>calcProd1Seg3Payer2TotalVolumeR1</vt:lpstr>
      <vt:lpstr>calcProd1Seg3Payer2TotalVolumeR2</vt:lpstr>
      <vt:lpstr>calcProd1Seg3Payer2VolumeNewCustR1</vt:lpstr>
      <vt:lpstr>calcProd1Seg3Payer2VolumeNewCustR2</vt:lpstr>
      <vt:lpstr>calcProd1Seg3Payer2VolumeR1</vt:lpstr>
      <vt:lpstr>calcProd1Seg3Payer2VolumeR2</vt:lpstr>
      <vt:lpstr>calcProd1Seg3Payer2VolumeRecurCustR1</vt:lpstr>
      <vt:lpstr>calcProd1Seg3Payer2VolumeRecurCustR2</vt:lpstr>
      <vt:lpstr>calcProd1Seg3Payer3GrossRevenueR1</vt:lpstr>
      <vt:lpstr>calcProd1Seg3Payer3GrossRevenueR2</vt:lpstr>
      <vt:lpstr>calcProd1Seg3Payer3MarketGrowthCustR1</vt:lpstr>
      <vt:lpstr>calcProd1Seg3Payer3MarketGrowthCustR2</vt:lpstr>
      <vt:lpstr>calcProd1Seg3Payer3MarketRecurCustR1</vt:lpstr>
      <vt:lpstr>calcProd1Seg3Payer3MarketRecurCustR2</vt:lpstr>
      <vt:lpstr>calcProd1Seg3Payer3NetRevenueR1</vt:lpstr>
      <vt:lpstr>calcProd1Seg3Payer3NetRevenueR2</vt:lpstr>
      <vt:lpstr>calcProd1Seg3Payer3PromotionShare</vt:lpstr>
      <vt:lpstr>calcProd1Seg3Payer3PromotionShareNew</vt:lpstr>
      <vt:lpstr>calcProd1Seg3Payer3PromotionShareNewR2</vt:lpstr>
      <vt:lpstr>calcProd1Seg3Payer3PromotionShareR2</vt:lpstr>
      <vt:lpstr>calcProd1Seg3Payer3RepCapShare</vt:lpstr>
      <vt:lpstr>calcProd1Seg3Payer3RepCapShareNew</vt:lpstr>
      <vt:lpstr>calcProd1Seg3Payer3RepCapShareNewR2</vt:lpstr>
      <vt:lpstr>calcProd1Seg3Payer3RepCapShareR2</vt:lpstr>
      <vt:lpstr>calcProd1Seg3Payer3SampleShare</vt:lpstr>
      <vt:lpstr>calcProd1Seg3Payer3SampleShareNew</vt:lpstr>
      <vt:lpstr>calcProd1Seg3Payer3SampleShareNewR2</vt:lpstr>
      <vt:lpstr>calcProd1Seg3Payer3SampleShareR2</vt:lpstr>
      <vt:lpstr>calcProd1Seg3Payer3ShareNewCustR1</vt:lpstr>
      <vt:lpstr>calcProd1Seg3Payer3ShareNewCustR2</vt:lpstr>
      <vt:lpstr>calcProd1Seg3Payer3ShareRecurCustR1</vt:lpstr>
      <vt:lpstr>calcProd1Seg3Payer3ShareRecurCustR2</vt:lpstr>
      <vt:lpstr>calcProd1Seg3Payer3ShareTotalCustR1</vt:lpstr>
      <vt:lpstr>calcProd1Seg3Payer3ShareTotalCustR2</vt:lpstr>
      <vt:lpstr>calcProd1Seg3Payer3SpeakerShare</vt:lpstr>
      <vt:lpstr>calcProd1Seg3Payer3SpeakerShareNew</vt:lpstr>
      <vt:lpstr>calcProd1Seg3Payer3SpeakerShareNewR2</vt:lpstr>
      <vt:lpstr>calcProd1Seg3Payer3SpeakerShareR2</vt:lpstr>
      <vt:lpstr>calcprod1Seg3Payer3TierImpactR1</vt:lpstr>
      <vt:lpstr>calcprod1Seg3Payer3TierImpactR2</vt:lpstr>
      <vt:lpstr>calcProd1Seg3Payer3TotalShareChangeR1</vt:lpstr>
      <vt:lpstr>calcProd1Seg3Payer3TotalShareChangeR2</vt:lpstr>
      <vt:lpstr>calcProd1Seg3Payer3TotalVolumeR1</vt:lpstr>
      <vt:lpstr>calcProd1Seg3Payer3TotalVolumeR2</vt:lpstr>
      <vt:lpstr>calcProd1Seg3Payer3VolumeNewCustR1</vt:lpstr>
      <vt:lpstr>calcProd1Seg3Payer3VolumeNewCustR2</vt:lpstr>
      <vt:lpstr>calcProd1Seg3Payer3VolumeR1</vt:lpstr>
      <vt:lpstr>calcProd1Seg3Payer3VolumeR2</vt:lpstr>
      <vt:lpstr>calcProd1Seg3Payer3VolumeRecurCustR1</vt:lpstr>
      <vt:lpstr>calcProd1Seg3Payer3VolumeRecurCustR2</vt:lpstr>
      <vt:lpstr>calcProd1Seg3PromotionAllocationR1</vt:lpstr>
      <vt:lpstr>calcProd1Seg3PromotionAllocationR2</vt:lpstr>
      <vt:lpstr>calcProd1Seg3PromotionAllocR1</vt:lpstr>
      <vt:lpstr>calcProd1Seg3PromotionAllocR2</vt:lpstr>
      <vt:lpstr>calcProd1Seg3RecurCustR1</vt:lpstr>
      <vt:lpstr>calcProd1Seg3RecurCustR2</vt:lpstr>
      <vt:lpstr>calcProd1Seg3RegTrainCostR1</vt:lpstr>
      <vt:lpstr>calcProd1Seg3RegTrainCostR2</vt:lpstr>
      <vt:lpstr>calcProd1Seg3Reimbursement</vt:lpstr>
      <vt:lpstr>calcProd1Seg3ReimbursementR2</vt:lpstr>
      <vt:lpstr>calcProd1Seg3Rep1BagWeightImpactR1</vt:lpstr>
      <vt:lpstr>calcProd1Seg3Rep1BagWeightImpactR2</vt:lpstr>
      <vt:lpstr>calcProd1Seg3Rep1BagWeightR1</vt:lpstr>
      <vt:lpstr>calcProd1Seg3Rep1BagWeightR2</vt:lpstr>
      <vt:lpstr>calcProd1Seg3Rep1CapR1</vt:lpstr>
      <vt:lpstr>calcProd1Seg3Rep1CapR2</vt:lpstr>
      <vt:lpstr>calcProd1Seg3Rep1ImpactR1</vt:lpstr>
      <vt:lpstr>calcProd1Seg3Rep1ImpactR2</vt:lpstr>
      <vt:lpstr>calcProd1Seg3Rep1InternalTimeR1</vt:lpstr>
      <vt:lpstr>calcProd1Seg3Rep1InternalTimeR2</vt:lpstr>
      <vt:lpstr>calcProd1Seg3Rep1Payer1ImpactR1</vt:lpstr>
      <vt:lpstr>calcProd1Seg3Rep1Payer1ImpactR2</vt:lpstr>
      <vt:lpstr>calcProd1Seg3Rep1Payer2ImpactR1</vt:lpstr>
      <vt:lpstr>calcProd1Seg3Rep1Payer2ImpactR2</vt:lpstr>
      <vt:lpstr>calcProd1Seg3Rep1Payer3ImpactR1</vt:lpstr>
      <vt:lpstr>calcProd1Seg3Rep1Payer3ImpactR2</vt:lpstr>
      <vt:lpstr>calcProd1Seg3Rep1Products</vt:lpstr>
      <vt:lpstr>calcProd1Seg3Rep2BagWeightImpactR1</vt:lpstr>
      <vt:lpstr>calcProd1Seg3Rep2BagWeightImpactR2</vt:lpstr>
      <vt:lpstr>calcProd1Seg3Rep2BagWeightR1</vt:lpstr>
      <vt:lpstr>calcProd1Seg3Rep2BagWeightR2</vt:lpstr>
      <vt:lpstr>calcProd1Seg3Rep2CapR1</vt:lpstr>
      <vt:lpstr>calcProd1Seg3Rep2CapR2</vt:lpstr>
      <vt:lpstr>calcProd1Seg3Rep2ImpactR1</vt:lpstr>
      <vt:lpstr>calcProd1Seg3Rep2ImpactR2</vt:lpstr>
      <vt:lpstr>calcProd1Seg3Rep2InternalTimeR1</vt:lpstr>
      <vt:lpstr>calcProd1Seg3Rep2InternalTimeR2</vt:lpstr>
      <vt:lpstr>calcProd1Seg3Rep2Payer1ImpactR1</vt:lpstr>
      <vt:lpstr>calcProd1Seg3Rep2Payer1ImpactR2</vt:lpstr>
      <vt:lpstr>calcProd1Seg3Rep2Payer2ImpactR1</vt:lpstr>
      <vt:lpstr>calcProd1Seg3Rep2Payer2ImpactR2</vt:lpstr>
      <vt:lpstr>calcProd1Seg3Rep2Payer3ImpactR1</vt:lpstr>
      <vt:lpstr>calcProd1Seg3Rep2Payer3ImpactR2</vt:lpstr>
      <vt:lpstr>calcProd1Seg3Rep2Products</vt:lpstr>
      <vt:lpstr>calcProd1Seg3Rep3BagWeightImpactR1</vt:lpstr>
      <vt:lpstr>calcProd1Seg3Rep3BagWeightImpactR2</vt:lpstr>
      <vt:lpstr>calcProd1Seg3Rep3BagWeightR1</vt:lpstr>
      <vt:lpstr>calcProd1Seg3Rep3BagWeightR2</vt:lpstr>
      <vt:lpstr>calcProd1Seg3Rep3CapR1</vt:lpstr>
      <vt:lpstr>calcProd1Seg3Rep3CapR2</vt:lpstr>
      <vt:lpstr>calcProd1Seg3Rep3ImpactR1</vt:lpstr>
      <vt:lpstr>calcProd1Seg3Rep3ImpactR2</vt:lpstr>
      <vt:lpstr>calcProd1Seg3Rep3InternalTimeR1</vt:lpstr>
      <vt:lpstr>calcProd1Seg3Rep3InternalTimeR2</vt:lpstr>
      <vt:lpstr>calcProd1Seg3Rep3Payer1ImpactR1</vt:lpstr>
      <vt:lpstr>calcProd1Seg3Rep3Payer1ImpactR2</vt:lpstr>
      <vt:lpstr>calcProd1Seg3Rep3Payer2ImpactR1</vt:lpstr>
      <vt:lpstr>calcProd1Seg3Rep3Payer2ImpactR2</vt:lpstr>
      <vt:lpstr>calcProd1Seg3Rep3Payer3ImpactR1</vt:lpstr>
      <vt:lpstr>calcProd1Seg3Rep3Payer3ImpactR2</vt:lpstr>
      <vt:lpstr>calcProd1Seg3Rep3Products</vt:lpstr>
      <vt:lpstr>calcProd1Seg3RepAvgBagWeightR1</vt:lpstr>
      <vt:lpstr>calcProd1Seg3RepAvgBagWeightR2</vt:lpstr>
      <vt:lpstr>calcProd1Seg3SampleAllocR1</vt:lpstr>
      <vt:lpstr>calcProd1Seg3SampleAllocR2</vt:lpstr>
      <vt:lpstr>calcProd1Seg3ShareNewCustR1</vt:lpstr>
      <vt:lpstr>calcProd1Seg3ShareNewCustR2</vt:lpstr>
      <vt:lpstr>calcProd1Seg3ShareTotalCustR1</vt:lpstr>
      <vt:lpstr>calcProd1Seg3ShareTotalCustR2</vt:lpstr>
      <vt:lpstr>calcProd1Seg3SpeakerAllocR1</vt:lpstr>
      <vt:lpstr>calcProd1Seg3SpeakerAllocR2</vt:lpstr>
      <vt:lpstr>calcProd1Seg3TotalVolumeR1</vt:lpstr>
      <vt:lpstr>calcProd1Seg3TotalVolumeR2</vt:lpstr>
      <vt:lpstr>calcProd1Seg3VolumeTotalCustR1</vt:lpstr>
      <vt:lpstr>calcProd1Seg3VolumeTotalCustR2</vt:lpstr>
      <vt:lpstr>calcProd1ShareNewCustR1</vt:lpstr>
      <vt:lpstr>calcProd1ShareNewCustR2</vt:lpstr>
      <vt:lpstr>calcProd1ShareTotalCustR1</vt:lpstr>
      <vt:lpstr>calcProd1ShareTotalCustR2</vt:lpstr>
      <vt:lpstr>calcProd1SpeakerProportionR1</vt:lpstr>
      <vt:lpstr>calcProd1SpeakerProportionR2</vt:lpstr>
      <vt:lpstr>calcProd1TotalGrossRevenue</vt:lpstr>
      <vt:lpstr>calcProd1TotalGrossRevenueR1</vt:lpstr>
      <vt:lpstr>calcProd1TotalGrossRevenueR2</vt:lpstr>
      <vt:lpstr>calcProd1TotalNetRevenue</vt:lpstr>
      <vt:lpstr>calcProd1TotalNetRevenueR1</vt:lpstr>
      <vt:lpstr>calcProd1TotalNetRevenueR2</vt:lpstr>
      <vt:lpstr>calcProd1TotalReimbursement</vt:lpstr>
      <vt:lpstr>calcProd1TotalReimbursementR1</vt:lpstr>
      <vt:lpstr>calcProd1TotalReimbursementR2</vt:lpstr>
      <vt:lpstr>calcProd1TotalVolumeR1</vt:lpstr>
      <vt:lpstr>calcProd1TotalVolumeR2</vt:lpstr>
      <vt:lpstr>calcProd1VolumeTotalCustR1</vt:lpstr>
      <vt:lpstr>calcProd1VolumeTotalCustR2</vt:lpstr>
      <vt:lpstr>calcReg1Comp1Payer1TotalShareR1</vt:lpstr>
      <vt:lpstr>calcReg1Comp1Payer1TotalShareR2</vt:lpstr>
      <vt:lpstr>calcReg1Comp1Payer2TotalShareR1</vt:lpstr>
      <vt:lpstr>calcReg1Comp1Payer2TotalShareR2</vt:lpstr>
      <vt:lpstr>calcReg1Comp1Payer3TotalShareR1</vt:lpstr>
      <vt:lpstr>calcReg1Comp1Payer3TotalShareR2</vt:lpstr>
      <vt:lpstr>calcReg1Comp1TotalCustR1</vt:lpstr>
      <vt:lpstr>calcReg1Comp1TotalCustR2</vt:lpstr>
      <vt:lpstr>calcReg1Comp2Payer1TotalShareR1</vt:lpstr>
      <vt:lpstr>calcReg1Comp2Payer1TotalShareR2</vt:lpstr>
      <vt:lpstr>calcReg1Comp2Payer2TotalShareR1</vt:lpstr>
      <vt:lpstr>calcReg1Comp2Payer2TotalShareR2</vt:lpstr>
      <vt:lpstr>calcReg1Comp2Payer3TotalShareR1</vt:lpstr>
      <vt:lpstr>calcReg1Comp2Payer3TotalShareR2</vt:lpstr>
      <vt:lpstr>calcReg1Comp2TotalCustR1</vt:lpstr>
      <vt:lpstr>calcReg1Comp2TotalCustR2</vt:lpstr>
      <vt:lpstr>calcReg1ESAT</vt:lpstr>
      <vt:lpstr>calcReg1FTEsLeft</vt:lpstr>
      <vt:lpstr>calcReg1FTEsLeftR1</vt:lpstr>
      <vt:lpstr>calcReg1FTEsLeftR2</vt:lpstr>
      <vt:lpstr>calcReg1MarketGrowthCustR1</vt:lpstr>
      <vt:lpstr>calcReg1MarketGrowthCustR2</vt:lpstr>
      <vt:lpstr>calcReg1NewCustR1</vt:lpstr>
      <vt:lpstr>calcReg1NewCustR2</vt:lpstr>
      <vt:lpstr>calcReg1Payer1MarketGrowthCustR1</vt:lpstr>
      <vt:lpstr>calcReg1Payer1MarketGrowthCustR2</vt:lpstr>
      <vt:lpstr>calcReg1Payer1NewCustR1</vt:lpstr>
      <vt:lpstr>calcReg1Payer1NewCustR2</vt:lpstr>
      <vt:lpstr>calcReg1Payer1RecurCustR1</vt:lpstr>
      <vt:lpstr>calcReg1Payer1RecurCustR2</vt:lpstr>
      <vt:lpstr>calcReg1Payer1ShareNewCustR1</vt:lpstr>
      <vt:lpstr>calcReg1Payer1ShareNewCustR2</vt:lpstr>
      <vt:lpstr>calcReg1Payer1ShareTotalCustR1</vt:lpstr>
      <vt:lpstr>calcReg1Payer1ShareTotalCustR2</vt:lpstr>
      <vt:lpstr>calcReg1Payer1TierOrientationR1</vt:lpstr>
      <vt:lpstr>calcReg1Payer1TierOrientationR2</vt:lpstr>
      <vt:lpstr>calcReg1Payer1TotalCustR1</vt:lpstr>
      <vt:lpstr>calcReg1Payer1TotalCustR2</vt:lpstr>
      <vt:lpstr>calcReg1Payer1TotalVolumeR1</vt:lpstr>
      <vt:lpstr>calcReg1Payer1TotalVolumeR2</vt:lpstr>
      <vt:lpstr>calcReg1Payer2MarketGrowthCustR1</vt:lpstr>
      <vt:lpstr>calcReg1Payer2MarketGrowthCustR2</vt:lpstr>
      <vt:lpstr>calcReg1Payer2NewCustR1</vt:lpstr>
      <vt:lpstr>calcReg1Payer2NewCustR2</vt:lpstr>
      <vt:lpstr>calcReg1Payer2RecurCustR1</vt:lpstr>
      <vt:lpstr>calcReg1Payer2RecurCustR2</vt:lpstr>
      <vt:lpstr>calcReg1Payer2ShareNewCustR1</vt:lpstr>
      <vt:lpstr>calcReg1Payer2ShareNewCustR2</vt:lpstr>
      <vt:lpstr>calcReg1Payer2ShareTotalCustR1</vt:lpstr>
      <vt:lpstr>calcReg1Payer2ShareTotalCustR2</vt:lpstr>
      <vt:lpstr>calcReg1Payer2TierOrientationR1</vt:lpstr>
      <vt:lpstr>calcReg1Payer2TierOrientationR2</vt:lpstr>
      <vt:lpstr>calcReg1Payer2TotalCustR1</vt:lpstr>
      <vt:lpstr>calcReg1Payer2TotalCustR2</vt:lpstr>
      <vt:lpstr>calcReg1Payer2TotalVolumeR1</vt:lpstr>
      <vt:lpstr>calcReg1Payer2TotalVolumeR2</vt:lpstr>
      <vt:lpstr>calcReg1Payer3MarketGrowthCustR1</vt:lpstr>
      <vt:lpstr>calcReg1Payer3MarketGrowthCustR2</vt:lpstr>
      <vt:lpstr>calcReg1Payer3NewCustR1</vt:lpstr>
      <vt:lpstr>calcReg1Payer3NewCustR2</vt:lpstr>
      <vt:lpstr>calcReg1Payer3RecurCustR1</vt:lpstr>
      <vt:lpstr>calcReg1Payer3RecurCustR2</vt:lpstr>
      <vt:lpstr>calcReg1Payer3ShareNewCustR1</vt:lpstr>
      <vt:lpstr>calcReg1Payer3ShareNewCustR2</vt:lpstr>
      <vt:lpstr>calcReg1Payer3ShareTotalCustR1</vt:lpstr>
      <vt:lpstr>calcReg1Payer3ShareTotalCustR2</vt:lpstr>
      <vt:lpstr>calcReg1Payer3TierOrientationR1</vt:lpstr>
      <vt:lpstr>calcReg1Payer3TierOrientationR2</vt:lpstr>
      <vt:lpstr>calcReg1Payer3TotalCustR1</vt:lpstr>
      <vt:lpstr>calcReg1Payer3TotalCustR2</vt:lpstr>
      <vt:lpstr>calcReg1Payer3TotalVolumeR1</vt:lpstr>
      <vt:lpstr>calcReg1Payer3TotalVolumeR2</vt:lpstr>
      <vt:lpstr>calcReg1RecurCustR1</vt:lpstr>
      <vt:lpstr>calcReg1RecurCustR2</vt:lpstr>
      <vt:lpstr>calcReg1Seg1CoachingCostR1</vt:lpstr>
      <vt:lpstr>calcReg1Seg1CoachingCostR2</vt:lpstr>
      <vt:lpstr>calcReg1Seg1Comp1Payer1ShareLostR1</vt:lpstr>
      <vt:lpstr>calcReg1Seg1Comp1Payer1ShareLostR2</vt:lpstr>
      <vt:lpstr>calcReg1Seg1Comp1Payer1ShareWonR1</vt:lpstr>
      <vt:lpstr>calcReg1Seg1Comp1Payer1ShareWonR2</vt:lpstr>
      <vt:lpstr>calcReg1Seg1Comp1Payer1TotalCustR1</vt:lpstr>
      <vt:lpstr>calcReg1Seg1Comp1Payer1TotalCustR2</vt:lpstr>
      <vt:lpstr>calcReg1Seg1Comp1Payer1TotalShareR1</vt:lpstr>
      <vt:lpstr>calcReg1Seg1Comp1Payer1TotalShareR2</vt:lpstr>
      <vt:lpstr>calcReg1Seg1Comp1Payer2ShareLostR1</vt:lpstr>
      <vt:lpstr>calcReg1Seg1Comp1Payer2ShareLostR2</vt:lpstr>
      <vt:lpstr>calcReg1Seg1Comp1Payer2ShareWonR1</vt:lpstr>
      <vt:lpstr>calcReg1Seg1Comp1Payer2ShareWonR2</vt:lpstr>
      <vt:lpstr>calcReg1Seg1Comp1Payer2TotalCustR1</vt:lpstr>
      <vt:lpstr>calcReg1Seg1Comp1Payer2TotalCustR2</vt:lpstr>
      <vt:lpstr>calcReg1Seg1Comp1Payer2TotalShareR1</vt:lpstr>
      <vt:lpstr>calcReg1Seg1Comp1Payer2TotalShareR2</vt:lpstr>
      <vt:lpstr>calcReg1Seg1Comp1Payer3ShareLostR1</vt:lpstr>
      <vt:lpstr>calcReg1Seg1Comp1Payer3ShareLostR2</vt:lpstr>
      <vt:lpstr>calcReg1Seg1Comp1Payer3ShareWonR1</vt:lpstr>
      <vt:lpstr>calcReg1Seg1Comp1Payer3ShareWonR2</vt:lpstr>
      <vt:lpstr>calcReg1Seg1Comp1Payer3TotalCustR1</vt:lpstr>
      <vt:lpstr>calcReg1Seg1Comp1Payer3TotalCustR2</vt:lpstr>
      <vt:lpstr>calcReg1Seg1Comp1Payer3TotalShareR1</vt:lpstr>
      <vt:lpstr>calcReg1Seg1Comp1Payer3TotalShareR2</vt:lpstr>
      <vt:lpstr>calcReg1Seg1Comp1TotalCustR1</vt:lpstr>
      <vt:lpstr>calcReg1Seg1Comp1TotalCustR2</vt:lpstr>
      <vt:lpstr>calcReg1Seg1Comp1TotalShareR1</vt:lpstr>
      <vt:lpstr>calcReg1Seg1Comp1TotalShareR2</vt:lpstr>
      <vt:lpstr>calcReg1Seg1Comp2Payer1ShareLostR1</vt:lpstr>
      <vt:lpstr>calcReg1Seg1Comp2Payer1ShareLostR2</vt:lpstr>
      <vt:lpstr>calcReg1Seg1Comp2Payer1ShareWonR1</vt:lpstr>
      <vt:lpstr>calcReg1Seg1Comp2Payer1ShareWonR2</vt:lpstr>
      <vt:lpstr>calcReg1Seg1Comp2Payer1TotalCustR1</vt:lpstr>
      <vt:lpstr>calcReg1Seg1Comp2Payer1TotalCustR2</vt:lpstr>
      <vt:lpstr>calcReg1Seg1Comp2Payer1TotalShareR1</vt:lpstr>
      <vt:lpstr>calcReg1Seg1Comp2Payer1TotalShareR2</vt:lpstr>
      <vt:lpstr>calcReg1Seg1Comp2Payer2ShareLostR1</vt:lpstr>
      <vt:lpstr>calcReg1Seg1Comp2Payer2ShareLostR2</vt:lpstr>
      <vt:lpstr>calcReg1Seg1Comp2Payer2ShareWonR1</vt:lpstr>
      <vt:lpstr>calcReg1Seg1Comp2Payer2ShareWonR2</vt:lpstr>
      <vt:lpstr>calcReg1Seg1Comp2Payer2TotalCustR1</vt:lpstr>
      <vt:lpstr>calcReg1Seg1Comp2Payer2TotalCustR2</vt:lpstr>
      <vt:lpstr>calcReg1Seg1Comp2Payer2TotalShareR1</vt:lpstr>
      <vt:lpstr>calcReg1Seg1Comp2Payer2TotalShareR2</vt:lpstr>
      <vt:lpstr>calcReg1Seg1Comp2Payer3ShareLostR1</vt:lpstr>
      <vt:lpstr>calcReg1Seg1Comp2Payer3ShareLostR2</vt:lpstr>
      <vt:lpstr>calcReg1Seg1Comp2Payer3ShareWonR1</vt:lpstr>
      <vt:lpstr>calcReg1Seg1Comp2Payer3ShareWonR2</vt:lpstr>
      <vt:lpstr>calcReg1Seg1Comp2Payer3TotalCustR1</vt:lpstr>
      <vt:lpstr>calcReg1Seg1Comp2Payer3TotalCustR2</vt:lpstr>
      <vt:lpstr>calcReg1Seg1Comp2Payer3TotalShareR1</vt:lpstr>
      <vt:lpstr>calcReg1Seg1Comp2Payer3TotalShareR2</vt:lpstr>
      <vt:lpstr>calcReg1Seg1Comp2TotalCustR1</vt:lpstr>
      <vt:lpstr>calcReg1Seg1Comp2TotalCustR2</vt:lpstr>
      <vt:lpstr>calcReg1Seg1Comp2TotalShareR1</vt:lpstr>
      <vt:lpstr>calcReg1Seg1Comp2TotalShareR2</vt:lpstr>
      <vt:lpstr>calcReg1Seg1FTEsCFCollabR1</vt:lpstr>
      <vt:lpstr>calcReg1Seg1FTEsCFCollabR2</vt:lpstr>
      <vt:lpstr>calcReg1Seg1FTEsRegTrainR1</vt:lpstr>
      <vt:lpstr>calcReg1Seg1FTEsRegTrainR2</vt:lpstr>
      <vt:lpstr>calcReg1Seg1FTEsRep1R1</vt:lpstr>
      <vt:lpstr>calcReg1Seg1FTEsRep1R2</vt:lpstr>
      <vt:lpstr>calcReg1Seg1GrossRevenueR1</vt:lpstr>
      <vt:lpstr>calcReg1Seg1GrossRevenueR2</vt:lpstr>
      <vt:lpstr>calcReg1Seg1InternalCostR1</vt:lpstr>
      <vt:lpstr>calcReg1Seg1InternalCostR2</vt:lpstr>
      <vt:lpstr>calcReg1Seg1MarketGrowthCustR1</vt:lpstr>
      <vt:lpstr>calcReg1Seg1MarketGrowthCustR2</vt:lpstr>
      <vt:lpstr>calcReg1Seg1NetRevenueR1</vt:lpstr>
      <vt:lpstr>calcReg1Seg1NetRevenueR2</vt:lpstr>
      <vt:lpstr>calcReg1Seg1NewCustR1</vt:lpstr>
      <vt:lpstr>calcReg1Seg1NewCustR2</vt:lpstr>
      <vt:lpstr>calcReg1Seg1Payer1GrossRevenueR1</vt:lpstr>
      <vt:lpstr>calcReg1Seg1Payer1GrossRevenueR2</vt:lpstr>
      <vt:lpstr>calcReg1Seg1Payer1MarketGrowthCustR1</vt:lpstr>
      <vt:lpstr>calcReg1Seg1Payer1MarketGrowthCustR2</vt:lpstr>
      <vt:lpstr>calcReg1Seg1Payer1MarketRecurCustR1</vt:lpstr>
      <vt:lpstr>calcReg1Seg1Payer1MarketRecurCustR2</vt:lpstr>
      <vt:lpstr>calcReg1Seg1Payer1NetRevenueR1</vt:lpstr>
      <vt:lpstr>calcReg1Seg1Payer1NetRevenueR2</vt:lpstr>
      <vt:lpstr>calcReg1Seg1Payer1PromotionShare</vt:lpstr>
      <vt:lpstr>calcReg1Seg1Payer1PromotionShareNew</vt:lpstr>
      <vt:lpstr>calcReg1Seg1Payer1PromotionShareNewR2</vt:lpstr>
      <vt:lpstr>calcReg1Seg1Payer1PromotionShareR2</vt:lpstr>
      <vt:lpstr>calcReg1Seg1Payer1RepCapShare</vt:lpstr>
      <vt:lpstr>calcReg1Seg1Payer1RepCapShareNew</vt:lpstr>
      <vt:lpstr>calcReg1Seg1Payer1RepCapShareNewR2</vt:lpstr>
      <vt:lpstr>calcReg1Seg1Payer1RepCapShareR2</vt:lpstr>
      <vt:lpstr>calcReg1Seg1Payer1SampleShare</vt:lpstr>
      <vt:lpstr>calcReg1Seg1Payer1SampleShareNew</vt:lpstr>
      <vt:lpstr>calcReg1Seg1Payer1SampleShareNewR2</vt:lpstr>
      <vt:lpstr>calcReg1Seg1Payer1SampleShareR2</vt:lpstr>
      <vt:lpstr>calcReg1Seg1Payer1ShareNewCustR1</vt:lpstr>
      <vt:lpstr>calcReg1Seg1Payer1ShareNewCustR2</vt:lpstr>
      <vt:lpstr>calcReg1Seg1Payer1ShareRecurCustR1</vt:lpstr>
      <vt:lpstr>calcReg1Seg1Payer1ShareRecurCustR2</vt:lpstr>
      <vt:lpstr>calcReg1Seg1Payer1ShareTotalCustR1</vt:lpstr>
      <vt:lpstr>calcReg1Seg1Payer1ShareTotalCustR2</vt:lpstr>
      <vt:lpstr>calcReg1Seg1Payer1SpeakerShare</vt:lpstr>
      <vt:lpstr>calcReg1Seg1Payer1SpeakerShareNew</vt:lpstr>
      <vt:lpstr>calcReg1Seg1Payer1SpeakerShareNewR2</vt:lpstr>
      <vt:lpstr>calcReg1Seg1Payer1SpeakerShareR2</vt:lpstr>
      <vt:lpstr>calcReg1Seg1Payer1TierImpactR1</vt:lpstr>
      <vt:lpstr>calcReg1Seg1Payer1TierImpactR2</vt:lpstr>
      <vt:lpstr>calcReg1Seg1Payer1TotalShareChangeR1</vt:lpstr>
      <vt:lpstr>calcReg1Seg1Payer1TotalShareChangeR2</vt:lpstr>
      <vt:lpstr>calcReg1Seg1Payer1TotalVolumeR1</vt:lpstr>
      <vt:lpstr>calcReg1Seg1Payer1TotalVolumeR2</vt:lpstr>
      <vt:lpstr>calcReg1Seg1Payer1VolumeNewCustR1</vt:lpstr>
      <vt:lpstr>calcReg1Seg1Payer1VolumeNewCustR2</vt:lpstr>
      <vt:lpstr>calcReg1Seg1Payer1VolumeR1</vt:lpstr>
      <vt:lpstr>calcReg1Seg1Payer1VolumeR2</vt:lpstr>
      <vt:lpstr>calcReg1Seg1Payer1VolumeRecurCustR1</vt:lpstr>
      <vt:lpstr>calcReg1Seg1Payer1VolumeRecurCustR2</vt:lpstr>
      <vt:lpstr>calcReg1Seg1Payer2GrossRevenueR1</vt:lpstr>
      <vt:lpstr>calcReg1Seg1Payer2GrossRevenueR2</vt:lpstr>
      <vt:lpstr>calcReg1Seg1Payer2MarketGrowthCustR1</vt:lpstr>
      <vt:lpstr>calcReg1Seg1Payer2MarketGrowthCustR2</vt:lpstr>
      <vt:lpstr>calcReg1Seg1Payer2MarketRecurCustR1</vt:lpstr>
      <vt:lpstr>calcReg1Seg1Payer2MarketRecurCustR2</vt:lpstr>
      <vt:lpstr>calcReg1Seg1Payer2NetRevenueR1</vt:lpstr>
      <vt:lpstr>calcReg1Seg1Payer2NetRevenueR2</vt:lpstr>
      <vt:lpstr>calcReg1Seg1Payer2PromotionShare</vt:lpstr>
      <vt:lpstr>calcReg1Seg1Payer2PromotionShareNew</vt:lpstr>
      <vt:lpstr>calcReg1Seg1Payer2PromotionShareNewR2</vt:lpstr>
      <vt:lpstr>calcReg1Seg1Payer2PromotionShareR2</vt:lpstr>
      <vt:lpstr>calcReg1Seg1Payer2RepCapShare</vt:lpstr>
      <vt:lpstr>calcReg1Seg1Payer2RepCapShareNew</vt:lpstr>
      <vt:lpstr>calcReg1Seg1Payer2RepCapShareNewR2</vt:lpstr>
      <vt:lpstr>calcReg1Seg1Payer2RepCapShareR2</vt:lpstr>
      <vt:lpstr>calcReg1Seg1Payer2SampleShare</vt:lpstr>
      <vt:lpstr>calcReg1Seg1Payer2SampleShareNew</vt:lpstr>
      <vt:lpstr>calcReg1Seg1Payer2SampleShareNewR2</vt:lpstr>
      <vt:lpstr>calcReg1Seg1Payer2SampleShareR2</vt:lpstr>
      <vt:lpstr>calcReg1Seg1Payer2ShareNewCustR1</vt:lpstr>
      <vt:lpstr>calcReg1Seg1Payer2ShareNewCustR2</vt:lpstr>
      <vt:lpstr>calcReg1Seg1Payer2ShareRecurCustR1</vt:lpstr>
      <vt:lpstr>calcReg1Seg1Payer2ShareRecurCustR2</vt:lpstr>
      <vt:lpstr>calcReg1Seg1Payer2ShareTotalCustR1</vt:lpstr>
      <vt:lpstr>calcReg1Seg1Payer2ShareTotalCustR2</vt:lpstr>
      <vt:lpstr>calcReg1Seg1Payer2SpeakerShare</vt:lpstr>
      <vt:lpstr>calcReg1Seg1Payer2SpeakerShareNew</vt:lpstr>
      <vt:lpstr>calcReg1Seg1Payer2SpeakerShareNewR2</vt:lpstr>
      <vt:lpstr>calcReg1Seg1Payer2SpeakerShareR2</vt:lpstr>
      <vt:lpstr>calcReg1Seg1Payer2TierImpactR1</vt:lpstr>
      <vt:lpstr>calcReg1Seg1Payer2TierImpactR2</vt:lpstr>
      <vt:lpstr>calcReg1Seg1Payer2TotalShareChangeR1</vt:lpstr>
      <vt:lpstr>calcReg1Seg1Payer2TotalShareChangeR2</vt:lpstr>
      <vt:lpstr>calcReg1Seg1Payer2TotalVolumeR1</vt:lpstr>
      <vt:lpstr>calcReg1Seg1Payer2TotalVolumeR2</vt:lpstr>
      <vt:lpstr>calcReg1Seg1Payer2VolumeNewCustR1</vt:lpstr>
      <vt:lpstr>calcReg1Seg1Payer2VolumeNewCustR2</vt:lpstr>
      <vt:lpstr>calcReg1Seg1Payer2VolumeR1</vt:lpstr>
      <vt:lpstr>calcReg1Seg1Payer2VolumeR2</vt:lpstr>
      <vt:lpstr>calcReg1Seg1Payer2VolumeRecurCustR1</vt:lpstr>
      <vt:lpstr>calcReg1Seg1Payer2VolumeRecurCustR2</vt:lpstr>
      <vt:lpstr>calcReg1Seg1Payer3GrossRevenueR1</vt:lpstr>
      <vt:lpstr>calcReg1Seg1Payer3GrossRevenueR2</vt:lpstr>
      <vt:lpstr>calcReg1Seg1Payer3MarketGrowthCustR1</vt:lpstr>
      <vt:lpstr>calcReg1Seg1Payer3MarketGrowthCustR2</vt:lpstr>
      <vt:lpstr>calcReg1Seg1Payer3MarketRecurCustR1</vt:lpstr>
      <vt:lpstr>calcReg1Seg1Payer3MarketRecurCustR2</vt:lpstr>
      <vt:lpstr>calcReg1Seg1Payer3NetRevenueR1</vt:lpstr>
      <vt:lpstr>calcReg1Seg1Payer3NetRevenueR2</vt:lpstr>
      <vt:lpstr>calcReg1Seg1Payer3PromotionShare</vt:lpstr>
      <vt:lpstr>calcReg1Seg1Payer3PromotionShareNew</vt:lpstr>
      <vt:lpstr>calcReg1Seg1Payer3PromotionShareNewR2</vt:lpstr>
      <vt:lpstr>calcReg1Seg1Payer3PromotionShareR2</vt:lpstr>
      <vt:lpstr>calcReg1Seg1Payer3RepCapShare</vt:lpstr>
      <vt:lpstr>calcReg1Seg1Payer3RepCapShareNew</vt:lpstr>
      <vt:lpstr>calcReg1Seg1Payer3RepCapShareNewR2</vt:lpstr>
      <vt:lpstr>calcReg1Seg1Payer3RepCapShareR2</vt:lpstr>
      <vt:lpstr>calcReg1Seg1Payer3SampleShare</vt:lpstr>
      <vt:lpstr>calcReg1Seg1Payer3SampleShareNew</vt:lpstr>
      <vt:lpstr>calcReg1Seg1Payer3SampleShareNewR2</vt:lpstr>
      <vt:lpstr>calcReg1Seg1Payer3SampleShareR2</vt:lpstr>
      <vt:lpstr>calcReg1Seg1Payer3ShareNewCustR1</vt:lpstr>
      <vt:lpstr>calcReg1Seg1Payer3ShareNewCustR2</vt:lpstr>
      <vt:lpstr>calcReg1Seg1Payer3ShareRecurCustR1</vt:lpstr>
      <vt:lpstr>calcReg1Seg1Payer3ShareRecurCustR2</vt:lpstr>
      <vt:lpstr>calcReg1Seg1Payer3ShareTotalCustR1</vt:lpstr>
      <vt:lpstr>calcReg1Seg1Payer3ShareTotalCustR2</vt:lpstr>
      <vt:lpstr>calcReg1Seg1Payer3SpeakerShare</vt:lpstr>
      <vt:lpstr>calcReg1Seg1Payer3SpeakerShareNew</vt:lpstr>
      <vt:lpstr>calcReg1Seg1Payer3SpeakerShareNewR2</vt:lpstr>
      <vt:lpstr>calcReg1Seg1Payer3SpeakerShareR2</vt:lpstr>
      <vt:lpstr>calcReg1Seg1Payer3TierImpactR1</vt:lpstr>
      <vt:lpstr>calcReg1Seg1Payer3TierImpactR2</vt:lpstr>
      <vt:lpstr>calcReg1Seg1Payer3TotalShareChangeR1</vt:lpstr>
      <vt:lpstr>calcReg1Seg1Payer3TotalShareChangeR2</vt:lpstr>
      <vt:lpstr>calcReg1Seg1Payer3TotalVolumeR1</vt:lpstr>
      <vt:lpstr>calcReg1Seg1Payer3TotalVolumeR2</vt:lpstr>
      <vt:lpstr>calcReg1Seg1Payer3VolumeNewCustR1</vt:lpstr>
      <vt:lpstr>calcReg1Seg1Payer3VolumeNewCustR2</vt:lpstr>
      <vt:lpstr>calcReg1Seg1Payer3VolumeR1</vt:lpstr>
      <vt:lpstr>calcReg1Seg1Payer3VolumeR2</vt:lpstr>
      <vt:lpstr>calcReg1Seg1Payer3VolumeRecurCustR1</vt:lpstr>
      <vt:lpstr>calcReg1Seg1Payer3VolumeRecurCustR2</vt:lpstr>
      <vt:lpstr>calcReg1Seg1PromotionAllocationR1</vt:lpstr>
      <vt:lpstr>calcReg1Seg1PromotionAllocationR2</vt:lpstr>
      <vt:lpstr>calcReg1Seg1PromotionAllocR1</vt:lpstr>
      <vt:lpstr>calcReg1Seg1PromotionAllocR2</vt:lpstr>
      <vt:lpstr>calcReg1Seg1RecurCustR1</vt:lpstr>
      <vt:lpstr>calcReg1Seg1RecurCustR2</vt:lpstr>
      <vt:lpstr>calcReg1Seg1RegTrainCostR1</vt:lpstr>
      <vt:lpstr>calcReg1Seg1RegTrainCostR2</vt:lpstr>
      <vt:lpstr>calcReg1Seg1Reimbursement</vt:lpstr>
      <vt:lpstr>calcReg1Seg1ReimbursementR2</vt:lpstr>
      <vt:lpstr>calcReg1Seg1Rep1CapR1</vt:lpstr>
      <vt:lpstr>calcReg1Seg1Rep1CapR2</vt:lpstr>
      <vt:lpstr>calcReg1Seg1Rep1ImpactR1</vt:lpstr>
      <vt:lpstr>calcReg1Seg1Rep1ImpactR2</vt:lpstr>
      <vt:lpstr>calcReg1Seg1Rep1InternalTimeR1</vt:lpstr>
      <vt:lpstr>calcReg1Seg1Rep1InternalTimeR2</vt:lpstr>
      <vt:lpstr>calcReg1Seg1Rep1Payer1ImpactR1</vt:lpstr>
      <vt:lpstr>calcReg1Seg1Rep1Payer1ImpactR2</vt:lpstr>
      <vt:lpstr>calcReg1Seg1Rep1Payer2ImpactR1</vt:lpstr>
      <vt:lpstr>calcReg1Seg1Rep1Payer2ImpactR2</vt:lpstr>
      <vt:lpstr>calcReg1Seg1Rep1Payer3ImpactR1</vt:lpstr>
      <vt:lpstr>calcReg1Seg1Rep1Payer3ImpactR2</vt:lpstr>
      <vt:lpstr>calcReg1Seg1SampleAllocR1</vt:lpstr>
      <vt:lpstr>calcReg1Seg1SampleAllocR2</vt:lpstr>
      <vt:lpstr>calcReg1Seg1ShareNewCustR1</vt:lpstr>
      <vt:lpstr>calcReg1Seg1ShareNewCustR2</vt:lpstr>
      <vt:lpstr>calcReg1Seg1ShareTotalCustR1</vt:lpstr>
      <vt:lpstr>calcReg1Seg1ShareTotalCustR2</vt:lpstr>
      <vt:lpstr>calcReg1Seg1SpeakerAllocR1</vt:lpstr>
      <vt:lpstr>calcReg1Seg1SpeakerAllocR2</vt:lpstr>
      <vt:lpstr>calcReg1Seg1TotalVolumeR1</vt:lpstr>
      <vt:lpstr>calcReg1Seg1TotalVolumeR2</vt:lpstr>
      <vt:lpstr>calcReg1Seg1VolumeTotalCustR1</vt:lpstr>
      <vt:lpstr>calcReg1Seg1VolumeTotalCustR2</vt:lpstr>
      <vt:lpstr>calcReg1Seg2CoachingCostR1</vt:lpstr>
      <vt:lpstr>calcReg1Seg2CoachingCostR2</vt:lpstr>
      <vt:lpstr>calcReg1Seg2Comp1Payer1ShareLostR1</vt:lpstr>
      <vt:lpstr>calcReg1Seg2Comp1Payer1ShareLostR2</vt:lpstr>
      <vt:lpstr>calcReg1Seg2Comp1Payer1ShareWonR1</vt:lpstr>
      <vt:lpstr>calcReg1Seg2Comp1Payer1ShareWonR2</vt:lpstr>
      <vt:lpstr>calcReg1Seg2Comp1Payer1TotalCustR1</vt:lpstr>
      <vt:lpstr>calcReg1Seg2Comp1Payer1TotalCustR2</vt:lpstr>
      <vt:lpstr>calcReg1Seg2Comp1Payer1TotalShareR1</vt:lpstr>
      <vt:lpstr>calcReg1Seg2Comp1Payer1TotalShareR2</vt:lpstr>
      <vt:lpstr>calcReg1Seg2Comp1Payer2ShareLostR1</vt:lpstr>
      <vt:lpstr>calcReg1Seg2Comp1Payer2ShareLostR2</vt:lpstr>
      <vt:lpstr>calcReg1Seg2Comp1Payer2ShareWonR1</vt:lpstr>
      <vt:lpstr>calcReg1Seg2Comp1Payer2ShareWonR2</vt:lpstr>
      <vt:lpstr>calcReg1Seg2Comp1Payer2TotalCustR1</vt:lpstr>
      <vt:lpstr>calcReg1Seg2Comp1Payer2TotalCustR2</vt:lpstr>
      <vt:lpstr>calcReg1Seg2Comp1Payer2TotalShareR1</vt:lpstr>
      <vt:lpstr>calcReg1Seg2Comp1Payer2TotalShareR2</vt:lpstr>
      <vt:lpstr>calcReg1Seg2Comp1Payer3ShareLostR1</vt:lpstr>
      <vt:lpstr>calcReg1Seg2Comp1Payer3ShareLostR2</vt:lpstr>
      <vt:lpstr>calcReg1Seg2Comp1Payer3ShareWonR1</vt:lpstr>
      <vt:lpstr>calcReg1Seg2Comp1Payer3ShareWonR2</vt:lpstr>
      <vt:lpstr>calcReg1Seg2Comp1Payer3TotalCustR1</vt:lpstr>
      <vt:lpstr>calcReg1Seg2Comp1Payer3TotalCustR2</vt:lpstr>
      <vt:lpstr>calcReg1Seg2Comp1Payer3TotalShareR1</vt:lpstr>
      <vt:lpstr>calcReg1Seg2Comp1Payer3TotalShareR2</vt:lpstr>
      <vt:lpstr>calcReg1Seg2Comp1TotalCustR1</vt:lpstr>
      <vt:lpstr>calcReg1Seg2Comp1TotalCustR2</vt:lpstr>
      <vt:lpstr>calcReg1Seg2Comp1TotalShareR1</vt:lpstr>
      <vt:lpstr>calcReg1Seg2Comp1TotalShareR2</vt:lpstr>
      <vt:lpstr>calcReg1Seg2Comp2Payer1ShareLostR1</vt:lpstr>
      <vt:lpstr>calcReg1Seg2Comp2Payer1ShareLostR2</vt:lpstr>
      <vt:lpstr>calcReg1Seg2Comp2Payer1ShareWonR1</vt:lpstr>
      <vt:lpstr>calcReg1Seg2Comp2Payer1ShareWonR2</vt:lpstr>
      <vt:lpstr>calcReg1Seg2Comp2Payer1TotalCustR1</vt:lpstr>
      <vt:lpstr>calcReg1Seg2Comp2Payer1TotalCustR2</vt:lpstr>
      <vt:lpstr>calcReg1Seg2Comp2Payer1TotalShareR1</vt:lpstr>
      <vt:lpstr>calcReg1Seg2Comp2Payer1TotalShareR2</vt:lpstr>
      <vt:lpstr>calcReg1Seg2Comp2Payer2ShareLostR1</vt:lpstr>
      <vt:lpstr>calcReg1Seg2Comp2Payer2ShareLostR2</vt:lpstr>
      <vt:lpstr>calcReg1Seg2Comp2Payer2ShareWonR1</vt:lpstr>
      <vt:lpstr>calcReg1Seg2Comp2Payer2ShareWonR2</vt:lpstr>
      <vt:lpstr>calcReg1Seg2Comp2Payer2TotalCustR1</vt:lpstr>
      <vt:lpstr>calcReg1Seg2Comp2Payer2TotalCustR2</vt:lpstr>
      <vt:lpstr>calcReg1Seg2Comp2Payer2TotalShareR1</vt:lpstr>
      <vt:lpstr>calcReg1Seg2Comp2Payer2TotalShareR2</vt:lpstr>
      <vt:lpstr>calcReg1Seg2Comp2Payer3ShareLostR1</vt:lpstr>
      <vt:lpstr>calcReg1Seg2Comp2Payer3ShareLostR2</vt:lpstr>
      <vt:lpstr>calcReg1Seg2Comp2Payer3ShareWonR1</vt:lpstr>
      <vt:lpstr>calcReg1Seg2Comp2Payer3ShareWonR2</vt:lpstr>
      <vt:lpstr>calcReg1Seg2Comp2Payer3TotalCustR1</vt:lpstr>
      <vt:lpstr>calcReg1Seg2Comp2Payer3TotalCustR2</vt:lpstr>
      <vt:lpstr>calcReg1Seg2Comp2Payer3TotalShareR1</vt:lpstr>
      <vt:lpstr>calcReg1Seg2Comp2Payer3TotalShareR2</vt:lpstr>
      <vt:lpstr>calcReg1Seg2Comp2TotalCustR1</vt:lpstr>
      <vt:lpstr>calcReg1Seg2Comp2TotalCustR2</vt:lpstr>
      <vt:lpstr>calcReg1Seg2Comp2TotalShareR1</vt:lpstr>
      <vt:lpstr>calcReg1Seg2Comp2TotalShareR2</vt:lpstr>
      <vt:lpstr>calcReg1Seg2FTEsCFCollabR1</vt:lpstr>
      <vt:lpstr>calcReg1Seg2FTEsCFCollabR2</vt:lpstr>
      <vt:lpstr>calcReg1Seg2FTEsRegTrainR1</vt:lpstr>
      <vt:lpstr>calcReg1Seg2FTEsRegTrainR2</vt:lpstr>
      <vt:lpstr>calcReg1Seg2FTEsRep1R1</vt:lpstr>
      <vt:lpstr>calcReg1Seg2FTEsRep1R2</vt:lpstr>
      <vt:lpstr>calcReg1Seg2GrossRevenueR1</vt:lpstr>
      <vt:lpstr>calcReg1Seg2GrossRevenueR2</vt:lpstr>
      <vt:lpstr>calcReg1Seg2InternalCostR1</vt:lpstr>
      <vt:lpstr>calcReg1Seg2InternalCostR2</vt:lpstr>
      <vt:lpstr>calcReg1Seg2MarketGrowthCustR1</vt:lpstr>
      <vt:lpstr>calcReg1Seg2MarketGrowthCustR2</vt:lpstr>
      <vt:lpstr>calcReg1Seg2NetRevenueR1</vt:lpstr>
      <vt:lpstr>calcReg1Seg2NetRevenueR2</vt:lpstr>
      <vt:lpstr>calcReg1Seg2NewCustR1</vt:lpstr>
      <vt:lpstr>calcReg1Seg2NewCustR2</vt:lpstr>
      <vt:lpstr>calcReg1Seg2Payer1GrossRevenueR1</vt:lpstr>
      <vt:lpstr>calcReg1Seg2Payer1GrossRevenueR2</vt:lpstr>
      <vt:lpstr>calcReg1Seg2Payer1MarketGrowthCustR1</vt:lpstr>
      <vt:lpstr>calcReg1Seg2Payer1MarketGrowthCustR2</vt:lpstr>
      <vt:lpstr>calcReg1Seg2Payer1MarketRecurCustR1</vt:lpstr>
      <vt:lpstr>calcReg1Seg2Payer1MarketRecurCustR2</vt:lpstr>
      <vt:lpstr>calcReg1Seg2Payer1NetRevenueR1</vt:lpstr>
      <vt:lpstr>calcReg1Seg2Payer1NetRevenueR2</vt:lpstr>
      <vt:lpstr>calcReg1Seg2Payer1PromotionShare</vt:lpstr>
      <vt:lpstr>calcReg1Seg2Payer1PromotionShareNew</vt:lpstr>
      <vt:lpstr>calcReg1Seg2Payer1PromotionShareNewR2</vt:lpstr>
      <vt:lpstr>calcReg1Seg2Payer1PromotionShareR2</vt:lpstr>
      <vt:lpstr>calcReg1Seg2Payer1RepCapShare</vt:lpstr>
      <vt:lpstr>calcReg1Seg2Payer1RepCapShareNew</vt:lpstr>
      <vt:lpstr>calcReg1Seg2Payer1RepCapShareNewR2</vt:lpstr>
      <vt:lpstr>calcReg1Seg2Payer1RepCapShareR2</vt:lpstr>
      <vt:lpstr>calcReg1Seg2Payer1SampleShare</vt:lpstr>
      <vt:lpstr>calcReg1Seg2Payer1SampleShareNew</vt:lpstr>
      <vt:lpstr>calcReg1Seg2Payer1SampleShareNewR2</vt:lpstr>
      <vt:lpstr>calcReg1Seg2Payer1SampleShareR2</vt:lpstr>
      <vt:lpstr>calcReg1Seg2Payer1ShareNewCustR1</vt:lpstr>
      <vt:lpstr>calcReg1Seg2Payer1ShareNewCustR2</vt:lpstr>
      <vt:lpstr>calcReg1Seg2Payer1ShareRecurCustR1</vt:lpstr>
      <vt:lpstr>calcReg1Seg2Payer1ShareRecurCustR2</vt:lpstr>
      <vt:lpstr>calcReg1Seg2Payer1ShareTotalCustR1</vt:lpstr>
      <vt:lpstr>calcReg1Seg2Payer1ShareTotalCustR2</vt:lpstr>
      <vt:lpstr>calcReg1Seg2Payer1SpeakerShare</vt:lpstr>
      <vt:lpstr>calcReg1Seg2Payer1SpeakerShareNew</vt:lpstr>
      <vt:lpstr>calcReg1Seg2Payer1SpeakerShareNewR2</vt:lpstr>
      <vt:lpstr>calcReg1Seg2Payer1SpeakerShareR2</vt:lpstr>
      <vt:lpstr>calcReg1Seg2Payer1TierImpactR1</vt:lpstr>
      <vt:lpstr>calcReg1Seg2Payer1TierImpactR2</vt:lpstr>
      <vt:lpstr>calcReg1Seg2Payer1TotalShareChangeR1</vt:lpstr>
      <vt:lpstr>calcReg1Seg2Payer1TotalShareChangeR2</vt:lpstr>
      <vt:lpstr>calcReg1Seg2Payer1TotalVolumeR1</vt:lpstr>
      <vt:lpstr>calcReg1Seg2Payer1TotalVolumeR2</vt:lpstr>
      <vt:lpstr>calcReg1Seg2Payer1VolumeNewCustR1</vt:lpstr>
      <vt:lpstr>calcReg1Seg2Payer1VolumeNewCustR2</vt:lpstr>
      <vt:lpstr>calcReg1Seg2Payer1VolumeR1</vt:lpstr>
      <vt:lpstr>calcReg1Seg2Payer1VolumeR2</vt:lpstr>
      <vt:lpstr>calcReg1Seg2Payer1VolumeRecurCustR1</vt:lpstr>
      <vt:lpstr>calcReg1Seg2Payer1VolumeRecurCustR2</vt:lpstr>
      <vt:lpstr>calcReg1Seg2Payer2GrossRevenueR1</vt:lpstr>
      <vt:lpstr>calcReg1Seg2Payer2GrossRevenueR2</vt:lpstr>
      <vt:lpstr>calcReg1Seg2Payer2MarketGrowthCustR1</vt:lpstr>
      <vt:lpstr>calcReg1Seg2Payer2MarketGrowthCustR2</vt:lpstr>
      <vt:lpstr>calcReg1Seg2Payer2MarketRecurCustR1</vt:lpstr>
      <vt:lpstr>calcReg1Seg2Payer2MarketRecurCustR2</vt:lpstr>
      <vt:lpstr>calcReg1Seg2Payer2NetRevenueR1</vt:lpstr>
      <vt:lpstr>calcReg1Seg2Payer2NetRevenueR2</vt:lpstr>
      <vt:lpstr>calcReg1Seg2Payer2PromotionShare</vt:lpstr>
      <vt:lpstr>calcReg1Seg2Payer2PromotionShareNew</vt:lpstr>
      <vt:lpstr>calcReg1Seg2Payer2PromotionShareNewR2</vt:lpstr>
      <vt:lpstr>calcReg1Seg2Payer2PromotionShareR2</vt:lpstr>
      <vt:lpstr>calcReg1Seg2Payer2RepCapShare</vt:lpstr>
      <vt:lpstr>calcReg1Seg2Payer2RepCapShareNew</vt:lpstr>
      <vt:lpstr>calcReg1Seg2Payer2RepCapShareNewR2</vt:lpstr>
      <vt:lpstr>calcReg1Seg2Payer2RepCapShareR2</vt:lpstr>
      <vt:lpstr>calcReg1Seg2Payer2SampleShare</vt:lpstr>
      <vt:lpstr>calcReg1Seg2Payer2SampleShareNew</vt:lpstr>
      <vt:lpstr>calcReg1Seg2Payer2SampleShareNewR2</vt:lpstr>
      <vt:lpstr>calcReg1Seg2Payer2SampleShareR2</vt:lpstr>
      <vt:lpstr>calcReg1Seg2Payer2ShareNewCustR1</vt:lpstr>
      <vt:lpstr>calcReg1Seg2Payer2ShareNewCustR2</vt:lpstr>
      <vt:lpstr>calcReg1Seg2Payer2ShareRecurCustR1</vt:lpstr>
      <vt:lpstr>calcReg1Seg2Payer2ShareRecurCustR2</vt:lpstr>
      <vt:lpstr>calcReg1Seg2Payer2ShareTotalCustR1</vt:lpstr>
      <vt:lpstr>calcReg1Seg2Payer2ShareTotalCustR2</vt:lpstr>
      <vt:lpstr>calcReg1Seg2Payer2SpeakerShare</vt:lpstr>
      <vt:lpstr>calcReg1Seg2Payer2SpeakerShareNew</vt:lpstr>
      <vt:lpstr>calcReg1Seg2Payer2SpeakerShareNewR2</vt:lpstr>
      <vt:lpstr>calcReg1Seg2Payer2SpeakerShareR2</vt:lpstr>
      <vt:lpstr>calcReg1Seg2Payer2TierImpactR1</vt:lpstr>
      <vt:lpstr>calcReg1Seg2Payer2TierImpactR2</vt:lpstr>
      <vt:lpstr>calcReg1Seg2Payer2TotalShareChangeR1</vt:lpstr>
      <vt:lpstr>calcReg1Seg2Payer2TotalShareChangeR2</vt:lpstr>
      <vt:lpstr>calcReg1Seg2Payer2TotalVolumeR1</vt:lpstr>
      <vt:lpstr>calcReg1Seg2Payer2TotalVolumeR2</vt:lpstr>
      <vt:lpstr>calcReg1Seg2Payer2VolumeNewCustR1</vt:lpstr>
      <vt:lpstr>calcReg1Seg2Payer2VolumeNewCustR2</vt:lpstr>
      <vt:lpstr>calcReg1Seg2Payer2VolumeR1</vt:lpstr>
      <vt:lpstr>calcReg1Seg2Payer2VolumeR2</vt:lpstr>
      <vt:lpstr>calcReg1Seg2Payer2VolumeRecurCustR1</vt:lpstr>
      <vt:lpstr>calcReg1Seg2Payer2VolumeRecurCustR2</vt:lpstr>
      <vt:lpstr>calcReg1Seg2Payer3GrossRevenueR1</vt:lpstr>
      <vt:lpstr>calcReg1Seg2Payer3GrossRevenueR2</vt:lpstr>
      <vt:lpstr>calcReg1Seg2Payer3MarketGrowthCustR1</vt:lpstr>
      <vt:lpstr>calcReg1Seg2Payer3MarketGrowthCustR2</vt:lpstr>
      <vt:lpstr>calcReg1Seg2Payer3MarketRecurCustR1</vt:lpstr>
      <vt:lpstr>calcReg1Seg2Payer3MarketRecurCustR2</vt:lpstr>
      <vt:lpstr>calcReg1Seg2Payer3NetRevenueR1</vt:lpstr>
      <vt:lpstr>calcReg1Seg2Payer3NetRevenueR2</vt:lpstr>
      <vt:lpstr>calcReg1Seg2Payer3PromotionShare</vt:lpstr>
      <vt:lpstr>calcReg1Seg2Payer3PromotionShareNew</vt:lpstr>
      <vt:lpstr>calcReg1Seg2Payer3PromotionShareNewR2</vt:lpstr>
      <vt:lpstr>calcReg1Seg2Payer3PromotionShareR2</vt:lpstr>
      <vt:lpstr>calcReg1Seg2Payer3RepCapShare</vt:lpstr>
      <vt:lpstr>calcReg1Seg2Payer3RepCapShareNew</vt:lpstr>
      <vt:lpstr>calcReg1Seg2Payer3RepCapShareNewR2</vt:lpstr>
      <vt:lpstr>calcReg1Seg2Payer3RepCapShareR2</vt:lpstr>
      <vt:lpstr>calcReg1Seg2Payer3SampleShare</vt:lpstr>
      <vt:lpstr>calcReg1Seg2Payer3SampleShareNew</vt:lpstr>
      <vt:lpstr>calcReg1Seg2Payer3SampleShareNewR2</vt:lpstr>
      <vt:lpstr>calcReg1Seg2Payer3SampleShareR2</vt:lpstr>
      <vt:lpstr>calcReg1Seg2Payer3ShareNewCustR1</vt:lpstr>
      <vt:lpstr>calcReg1Seg2Payer3ShareNewCustR2</vt:lpstr>
      <vt:lpstr>calcReg1Seg2Payer3ShareRecurCustR1</vt:lpstr>
      <vt:lpstr>calcReg1Seg2Payer3ShareRecurCustR2</vt:lpstr>
      <vt:lpstr>calcReg1Seg2Payer3ShareTotalCustR1</vt:lpstr>
      <vt:lpstr>calcReg1Seg2Payer3ShareTotalCustR2</vt:lpstr>
      <vt:lpstr>calcReg1Seg2Payer3SpeakerShare</vt:lpstr>
      <vt:lpstr>calcReg1Seg2Payer3SpeakerShareNew</vt:lpstr>
      <vt:lpstr>calcReg1Seg2Payer3SpeakerShareNewR2</vt:lpstr>
      <vt:lpstr>calcReg1Seg2Payer3SpeakerShareR2</vt:lpstr>
      <vt:lpstr>calcReg1Seg2Payer3TierImpactR1</vt:lpstr>
      <vt:lpstr>calcReg1Seg2Payer3TierImpactR2</vt:lpstr>
      <vt:lpstr>calcReg1Seg2Payer3TotalShareChangeR1</vt:lpstr>
      <vt:lpstr>calcReg1Seg2Payer3TotalShareChangeR2</vt:lpstr>
      <vt:lpstr>calcReg1Seg2Payer3TotalVolumeR1</vt:lpstr>
      <vt:lpstr>calcReg1Seg2Payer3TotalVolumeR2</vt:lpstr>
      <vt:lpstr>calcReg1Seg2Payer3VolumeNewCustR1</vt:lpstr>
      <vt:lpstr>calcReg1Seg2Payer3VolumeNewCustR2</vt:lpstr>
      <vt:lpstr>calcReg1Seg2Payer3VolumeR1</vt:lpstr>
      <vt:lpstr>calcReg1Seg2Payer3VolumeR2</vt:lpstr>
      <vt:lpstr>calcReg1Seg2Payer3VolumeRecurCustR1</vt:lpstr>
      <vt:lpstr>calcReg1Seg2Payer3VolumeRecurCustR2</vt:lpstr>
      <vt:lpstr>calcReg1Seg2PromotionAllocationR1</vt:lpstr>
      <vt:lpstr>calcReg1Seg2PromotionAllocationR2</vt:lpstr>
      <vt:lpstr>calcReg1Seg2PromotionAllocR1</vt:lpstr>
      <vt:lpstr>calcReg1Seg2PromotionAllocR2</vt:lpstr>
      <vt:lpstr>calcReg1Seg2RecurCustR1</vt:lpstr>
      <vt:lpstr>calcReg1Seg2RecurCustR2</vt:lpstr>
      <vt:lpstr>calcReg1Seg2RegTrainCostR1</vt:lpstr>
      <vt:lpstr>calcReg1Seg2RegTrainCostR2</vt:lpstr>
      <vt:lpstr>calcReg1Seg2Reimbursement</vt:lpstr>
      <vt:lpstr>calcReg1Seg2ReimbursementR2</vt:lpstr>
      <vt:lpstr>calcReg1Seg2Rep1CapR1</vt:lpstr>
      <vt:lpstr>calcReg1Seg2Rep1CapR2</vt:lpstr>
      <vt:lpstr>calcReg1Seg2Rep1ImpactR1</vt:lpstr>
      <vt:lpstr>calcReg1Seg2Rep1ImpactR2</vt:lpstr>
      <vt:lpstr>calcReg1Seg2Rep1InternalTimeR1</vt:lpstr>
      <vt:lpstr>calcReg1Seg2Rep1InternalTimeR2</vt:lpstr>
      <vt:lpstr>calcReg1Seg2Rep1Payer1ImpactR1</vt:lpstr>
      <vt:lpstr>calcReg1Seg2Rep1Payer1ImpactR2</vt:lpstr>
      <vt:lpstr>calcReg1Seg2Rep1Payer2ImpactR1</vt:lpstr>
      <vt:lpstr>calcReg1Seg2Rep1Payer2ImpactR2</vt:lpstr>
      <vt:lpstr>calcReg1Seg2Rep1Payer3ImpactR1</vt:lpstr>
      <vt:lpstr>calcReg1Seg2Rep1Payer3ImpactR2</vt:lpstr>
      <vt:lpstr>calcReg1Seg2SampleAllocR1</vt:lpstr>
      <vt:lpstr>calcReg1Seg2SampleAllocR2</vt:lpstr>
      <vt:lpstr>calcReg1Seg2ShareNewCustR1</vt:lpstr>
      <vt:lpstr>calcReg1Seg2ShareNewCustR2</vt:lpstr>
      <vt:lpstr>calcReg1Seg2ShareTotalCustR1</vt:lpstr>
      <vt:lpstr>calcReg1Seg2ShareTotalCustR2</vt:lpstr>
      <vt:lpstr>calcReg1Seg2SpeakerAllocR1</vt:lpstr>
      <vt:lpstr>calcReg1Seg2SpeakerAllocR2</vt:lpstr>
      <vt:lpstr>calcReg1Seg2TotalVolumeR1</vt:lpstr>
      <vt:lpstr>calcReg1Seg2TotalVolumeR2</vt:lpstr>
      <vt:lpstr>calcReg1Seg2VolumeTotalCustR1</vt:lpstr>
      <vt:lpstr>calcReg1Seg2VolumeTotalCustR2</vt:lpstr>
      <vt:lpstr>calcReg1Seg3CoachingCostR1</vt:lpstr>
      <vt:lpstr>calcReg1Seg3CoachingCostR2</vt:lpstr>
      <vt:lpstr>calcReg1Seg3Comp1Payer1ShareLostR1</vt:lpstr>
      <vt:lpstr>calcReg1Seg3Comp1Payer1ShareLostR2</vt:lpstr>
      <vt:lpstr>calcReg1Seg3Comp1Payer1ShareWonR1</vt:lpstr>
      <vt:lpstr>calcReg1Seg3Comp1Payer1ShareWonR2</vt:lpstr>
      <vt:lpstr>calcReg1Seg3Comp1Payer1TotalCustR1</vt:lpstr>
      <vt:lpstr>calcReg1Seg3Comp1Payer1TotalCustR2</vt:lpstr>
      <vt:lpstr>calcReg1Seg3Comp1Payer1TotalShareR1</vt:lpstr>
      <vt:lpstr>calcReg1Seg3Comp1Payer1TotalShareR2</vt:lpstr>
      <vt:lpstr>calcReg1Seg3Comp1Payer2ShareLostR1</vt:lpstr>
      <vt:lpstr>calcReg1Seg3Comp1Payer2ShareLostR2</vt:lpstr>
      <vt:lpstr>calcReg1Seg3Comp1Payer2ShareWonR1</vt:lpstr>
      <vt:lpstr>calcReg1Seg3Comp1Payer2ShareWonR2</vt:lpstr>
      <vt:lpstr>calcReg1Seg3Comp1Payer2TotalCustR1</vt:lpstr>
      <vt:lpstr>calcReg1Seg3Comp1Payer2TotalCustR2</vt:lpstr>
      <vt:lpstr>calcReg1Seg3Comp1Payer2TotalShareR1</vt:lpstr>
      <vt:lpstr>calcReg1Seg3Comp1Payer2TotalShareR2</vt:lpstr>
      <vt:lpstr>calcReg1Seg3Comp1Payer3ShareLostR1</vt:lpstr>
      <vt:lpstr>calcReg1Seg3Comp1Payer3ShareLostR2</vt:lpstr>
      <vt:lpstr>calcReg1Seg3Comp1Payer3ShareWonR1</vt:lpstr>
      <vt:lpstr>calcReg1Seg3Comp1Payer3ShareWonR2</vt:lpstr>
      <vt:lpstr>calcReg1Seg3Comp1Payer3TotalCustR1</vt:lpstr>
      <vt:lpstr>calcReg1Seg3Comp1Payer3TotalCustR2</vt:lpstr>
      <vt:lpstr>calcReg1Seg3Comp1Payer3TotalShareR1</vt:lpstr>
      <vt:lpstr>calcReg1Seg3Comp1Payer3TotalShareR2</vt:lpstr>
      <vt:lpstr>calcReg1Seg3Comp1TotalCustR1</vt:lpstr>
      <vt:lpstr>calcReg1Seg3Comp1TotalCustR2</vt:lpstr>
      <vt:lpstr>calcReg1Seg3Comp1TotalShareR1</vt:lpstr>
      <vt:lpstr>calcReg1Seg3Comp1TotalShareR2</vt:lpstr>
      <vt:lpstr>calcReg1Seg3Comp2Payer1ShareLostR1</vt:lpstr>
      <vt:lpstr>calcReg1Seg3Comp2Payer1ShareLostR2</vt:lpstr>
      <vt:lpstr>calcReg1Seg3Comp2Payer1ShareWonR1</vt:lpstr>
      <vt:lpstr>calcReg1Seg3Comp2Payer1ShareWonR2</vt:lpstr>
      <vt:lpstr>calcReg1Seg3Comp2Payer1TotalCustR1</vt:lpstr>
      <vt:lpstr>calcReg1Seg3Comp2Payer1TotalCustR2</vt:lpstr>
      <vt:lpstr>calcReg1Seg3Comp2Payer1TotalShareR1</vt:lpstr>
      <vt:lpstr>calcReg1Seg3Comp2Payer1TotalShareR2</vt:lpstr>
      <vt:lpstr>calcReg1Seg3Comp2Payer2ShareLostR1</vt:lpstr>
      <vt:lpstr>calcReg1Seg3Comp2Payer2ShareLostR2</vt:lpstr>
      <vt:lpstr>calcReg1Seg3Comp2Payer2ShareWonR1</vt:lpstr>
      <vt:lpstr>calcReg1Seg3Comp2Payer2ShareWonR2</vt:lpstr>
      <vt:lpstr>calcReg1Seg3Comp2Payer2TotalCustR1</vt:lpstr>
      <vt:lpstr>calcReg1Seg3Comp2Payer2TotalCustR2</vt:lpstr>
      <vt:lpstr>calcReg1Seg3Comp2Payer2TotalShareR1</vt:lpstr>
      <vt:lpstr>calcReg1Seg3Comp2Payer2TotalShareR2</vt:lpstr>
      <vt:lpstr>calcReg1Seg3Comp2Payer3ShareLostR1</vt:lpstr>
      <vt:lpstr>calcReg1Seg3Comp2Payer3ShareLostR2</vt:lpstr>
      <vt:lpstr>calcReg1Seg3Comp2Payer3ShareWonR1</vt:lpstr>
      <vt:lpstr>calcReg1Seg3Comp2Payer3ShareWonR2</vt:lpstr>
      <vt:lpstr>calcReg1Seg3Comp2Payer3TotalCustR1</vt:lpstr>
      <vt:lpstr>calcReg1Seg3Comp2Payer3TotalCustR2</vt:lpstr>
      <vt:lpstr>calcReg1Seg3Comp2Payer3TotalShareR1</vt:lpstr>
      <vt:lpstr>calcReg1Seg3Comp2Payer3TotalShareR2</vt:lpstr>
      <vt:lpstr>calcReg1Seg3Comp2TotalCustR1</vt:lpstr>
      <vt:lpstr>calcReg1Seg3Comp2TotalCustR2</vt:lpstr>
      <vt:lpstr>calcReg1Seg3Comp2TotalShareR1</vt:lpstr>
      <vt:lpstr>calcReg1Seg3Comp2TotalShareR2</vt:lpstr>
      <vt:lpstr>calcReg1Seg3FTEsCFCollabR1</vt:lpstr>
      <vt:lpstr>calcReg1Seg3FTEsCFCollabR2</vt:lpstr>
      <vt:lpstr>calcReg1Seg3FTEsRegTrainR1</vt:lpstr>
      <vt:lpstr>calcReg1Seg3FTEsRegTrainR2</vt:lpstr>
      <vt:lpstr>calcReg1Seg3FTEsRep1R1</vt:lpstr>
      <vt:lpstr>calcReg1Seg3FTEsRep1R2</vt:lpstr>
      <vt:lpstr>calcReg1Seg3GrossRevenueR1</vt:lpstr>
      <vt:lpstr>calcReg1Seg3GrossRevenueR2</vt:lpstr>
      <vt:lpstr>calcReg1Seg3InternalCostR1</vt:lpstr>
      <vt:lpstr>calcReg1Seg3InternalCostR2</vt:lpstr>
      <vt:lpstr>calcReg1Seg3MarketGrowthCustR1</vt:lpstr>
      <vt:lpstr>calcReg1Seg3MarketGrowthCustR2</vt:lpstr>
      <vt:lpstr>calcReg1Seg3NetRevenueR1</vt:lpstr>
      <vt:lpstr>calcReg1Seg3NetRevenueR2</vt:lpstr>
      <vt:lpstr>calcReg1Seg3NewCustR1</vt:lpstr>
      <vt:lpstr>calcReg1Seg3NewCustR2</vt:lpstr>
      <vt:lpstr>calcReg1Seg3Payer1GrossRevenueR1</vt:lpstr>
      <vt:lpstr>calcReg1Seg3Payer1GrossRevenueR2</vt:lpstr>
      <vt:lpstr>calcReg1Seg3Payer1MarketGrowthCustR1</vt:lpstr>
      <vt:lpstr>calcReg1Seg3Payer1MarketGrowthCustR2</vt:lpstr>
      <vt:lpstr>calcReg1Seg3Payer1MarketRecurCustR1</vt:lpstr>
      <vt:lpstr>calcReg1Seg3Payer1MarketRecurCustR2</vt:lpstr>
      <vt:lpstr>calcReg1Seg3Payer1NetRevenueR1</vt:lpstr>
      <vt:lpstr>calcReg1Seg3Payer1NetRevenueR2</vt:lpstr>
      <vt:lpstr>calcReg1Seg3Payer1PromotionShare</vt:lpstr>
      <vt:lpstr>calcReg1Seg3Payer1PromotionShareNew</vt:lpstr>
      <vt:lpstr>calcReg1Seg3Payer1PromotionShareNewR2</vt:lpstr>
      <vt:lpstr>calcReg1Seg3Payer1PromotionShareR2</vt:lpstr>
      <vt:lpstr>calcReg1Seg3Payer1RepCapShare</vt:lpstr>
      <vt:lpstr>calcReg1Seg3Payer1RepCapShareNew</vt:lpstr>
      <vt:lpstr>calcReg1Seg3Payer1RepCapShareNewR2</vt:lpstr>
      <vt:lpstr>calcReg1Seg3Payer1RepCapShareR2</vt:lpstr>
      <vt:lpstr>calcReg1Seg3Payer1SampleShare</vt:lpstr>
      <vt:lpstr>calcReg1Seg3Payer1SampleShareNew</vt:lpstr>
      <vt:lpstr>calcReg1Seg3Payer1SampleShareNewR2</vt:lpstr>
      <vt:lpstr>calcReg1Seg3Payer1SampleShareR2</vt:lpstr>
      <vt:lpstr>calcReg1Seg3Payer1ShareNewCustR1</vt:lpstr>
      <vt:lpstr>calcReg1Seg3Payer1ShareNewCustR2</vt:lpstr>
      <vt:lpstr>calcReg1Seg3Payer1ShareRecurCustR1</vt:lpstr>
      <vt:lpstr>calcReg1Seg3Payer1ShareRecurCustR2</vt:lpstr>
      <vt:lpstr>calcReg1Seg3Payer1ShareTotalCustR1</vt:lpstr>
      <vt:lpstr>calcReg1Seg3Payer1ShareTotalCustR2</vt:lpstr>
      <vt:lpstr>calcReg1Seg3Payer1SpeakerShare</vt:lpstr>
      <vt:lpstr>calcReg1Seg3Payer1SpeakerShareNew</vt:lpstr>
      <vt:lpstr>calcReg1Seg3Payer1SpeakerShareNewR2</vt:lpstr>
      <vt:lpstr>calcReg1Seg3Payer1SpeakerShareR2</vt:lpstr>
      <vt:lpstr>calcReg1Seg3Payer1TierImpactR1</vt:lpstr>
      <vt:lpstr>calcReg1Seg3Payer1TierImpactR2</vt:lpstr>
      <vt:lpstr>calcReg1Seg3Payer1TotalShareChangeR1</vt:lpstr>
      <vt:lpstr>calcReg1Seg3Payer1TotalShareChangeR2</vt:lpstr>
      <vt:lpstr>calcReg1Seg3Payer1TotalVolumeR1</vt:lpstr>
      <vt:lpstr>calcReg1Seg3Payer1TotalVolumeR2</vt:lpstr>
      <vt:lpstr>calcReg1Seg3Payer1VolumeNewCustR1</vt:lpstr>
      <vt:lpstr>calcReg1Seg3Payer1VolumeNewCustR2</vt:lpstr>
      <vt:lpstr>calcReg1Seg3Payer1VolumeR1</vt:lpstr>
      <vt:lpstr>calcReg1Seg3Payer1VolumeR2</vt:lpstr>
      <vt:lpstr>calcReg1Seg3Payer1VolumeRecurCustR1</vt:lpstr>
      <vt:lpstr>calcReg1Seg3Payer1VolumeRecurCustR2</vt:lpstr>
      <vt:lpstr>calcReg1Seg3Payer2GrossRevenueR1</vt:lpstr>
      <vt:lpstr>calcReg1Seg3Payer2GrossRevenueR2</vt:lpstr>
      <vt:lpstr>calcReg1Seg3Payer2MarketGrowthCustR1</vt:lpstr>
      <vt:lpstr>calcReg1Seg3Payer2MarketGrowthCustR2</vt:lpstr>
      <vt:lpstr>calcReg1Seg3Payer2MarketRecurCustR1</vt:lpstr>
      <vt:lpstr>calcReg1Seg3Payer2MarketRecurCustR2</vt:lpstr>
      <vt:lpstr>calcReg1Seg3Payer2NetRevenueR1</vt:lpstr>
      <vt:lpstr>calcReg1Seg3Payer2NetRevenueR2</vt:lpstr>
      <vt:lpstr>calcReg1Seg3Payer2PromotionShare</vt:lpstr>
      <vt:lpstr>calcReg1Seg3Payer2PromotionShareNew</vt:lpstr>
      <vt:lpstr>calcReg1Seg3Payer2PromotionShareNewR2</vt:lpstr>
      <vt:lpstr>calcReg1Seg3Payer2PromotionShareR2</vt:lpstr>
      <vt:lpstr>calcReg1Seg3Payer2RepCapShare</vt:lpstr>
      <vt:lpstr>calcReg1Seg3Payer2RepCapShareNew</vt:lpstr>
      <vt:lpstr>calcReg1Seg3Payer2RepCapShareNewR2</vt:lpstr>
      <vt:lpstr>calcReg1Seg3Payer2RepCapShareR2</vt:lpstr>
      <vt:lpstr>calcReg1Seg3Payer2SampleShare</vt:lpstr>
      <vt:lpstr>calcReg1Seg3Payer2SampleShareNew</vt:lpstr>
      <vt:lpstr>calcReg1Seg3Payer2SampleShareNewR2</vt:lpstr>
      <vt:lpstr>calcReg1Seg3Payer2SampleShareR2</vt:lpstr>
      <vt:lpstr>calcReg1Seg3Payer2ShareNewCustR1</vt:lpstr>
      <vt:lpstr>calcReg1Seg3Payer2ShareNewCustR2</vt:lpstr>
      <vt:lpstr>calcReg1Seg3Payer2ShareRecurCustR1</vt:lpstr>
      <vt:lpstr>calcReg1Seg3Payer2ShareRecurCustR2</vt:lpstr>
      <vt:lpstr>calcReg1Seg3Payer2ShareTotalCustR1</vt:lpstr>
      <vt:lpstr>calcReg1Seg3Payer2ShareTotalCustR2</vt:lpstr>
      <vt:lpstr>calcReg1Seg3Payer2SpeakerShare</vt:lpstr>
      <vt:lpstr>calcReg1Seg3Payer2SpeakerShareNew</vt:lpstr>
      <vt:lpstr>calcReg1Seg3Payer2SpeakerShareNewR2</vt:lpstr>
      <vt:lpstr>calcReg1Seg3Payer2SpeakerShareR2</vt:lpstr>
      <vt:lpstr>calcReg1Seg3Payer2TierImpactR1</vt:lpstr>
      <vt:lpstr>calcReg1Seg3Payer2TierImpactR2</vt:lpstr>
      <vt:lpstr>calcReg1Seg3Payer2TotalShareChangeR1</vt:lpstr>
      <vt:lpstr>calcReg1Seg3Payer2TotalShareChangeR2</vt:lpstr>
      <vt:lpstr>calcReg1Seg3Payer2TotalVolumeR1</vt:lpstr>
      <vt:lpstr>calcReg1Seg3Payer2TotalVolumeR2</vt:lpstr>
      <vt:lpstr>calcReg1Seg3Payer2VolumeNewCustR1</vt:lpstr>
      <vt:lpstr>calcReg1Seg3Payer2VolumeNewCustR2</vt:lpstr>
      <vt:lpstr>calcReg1Seg3Payer2VolumeR1</vt:lpstr>
      <vt:lpstr>calcReg1Seg3Payer2VolumeR2</vt:lpstr>
      <vt:lpstr>calcReg1Seg3Payer2VolumeRecurCustR1</vt:lpstr>
      <vt:lpstr>calcReg1Seg3Payer2VolumeRecurCustR2</vt:lpstr>
      <vt:lpstr>calcReg1Seg3Payer3GrossRevenueR1</vt:lpstr>
      <vt:lpstr>calcReg1Seg3Payer3GrossRevenueR2</vt:lpstr>
      <vt:lpstr>calcReg1Seg3Payer3MarketGrowthCustR1</vt:lpstr>
      <vt:lpstr>calcReg1Seg3Payer3MarketGrowthCustR2</vt:lpstr>
      <vt:lpstr>calcReg1Seg3Payer3MarketRecurCustR1</vt:lpstr>
      <vt:lpstr>calcReg1Seg3Payer3MarketRecurCustR2</vt:lpstr>
      <vt:lpstr>calcReg1Seg3Payer3NetRevenueR1</vt:lpstr>
      <vt:lpstr>calcReg1Seg3Payer3NetRevenueR2</vt:lpstr>
      <vt:lpstr>calcReg1Seg3Payer3PromotionShare</vt:lpstr>
      <vt:lpstr>calcReg1Seg3Payer3PromotionShareNew</vt:lpstr>
      <vt:lpstr>calcReg1Seg3Payer3PromotionShareNewR2</vt:lpstr>
      <vt:lpstr>calcReg1Seg3Payer3PromotionShareR2</vt:lpstr>
      <vt:lpstr>calcReg1Seg3Payer3RepCapShare</vt:lpstr>
      <vt:lpstr>calcReg1Seg3Payer3RepCapShareNew</vt:lpstr>
      <vt:lpstr>calcReg1Seg3Payer3RepCapShareNewR2</vt:lpstr>
      <vt:lpstr>calcReg1Seg3Payer3RepCapShareR2</vt:lpstr>
      <vt:lpstr>calcReg1Seg3Payer3SampleShare</vt:lpstr>
      <vt:lpstr>calcReg1Seg3Payer3SampleShareNew</vt:lpstr>
      <vt:lpstr>calcReg1Seg3Payer3SampleShareNewR2</vt:lpstr>
      <vt:lpstr>calcReg1Seg3Payer3SampleShareR2</vt:lpstr>
      <vt:lpstr>calcReg1Seg3Payer3ShareNewCustR1</vt:lpstr>
      <vt:lpstr>calcReg1Seg3Payer3ShareNewCustR2</vt:lpstr>
      <vt:lpstr>calcReg1Seg3Payer3ShareRecurCustR1</vt:lpstr>
      <vt:lpstr>calcReg1Seg3Payer3ShareRecurCustR2</vt:lpstr>
      <vt:lpstr>calcReg1Seg3Payer3ShareTotalCustR1</vt:lpstr>
      <vt:lpstr>calcReg1Seg3Payer3ShareTotalCustR2</vt:lpstr>
      <vt:lpstr>calcReg1Seg3Payer3SpeakerShare</vt:lpstr>
      <vt:lpstr>calcReg1Seg3Payer3SpeakerShareNew</vt:lpstr>
      <vt:lpstr>calcReg1Seg3Payer3SpeakerShareNewR2</vt:lpstr>
      <vt:lpstr>calcReg1Seg3Payer3SpeakerShareR2</vt:lpstr>
      <vt:lpstr>calcReg1Seg3Payer3TierImpactR1</vt:lpstr>
      <vt:lpstr>calcReg1Seg3Payer3TierImpactR2</vt:lpstr>
      <vt:lpstr>calcReg1Seg3Payer3TotalShareChangeR1</vt:lpstr>
      <vt:lpstr>calcReg1Seg3Payer3TotalShareChangeR2</vt:lpstr>
      <vt:lpstr>calcReg1Seg3Payer3TotalVolumeR1</vt:lpstr>
      <vt:lpstr>calcReg1Seg3Payer3TotalVolumeR2</vt:lpstr>
      <vt:lpstr>calcReg1Seg3Payer3VolumeNewCustR1</vt:lpstr>
      <vt:lpstr>calcReg1Seg3Payer3VolumeNewCustR2</vt:lpstr>
      <vt:lpstr>calcReg1Seg3Payer3VolumeR1</vt:lpstr>
      <vt:lpstr>calcReg1Seg3Payer3VolumeR2</vt:lpstr>
      <vt:lpstr>calcReg1Seg3Payer3VolumeRecurCustR1</vt:lpstr>
      <vt:lpstr>calcReg1Seg3Payer3VolumeRecurCustR2</vt:lpstr>
      <vt:lpstr>calcReg1Seg3PromotionAllocationR1</vt:lpstr>
      <vt:lpstr>calcReg1Seg3PromotionAllocationR2</vt:lpstr>
      <vt:lpstr>calcReg1Seg3PromotionAllocR1</vt:lpstr>
      <vt:lpstr>calcReg1Seg3PromotionAllocR2</vt:lpstr>
      <vt:lpstr>calcReg1Seg3RecurCustR1</vt:lpstr>
      <vt:lpstr>calcReg1Seg3RecurCustR2</vt:lpstr>
      <vt:lpstr>calcReg1Seg3RegTrainCostR1</vt:lpstr>
      <vt:lpstr>calcReg1Seg3RegTrainCostR2</vt:lpstr>
      <vt:lpstr>calcReg1Seg3Reimbursement</vt:lpstr>
      <vt:lpstr>calcReg1Seg3ReimbursementR2</vt:lpstr>
      <vt:lpstr>calcReg1Seg3Rep1CapR1</vt:lpstr>
      <vt:lpstr>calcReg1Seg3Rep1CapR2</vt:lpstr>
      <vt:lpstr>calcReg1Seg3Rep1ImpactR1</vt:lpstr>
      <vt:lpstr>calcReg1Seg3Rep1ImpactR2</vt:lpstr>
      <vt:lpstr>calcReg1Seg3Rep1InternalTimeR1</vt:lpstr>
      <vt:lpstr>calcReg1Seg3Rep1InternalTimeR2</vt:lpstr>
      <vt:lpstr>calcReg1Seg3Rep1Payer1ImpactR1</vt:lpstr>
      <vt:lpstr>calcReg1Seg3Rep1Payer1ImpactR2</vt:lpstr>
      <vt:lpstr>calcReg1Seg3Rep1Payer2ImpactR1</vt:lpstr>
      <vt:lpstr>calcReg1Seg3Rep1Payer2ImpactR2</vt:lpstr>
      <vt:lpstr>calcReg1Seg3Rep1Payer3ImpactR1</vt:lpstr>
      <vt:lpstr>calcReg1Seg3Rep1Payer3ImpactR2</vt:lpstr>
      <vt:lpstr>calcReg1Seg3SampleAllocR1</vt:lpstr>
      <vt:lpstr>calcReg1Seg3SampleAllocR2</vt:lpstr>
      <vt:lpstr>calcReg1Seg3ShareNewCustR1</vt:lpstr>
      <vt:lpstr>calcReg1Seg3ShareNewCustR2</vt:lpstr>
      <vt:lpstr>calcReg1Seg3ShareTotalCustR1</vt:lpstr>
      <vt:lpstr>calcReg1Seg3ShareTotalCustR2</vt:lpstr>
      <vt:lpstr>calcReg1Seg3SpeakerAllocR1</vt:lpstr>
      <vt:lpstr>calcReg1Seg3SpeakerAllocR2</vt:lpstr>
      <vt:lpstr>calcReg1Seg3TotalVolumeR1</vt:lpstr>
      <vt:lpstr>calcReg1Seg3TotalVolumeR2</vt:lpstr>
      <vt:lpstr>calcReg1Seg3VolumeTotalCustR1</vt:lpstr>
      <vt:lpstr>calcReg1Seg3VolumeTotalCustR2</vt:lpstr>
      <vt:lpstr>calcReg1ShareNewCustR1</vt:lpstr>
      <vt:lpstr>calcReg1ShareNewCustR2</vt:lpstr>
      <vt:lpstr>calcReg1ShareTotalCustR1</vt:lpstr>
      <vt:lpstr>calcReg1ShareTotalCustR2</vt:lpstr>
      <vt:lpstr>calcReg1SpeakerProportionR1</vt:lpstr>
      <vt:lpstr>calcReg1SpeakerProportionR2</vt:lpstr>
      <vt:lpstr>calcReg1TotalGrossRevenueR1</vt:lpstr>
      <vt:lpstr>calcReg1TotalGrossRevenueR2</vt:lpstr>
      <vt:lpstr>calcReg1TotalNetRevenueR1</vt:lpstr>
      <vt:lpstr>calcReg1TotalNetRevenueR2</vt:lpstr>
      <vt:lpstr>calcReg1TotalReimbursementR1</vt:lpstr>
      <vt:lpstr>calcReg1TotalReimbursementR2</vt:lpstr>
      <vt:lpstr>calcReg1TotalVolumeR1</vt:lpstr>
      <vt:lpstr>calcReg1TotalVolumeR2</vt:lpstr>
      <vt:lpstr>calcReg1VolumeTotalCustR1</vt:lpstr>
      <vt:lpstr>calcReg1VolumeTotalCustR2</vt:lpstr>
      <vt:lpstr>calcRg1ShareNewCustR1</vt:lpstr>
      <vt:lpstr>cbal_Paste</vt:lpstr>
      <vt:lpstr>cbalESATProd1</vt:lpstr>
      <vt:lpstr>cbalESATReg1</vt:lpstr>
      <vt:lpstr>cbalESATReg2</vt:lpstr>
      <vt:lpstr>cbalInputProd1Seg1Therapy1Rep1Weight_R1</vt:lpstr>
      <vt:lpstr>cbalInputProd1Seg1Therapy1Rep1Weight_R2</vt:lpstr>
      <vt:lpstr>cbalInputProd1Seg1Therapy1Rep2Weight_R1</vt:lpstr>
      <vt:lpstr>cbalInputProd1Seg1Therapy1Rep2Weight_R2</vt:lpstr>
      <vt:lpstr>cbalInputProd1Seg1Therapy1Rep3Weight_R1</vt:lpstr>
      <vt:lpstr>cbalInputProd1Seg1Therapy1Rep3Weight_R2</vt:lpstr>
      <vt:lpstr>cbalInputProd1Seg1Therapy1RepAWeight_R1</vt:lpstr>
      <vt:lpstr>cbalInputProd1Seg1Therapy1RepAWeight_R2</vt:lpstr>
      <vt:lpstr>cbalInputProd1Seg1Therapy1RepBWeight_R1</vt:lpstr>
      <vt:lpstr>cbalInputProd1Seg1Therapy1RepBWeight_R2</vt:lpstr>
      <vt:lpstr>cbalInputProd1Seg1Therapy1RepCWeight_R1</vt:lpstr>
      <vt:lpstr>cbalInputProd1Seg1Therapy1RepCWeight_R2</vt:lpstr>
      <vt:lpstr>cbalInputProd1Seg2Therapy1Rep1Weight_R1</vt:lpstr>
      <vt:lpstr>cbalInputProd1Seg2Therapy1Rep1Weight_R2</vt:lpstr>
      <vt:lpstr>cbalInputProd1Seg2Therapy1Rep2Weight_R1</vt:lpstr>
      <vt:lpstr>cbalInputProd1Seg2Therapy1Rep2Weight_R2</vt:lpstr>
      <vt:lpstr>cbalInputProd1Seg2Therapy1Rep3Weight_R1</vt:lpstr>
      <vt:lpstr>cbalInputProd1Seg2Therapy1Rep3Weight_R2</vt:lpstr>
      <vt:lpstr>cbalInputProd1Seg2Therapy1RepAWeight_R1</vt:lpstr>
      <vt:lpstr>cbalInputProd1Seg2Therapy1RepAWeight_R2</vt:lpstr>
      <vt:lpstr>cbalInputProd1Seg2Therapy1RepBWeight_R1</vt:lpstr>
      <vt:lpstr>cbalInputProd1Seg2Therapy1RepBWeight_R2</vt:lpstr>
      <vt:lpstr>cbalInputProd1Seg2Therapy1RepCWeight_R1</vt:lpstr>
      <vt:lpstr>cbalInputProd1Seg2Therapy1RepCWeight_R2</vt:lpstr>
      <vt:lpstr>cbalInputProd1Seg3Therapy1Rep1Weight_R1</vt:lpstr>
      <vt:lpstr>cbalInputProd1Seg3Therapy1Rep1Weight_R2</vt:lpstr>
      <vt:lpstr>cbalInputProd1Seg3Therapy1Rep2Weight_R1</vt:lpstr>
      <vt:lpstr>cbalInputProd1Seg3Therapy1Rep2Weight_R2</vt:lpstr>
      <vt:lpstr>cbalInputProd1Seg3Therapy1Rep3Weight_R1</vt:lpstr>
      <vt:lpstr>cbalInputProd1Seg3Therapy1Rep3Weight_R2</vt:lpstr>
      <vt:lpstr>cbalInputProd1Seg3Therapy1RepAWeight_R1</vt:lpstr>
      <vt:lpstr>cbalInputProd1Seg3Therapy1RepAWeight_R2</vt:lpstr>
      <vt:lpstr>cbalInputProd1Seg3Therapy1RepBWeight_R1</vt:lpstr>
      <vt:lpstr>cbalInputProd1Seg3Therapy1RepBWeight_R2</vt:lpstr>
      <vt:lpstr>cbalInputProd1Seg3Therapy1RepCWeight_R1</vt:lpstr>
      <vt:lpstr>cbalInputProd1Seg3Therapy1RepCWeight_R2</vt:lpstr>
      <vt:lpstr>cbalOpEffProd1</vt:lpstr>
      <vt:lpstr>cbalOpEffReg1</vt:lpstr>
      <vt:lpstr>cbalProd1BudgetLeft</vt:lpstr>
      <vt:lpstr>cbalProd1BudgetLeftR2</vt:lpstr>
      <vt:lpstr>cbalProd1Comp1NewShare</vt:lpstr>
      <vt:lpstr>cbalProd1Comp1Payer1Share</vt:lpstr>
      <vt:lpstr>cbalProd1Comp1Payer1Status</vt:lpstr>
      <vt:lpstr>cbalProd1Comp1Payer2Share</vt:lpstr>
      <vt:lpstr>cbalProd1Comp1Payer2Status</vt:lpstr>
      <vt:lpstr>cbalProd1Comp1Payer3Share</vt:lpstr>
      <vt:lpstr>cbalProd1Comp1Payer3Status</vt:lpstr>
      <vt:lpstr>cbalProd1Comp1TotalShare</vt:lpstr>
      <vt:lpstr>cbalProd1Comp2NewShare</vt:lpstr>
      <vt:lpstr>cbalProd1Comp2Payer1Share</vt:lpstr>
      <vt:lpstr>cbalProd1Comp2Payer1Status</vt:lpstr>
      <vt:lpstr>cbalProd1Comp2Payer2Share</vt:lpstr>
      <vt:lpstr>cbalProd1Comp2Payer2Status</vt:lpstr>
      <vt:lpstr>cbalProd1Comp2Payer3Share</vt:lpstr>
      <vt:lpstr>cbalProd1Comp2Payer3Status</vt:lpstr>
      <vt:lpstr>cbalProd1Comp2TotalShare</vt:lpstr>
      <vt:lpstr>cbalProd1FTEsLeft</vt:lpstr>
      <vt:lpstr>cbalProd1NewShare</vt:lpstr>
      <vt:lpstr>cbalProd1NewVolume</vt:lpstr>
      <vt:lpstr>cbalProd1Payer1Share</vt:lpstr>
      <vt:lpstr>cbalProd1Payer1Status</vt:lpstr>
      <vt:lpstr>cbalProd1Payer1TotalVolume</vt:lpstr>
      <vt:lpstr>cbalProd1Payer1Volume</vt:lpstr>
      <vt:lpstr>cbalProd1Payer2Share</vt:lpstr>
      <vt:lpstr>cbalProd1Payer2Status</vt:lpstr>
      <vt:lpstr>cbalProd1Payer2TotalVolume</vt:lpstr>
      <vt:lpstr>cbalProd1Payer2Volume</vt:lpstr>
      <vt:lpstr>cbalProd1Payer3Share</vt:lpstr>
      <vt:lpstr>cbalProd1Payer3Status</vt:lpstr>
      <vt:lpstr>cbalProd1Payer3TotalVolume</vt:lpstr>
      <vt:lpstr>cbalProd1Payer3Volume</vt:lpstr>
      <vt:lpstr>cbalProd1SampleBudgetLeft</vt:lpstr>
      <vt:lpstr>cbalProd1SampleBudgetLeftR2</vt:lpstr>
      <vt:lpstr>cbalProd1Seg1Comp1NewShare</vt:lpstr>
      <vt:lpstr>cbalProd1Seg1Comp1Payer1Share</vt:lpstr>
      <vt:lpstr>cbalProd1Seg1Comp1Payer2Share</vt:lpstr>
      <vt:lpstr>cbalProd1Seg1Comp1Payer3Share</vt:lpstr>
      <vt:lpstr>cbalProd1Seg1Comp1TotalShare</vt:lpstr>
      <vt:lpstr>cbalProd1Seg1Comp2NewShare</vt:lpstr>
      <vt:lpstr>cbalProd1Seg1Comp2Payer1Share</vt:lpstr>
      <vt:lpstr>cbalProd1Seg1Comp2Payer2Share</vt:lpstr>
      <vt:lpstr>cbalProd1Seg1Comp2Payer3Share</vt:lpstr>
      <vt:lpstr>cbalProd1Seg1Comp2TotalShare</vt:lpstr>
      <vt:lpstr>cbalProd1Seg1NewShare</vt:lpstr>
      <vt:lpstr>cbalProd1Seg1NewVolume</vt:lpstr>
      <vt:lpstr>cbalProd1Seg1Payer1Share</vt:lpstr>
      <vt:lpstr>cbalProd1Seg1Payer1TotalVolume</vt:lpstr>
      <vt:lpstr>cbalProd1Seg1Payer1Volume</vt:lpstr>
      <vt:lpstr>cbalProd1Seg1Payer2Share</vt:lpstr>
      <vt:lpstr>cbalProd1Seg1Payer2TotalVolume</vt:lpstr>
      <vt:lpstr>cbalProd1Seg1Payer2Volume</vt:lpstr>
      <vt:lpstr>cbalProd1Seg1Payer3Share</vt:lpstr>
      <vt:lpstr>cbalProd1Seg1Payer3TotalVolume</vt:lpstr>
      <vt:lpstr>cbalProd1Seg1Payer3Volume</vt:lpstr>
      <vt:lpstr>cbalProd1Seg1PromotionAlloc</vt:lpstr>
      <vt:lpstr>cbalProd1Seg1PromotionAllocation</vt:lpstr>
      <vt:lpstr>cbalProd1Seg1Rep1Cap</vt:lpstr>
      <vt:lpstr>cbalProd1Seg1Rep1InternalTime</vt:lpstr>
      <vt:lpstr>cbalProd1Seg1Rep2Cap</vt:lpstr>
      <vt:lpstr>cbalProd1Seg1Rep2InternalTime</vt:lpstr>
      <vt:lpstr>cbalProd1Seg1Rep3Cap</vt:lpstr>
      <vt:lpstr>cbalProd1Seg1Rep3InternalTime</vt:lpstr>
      <vt:lpstr>cbalProd1Seg1SampleAlloc</vt:lpstr>
      <vt:lpstr>cbalProd1Seg1SpeakerAlloc</vt:lpstr>
      <vt:lpstr>cbalProd1Seg1TotalMarketVolume</vt:lpstr>
      <vt:lpstr>cbalProd1Seg1TotalPromotionAllocation</vt:lpstr>
      <vt:lpstr>cbalProd1Seg1TotalShare</vt:lpstr>
      <vt:lpstr>cbalProd1Seg1TotalVolume</vt:lpstr>
      <vt:lpstr>cbalProd1Seg2Comp1NewShare</vt:lpstr>
      <vt:lpstr>cbalProd1Seg2Comp1Payer1Share</vt:lpstr>
      <vt:lpstr>cbalProd1Seg2Comp1Payer2Share</vt:lpstr>
      <vt:lpstr>cbalProd1Seg2Comp1Payer3Share</vt:lpstr>
      <vt:lpstr>cbalProd1Seg2Comp1TotalShare</vt:lpstr>
      <vt:lpstr>cbalProd1Seg2Comp2NewShare</vt:lpstr>
      <vt:lpstr>cbalProd1Seg2Comp2Payer1Share</vt:lpstr>
      <vt:lpstr>cbalProd1Seg2Comp2Payer2Share</vt:lpstr>
      <vt:lpstr>cbalProd1Seg2Comp2Payer3Share</vt:lpstr>
      <vt:lpstr>cbalProd1Seg2Comp2TotalShare</vt:lpstr>
      <vt:lpstr>cbalProd1Seg2NewShare</vt:lpstr>
      <vt:lpstr>cbalProd1Seg2NewVolume</vt:lpstr>
      <vt:lpstr>cbalProd1Seg2Payer1Share</vt:lpstr>
      <vt:lpstr>cbalProd1Seg2Payer1TotalVolume</vt:lpstr>
      <vt:lpstr>cbalProd1Seg2Payer1Volume</vt:lpstr>
      <vt:lpstr>cbalProd1Seg2Payer2Share</vt:lpstr>
      <vt:lpstr>cbalProd1Seg2Payer2TotalVolume</vt:lpstr>
      <vt:lpstr>cbalProd1Seg2Payer2Volume</vt:lpstr>
      <vt:lpstr>cbalProd1Seg2Payer3Share</vt:lpstr>
      <vt:lpstr>cbalProd1Seg2Payer3TotalVolume</vt:lpstr>
      <vt:lpstr>cbalProd1Seg2Payer3Volume</vt:lpstr>
      <vt:lpstr>cbalProd1Seg2PromotionAlloc</vt:lpstr>
      <vt:lpstr>cbalProd1Seg2PromotionAllocation</vt:lpstr>
      <vt:lpstr>cbalProd1Seg2Rep1Cap</vt:lpstr>
      <vt:lpstr>cbalProd1Seg2Rep1InternalTime</vt:lpstr>
      <vt:lpstr>cbalProd1Seg2Rep2Cap</vt:lpstr>
      <vt:lpstr>cbalProd1Seg2Rep2InternalTime</vt:lpstr>
      <vt:lpstr>cbalProd1Seg2Rep3Cap</vt:lpstr>
      <vt:lpstr>cbalProd1Seg2Rep3InternalTime</vt:lpstr>
      <vt:lpstr>cbalProd1Seg2SampleAlloc</vt:lpstr>
      <vt:lpstr>cbalProd1Seg2SpeakerAlloc</vt:lpstr>
      <vt:lpstr>cbalProd1Seg2TotalMarketVolume</vt:lpstr>
      <vt:lpstr>cbalProd1Seg2TotalPromotionAllocation</vt:lpstr>
      <vt:lpstr>cbalProd1Seg2TotalShare</vt:lpstr>
      <vt:lpstr>cbalProd1Seg2TotalVolume</vt:lpstr>
      <vt:lpstr>cbalProd1Seg3Comp1NewShare</vt:lpstr>
      <vt:lpstr>cbalProd1Seg3Comp1Payer1Share</vt:lpstr>
      <vt:lpstr>cbalProd1Seg3Comp1Payer2Share</vt:lpstr>
      <vt:lpstr>cbalProd1Seg3Comp1Payer3Share</vt:lpstr>
      <vt:lpstr>cbalProd1Seg3Comp1TotalShare</vt:lpstr>
      <vt:lpstr>cbalProd1Seg3Comp2NewShare</vt:lpstr>
      <vt:lpstr>cbalProd1Seg3Comp2Payer1Share</vt:lpstr>
      <vt:lpstr>cbalProd1Seg3Comp2Payer2Share</vt:lpstr>
      <vt:lpstr>cbalProd1Seg3Comp2Payer3Share</vt:lpstr>
      <vt:lpstr>cbalProd1Seg3Comp2TotalShare</vt:lpstr>
      <vt:lpstr>cbalProd1Seg3NewShare</vt:lpstr>
      <vt:lpstr>cbalProd1Seg3NewVolume</vt:lpstr>
      <vt:lpstr>cbalProd1Seg3Payer1Share</vt:lpstr>
      <vt:lpstr>cbalProd1Seg3Payer1TotalVolume</vt:lpstr>
      <vt:lpstr>cbalProd1Seg3Payer1Volume</vt:lpstr>
      <vt:lpstr>cbalProd1Seg3Payer2Share</vt:lpstr>
      <vt:lpstr>cbalProd1Seg3Payer2TotalVolume</vt:lpstr>
      <vt:lpstr>cbalProd1Seg3Payer2Volume</vt:lpstr>
      <vt:lpstr>cbalProd1Seg3Payer3Share</vt:lpstr>
      <vt:lpstr>cbalProd1Seg3Payer3TotalVolume</vt:lpstr>
      <vt:lpstr>cbalProd1Seg3Payer3Volume</vt:lpstr>
      <vt:lpstr>cbalProd1Seg3PromotionAlloc</vt:lpstr>
      <vt:lpstr>cbalProd1Seg3PromotionAllocation</vt:lpstr>
      <vt:lpstr>cbalProd1Seg3Rep1Cap</vt:lpstr>
      <vt:lpstr>cbalProd1Seg3Rep1InternalTime</vt:lpstr>
      <vt:lpstr>cbalProd1Seg3Rep2Cap</vt:lpstr>
      <vt:lpstr>cbalProd1Seg3Rep2InternalTime</vt:lpstr>
      <vt:lpstr>cbalProd1Seg3Rep3Cap</vt:lpstr>
      <vt:lpstr>cbalProd1Seg3Rep3InternalTime</vt:lpstr>
      <vt:lpstr>cbalProd1Seg3SampleAlloc</vt:lpstr>
      <vt:lpstr>cbalProd1Seg3SpeakerAlloc</vt:lpstr>
      <vt:lpstr>cbalProd1Seg3TotalMarketVolume</vt:lpstr>
      <vt:lpstr>cbalProd1Seg3TotalPromotionAllocation</vt:lpstr>
      <vt:lpstr>cbalProd1Seg3TotalShare</vt:lpstr>
      <vt:lpstr>cbalProd1Seg3TotalVolume</vt:lpstr>
      <vt:lpstr>cbalProd1TotalMarketVolume</vt:lpstr>
      <vt:lpstr>cbalProd1TotalShare</vt:lpstr>
      <vt:lpstr>cbalProd1TotalVolume</vt:lpstr>
      <vt:lpstr>cbalReg1BudgetLeft</vt:lpstr>
      <vt:lpstr>cbalReg1BudgetLeftR2</vt:lpstr>
      <vt:lpstr>cbalReg1Comp1NewShare</vt:lpstr>
      <vt:lpstr>cbalReg1Comp1Payer1Share</vt:lpstr>
      <vt:lpstr>cbalReg1Comp1Payer1Status</vt:lpstr>
      <vt:lpstr>cbalReg1Comp1Payer2Share</vt:lpstr>
      <vt:lpstr>cbalReg1Comp1Payer2Status</vt:lpstr>
      <vt:lpstr>cbalReg1Comp1Payer3Share</vt:lpstr>
      <vt:lpstr>cbalReg1Comp1Payer3Status</vt:lpstr>
      <vt:lpstr>cbalReg1Comp1TotalShare</vt:lpstr>
      <vt:lpstr>cbalReg1Comp2NewShare</vt:lpstr>
      <vt:lpstr>cbalReg1Comp2Payer1Share</vt:lpstr>
      <vt:lpstr>cbalReg1Comp2Payer1Status</vt:lpstr>
      <vt:lpstr>cbalReg1Comp2Payer2Share</vt:lpstr>
      <vt:lpstr>cbalReg1Comp2Payer2Status</vt:lpstr>
      <vt:lpstr>cbalReg1Comp2Payer3Share</vt:lpstr>
      <vt:lpstr>cbalReg1Comp2Payer3Status</vt:lpstr>
      <vt:lpstr>cbalReg1Comp2TotalShare</vt:lpstr>
      <vt:lpstr>cbalReg1FTEsLeft</vt:lpstr>
      <vt:lpstr>cbalReg1NewShare</vt:lpstr>
      <vt:lpstr>cbalReg1NewVolume</vt:lpstr>
      <vt:lpstr>cbalReg1Payer1Share</vt:lpstr>
      <vt:lpstr>cbalReg1Payer1Status</vt:lpstr>
      <vt:lpstr>cbalReg1Payer1TotalVolume</vt:lpstr>
      <vt:lpstr>cbalReg1Payer1Volume</vt:lpstr>
      <vt:lpstr>cbalReg1Payer2Share</vt:lpstr>
      <vt:lpstr>cbalReg1Payer2Status</vt:lpstr>
      <vt:lpstr>cbalReg1Payer2TotalVolume</vt:lpstr>
      <vt:lpstr>cbalReg1Payer2Volume</vt:lpstr>
      <vt:lpstr>cbalReg1Payer3Share</vt:lpstr>
      <vt:lpstr>cbalReg1Payer3Status</vt:lpstr>
      <vt:lpstr>cbalReg1Payer3TotalVolume</vt:lpstr>
      <vt:lpstr>cbalReg1Payer3Volume</vt:lpstr>
      <vt:lpstr>cbalReg1SampleBudgetLeft</vt:lpstr>
      <vt:lpstr>cbalReg1SampleBudgetLeftR2</vt:lpstr>
      <vt:lpstr>cbalReg1Seg1Comp1NewShare</vt:lpstr>
      <vt:lpstr>cbalReg1Seg1Comp1Payer1Share</vt:lpstr>
      <vt:lpstr>cbalReg1Seg1Comp1Payer2Share</vt:lpstr>
      <vt:lpstr>cbalReg1Seg1Comp1Payer3Share</vt:lpstr>
      <vt:lpstr>cbalReg1Seg1Comp1TotalShare</vt:lpstr>
      <vt:lpstr>cbalReg1Seg1Comp2NewShare</vt:lpstr>
      <vt:lpstr>cbalReg1Seg1Comp2Payer1Share</vt:lpstr>
      <vt:lpstr>cbalReg1Seg1Comp2Payer2Share</vt:lpstr>
      <vt:lpstr>cbalReg1Seg1Comp2Payer3Share</vt:lpstr>
      <vt:lpstr>cbalReg1Seg1Comp2TotalShare</vt:lpstr>
      <vt:lpstr>cbalReg1Seg1NewShare</vt:lpstr>
      <vt:lpstr>cbalReg1Seg1NewVolume</vt:lpstr>
      <vt:lpstr>cbalReg1Seg1Payer1Share</vt:lpstr>
      <vt:lpstr>cbalReg1Seg1Payer1TotalVolume</vt:lpstr>
      <vt:lpstr>cbalReg1Seg1Payer1Volume</vt:lpstr>
      <vt:lpstr>cbalReg1Seg1Payer2Share</vt:lpstr>
      <vt:lpstr>cbalReg1Seg1Payer2TotalVolume</vt:lpstr>
      <vt:lpstr>cbalReg1Seg1Payer2Volume</vt:lpstr>
      <vt:lpstr>cbalReg1Seg1Payer3Share</vt:lpstr>
      <vt:lpstr>cbalReg1Seg1Payer3TotalVolume</vt:lpstr>
      <vt:lpstr>cbalReg1Seg1Payer3Volume</vt:lpstr>
      <vt:lpstr>cbalReg1Seg1PromotionAlloc</vt:lpstr>
      <vt:lpstr>cbalReg1Seg1PromotionAllocation</vt:lpstr>
      <vt:lpstr>cbalReg1Seg1Rep1Cap</vt:lpstr>
      <vt:lpstr>cbalReg1Seg1RepInternalTime</vt:lpstr>
      <vt:lpstr>cbalReg1Seg1SampleAlloc</vt:lpstr>
      <vt:lpstr>cbalReg1Seg1SpeakerAlloc</vt:lpstr>
      <vt:lpstr>cbalReg1Seg1TotalMarketVolume</vt:lpstr>
      <vt:lpstr>cbalReg1Seg1TotalPromotionAllocation</vt:lpstr>
      <vt:lpstr>cbalReg1Seg1TotalShare</vt:lpstr>
      <vt:lpstr>cbalReg1Seg1TotalVolume</vt:lpstr>
      <vt:lpstr>cbalReg1Seg2Comp1NewShare</vt:lpstr>
      <vt:lpstr>cbalReg1Seg2Comp1Payer1Share</vt:lpstr>
      <vt:lpstr>cbalReg1Seg2Comp1Payer2Share</vt:lpstr>
      <vt:lpstr>cbalReg1Seg2Comp1Payer3Share</vt:lpstr>
      <vt:lpstr>cbalReg1Seg2Comp1TotalShare</vt:lpstr>
      <vt:lpstr>cbalReg1Seg2Comp2NewShare</vt:lpstr>
      <vt:lpstr>cbalReg1Seg2Comp2Payer1Share</vt:lpstr>
      <vt:lpstr>cbalReg1Seg2Comp2Payer2Share</vt:lpstr>
      <vt:lpstr>cbalReg1Seg2Comp2Payer3Share</vt:lpstr>
      <vt:lpstr>cbalReg1Seg2Comp2TotalShare</vt:lpstr>
      <vt:lpstr>cbalReg1Seg2NewShare</vt:lpstr>
      <vt:lpstr>cbalReg1Seg2NewVolume</vt:lpstr>
      <vt:lpstr>cbalReg1Seg2Payer1Share</vt:lpstr>
      <vt:lpstr>cbalReg1Seg2Payer1TotalVolume</vt:lpstr>
      <vt:lpstr>cbalReg1Seg2Payer1Volume</vt:lpstr>
      <vt:lpstr>cbalReg1Seg2Payer2Share</vt:lpstr>
      <vt:lpstr>cbalReg1Seg2Payer2TotalVolume</vt:lpstr>
      <vt:lpstr>cbalReg1Seg2Payer2Volume</vt:lpstr>
      <vt:lpstr>cbalReg1Seg2Payer3Share</vt:lpstr>
      <vt:lpstr>cbalReg1Seg2Payer3TotalVolume</vt:lpstr>
      <vt:lpstr>cbalReg1Seg2Payer3Volume</vt:lpstr>
      <vt:lpstr>cbalReg1Seg2PromotionAlloc</vt:lpstr>
      <vt:lpstr>cbalReg1Seg2PromotionAllocation</vt:lpstr>
      <vt:lpstr>cbalReg1Seg2Rep1Cap</vt:lpstr>
      <vt:lpstr>cbalReg1Seg2RepInternalTime</vt:lpstr>
      <vt:lpstr>cbalReg1Seg2SampleAlloc</vt:lpstr>
      <vt:lpstr>cbalReg1Seg2SpeakerAlloc</vt:lpstr>
      <vt:lpstr>cbalReg1Seg2TotalMarketVolume</vt:lpstr>
      <vt:lpstr>cbalReg1Seg2TotalPromotionAllocation</vt:lpstr>
      <vt:lpstr>cbalReg1Seg2TotalShare</vt:lpstr>
      <vt:lpstr>cbalReg1Seg2TotalVolume</vt:lpstr>
      <vt:lpstr>cbalReg1Seg3Comp1NewShare</vt:lpstr>
      <vt:lpstr>cbalReg1Seg3Comp1Payer1Share</vt:lpstr>
      <vt:lpstr>cbalReg1Seg3Comp1Payer2Share</vt:lpstr>
      <vt:lpstr>cbalReg1Seg3Comp1Payer3Share</vt:lpstr>
      <vt:lpstr>cbalReg1Seg3Comp1TotalShare</vt:lpstr>
      <vt:lpstr>cbalReg1Seg3Comp2NewShare</vt:lpstr>
      <vt:lpstr>cbalReg1Seg3Comp2Payer1Share</vt:lpstr>
      <vt:lpstr>cbalReg1Seg3Comp2Payer2Share</vt:lpstr>
      <vt:lpstr>cbalReg1Seg3Comp2Payer3Share</vt:lpstr>
      <vt:lpstr>cbalReg1Seg3Comp2TotalShare</vt:lpstr>
      <vt:lpstr>cbalReg1Seg3NewShare</vt:lpstr>
      <vt:lpstr>cbalReg1Seg3NewVolume</vt:lpstr>
      <vt:lpstr>cbalReg1Seg3Payer1Share</vt:lpstr>
      <vt:lpstr>cbalReg1Seg3Payer1TotalVolume</vt:lpstr>
      <vt:lpstr>cbalReg1Seg3Payer1Volume</vt:lpstr>
      <vt:lpstr>cbalReg1Seg3Payer2Share</vt:lpstr>
      <vt:lpstr>cbalReg1Seg3Payer2TotalVolume</vt:lpstr>
      <vt:lpstr>cbalReg1Seg3Payer2Volume</vt:lpstr>
      <vt:lpstr>cbalReg1Seg3Payer3Share</vt:lpstr>
      <vt:lpstr>cbalReg1Seg3Payer3TotalVolume</vt:lpstr>
      <vt:lpstr>cbalReg1Seg3Payer3Volume</vt:lpstr>
      <vt:lpstr>cbalReg1Seg3PromotionAlloc</vt:lpstr>
      <vt:lpstr>cbalReg1Seg3PromotionAllocation</vt:lpstr>
      <vt:lpstr>cbalReg1Seg3Rep1Cap</vt:lpstr>
      <vt:lpstr>cbalReg1Seg3RepInternalTime</vt:lpstr>
      <vt:lpstr>cbalReg1Seg3SampleAlloc</vt:lpstr>
      <vt:lpstr>cbalReg1Seg3SpeakerAlloc</vt:lpstr>
      <vt:lpstr>cbalReg1Seg3TotalMarketVolume</vt:lpstr>
      <vt:lpstr>cbalReg1Seg3TotalPromotionAllocation</vt:lpstr>
      <vt:lpstr>cbalReg1Seg3TotalShare</vt:lpstr>
      <vt:lpstr>cbalReg1Seg3TotalVolume</vt:lpstr>
      <vt:lpstr>cbalReg1TotalMarketVolume</vt:lpstr>
      <vt:lpstr>cbalReg1TotalShare</vt:lpstr>
      <vt:lpstr>cbalReg1TotalVolume</vt:lpstr>
      <vt:lpstr>ClearDecisionsColDelete</vt:lpstr>
      <vt:lpstr>ClearDecisionsLabelsPaste</vt:lpstr>
      <vt:lpstr>ClearDecisionsReset</vt:lpstr>
      <vt:lpstr>ClearDecisionsResetValuesTool</vt:lpstr>
      <vt:lpstr>ClearDecisionsSheetsDelete</vt:lpstr>
      <vt:lpstr>cnstComma</vt:lpstr>
      <vt:lpstr>cnstDoubleQuote</vt:lpstr>
      <vt:lpstr>cnstMillion</vt:lpstr>
      <vt:lpstr>cnstSingleQuote</vt:lpstr>
      <vt:lpstr>core_FilePrefix</vt:lpstr>
      <vt:lpstr>dataCFFTEs</vt:lpstr>
      <vt:lpstr>dataCoachingFTEs</vt:lpstr>
      <vt:lpstr>dataCoachingFTEsReg1</vt:lpstr>
      <vt:lpstr>dataComp1Impact</vt:lpstr>
      <vt:lpstr>dataComp2Impact</vt:lpstr>
      <vt:lpstr>dataPayer2Tier</vt:lpstr>
      <vt:lpstr>dataPayerTier</vt:lpstr>
      <vt:lpstr>dataPricingImpactTier1</vt:lpstr>
      <vt:lpstr>dataPricingImpactTier2</vt:lpstr>
      <vt:lpstr>dataPricingImpactTier3</vt:lpstr>
      <vt:lpstr>dataProd1ActualShare</vt:lpstr>
      <vt:lpstr>dataProd1BudgetR2RolePlay</vt:lpstr>
      <vt:lpstr>dataProd1BudgetR2RPOptions</vt:lpstr>
      <vt:lpstr>dataProd1CoachingCost</vt:lpstr>
      <vt:lpstr>dataProd1Comp1ActualShare</vt:lpstr>
      <vt:lpstr>dataProd1Comp1Payer1TotalShare</vt:lpstr>
      <vt:lpstr>dataProd1Comp1Payer2TotalShare</vt:lpstr>
      <vt:lpstr>dataProd1Comp1Payer3TotalShare</vt:lpstr>
      <vt:lpstr>dataProd1Comp1TotalShare</vt:lpstr>
      <vt:lpstr>dataProd1Comp2ActualShare</vt:lpstr>
      <vt:lpstr>dataProd1Comp2Payer1TotalShare</vt:lpstr>
      <vt:lpstr>dataProd1Comp2Payer2TotalShare</vt:lpstr>
      <vt:lpstr>dataProd1Comp2Payer3TotalShare</vt:lpstr>
      <vt:lpstr>dataProd1Comp2TotalShare</vt:lpstr>
      <vt:lpstr>dataProd1Growth</vt:lpstr>
      <vt:lpstr>dataProd1NewVolume</vt:lpstr>
      <vt:lpstr>dataProd1Payer1NewVolume</vt:lpstr>
      <vt:lpstr>dataProd1Payer1TotalShare</vt:lpstr>
      <vt:lpstr>dataProd1Payer1TotalVolume</vt:lpstr>
      <vt:lpstr>dataProd1Payer2NewVolume</vt:lpstr>
      <vt:lpstr>dataProd1Payer2TotalShare</vt:lpstr>
      <vt:lpstr>dataProd1Payer2TotalVolume</vt:lpstr>
      <vt:lpstr>dataProd1Payer3NewVolume</vt:lpstr>
      <vt:lpstr>dataProd1Payer3TotalShare</vt:lpstr>
      <vt:lpstr>dataProd1Payer3TotalVolume</vt:lpstr>
      <vt:lpstr>dataProd1RegTrainCost</vt:lpstr>
      <vt:lpstr>dataProd1Seg1ActualShare</vt:lpstr>
      <vt:lpstr>dataProd1Seg1Comp1ActualShare</vt:lpstr>
      <vt:lpstr>dataProd1Seg1Comp1NewCust</vt:lpstr>
      <vt:lpstr>dataProd1Seg1Comp1Payer1Percentage</vt:lpstr>
      <vt:lpstr>dataProd1Seg1Comp1Payer1TotalShare</vt:lpstr>
      <vt:lpstr>dataProd1Seg1Comp1Payer1Volume</vt:lpstr>
      <vt:lpstr>dataProd1Seg1Comp1Payer2Percentage</vt:lpstr>
      <vt:lpstr>dataProd1Seg1Comp1Payer2TotalShare</vt:lpstr>
      <vt:lpstr>dataProd1Seg1Comp1Payer2Volume</vt:lpstr>
      <vt:lpstr>dataProd1Seg1Comp1Payer3Percentage</vt:lpstr>
      <vt:lpstr>dataProd1Seg1Comp1Payer3TotalShare</vt:lpstr>
      <vt:lpstr>dataProd1Seg1Comp1Payer3Volume</vt:lpstr>
      <vt:lpstr>dataProd1Seg1Comp1RecurCust</vt:lpstr>
      <vt:lpstr>dataProd1Seg1Comp1TotalShare</vt:lpstr>
      <vt:lpstr>dataProd1Seg1Comp1TotalVolume</vt:lpstr>
      <vt:lpstr>dataProd1Seg1Comp2ActualShare</vt:lpstr>
      <vt:lpstr>dataProd1Seg1Comp2NewCust</vt:lpstr>
      <vt:lpstr>dataProd1Seg1Comp2Payer1Percentage</vt:lpstr>
      <vt:lpstr>dataProd1Seg1Comp2Payer1TotalShare</vt:lpstr>
      <vt:lpstr>dataProd1Seg1Comp2Payer1Volume</vt:lpstr>
      <vt:lpstr>dataProd1Seg1Comp2Payer2Percentage</vt:lpstr>
      <vt:lpstr>dataProd1Seg1Comp2Payer2TotalShare</vt:lpstr>
      <vt:lpstr>dataProd1Seg1Comp2Payer2Volume</vt:lpstr>
      <vt:lpstr>dataProd1Seg1Comp2Payer3Percentage</vt:lpstr>
      <vt:lpstr>dataProd1Seg1Comp2Payer3TotalShare</vt:lpstr>
      <vt:lpstr>dataProd1Seg1Comp2Payer3Volume</vt:lpstr>
      <vt:lpstr>dataProd1Seg1Comp2RecurCust</vt:lpstr>
      <vt:lpstr>dataProd1Seg1Comp2TotalShare</vt:lpstr>
      <vt:lpstr>dataProd1Seg1Comp2TotalVolume</vt:lpstr>
      <vt:lpstr>dataProd1Seg1NewCust</vt:lpstr>
      <vt:lpstr>dataProd1Seg1NewCustGrowth</vt:lpstr>
      <vt:lpstr>dataProd1Seg1Payer1GrossRevenue</vt:lpstr>
      <vt:lpstr>dataProd1Seg1Payer1GrowthCust</vt:lpstr>
      <vt:lpstr>dataProd1Seg1Payer1NetRevenue</vt:lpstr>
      <vt:lpstr>dataProd1Seg1Payer1NewVolPerc</vt:lpstr>
      <vt:lpstr>dataProd1Seg1Payer1NewVolume</vt:lpstr>
      <vt:lpstr>dataProd1Seg1Payer1Percentage</vt:lpstr>
      <vt:lpstr>dataProd1Seg1Payer1RecurCust</vt:lpstr>
      <vt:lpstr>dataProd1Seg1Payer1Reimbursement</vt:lpstr>
      <vt:lpstr>dataProd1Seg1Payer1TotalShare</vt:lpstr>
      <vt:lpstr>dataProd1Seg1Payer1TotalVolPerc</vt:lpstr>
      <vt:lpstr>dataProd1Seg1Payer1TotalVolume</vt:lpstr>
      <vt:lpstr>dataProd1Seg1Payer1Volume</vt:lpstr>
      <vt:lpstr>dataProd1Seg1Payer2GrossRevenue</vt:lpstr>
      <vt:lpstr>dataProd1Seg1Payer2GrowthCust</vt:lpstr>
      <vt:lpstr>dataProd1Seg1Payer2NetRevenue</vt:lpstr>
      <vt:lpstr>dataProd1Seg1Payer2NewVolPerc</vt:lpstr>
      <vt:lpstr>dataProd1Seg1Payer2NewVolume</vt:lpstr>
      <vt:lpstr>dataProd1Seg1Payer2Percentage</vt:lpstr>
      <vt:lpstr>dataProd1Seg1Payer2RecurCust</vt:lpstr>
      <vt:lpstr>dataProd1Seg1Payer2Reimbursement</vt:lpstr>
      <vt:lpstr>dataProd1Seg1Payer2TotalShare</vt:lpstr>
      <vt:lpstr>dataProd1Seg1Payer2TotalVolPerc</vt:lpstr>
      <vt:lpstr>dataProd1Seg1Payer2TotalVolume</vt:lpstr>
      <vt:lpstr>dataProd1Seg1Payer2Volume</vt:lpstr>
      <vt:lpstr>dataProd1Seg1Payer3GrossRevenue</vt:lpstr>
      <vt:lpstr>dataProd1Seg1Payer3GrowthCust</vt:lpstr>
      <vt:lpstr>dataProd1Seg1Payer3NetRevenue</vt:lpstr>
      <vt:lpstr>dataProd1Seg1Payer3NewVolPerc</vt:lpstr>
      <vt:lpstr>dataProd1Seg1Payer3NewVolume</vt:lpstr>
      <vt:lpstr>dataProd1Seg1Payer3Percentage</vt:lpstr>
      <vt:lpstr>dataProd1Seg1Payer3RecurCust</vt:lpstr>
      <vt:lpstr>dataProd1Seg1Payer3Reimbursement</vt:lpstr>
      <vt:lpstr>dataProd1Seg1Payer3TotalShare</vt:lpstr>
      <vt:lpstr>dataProd1Seg1Payer3TotalVolPerc</vt:lpstr>
      <vt:lpstr>dataProd1Seg1Payer3TotalVolume</vt:lpstr>
      <vt:lpstr>dataProd1Seg1Payer3Volume</vt:lpstr>
      <vt:lpstr>dataProd1Seg1PopGrowth</vt:lpstr>
      <vt:lpstr>dataProd1Seg1PopPerc</vt:lpstr>
      <vt:lpstr>dataProd1Seg1RecurCust</vt:lpstr>
      <vt:lpstr>dataProd1Seg1RecurRate</vt:lpstr>
      <vt:lpstr>dataProd1Seg1TotalMarket</vt:lpstr>
      <vt:lpstr>dataProd1Seg1TotalNewCust</vt:lpstr>
      <vt:lpstr>dataProd1Seg1TotalPop</vt:lpstr>
      <vt:lpstr>dataProd1Seg1TotalRecurCust</vt:lpstr>
      <vt:lpstr>dataProd1Seg1TotalShare</vt:lpstr>
      <vt:lpstr>dataProd1Seg1TotalVolume</vt:lpstr>
      <vt:lpstr>dataProd1Seg2ActualShare</vt:lpstr>
      <vt:lpstr>dataProd1Seg2Comp1ActualShare</vt:lpstr>
      <vt:lpstr>dataProd1Seg2Comp1NewCust</vt:lpstr>
      <vt:lpstr>dataProd1Seg2Comp1Payer1Percentage</vt:lpstr>
      <vt:lpstr>dataProd1Seg2Comp1Payer1TotalShare</vt:lpstr>
      <vt:lpstr>dataProd1Seg2Comp1Payer1Volume</vt:lpstr>
      <vt:lpstr>dataProd1Seg2Comp1Payer2Percentage</vt:lpstr>
      <vt:lpstr>dataProd1Seg2Comp1Payer2TotalShare</vt:lpstr>
      <vt:lpstr>dataProd1Seg2Comp1Payer2Volume</vt:lpstr>
      <vt:lpstr>dataProd1Seg2Comp1Payer3Percentage</vt:lpstr>
      <vt:lpstr>dataProd1Seg2Comp1Payer3TotalShare</vt:lpstr>
      <vt:lpstr>dataProd1Seg2Comp1Payer3Volume</vt:lpstr>
      <vt:lpstr>dataProd1Seg2Comp1RecurCust</vt:lpstr>
      <vt:lpstr>dataProd1Seg2Comp1TotalShare</vt:lpstr>
      <vt:lpstr>dataProd1Seg2Comp1TotalVolume</vt:lpstr>
      <vt:lpstr>dataProd1Seg2Comp2ActualShare</vt:lpstr>
      <vt:lpstr>dataProd1Seg2Comp2NewCust</vt:lpstr>
      <vt:lpstr>dataProd1Seg2Comp2Payer1Percentage</vt:lpstr>
      <vt:lpstr>dataProd1Seg2Comp2Payer1TotalShare</vt:lpstr>
      <vt:lpstr>dataProd1Seg2Comp2Payer1Volume</vt:lpstr>
      <vt:lpstr>dataProd1Seg2Comp2Payer2Percentage</vt:lpstr>
      <vt:lpstr>dataProd1Seg2Comp2Payer2TotalShare</vt:lpstr>
      <vt:lpstr>dataProd1Seg2Comp2Payer2Volume</vt:lpstr>
      <vt:lpstr>dataProd1Seg2Comp2Payer3Percentage</vt:lpstr>
      <vt:lpstr>dataProd1Seg2Comp2Payer3TotalShare</vt:lpstr>
      <vt:lpstr>dataProd1Seg2Comp2Payer3Volume</vt:lpstr>
      <vt:lpstr>dataProd1Seg2Comp2RecurCust</vt:lpstr>
      <vt:lpstr>dataProd1Seg2Comp2TotalShare</vt:lpstr>
      <vt:lpstr>dataProd1Seg2Comp2TotalVolume</vt:lpstr>
      <vt:lpstr>dataProd1Seg2NewCust</vt:lpstr>
      <vt:lpstr>dataProd1Seg2NewCustGrowth</vt:lpstr>
      <vt:lpstr>dataProd1Seg2Payer1GrossRevenue</vt:lpstr>
      <vt:lpstr>dataProd1Seg2Payer1GrowthCust</vt:lpstr>
      <vt:lpstr>dataProd1Seg2Payer1NetRevenue</vt:lpstr>
      <vt:lpstr>dataProd1Seg2Payer1NewVolPerc</vt:lpstr>
      <vt:lpstr>dataProd1Seg2Payer1NewVolume</vt:lpstr>
      <vt:lpstr>dataProd1Seg2Payer1Percentage</vt:lpstr>
      <vt:lpstr>dataProd1Seg2Payer1RecurCust</vt:lpstr>
      <vt:lpstr>dataProd1Seg2Payer1Reimbursement</vt:lpstr>
      <vt:lpstr>dataProd1Seg2Payer1TotalShare</vt:lpstr>
      <vt:lpstr>dataProd1Seg2Payer1TotalVolPerc</vt:lpstr>
      <vt:lpstr>dataProd1Seg2Payer1TotalVolume</vt:lpstr>
      <vt:lpstr>dataProd1Seg2Payer1Volume</vt:lpstr>
      <vt:lpstr>dataProd1Seg2Payer2GrossRevenue</vt:lpstr>
      <vt:lpstr>dataProd1Seg2Payer2GrowthCust</vt:lpstr>
      <vt:lpstr>dataProd1Seg2Payer2NetRevenue</vt:lpstr>
      <vt:lpstr>dataProd1Seg2Payer2NewVolPerc</vt:lpstr>
      <vt:lpstr>dataProd1Seg2Payer2NewVolume</vt:lpstr>
      <vt:lpstr>dataProd1Seg2Payer2Percentage</vt:lpstr>
      <vt:lpstr>dataProd1Seg2Payer2RecurCust</vt:lpstr>
      <vt:lpstr>dataProd1Seg2Payer2Reimbursement</vt:lpstr>
      <vt:lpstr>dataProd1Seg2Payer2TotalShare</vt:lpstr>
      <vt:lpstr>dataProd1Seg2Payer2TotalVolPerc</vt:lpstr>
      <vt:lpstr>dataProd1Seg2Payer2TotalVolume</vt:lpstr>
      <vt:lpstr>dataProd1Seg2Payer2Volume</vt:lpstr>
      <vt:lpstr>dataProd1Seg2Payer3GrossRevenue</vt:lpstr>
      <vt:lpstr>dataProd1Seg2Payer3GrowthCust</vt:lpstr>
      <vt:lpstr>dataProd1Seg2Payer3NetRevenue</vt:lpstr>
      <vt:lpstr>dataProd1Seg2Payer3NewVolPerc</vt:lpstr>
      <vt:lpstr>dataProd1Seg2Payer3NewVolume</vt:lpstr>
      <vt:lpstr>dataProd1Seg2Payer3Percentage</vt:lpstr>
      <vt:lpstr>dataProd1Seg2Payer3RecurCust</vt:lpstr>
      <vt:lpstr>dataProd1Seg2Payer3Reimbursement</vt:lpstr>
      <vt:lpstr>dataProd1Seg2Payer3TotalShare</vt:lpstr>
      <vt:lpstr>dataProd1Seg2Payer3TotalVolPerc</vt:lpstr>
      <vt:lpstr>dataProd1Seg2Payer3TotalVolume</vt:lpstr>
      <vt:lpstr>dataProd1Seg2Payer3Volume</vt:lpstr>
      <vt:lpstr>dataProd1Seg2PopGrowth</vt:lpstr>
      <vt:lpstr>dataProd1Seg2RecurCust</vt:lpstr>
      <vt:lpstr>dataProd1Seg2RecurRate</vt:lpstr>
      <vt:lpstr>dataProd1Seg2TotalMarket</vt:lpstr>
      <vt:lpstr>dataProd1Seg2TotalNewCust</vt:lpstr>
      <vt:lpstr>dataProd1Seg2TotalPop</vt:lpstr>
      <vt:lpstr>dataProd1Seg2TotalRecurCust</vt:lpstr>
      <vt:lpstr>dataProd1Seg2TotalShare</vt:lpstr>
      <vt:lpstr>dataProd1Seg2TotalVolume</vt:lpstr>
      <vt:lpstr>dataProd1Seg3ActualShare</vt:lpstr>
      <vt:lpstr>dataProd1Seg3Comp1ActualShare</vt:lpstr>
      <vt:lpstr>dataProd1Seg3Comp1NewCust</vt:lpstr>
      <vt:lpstr>dataProd1Seg3Comp1Payer1Percentage</vt:lpstr>
      <vt:lpstr>dataProd1Seg3Comp1Payer1TotalShare</vt:lpstr>
      <vt:lpstr>dataProd1Seg3Comp1Payer1Volume</vt:lpstr>
      <vt:lpstr>dataProd1Seg3Comp1Payer2Percentage</vt:lpstr>
      <vt:lpstr>dataProd1Seg3Comp1Payer2TotalShare</vt:lpstr>
      <vt:lpstr>dataProd1Seg3Comp1Payer2Volume</vt:lpstr>
      <vt:lpstr>dataProd1Seg3Comp1Payer3Percentage</vt:lpstr>
      <vt:lpstr>dataProd1Seg3Comp1Payer3TotalShare</vt:lpstr>
      <vt:lpstr>dataProd1Seg3Comp1Payer3Volume</vt:lpstr>
      <vt:lpstr>dataProd1Seg3Comp1RecurCust</vt:lpstr>
      <vt:lpstr>dataProd1Seg3Comp1TotalShare</vt:lpstr>
      <vt:lpstr>dataProd1Seg3Comp1TotalVolume</vt:lpstr>
      <vt:lpstr>dataProd1Seg3Comp2ActualShare</vt:lpstr>
      <vt:lpstr>dataProd1Seg3Comp2NewCust</vt:lpstr>
      <vt:lpstr>dataProd1Seg3Comp2Payer1Percentage</vt:lpstr>
      <vt:lpstr>dataProd1Seg3Comp2Payer1TotalShare</vt:lpstr>
      <vt:lpstr>dataProd1Seg3Comp2Payer1Volume</vt:lpstr>
      <vt:lpstr>dataProd1Seg3Comp2Payer2Percentage</vt:lpstr>
      <vt:lpstr>dataProd1Seg3Comp2Payer2TotalShare</vt:lpstr>
      <vt:lpstr>dataProd1Seg3Comp2Payer2Volume</vt:lpstr>
      <vt:lpstr>dataProd1Seg3Comp2Payer3Percentage</vt:lpstr>
      <vt:lpstr>dataProd1Seg3Comp2Payer3TotalShare</vt:lpstr>
      <vt:lpstr>dataProd1Seg3Comp2Payer3Volume</vt:lpstr>
      <vt:lpstr>dataProd1Seg3Comp2RecurCust</vt:lpstr>
      <vt:lpstr>dataProd1Seg3Comp2TotalShare</vt:lpstr>
      <vt:lpstr>dataProd1Seg3Comp2TotalVolume</vt:lpstr>
      <vt:lpstr>dataProd1Seg3NewCust</vt:lpstr>
      <vt:lpstr>dataProd1Seg3NewCustGrowth</vt:lpstr>
      <vt:lpstr>dataProd1Seg3Payer1GrossRevenue</vt:lpstr>
      <vt:lpstr>dataProd1Seg3Payer1GrowthCust</vt:lpstr>
      <vt:lpstr>dataProd1Seg3Payer1NetRevenue</vt:lpstr>
      <vt:lpstr>dataProd1Seg3Payer1NewVolPerc</vt:lpstr>
      <vt:lpstr>dataProd1Seg3Payer1NewVolume</vt:lpstr>
      <vt:lpstr>dataProd1Seg3Payer1Percentage</vt:lpstr>
      <vt:lpstr>dataProd1Seg3Payer1RecurCust</vt:lpstr>
      <vt:lpstr>dataProd1Seg3Payer1Reimbursement</vt:lpstr>
      <vt:lpstr>dataProd1Seg3Payer1TotalShare</vt:lpstr>
      <vt:lpstr>dataProd1Seg3Payer1TotalVolPerc</vt:lpstr>
      <vt:lpstr>dataProd1Seg3Payer1TotalVolume</vt:lpstr>
      <vt:lpstr>dataProd1Seg3Payer1Volume</vt:lpstr>
      <vt:lpstr>dataProd1Seg3Payer2GrossRevenue</vt:lpstr>
      <vt:lpstr>dataProd1Seg3Payer2GrowthCust</vt:lpstr>
      <vt:lpstr>dataProd1Seg3Payer2NetRevenue</vt:lpstr>
      <vt:lpstr>dataProd1Seg3Payer2NewVolPerc</vt:lpstr>
      <vt:lpstr>dataProd1Seg3Payer2NewVolume</vt:lpstr>
      <vt:lpstr>dataProd1Seg3Payer2Percentage</vt:lpstr>
      <vt:lpstr>dataProd1Seg3Payer2RecurCust</vt:lpstr>
      <vt:lpstr>dataProd1Seg3Payer2Reimbursement</vt:lpstr>
      <vt:lpstr>dataProd1Seg3Payer2TotalShare</vt:lpstr>
      <vt:lpstr>dataProd1Seg3Payer2TotalVolPerc</vt:lpstr>
      <vt:lpstr>dataProd1Seg3Payer2TotalVolume</vt:lpstr>
      <vt:lpstr>dataProd1Seg3Payer2Volume</vt:lpstr>
      <vt:lpstr>dataProd1Seg3Payer3GrossRevenue</vt:lpstr>
      <vt:lpstr>dataProd1Seg3Payer3GrowthCust</vt:lpstr>
      <vt:lpstr>dataProd1Seg3Payer3NetRevenue</vt:lpstr>
      <vt:lpstr>dataProd1Seg3Payer3NewVolPerc</vt:lpstr>
      <vt:lpstr>dataProd1Seg3Payer3NewVolume</vt:lpstr>
      <vt:lpstr>dataProd1Seg3Payer3Percentage</vt:lpstr>
      <vt:lpstr>dataProd1Seg3Payer3RecurCust</vt:lpstr>
      <vt:lpstr>dataProd1Seg3Payer3Reimbursement</vt:lpstr>
      <vt:lpstr>dataProd1Seg3Payer3TotalShare</vt:lpstr>
      <vt:lpstr>dataProd1Seg3Payer3TotalVolPerc</vt:lpstr>
      <vt:lpstr>dataProd1Seg3Payer3TotalVolume</vt:lpstr>
      <vt:lpstr>dataProd1Seg3Payer3Volume</vt:lpstr>
      <vt:lpstr>dataProd1Seg3PopGrowth</vt:lpstr>
      <vt:lpstr>dataProd1Seg3RecurCust</vt:lpstr>
      <vt:lpstr>dataProd1Seg3RecurRate</vt:lpstr>
      <vt:lpstr>dataProd1Seg3TotalMarket</vt:lpstr>
      <vt:lpstr>dataProd1Seg3TotalNewCust</vt:lpstr>
      <vt:lpstr>dataProd1Seg3TotalPop</vt:lpstr>
      <vt:lpstr>dataProd1Seg3TotalRecurCust</vt:lpstr>
      <vt:lpstr>dataProd1Seg3TotalShare</vt:lpstr>
      <vt:lpstr>dataProd1Seg3TotalVolume</vt:lpstr>
      <vt:lpstr>dataProd1TotalMarketVolume</vt:lpstr>
      <vt:lpstr>dataProd1TotalShare</vt:lpstr>
      <vt:lpstr>dataProd1TotalVolume</vt:lpstr>
      <vt:lpstr>dataReg1ActualShare</vt:lpstr>
      <vt:lpstr>dataReg1CoachingCost</vt:lpstr>
      <vt:lpstr>dataReg1Comp1ActualShare</vt:lpstr>
      <vt:lpstr>dataReg1Comp1Payer1TotalShare</vt:lpstr>
      <vt:lpstr>dataReg1Comp1Payer2TotalShare</vt:lpstr>
      <vt:lpstr>dataReg1Comp1Payer3TotalShare</vt:lpstr>
      <vt:lpstr>dataReg1Comp1TotalShare</vt:lpstr>
      <vt:lpstr>dataReg1Comp2ActualShare</vt:lpstr>
      <vt:lpstr>dataReg1Comp2Payer1TotalShare</vt:lpstr>
      <vt:lpstr>dataReg1Comp2Payer2TotalShare</vt:lpstr>
      <vt:lpstr>dataReg1Comp2Payer3TotalShare</vt:lpstr>
      <vt:lpstr>dataReg1Comp2TotalShare</vt:lpstr>
      <vt:lpstr>dataReg1Growth</vt:lpstr>
      <vt:lpstr>dataReg1NewVolume</vt:lpstr>
      <vt:lpstr>dataReg1Payer1NewVolume</vt:lpstr>
      <vt:lpstr>dataReg1Payer1TotalShare</vt:lpstr>
      <vt:lpstr>dataReg1Payer1TotalVolume</vt:lpstr>
      <vt:lpstr>dataReg1Payer2NewVolume</vt:lpstr>
      <vt:lpstr>dataReg1Payer2TotalShare</vt:lpstr>
      <vt:lpstr>dataReg1Payer2TotalVolume</vt:lpstr>
      <vt:lpstr>dataReg1Payer3NewVolume</vt:lpstr>
      <vt:lpstr>dataReg1Payer3TotalShare</vt:lpstr>
      <vt:lpstr>dataReg1Payer3TotalVolume</vt:lpstr>
      <vt:lpstr>dataReg1RegTrainCost</vt:lpstr>
      <vt:lpstr>dataReg1Seg1ActualShare</vt:lpstr>
      <vt:lpstr>dataReg1Seg1Comp1ActualShare</vt:lpstr>
      <vt:lpstr>dataReg1Seg1Comp1NewCust</vt:lpstr>
      <vt:lpstr>dataReg1Seg1Comp1Payer1Percentage</vt:lpstr>
      <vt:lpstr>dataReg1Seg1Comp1Payer1TotalShare</vt:lpstr>
      <vt:lpstr>dataReg1Seg1Comp1Payer1Volume</vt:lpstr>
      <vt:lpstr>dataReg1Seg1Comp1Payer2Percentage</vt:lpstr>
      <vt:lpstr>dataReg1Seg1Comp1Payer2TotalShare</vt:lpstr>
      <vt:lpstr>dataReg1Seg1Comp1Payer2Volume</vt:lpstr>
      <vt:lpstr>dataReg1Seg1Comp1Payer3Percentage</vt:lpstr>
      <vt:lpstr>dataReg1Seg1Comp1Payer3TotalShare</vt:lpstr>
      <vt:lpstr>dataReg1Seg1Comp1Payer3Volume</vt:lpstr>
      <vt:lpstr>dataReg1Seg1Comp1RecurCust</vt:lpstr>
      <vt:lpstr>dataReg1Seg1Comp1TotalShare</vt:lpstr>
      <vt:lpstr>dataReg1Seg1Comp1TotalVolume</vt:lpstr>
      <vt:lpstr>dataReg1Seg1Comp2ActualShare</vt:lpstr>
      <vt:lpstr>dataReg1Seg1Comp2NewCust</vt:lpstr>
      <vt:lpstr>dataReg1Seg1Comp2Payer1Percentage</vt:lpstr>
      <vt:lpstr>dataReg1Seg1Comp2Payer1TotalShare</vt:lpstr>
      <vt:lpstr>dataReg1Seg1Comp2Payer1Volume</vt:lpstr>
      <vt:lpstr>dataReg1Seg1Comp2Payer2Percentage</vt:lpstr>
      <vt:lpstr>dataReg1Seg1Comp2Payer2TotalShare</vt:lpstr>
      <vt:lpstr>dataReg1Seg1Comp2Payer2Volume</vt:lpstr>
      <vt:lpstr>dataReg1Seg1Comp2Payer3Percentage</vt:lpstr>
      <vt:lpstr>dataReg1Seg1Comp2Payer3TotalShare</vt:lpstr>
      <vt:lpstr>dataReg1Seg1Comp2Payer3Volume</vt:lpstr>
      <vt:lpstr>dataReg1Seg1Comp2RecurCust</vt:lpstr>
      <vt:lpstr>dataReg1Seg1Comp2TotalShare</vt:lpstr>
      <vt:lpstr>dataReg1Seg1Comp2TotalVolume</vt:lpstr>
      <vt:lpstr>dataReg1Seg1GrowthCust</vt:lpstr>
      <vt:lpstr>dataReg1Seg1NewCustGrowth</vt:lpstr>
      <vt:lpstr>dataReg1Seg1Payer1GrossRevenue</vt:lpstr>
      <vt:lpstr>dataReg1Seg1Payer1GrowthCust</vt:lpstr>
      <vt:lpstr>dataReg1Seg1Payer1NetRevenue</vt:lpstr>
      <vt:lpstr>dataReg1Seg1Payer1NewVolPerc</vt:lpstr>
      <vt:lpstr>dataReg1Seg1Payer1NewVolume</vt:lpstr>
      <vt:lpstr>dataReg1Seg1Payer1Percentage</vt:lpstr>
      <vt:lpstr>dataReg1Seg1Payer1RecurCust</vt:lpstr>
      <vt:lpstr>dataReg1Seg1Payer1Reimbursement</vt:lpstr>
      <vt:lpstr>dataReg1Seg1Payer1TotalShare</vt:lpstr>
      <vt:lpstr>dataReg1Seg1Payer1TotalVolPerc</vt:lpstr>
      <vt:lpstr>dataReg1Seg1Payer1TotalVolume</vt:lpstr>
      <vt:lpstr>dataReg1Seg1Payer1Volume</vt:lpstr>
      <vt:lpstr>dataReg1Seg1Payer2GrossRevenue</vt:lpstr>
      <vt:lpstr>dataReg1Seg1Payer2GrowthCust</vt:lpstr>
      <vt:lpstr>dataReg1Seg1Payer2NetRevenue</vt:lpstr>
      <vt:lpstr>dataReg1Seg1Payer2NewVolPerc</vt:lpstr>
      <vt:lpstr>dataReg1Seg1Payer2NewVolume</vt:lpstr>
      <vt:lpstr>dataReg1Seg1Payer2Percentage</vt:lpstr>
      <vt:lpstr>dataReg1Seg1Payer2RecurCust</vt:lpstr>
      <vt:lpstr>dataReg1Seg1Payer2Reimbursement</vt:lpstr>
      <vt:lpstr>dataReg1Seg1Payer2TotalShare</vt:lpstr>
      <vt:lpstr>dataReg1Seg1Payer2TotalVolPerc</vt:lpstr>
      <vt:lpstr>dataReg1Seg1Payer2TotalVolume</vt:lpstr>
      <vt:lpstr>dataReg1Seg1Payer2Volume</vt:lpstr>
      <vt:lpstr>dataReg1Seg1Payer3GrossRevenue</vt:lpstr>
      <vt:lpstr>dataReg1Seg1Payer3GrowthCust</vt:lpstr>
      <vt:lpstr>dataReg1Seg1Payer3NetRevenue</vt:lpstr>
      <vt:lpstr>dataReg1Seg1Payer3NewVolPerc</vt:lpstr>
      <vt:lpstr>dataReg1Seg1Payer3NewVolume</vt:lpstr>
      <vt:lpstr>dataReg1Seg1Payer3Percentage</vt:lpstr>
      <vt:lpstr>dataReg1Seg1Payer3RecurCust</vt:lpstr>
      <vt:lpstr>dataReg1Seg1Payer3Reimbursement</vt:lpstr>
      <vt:lpstr>dataReg1Seg1Payer3TotalShare</vt:lpstr>
      <vt:lpstr>dataReg1Seg1Payer3TotalVolPerc</vt:lpstr>
      <vt:lpstr>dataReg1Seg1Payer3TotalVolume</vt:lpstr>
      <vt:lpstr>dataReg1Seg1Payer3Volume</vt:lpstr>
      <vt:lpstr>dataReg1Seg1PayerVolume</vt:lpstr>
      <vt:lpstr>dataReg1Seg1PopGrowth</vt:lpstr>
      <vt:lpstr>dataReg1Seg1RecurCust</vt:lpstr>
      <vt:lpstr>dataReg1Seg1RecurRate</vt:lpstr>
      <vt:lpstr>dataReg1Seg1TotalMarket</vt:lpstr>
      <vt:lpstr>dataReg1Seg1TotalNewCust</vt:lpstr>
      <vt:lpstr>dataReg1Seg1TotalPop</vt:lpstr>
      <vt:lpstr>dataReg1Seg1TotalRecurCust</vt:lpstr>
      <vt:lpstr>dataReg1Seg1TotalShare</vt:lpstr>
      <vt:lpstr>dataReg1Seg1TotalVolume</vt:lpstr>
      <vt:lpstr>dataReg1Seg1VolumePercentage</vt:lpstr>
      <vt:lpstr>dataReg1Seg2ActualShare</vt:lpstr>
      <vt:lpstr>dataReg1Seg2Comp1ActualShare</vt:lpstr>
      <vt:lpstr>dataReg1Seg2Comp1NewCust</vt:lpstr>
      <vt:lpstr>dataReg1Seg2Comp1Payer1Percentage</vt:lpstr>
      <vt:lpstr>dataReg1Seg2Comp1Payer1TotalShare</vt:lpstr>
      <vt:lpstr>dataReg1Seg2Comp1Payer1Volume</vt:lpstr>
      <vt:lpstr>dataReg1Seg2Comp1Payer2Percentage</vt:lpstr>
      <vt:lpstr>dataReg1Seg2Comp1Payer2TotalShare</vt:lpstr>
      <vt:lpstr>dataReg1Seg2Comp1Payer2Volume</vt:lpstr>
      <vt:lpstr>dataReg1Seg2Comp1Payer3Percentage</vt:lpstr>
      <vt:lpstr>dataReg1Seg2Comp1Payer3TotalShare</vt:lpstr>
      <vt:lpstr>dataReg1Seg2Comp1Payer3Volume</vt:lpstr>
      <vt:lpstr>dataReg1Seg2Comp1RecurCust</vt:lpstr>
      <vt:lpstr>dataReg1Seg2Comp1TotalShare</vt:lpstr>
      <vt:lpstr>dataReg1Seg2Comp1TotalVolume</vt:lpstr>
      <vt:lpstr>dataReg1Seg2Comp2ActualShare</vt:lpstr>
      <vt:lpstr>dataReg1Seg2Comp2NewCust</vt:lpstr>
      <vt:lpstr>dataReg1Seg2Comp2Payer1Percentage</vt:lpstr>
      <vt:lpstr>dataReg1Seg2Comp2Payer1TotalShare</vt:lpstr>
      <vt:lpstr>dataReg1Seg2Comp2Payer1Volume</vt:lpstr>
      <vt:lpstr>dataReg1Seg2Comp2Payer2Percentage</vt:lpstr>
      <vt:lpstr>dataReg1Seg2Comp2Payer2TotalShare</vt:lpstr>
      <vt:lpstr>dataReg1Seg2Comp2Payer2Volume</vt:lpstr>
      <vt:lpstr>dataReg1Seg2Comp2Payer3Percentage</vt:lpstr>
      <vt:lpstr>dataReg1Seg2Comp2Payer3TotalShare</vt:lpstr>
      <vt:lpstr>dataReg1Seg2Comp2Payer3Volume</vt:lpstr>
      <vt:lpstr>dataReg1Seg2Comp2RecurCust</vt:lpstr>
      <vt:lpstr>dataReg1Seg2Comp2TotalShare</vt:lpstr>
      <vt:lpstr>dataReg1Seg2Comp2TotalVolume</vt:lpstr>
      <vt:lpstr>dataReg1Seg2GrowthCust</vt:lpstr>
      <vt:lpstr>dataReg1Seg2NewCustGrowth</vt:lpstr>
      <vt:lpstr>dataReg1Seg2Payer1GrossRevenue</vt:lpstr>
      <vt:lpstr>dataReg1Seg2Payer1GrowthCust</vt:lpstr>
      <vt:lpstr>dataReg1Seg2Payer1NetRevenue</vt:lpstr>
      <vt:lpstr>dataReg1Seg2Payer1NewVolPerc</vt:lpstr>
      <vt:lpstr>dataReg1Seg2Payer1NewVolume</vt:lpstr>
      <vt:lpstr>dataReg1Seg2Payer1Percentage</vt:lpstr>
      <vt:lpstr>dataReg1Seg2Payer1RecurCust</vt:lpstr>
      <vt:lpstr>dataReg1Seg2Payer1Reimbursement</vt:lpstr>
      <vt:lpstr>dataReg1Seg2Payer1TotalShare</vt:lpstr>
      <vt:lpstr>dataReg1Seg2Payer1TotalVolPerc</vt:lpstr>
      <vt:lpstr>dataReg1Seg2Payer1TotalVolume</vt:lpstr>
      <vt:lpstr>dataReg1Seg2Payer1Volume</vt:lpstr>
      <vt:lpstr>dataReg1Seg2Payer2GrossRevenue</vt:lpstr>
      <vt:lpstr>dataReg1Seg2Payer2GrowthCust</vt:lpstr>
      <vt:lpstr>dataReg1Seg2Payer2NetRevenue</vt:lpstr>
      <vt:lpstr>dataReg1Seg2Payer2NewVolPerc</vt:lpstr>
      <vt:lpstr>dataReg1Seg2Payer2NewVolume</vt:lpstr>
      <vt:lpstr>dataReg1Seg2Payer2Percentage</vt:lpstr>
      <vt:lpstr>dataReg1Seg2Payer2RecurCust</vt:lpstr>
      <vt:lpstr>dataReg1Seg2Payer2Reimbursement</vt:lpstr>
      <vt:lpstr>dataReg1Seg2Payer2TotalShare</vt:lpstr>
      <vt:lpstr>dataReg1Seg2Payer2TotalVolPerc</vt:lpstr>
      <vt:lpstr>dataReg1Seg2Payer2TotalVolume</vt:lpstr>
      <vt:lpstr>dataReg1Seg2Payer2Volume</vt:lpstr>
      <vt:lpstr>dataReg1Seg2Payer3GrossRevenue</vt:lpstr>
      <vt:lpstr>dataReg1Seg2Payer3GrowthCust</vt:lpstr>
      <vt:lpstr>dataReg1Seg2Payer3NetRevenue</vt:lpstr>
      <vt:lpstr>dataReg1Seg2Payer3NewVolPerc</vt:lpstr>
      <vt:lpstr>dataReg1Seg2Payer3NewVolume</vt:lpstr>
      <vt:lpstr>dataReg1Seg2Payer3Percentage</vt:lpstr>
      <vt:lpstr>dataReg1Seg2Payer3RecurCust</vt:lpstr>
      <vt:lpstr>dataReg1Seg2Payer3Reimbursement</vt:lpstr>
      <vt:lpstr>dataReg1Seg2Payer3TotalShare</vt:lpstr>
      <vt:lpstr>dataReg1Seg2Payer3TotalVolPerc</vt:lpstr>
      <vt:lpstr>dataReg1Seg2Payer3TotalVolume</vt:lpstr>
      <vt:lpstr>dataReg1Seg2Payer3Volume</vt:lpstr>
      <vt:lpstr>dataReg1Seg2PopGrowth</vt:lpstr>
      <vt:lpstr>dataReg1Seg2RecurCust</vt:lpstr>
      <vt:lpstr>dataReg1Seg2RecurRate</vt:lpstr>
      <vt:lpstr>dataReg1Seg2TotalMarket</vt:lpstr>
      <vt:lpstr>dataReg1Seg2TotalNewCust</vt:lpstr>
      <vt:lpstr>dataReg1Seg2TotalPop</vt:lpstr>
      <vt:lpstr>dataReg1Seg2TotalRecurCust</vt:lpstr>
      <vt:lpstr>dataReg1Seg2TotalShare</vt:lpstr>
      <vt:lpstr>dataReg1Seg2TotalVolume</vt:lpstr>
      <vt:lpstr>dataReg1Seg3ActualShare</vt:lpstr>
      <vt:lpstr>dataReg1Seg3Comp1ActualShare</vt:lpstr>
      <vt:lpstr>dataReg1Seg3Comp1NewCust</vt:lpstr>
      <vt:lpstr>dataReg1Seg3Comp1Payer1Percentage</vt:lpstr>
      <vt:lpstr>dataReg1Seg3Comp1Payer1TotalShare</vt:lpstr>
      <vt:lpstr>dataReg1Seg3Comp1Payer1Volume</vt:lpstr>
      <vt:lpstr>dataReg1Seg3Comp1Payer2Percentage</vt:lpstr>
      <vt:lpstr>dataReg1Seg3Comp1Payer2TotalShare</vt:lpstr>
      <vt:lpstr>dataReg1Seg3Comp1Payer2Volume</vt:lpstr>
      <vt:lpstr>dataReg1Seg3Comp1Payer3Percentage</vt:lpstr>
      <vt:lpstr>dataReg1Seg3Comp1Payer3TotalShare</vt:lpstr>
      <vt:lpstr>dataReg1Seg3Comp1Payer3Volume</vt:lpstr>
      <vt:lpstr>dataReg1Seg3Comp1RecurCust</vt:lpstr>
      <vt:lpstr>dataReg1Seg3Comp1TotalShare</vt:lpstr>
      <vt:lpstr>dataReg1Seg3Comp1TotalVolume</vt:lpstr>
      <vt:lpstr>dataReg1Seg3Comp2ActualShare</vt:lpstr>
      <vt:lpstr>dataReg1Seg3Comp2NewCust</vt:lpstr>
      <vt:lpstr>dataReg1Seg3Comp2Payer1Percentage</vt:lpstr>
      <vt:lpstr>dataReg1Seg3Comp2Payer1TotalShare</vt:lpstr>
      <vt:lpstr>dataReg1Seg3Comp2Payer1Volume</vt:lpstr>
      <vt:lpstr>dataReg1Seg3Comp2Payer2Percentage</vt:lpstr>
      <vt:lpstr>dataReg1Seg3Comp2Payer2TotalShare</vt:lpstr>
      <vt:lpstr>dataReg1Seg3Comp2Payer2Volume</vt:lpstr>
      <vt:lpstr>dataReg1Seg3Comp2Payer3Percentage</vt:lpstr>
      <vt:lpstr>dataReg1Seg3Comp2Payer3TotalShare</vt:lpstr>
      <vt:lpstr>dataReg1Seg3Comp2Payer3Volume</vt:lpstr>
      <vt:lpstr>dataReg1Seg3Comp2RecurCust</vt:lpstr>
      <vt:lpstr>dataReg1Seg3Comp2TotalShare</vt:lpstr>
      <vt:lpstr>dataReg1Seg3Comp2TotalVolume</vt:lpstr>
      <vt:lpstr>dataReg1Seg3GrowthCust</vt:lpstr>
      <vt:lpstr>dataReg1Seg3NewCustGrowth</vt:lpstr>
      <vt:lpstr>dataReg1Seg3Payer1GrossRevenue</vt:lpstr>
      <vt:lpstr>dataReg1Seg3Payer1GrowthCust</vt:lpstr>
      <vt:lpstr>dataReg1Seg3Payer1NetRevenue</vt:lpstr>
      <vt:lpstr>dataReg1Seg3Payer1NewVolPerc</vt:lpstr>
      <vt:lpstr>dataReg1Seg3Payer1NewVolume</vt:lpstr>
      <vt:lpstr>dataReg1Seg3Payer1Percentage</vt:lpstr>
      <vt:lpstr>dataReg1Seg3Payer1RecurCust</vt:lpstr>
      <vt:lpstr>dataReg1Seg3Payer1Reimbursement</vt:lpstr>
      <vt:lpstr>dataReg1Seg3Payer1TotalShare</vt:lpstr>
      <vt:lpstr>dataReg1Seg3Payer1TotalVolPerc</vt:lpstr>
      <vt:lpstr>dataReg1Seg3Payer1TotalVolume</vt:lpstr>
      <vt:lpstr>dataReg1Seg3Payer1Volume</vt:lpstr>
      <vt:lpstr>dataReg1Seg3Payer2GrossRevenue</vt:lpstr>
      <vt:lpstr>dataReg1Seg3Payer2GrowthCust</vt:lpstr>
      <vt:lpstr>dataReg1Seg3Payer2NetRevenue</vt:lpstr>
      <vt:lpstr>dataReg1Seg3Payer2NewVolPerc</vt:lpstr>
      <vt:lpstr>dataReg1Seg3Payer2NewVolume</vt:lpstr>
      <vt:lpstr>dataReg1Seg3Payer2Percentage</vt:lpstr>
      <vt:lpstr>dataReg1Seg3Payer2RecurCust</vt:lpstr>
      <vt:lpstr>dataReg1Seg3Payer2Reimbursement</vt:lpstr>
      <vt:lpstr>dataReg1Seg3Payer2TotalShare</vt:lpstr>
      <vt:lpstr>dataReg1Seg3Payer2TotalVolPerc</vt:lpstr>
      <vt:lpstr>dataReg1Seg3Payer2TotalVolume</vt:lpstr>
      <vt:lpstr>dataReg1Seg3Payer2Volume</vt:lpstr>
      <vt:lpstr>dataReg1Seg3Payer3GrossRevenue</vt:lpstr>
      <vt:lpstr>dataReg1Seg3Payer3GrowthCust</vt:lpstr>
      <vt:lpstr>dataReg1Seg3Payer3NetRevenue</vt:lpstr>
      <vt:lpstr>dataReg1Seg3Payer3NewVolPerc</vt:lpstr>
      <vt:lpstr>dataReg1Seg3Payer3NewVolume</vt:lpstr>
      <vt:lpstr>dataReg1Seg3Payer3Percentage</vt:lpstr>
      <vt:lpstr>dataReg1Seg3Payer3RecurCust</vt:lpstr>
      <vt:lpstr>dataReg1Seg3Payer3Reimbursement</vt:lpstr>
      <vt:lpstr>dataReg1Seg3Payer3TotalShare</vt:lpstr>
      <vt:lpstr>dataReg1Seg3Payer3TotalVolPerc</vt:lpstr>
      <vt:lpstr>dataReg1Seg3Payer3TotalVolume</vt:lpstr>
      <vt:lpstr>dataReg1Seg3Payer3Volume</vt:lpstr>
      <vt:lpstr>dataReg1Seg3PopGrowth</vt:lpstr>
      <vt:lpstr>dataReg1Seg3RecurCust</vt:lpstr>
      <vt:lpstr>dataReg1Seg3RecurRate</vt:lpstr>
      <vt:lpstr>dataReg1Seg3TotalMarket</vt:lpstr>
      <vt:lpstr>dataReg1Seg3TotalNewCust</vt:lpstr>
      <vt:lpstr>dataReg1Seg3TotalPop</vt:lpstr>
      <vt:lpstr>dataReg1Seg3TotalRecurCust</vt:lpstr>
      <vt:lpstr>dataReg1Seg3TotalShare</vt:lpstr>
      <vt:lpstr>dataReg1Seg3TotalVolume</vt:lpstr>
      <vt:lpstr>dataReg1TotalMarketVolume</vt:lpstr>
      <vt:lpstr>dataReg1TotalShare</vt:lpstr>
      <vt:lpstr>dataReg1TotalVolume</vt:lpstr>
      <vt:lpstr>dataRegSeg1RecurCust</vt:lpstr>
      <vt:lpstr>dataRegSeg1TotalNewCust</vt:lpstr>
      <vt:lpstr>dataRegSeg2TotalNewCust</vt:lpstr>
      <vt:lpstr>dataRegSeg3TotalNewCust</vt:lpstr>
      <vt:lpstr>dataRegTrainFTEs</vt:lpstr>
      <vt:lpstr>datatblCareaboutRank</vt:lpstr>
      <vt:lpstr>datatblProd1Seg1Payer1</vt:lpstr>
      <vt:lpstr>datatblProd1Seg1Payer2</vt:lpstr>
      <vt:lpstr>datatblProd1Seg1Payer3</vt:lpstr>
      <vt:lpstr>datatblProd1Seg2Payer1</vt:lpstr>
      <vt:lpstr>datatblProd1Seg2Payer2</vt:lpstr>
      <vt:lpstr>datatblProd1Seg2Payer3</vt:lpstr>
      <vt:lpstr>datatblProd1Seg3Payer1</vt:lpstr>
      <vt:lpstr>datatblProd1Seg3Payer2</vt:lpstr>
      <vt:lpstr>datatblProd1Seg3Payer3</vt:lpstr>
      <vt:lpstr>datatblReg1Seg1Payer1</vt:lpstr>
      <vt:lpstr>datatblReg1Seg1Payer2</vt:lpstr>
      <vt:lpstr>datatblReg1Seg1Payer3</vt:lpstr>
      <vt:lpstr>datatblReg1Seg2Payer1</vt:lpstr>
      <vt:lpstr>datatblReg1Seg2Payer2</vt:lpstr>
      <vt:lpstr>datatblReg1Seg2Payer3</vt:lpstr>
      <vt:lpstr>datatblReg1Seg3Payer1</vt:lpstr>
      <vt:lpstr>datatblReg1Seg3Payer2</vt:lpstr>
      <vt:lpstr>datatblReg1Seg3Payer3</vt:lpstr>
      <vt:lpstr>dataTherapy1ListPrice</vt:lpstr>
      <vt:lpstr>dataTherapy1Payer1Rebate</vt:lpstr>
      <vt:lpstr>dataTherapy1Payer2Rebate</vt:lpstr>
      <vt:lpstr>dataTherapy1Payer3Rebate</vt:lpstr>
      <vt:lpstr>dataTierImpact</vt:lpstr>
      <vt:lpstr>dataTierImpactList</vt:lpstr>
      <vt:lpstr>dataTierStatusComp1Payer1</vt:lpstr>
      <vt:lpstr>dataTierStatusComp1Payer2</vt:lpstr>
      <vt:lpstr>dataTierStatusComp1Payer3</vt:lpstr>
      <vt:lpstr>dataTierStatusComp2Payer1</vt:lpstr>
      <vt:lpstr>dataTierStatusComp2Payer2</vt:lpstr>
      <vt:lpstr>dataTierStatusComp2Payer3</vt:lpstr>
      <vt:lpstr>dataTierStatusPayer1</vt:lpstr>
      <vt:lpstr>dataTierStatusPayer2</vt:lpstr>
      <vt:lpstr>dataTierStatusPayer3</vt:lpstr>
      <vt:lpstr>dataTierVolumeImpact</vt:lpstr>
      <vt:lpstr>DB_ArrayDash1Names</vt:lpstr>
      <vt:lpstr>DB_ArrayDash1Values</vt:lpstr>
      <vt:lpstr>DB_ArrayDash2Names</vt:lpstr>
      <vt:lpstr>DB_ArrayDash2Values</vt:lpstr>
      <vt:lpstr>DB_ArrayDash3Names</vt:lpstr>
      <vt:lpstr>DB_ArrayDash3Values</vt:lpstr>
      <vt:lpstr>DB_ArrayDash4Names</vt:lpstr>
      <vt:lpstr>DB_ArrayDash4Values</vt:lpstr>
      <vt:lpstr>DB_ArrayDash5Names</vt:lpstr>
      <vt:lpstr>DB_ArrayDash5Values</vt:lpstr>
      <vt:lpstr>DB_ArrayDash6Names</vt:lpstr>
      <vt:lpstr>DB_ArrayDash6Values</vt:lpstr>
      <vt:lpstr>DB_ArrayDash7Names</vt:lpstr>
      <vt:lpstr>DB_ArrayDash7Values</vt:lpstr>
      <vt:lpstr>DB_ArrayDash8Names</vt:lpstr>
      <vt:lpstr>DB_ArrayDash8Values</vt:lpstr>
      <vt:lpstr>DB_Dashboard1</vt:lpstr>
      <vt:lpstr>DB_Dashboard1Prod1</vt:lpstr>
      <vt:lpstr>DB_Dashboard2</vt:lpstr>
      <vt:lpstr>DB_Dashboard2Prod1</vt:lpstr>
      <vt:lpstr>DB_Dashboard3</vt:lpstr>
      <vt:lpstr>DB_Dashboard3Prod1</vt:lpstr>
      <vt:lpstr>DB_Dashboard4</vt:lpstr>
      <vt:lpstr>DB_Dashboard4Prod1</vt:lpstr>
      <vt:lpstr>DB_Dashboard5</vt:lpstr>
      <vt:lpstr>DB_Dashboard6Reg1</vt:lpstr>
      <vt:lpstr>DB_Dashboard7Reg1</vt:lpstr>
      <vt:lpstr>DB_Dashboard8Reg1</vt:lpstr>
      <vt:lpstr>DB_LargeWhiteSpace</vt:lpstr>
      <vt:lpstr>DB_LargeWhiteSpaceLength</vt:lpstr>
      <vt:lpstr>DB_SubWhiteSpace</vt:lpstr>
      <vt:lpstr>DB_SubWhiteSpaceLength</vt:lpstr>
      <vt:lpstr>DB_WhiteSpace</vt:lpstr>
      <vt:lpstr>DB_WhiteSpaceLength</vt:lpstr>
      <vt:lpstr>dec_End</vt:lpstr>
      <vt:lpstr>dec_FormulaReset</vt:lpstr>
      <vt:lpstr>dec_Names</vt:lpstr>
      <vt:lpstr>dec_Paste</vt:lpstr>
      <vt:lpstr>dec_PasteY1</vt:lpstr>
      <vt:lpstr>dec_PasteY2</vt:lpstr>
      <vt:lpstr>dec_PasteY3</vt:lpstr>
      <vt:lpstr>dec_Round</vt:lpstr>
      <vt:lpstr>dec_TeamName</vt:lpstr>
      <vt:lpstr>dec_TeamNumber</vt:lpstr>
      <vt:lpstr>dec_ToolInputPrefix</vt:lpstr>
      <vt:lpstr>dec_ToolReset</vt:lpstr>
      <vt:lpstr>dec_ToolResetR0</vt:lpstr>
      <vt:lpstr>dec_ToolResetValues</vt:lpstr>
      <vt:lpstr>decInputProd1R2RolePlayScore</vt:lpstr>
      <vt:lpstr>decInputProd1Seg1CfCollab_R1</vt:lpstr>
      <vt:lpstr>decInputProd1Seg1CfCollab_R2</vt:lpstr>
      <vt:lpstr>decInputProd1Seg1PromotionAllocation_R1</vt:lpstr>
      <vt:lpstr>decInputProd1Seg1PromotionAllocation_R2</vt:lpstr>
      <vt:lpstr>decInputProd1Seg1PromotionPerc_R1</vt:lpstr>
      <vt:lpstr>decInputProd1Seg1PromotionPerc_R2</vt:lpstr>
      <vt:lpstr>decInputProd1Seg1RegTrainer_R1</vt:lpstr>
      <vt:lpstr>decInputProd1Seg1RegTrainer_R2</vt:lpstr>
      <vt:lpstr>decInputProd1Seg1Rep1Coaching_R1</vt:lpstr>
      <vt:lpstr>decInputProd1Seg1Rep1Coaching_R2</vt:lpstr>
      <vt:lpstr>decInputProd1Seg1Rep2Coaching_R1</vt:lpstr>
      <vt:lpstr>decInputProd1Seg1Rep2Coaching_R2</vt:lpstr>
      <vt:lpstr>decInputProd1Seg1Rep3Coaching_R1</vt:lpstr>
      <vt:lpstr>decInputProd1Seg1Rep3Coaching_R2</vt:lpstr>
      <vt:lpstr>decInputProd1Seg1SamplesPerc_R1</vt:lpstr>
      <vt:lpstr>decInputProd1Seg1SamplesPerc_R2</vt:lpstr>
      <vt:lpstr>decInputProd1Seg1SpeakersPerc_R1</vt:lpstr>
      <vt:lpstr>decInputProd1Seg1SpeakersPerc_R2</vt:lpstr>
      <vt:lpstr>decInputProd1Seg1Therapy1Rep1Weight_R1</vt:lpstr>
      <vt:lpstr>decInputProd1Seg1Therapy1Rep1Weight_R2</vt:lpstr>
      <vt:lpstr>decInputProd1Seg1Therapy1Rep2Weight_R1</vt:lpstr>
      <vt:lpstr>decInputProd1Seg1Therapy1Rep2Weight_R2</vt:lpstr>
      <vt:lpstr>decInputProd1Seg1Therapy1Rep3Weight_R1</vt:lpstr>
      <vt:lpstr>decInputProd1Seg1Therapy1Rep3Weight_R2</vt:lpstr>
      <vt:lpstr>decInputProd1Seg1Therapy1RepAWeight_R1</vt:lpstr>
      <vt:lpstr>decInputProd1Seg1Therapy1RepAWeight_R2</vt:lpstr>
      <vt:lpstr>decInputProd1Seg1Therapy1RepBWeight_R1</vt:lpstr>
      <vt:lpstr>decInputProd1Seg1Therapy1RepBWeight_R2</vt:lpstr>
      <vt:lpstr>decInputProd1Seg1Therapy1RepCWeight_R1</vt:lpstr>
      <vt:lpstr>decInputProd1Seg1Therapy1RepCWeight_R2</vt:lpstr>
      <vt:lpstr>decInputProd1Seg2CfCollab_R1</vt:lpstr>
      <vt:lpstr>decInputProd1Seg2CfCollab_R2</vt:lpstr>
      <vt:lpstr>decInputProd1Seg2PromotionAllocation_R1</vt:lpstr>
      <vt:lpstr>decInputProd1Seg2PromotionAllocation_R2</vt:lpstr>
      <vt:lpstr>decInputProd1Seg2PromotionPerc_R1</vt:lpstr>
      <vt:lpstr>decInputProd1Seg2PromotionPerc_R2</vt:lpstr>
      <vt:lpstr>decInputProd1Seg2RegTrainer_R1</vt:lpstr>
      <vt:lpstr>decInputProd1Seg2RegTrainer_R2</vt:lpstr>
      <vt:lpstr>decInputProd1Seg2Rep1Coaching_R1</vt:lpstr>
      <vt:lpstr>decInputProd1Seg2Rep1Coaching_R2</vt:lpstr>
      <vt:lpstr>decInputProd1Seg2Rep2Coaching_R1</vt:lpstr>
      <vt:lpstr>decInputProd1Seg2Rep2Coaching_R2</vt:lpstr>
      <vt:lpstr>decInputProd1Seg2Rep3Coaching_R1</vt:lpstr>
      <vt:lpstr>decInputProd1Seg2Rep3Coaching_R2</vt:lpstr>
      <vt:lpstr>decInputProd1Seg2SamplesPerc_R1</vt:lpstr>
      <vt:lpstr>decInputProd1Seg2SamplesPerc_R2</vt:lpstr>
      <vt:lpstr>decInputProd1Seg2SpeakersPerc_R1</vt:lpstr>
      <vt:lpstr>decInputProd1Seg2SpeakersPerc_R2</vt:lpstr>
      <vt:lpstr>decInputProd1Seg2Therapy1Rep1Weight_R1</vt:lpstr>
      <vt:lpstr>decInputProd1Seg2Therapy1Rep1Weight_R2</vt:lpstr>
      <vt:lpstr>decInputProd1Seg2Therapy1Rep2Weight_R1</vt:lpstr>
      <vt:lpstr>decInputProd1Seg2Therapy1Rep2Weight_R2</vt:lpstr>
      <vt:lpstr>decInputProd1Seg2Therapy1Rep3Weight_R1</vt:lpstr>
      <vt:lpstr>decInputProd1Seg2Therapy1Rep3Weight_R2</vt:lpstr>
      <vt:lpstr>decInputProd1Seg2Therapy1RepAWeight_R1</vt:lpstr>
      <vt:lpstr>decInputProd1Seg2Therapy1RepAWeight_R2</vt:lpstr>
      <vt:lpstr>decInputProd1Seg2Therapy1RepBWeight_R1</vt:lpstr>
      <vt:lpstr>decInputProd1Seg2Therapy1RepBWeight_R2</vt:lpstr>
      <vt:lpstr>decInputProd1Seg2Therapy1RepCWeight_R1</vt:lpstr>
      <vt:lpstr>decInputProd1Seg2Therapy1RepCWeight_R2</vt:lpstr>
      <vt:lpstr>decInputProd1Seg3CfCollab_R1</vt:lpstr>
      <vt:lpstr>decInputProd1Seg3CfCollab_R2</vt:lpstr>
      <vt:lpstr>decInputProd1Seg3PromotionAllocation_R1</vt:lpstr>
      <vt:lpstr>decInputProd1Seg3PromotionAllocation_R2</vt:lpstr>
      <vt:lpstr>decInputProd1Seg3PromotionPerc_R1</vt:lpstr>
      <vt:lpstr>decInputProd1Seg3PromotionPerc_R2</vt:lpstr>
      <vt:lpstr>decInputProd1Seg3RegTrainer_R1</vt:lpstr>
      <vt:lpstr>decInputProd1Seg3RegTrainer_R2</vt:lpstr>
      <vt:lpstr>decInputProd1Seg3Rep1Coaching_R1</vt:lpstr>
      <vt:lpstr>decInputProd1Seg3Rep1Coaching_R2</vt:lpstr>
      <vt:lpstr>decInputProd1Seg3Rep2Coaching_R1</vt:lpstr>
      <vt:lpstr>decInputProd1Seg3Rep2Coaching_R2</vt:lpstr>
      <vt:lpstr>decInputProd1Seg3Rep3Coaching_R1</vt:lpstr>
      <vt:lpstr>decInputProd1Seg3Rep3Coaching_R2</vt:lpstr>
      <vt:lpstr>decInputProd1Seg3SamplesPerc_R1</vt:lpstr>
      <vt:lpstr>decInputProd1Seg3SamplesPerc_R2</vt:lpstr>
      <vt:lpstr>decInputProd1Seg3SpeakersPerc_R1</vt:lpstr>
      <vt:lpstr>decInputProd1Seg3SpeakersPerc_R2</vt:lpstr>
      <vt:lpstr>decInputProd1Seg3Therapy1Rep1Weight_R1</vt:lpstr>
      <vt:lpstr>decInputProd1Seg3Therapy1Rep1Weight_R2</vt:lpstr>
      <vt:lpstr>decInputProd1Seg3Therapy1Rep2Weight_R1</vt:lpstr>
      <vt:lpstr>decInputProd1Seg3Therapy1Rep2Weight_R2</vt:lpstr>
      <vt:lpstr>decInputProd1Seg3Therapy1Rep3Weight_R1</vt:lpstr>
      <vt:lpstr>decInputProd1Seg3Therapy1Rep3Weight_R2</vt:lpstr>
      <vt:lpstr>decInputProd1Seg3Therapy1RepAWeight_R1</vt:lpstr>
      <vt:lpstr>decInputProd1Seg3Therapy1RepAWeight_R2</vt:lpstr>
      <vt:lpstr>decInputProd1Seg3Therapy1RepBWeight_R1</vt:lpstr>
      <vt:lpstr>decInputProd1Seg3Therapy1RepBWeight_R2</vt:lpstr>
      <vt:lpstr>decInputProd1Seg3Therapy1RepCWeight_R1</vt:lpstr>
      <vt:lpstr>decInputProd1Seg3Therapy1RepCWeight_R2</vt:lpstr>
      <vt:lpstr>decInputReg1Seg1CfCollab_R1</vt:lpstr>
      <vt:lpstr>decInputReg1Seg1CfCollab_R2</vt:lpstr>
      <vt:lpstr>decInputReg1Seg1PromotionAllocation_R1</vt:lpstr>
      <vt:lpstr>decInputReg1Seg1PromotionAllocation_R2</vt:lpstr>
      <vt:lpstr>decInputReg1Seg1PromotionPerc_R1</vt:lpstr>
      <vt:lpstr>decInputReg1Seg1PromotionPerc_R2</vt:lpstr>
      <vt:lpstr>decInputReg1Seg1RegTrainer_R1</vt:lpstr>
      <vt:lpstr>decInputReg1Seg1RegTrainer_R2</vt:lpstr>
      <vt:lpstr>decInputReg1Seg1Rep1Coaching_R1</vt:lpstr>
      <vt:lpstr>decInputReg1Seg1Rep1Coaching_R2</vt:lpstr>
      <vt:lpstr>decInputReg1Seg1SamplesPerc_R1</vt:lpstr>
      <vt:lpstr>decInputReg1Seg1SamplesPerc_R2</vt:lpstr>
      <vt:lpstr>decInputReg1Seg1SpeakersPerc_R1</vt:lpstr>
      <vt:lpstr>decInputReg1Seg1SpeakersPerc_R2</vt:lpstr>
      <vt:lpstr>decInputReg1Seg2CfCollab_R1</vt:lpstr>
      <vt:lpstr>decInputReg1Seg2CfCollab_R2</vt:lpstr>
      <vt:lpstr>decInputReg1Seg2PromotionAllocation_R1</vt:lpstr>
      <vt:lpstr>decInputReg1Seg2PromotionAllocation_R2</vt:lpstr>
      <vt:lpstr>decInputReg1Seg2PromotionPerc_R1</vt:lpstr>
      <vt:lpstr>decInputReg1Seg2PromotionPerc_R2</vt:lpstr>
      <vt:lpstr>decInputReg1Seg2RegTrainer_R1</vt:lpstr>
      <vt:lpstr>decInputReg1Seg2RegTrainer_R2</vt:lpstr>
      <vt:lpstr>decInputReg1Seg2Rep1Coaching_R1</vt:lpstr>
      <vt:lpstr>decInputReg1Seg2Rep1Coaching_R2</vt:lpstr>
      <vt:lpstr>decInputReg1Seg2SamplesPerc_R1</vt:lpstr>
      <vt:lpstr>decInputReg1Seg2SamplesPerc_R2</vt:lpstr>
      <vt:lpstr>decInputReg1Seg2SpeakersPerc_R1</vt:lpstr>
      <vt:lpstr>decInputReg1Seg2SpeakersPerc_R2</vt:lpstr>
      <vt:lpstr>decInputReg1Seg3CfCollab_R1</vt:lpstr>
      <vt:lpstr>decInputReg1Seg3CfCollab_R2</vt:lpstr>
      <vt:lpstr>decInputReg1Seg3PromotionAllocation_R1</vt:lpstr>
      <vt:lpstr>decInputReg1Seg3PromotionAllocation_R2</vt:lpstr>
      <vt:lpstr>decInputReg1Seg3PromotionPerc_R1</vt:lpstr>
      <vt:lpstr>decInputReg1Seg3PromotionPerc_R2</vt:lpstr>
      <vt:lpstr>decInputReg1Seg3RegTrainer_R1</vt:lpstr>
      <vt:lpstr>decInputReg1Seg3RegTrainer_R2</vt:lpstr>
      <vt:lpstr>decInputReg1Seg3Rep1Coaching_R1</vt:lpstr>
      <vt:lpstr>decInputReg1Seg3Rep1Coaching_R2</vt:lpstr>
      <vt:lpstr>decInputReg1Seg3SamplesPerc_R1</vt:lpstr>
      <vt:lpstr>decInputReg1Seg3SamplesPerc_R2</vt:lpstr>
      <vt:lpstr>decInputReg1Seg3SpeakersPerc_R1</vt:lpstr>
      <vt:lpstr>decInputReg1Seg3SpeakersPerc_R2</vt:lpstr>
      <vt:lpstr>decOutputProd1Seg1SamplesPerc_R1</vt:lpstr>
      <vt:lpstr>decOutputProd1Seg1SamplesPerc_R2</vt:lpstr>
      <vt:lpstr>decOutputProd1Seg2SamplesPerc_R1</vt:lpstr>
      <vt:lpstr>decOutputProd1Seg2SamplesPerc_R2</vt:lpstr>
      <vt:lpstr>decOutputProd1Seg3SamplesPerc_R1</vt:lpstr>
      <vt:lpstr>decOutputProd1Seg3SamplesPerc_R2</vt:lpstr>
      <vt:lpstr>decOutputReg1Seg1SamplesPerc_R1</vt:lpstr>
      <vt:lpstr>decOutputReg1Seg1SamplesPerc_R2</vt:lpstr>
      <vt:lpstr>decOutputReg1Seg2SamplesPerc_R1</vt:lpstr>
      <vt:lpstr>decOutputReg1Seg2SamplesPerc_R2</vt:lpstr>
      <vt:lpstr>decOutputReg1Seg3SamplesPerc_R1</vt:lpstr>
      <vt:lpstr>decOutputReg1Seg3SamplesPerc_R2</vt:lpstr>
      <vt:lpstr>decRound</vt:lpstr>
      <vt:lpstr>decSimulationType</vt:lpstr>
      <vt:lpstr>decTeamName</vt:lpstr>
      <vt:lpstr>decTeamNumber</vt:lpstr>
      <vt:lpstr>ErrorMessage_Check</vt:lpstr>
      <vt:lpstr>ErrorMessage_LineBreak</vt:lpstr>
      <vt:lpstr>ErrorMessage_Message</vt:lpstr>
      <vt:lpstr>fbHideRange</vt:lpstr>
      <vt:lpstr>fbNumOfTeams</vt:lpstr>
      <vt:lpstr>fbTSHideRange</vt:lpstr>
      <vt:lpstr>feedback_FeedbackFileName</vt:lpstr>
      <vt:lpstr>feedback_FeedbackSheetName</vt:lpstr>
      <vt:lpstr>feedback_TimeSeriesFeedbackSheetName</vt:lpstr>
      <vt:lpstr>glossaryLanguage</vt:lpstr>
      <vt:lpstr>hood_OnHoodCloseGoTo</vt:lpstr>
      <vt:lpstr>hood_ToolPrefix</vt:lpstr>
      <vt:lpstr>ImportExportCSV_BalSheetClosing</vt:lpstr>
      <vt:lpstr>ImportExportCSV_BalSheetOnObal</vt:lpstr>
      <vt:lpstr>ImportExportCSV_BalSheetOpening</vt:lpstr>
      <vt:lpstr>M</vt:lpstr>
      <vt:lpstr>nmCOGS</vt:lpstr>
      <vt:lpstr>nmComp1</vt:lpstr>
      <vt:lpstr>nmComp2</vt:lpstr>
      <vt:lpstr>nmForecast</vt:lpstr>
      <vt:lpstr>nmGrossMargin</vt:lpstr>
      <vt:lpstr>nmGrossProfit</vt:lpstr>
      <vt:lpstr>nmInitiatives</vt:lpstr>
      <vt:lpstr>nmMarketing</vt:lpstr>
      <vt:lpstr>nmMillion</vt:lpstr>
      <vt:lpstr>nmPayer1</vt:lpstr>
      <vt:lpstr>nmPayer2</vt:lpstr>
      <vt:lpstr>nmPayer3</vt:lpstr>
      <vt:lpstr>nmPrice</vt:lpstr>
      <vt:lpstr>nmProd1</vt:lpstr>
      <vt:lpstr>nmProd1Rep1</vt:lpstr>
      <vt:lpstr>nmProd1Rep2</vt:lpstr>
      <vt:lpstr>nmProd1Rep3</vt:lpstr>
      <vt:lpstr>nmProd1Seg1</vt:lpstr>
      <vt:lpstr>nmProd1Seg1Rep1</vt:lpstr>
      <vt:lpstr>nmProd1Seg1Rep2</vt:lpstr>
      <vt:lpstr>nmProd1Seg1Rep3</vt:lpstr>
      <vt:lpstr>nmProd1Seg2</vt:lpstr>
      <vt:lpstr>nmProd1Seg2Rep1</vt:lpstr>
      <vt:lpstr>nmProd1Seg2Rep2</vt:lpstr>
      <vt:lpstr>nmProd1Seg2Rep3</vt:lpstr>
      <vt:lpstr>nmProd1Seg3</vt:lpstr>
      <vt:lpstr>nmProd1Seg3Rep1</vt:lpstr>
      <vt:lpstr>nmProd1Seg3Rep2</vt:lpstr>
      <vt:lpstr>nmProd1Seg3Rep3</vt:lpstr>
      <vt:lpstr>nmProd2</vt:lpstr>
      <vt:lpstr>nmProd2Rep1</vt:lpstr>
      <vt:lpstr>nmProd2Rep2</vt:lpstr>
      <vt:lpstr>nmProd2Rep3</vt:lpstr>
      <vt:lpstr>nmProd2Seg1</vt:lpstr>
      <vt:lpstr>nmProd2Seg2</vt:lpstr>
      <vt:lpstr>nmProd2Seg3</vt:lpstr>
      <vt:lpstr>nmProd3</vt:lpstr>
      <vt:lpstr>nmProd3Rep1</vt:lpstr>
      <vt:lpstr>nmProd3Rep2</vt:lpstr>
      <vt:lpstr>nmProd3Rep3</vt:lpstr>
      <vt:lpstr>nmProd3Seg1</vt:lpstr>
      <vt:lpstr>nmProd3Seg2</vt:lpstr>
      <vt:lpstr>nmProd3Seg3</vt:lpstr>
      <vt:lpstr>nmProgramSubtitle</vt:lpstr>
      <vt:lpstr>nmProgramTitle</vt:lpstr>
      <vt:lpstr>nmReg1</vt:lpstr>
      <vt:lpstr>nmReg1Seg1</vt:lpstr>
      <vt:lpstr>nmReg1Seg2</vt:lpstr>
      <vt:lpstr>nmReg1Seg3</vt:lpstr>
      <vt:lpstr>nmRevenue</vt:lpstr>
      <vt:lpstr>nmRound</vt:lpstr>
      <vt:lpstr>nmTeamName</vt:lpstr>
      <vt:lpstr>nmTeamNumber</vt:lpstr>
      <vt:lpstr>nmTherapy1</vt:lpstr>
      <vt:lpstr>nmTherapy2</vt:lpstr>
      <vt:lpstr>obal_End</vt:lpstr>
      <vt:lpstr>obalESATProd1</vt:lpstr>
      <vt:lpstr>obalESATReg1</vt:lpstr>
      <vt:lpstr>obalESATReg2</vt:lpstr>
      <vt:lpstr>obalInputProd1Seg1Therapy1Rep1Weight_R1</vt:lpstr>
      <vt:lpstr>obalInputProd1Seg1Therapy1Rep1Weight_R2</vt:lpstr>
      <vt:lpstr>obalInputProd1Seg1Therapy1Rep2Weight_R1</vt:lpstr>
      <vt:lpstr>obalInputProd1Seg1Therapy1Rep2Weight_R2</vt:lpstr>
      <vt:lpstr>obalInputProd1Seg1Therapy1Rep3Weight_R1</vt:lpstr>
      <vt:lpstr>obalInputProd1Seg1Therapy1Rep3Weight_R2</vt:lpstr>
      <vt:lpstr>obalInputProd1Seg1Therapy1RepAWeight_R1</vt:lpstr>
      <vt:lpstr>obalInputProd1Seg1Therapy1RepAWeight_R2</vt:lpstr>
      <vt:lpstr>obalInputProd1Seg1Therapy1RepBWeight_R1</vt:lpstr>
      <vt:lpstr>obalInputProd1Seg1Therapy1RepBWeight_R2</vt:lpstr>
      <vt:lpstr>obalInputProd1Seg1Therapy1RepCWeight_R1</vt:lpstr>
      <vt:lpstr>obalInputProd1Seg1Therapy1RepCWeight_R2</vt:lpstr>
      <vt:lpstr>obalInputProd1Seg2Therapy1Rep1Weight_R1</vt:lpstr>
      <vt:lpstr>obalInputProd1Seg2Therapy1Rep1Weight_R2</vt:lpstr>
      <vt:lpstr>obalInputProd1Seg2Therapy1Rep2Weight_R1</vt:lpstr>
      <vt:lpstr>obalInputProd1Seg2Therapy1Rep2Weight_R2</vt:lpstr>
      <vt:lpstr>obalInputProd1Seg2Therapy1Rep3Weight_R1</vt:lpstr>
      <vt:lpstr>obalInputProd1Seg2Therapy1Rep3Weight_R2</vt:lpstr>
      <vt:lpstr>obalInputProd1Seg2Therapy1RepAWeight_R1</vt:lpstr>
      <vt:lpstr>obalInputProd1Seg2Therapy1RepAWeight_R2</vt:lpstr>
      <vt:lpstr>obalInputProd1Seg2Therapy1RepBWeight_R1</vt:lpstr>
      <vt:lpstr>obalInputProd1Seg2Therapy1RepBWeight_R2</vt:lpstr>
      <vt:lpstr>obalInputProd1Seg2Therapy1RepCWeight_R1</vt:lpstr>
      <vt:lpstr>obalInputProd1Seg2Therapy1RepCWeight_R2</vt:lpstr>
      <vt:lpstr>obalInputProd1Seg3Therapy1Rep1Weight_R1</vt:lpstr>
      <vt:lpstr>obalInputProd1Seg3Therapy1Rep1Weight_R2</vt:lpstr>
      <vt:lpstr>obalInputProd1Seg3Therapy1Rep2Weight_R1</vt:lpstr>
      <vt:lpstr>obalInputProd1Seg3Therapy1Rep2Weight_R2</vt:lpstr>
      <vt:lpstr>obalInputProd1Seg3Therapy1Rep3Weight_R1</vt:lpstr>
      <vt:lpstr>obalInputProd1Seg3Therapy1Rep3Weight_R2</vt:lpstr>
      <vt:lpstr>obalInputProd1Seg3Therapy1RepAWeight_R1</vt:lpstr>
      <vt:lpstr>obalInputProd1Seg3Therapy1RepAWeight_R2</vt:lpstr>
      <vt:lpstr>obalInputProd1Seg3Therapy1RepBWeight_R1</vt:lpstr>
      <vt:lpstr>obalInputProd1Seg3Therapy1RepBWeight_R2</vt:lpstr>
      <vt:lpstr>obalInputProd1Seg3Therapy1RepCWeight_R1</vt:lpstr>
      <vt:lpstr>obalInputProd1Seg3Therapy1RepCWeight_R2</vt:lpstr>
      <vt:lpstr>obalOpEffProd1</vt:lpstr>
      <vt:lpstr>obalOpEffReg1</vt:lpstr>
      <vt:lpstr>obalProd1BudgetLeft</vt:lpstr>
      <vt:lpstr>obalProd1BudgetLeftR2</vt:lpstr>
      <vt:lpstr>obalProd1BudgetR1</vt:lpstr>
      <vt:lpstr>obalProd1Comp1NewShare</vt:lpstr>
      <vt:lpstr>obalProd1Comp1Payer1Share</vt:lpstr>
      <vt:lpstr>obalProd1Comp1Payer1Status</vt:lpstr>
      <vt:lpstr>obalProd1Comp1Payer2Share</vt:lpstr>
      <vt:lpstr>obalProd1Comp1Payer2Status</vt:lpstr>
      <vt:lpstr>obalProd1Comp1Payer3Share</vt:lpstr>
      <vt:lpstr>obalProd1Comp1Payer3Status</vt:lpstr>
      <vt:lpstr>obalProd1Comp1TotalShare</vt:lpstr>
      <vt:lpstr>obalProd1Comp2NewShare</vt:lpstr>
      <vt:lpstr>obalProd1Comp2Payer1Share</vt:lpstr>
      <vt:lpstr>obalProd1Comp2Payer1Status</vt:lpstr>
      <vt:lpstr>obalProd1Comp2Payer2Share</vt:lpstr>
      <vt:lpstr>obalProd1Comp2Payer2Status</vt:lpstr>
      <vt:lpstr>obalProd1Comp2Payer3Share</vt:lpstr>
      <vt:lpstr>obalProd1Comp2Payer3Status</vt:lpstr>
      <vt:lpstr>obalProd1Comp2TotalShare</vt:lpstr>
      <vt:lpstr>obalProd1FTEsLeft</vt:lpstr>
      <vt:lpstr>obalProd1NewShare</vt:lpstr>
      <vt:lpstr>obalProd1NewVolume</vt:lpstr>
      <vt:lpstr>obalProd1Payer1Share</vt:lpstr>
      <vt:lpstr>obalProd1Payer1Status</vt:lpstr>
      <vt:lpstr>obalProd1Payer1TotalVolume</vt:lpstr>
      <vt:lpstr>obalProd1Payer1Volume</vt:lpstr>
      <vt:lpstr>obalProd1Payer2Share</vt:lpstr>
      <vt:lpstr>obalProd1Payer2Status</vt:lpstr>
      <vt:lpstr>obalProd1Payer2TotalVolume</vt:lpstr>
      <vt:lpstr>obalProd1Payer2Volume</vt:lpstr>
      <vt:lpstr>obalProd1Payer3Share</vt:lpstr>
      <vt:lpstr>obalProd1Payer3Status</vt:lpstr>
      <vt:lpstr>obalProd1Payer3TotalVolume</vt:lpstr>
      <vt:lpstr>obalProd1Payer3Volume</vt:lpstr>
      <vt:lpstr>obalProd1SampleBudgetLeft</vt:lpstr>
      <vt:lpstr>obalProd1SampleBudgetLeftR2</vt:lpstr>
      <vt:lpstr>obalProd1Seg1Comp1NewShare</vt:lpstr>
      <vt:lpstr>obalProd1Seg1Comp1Payer1Share</vt:lpstr>
      <vt:lpstr>obalProd1Seg1Comp1Payer2Share</vt:lpstr>
      <vt:lpstr>obalProd1Seg1Comp1Payer3Share</vt:lpstr>
      <vt:lpstr>obalProd1Seg1Comp1TotalShare</vt:lpstr>
      <vt:lpstr>obalProd1Seg1Comp2NewShare</vt:lpstr>
      <vt:lpstr>obalProd1Seg1Comp2Payer1Share</vt:lpstr>
      <vt:lpstr>obalProd1Seg1Comp2Payer2Share</vt:lpstr>
      <vt:lpstr>obalProd1Seg1Comp2Payer3Share</vt:lpstr>
      <vt:lpstr>obalProd1Seg1Comp2TotalShare</vt:lpstr>
      <vt:lpstr>obalProd1Seg1NewShare</vt:lpstr>
      <vt:lpstr>obalProd1Seg1NewVolume</vt:lpstr>
      <vt:lpstr>obalProd1Seg1Payer1Share</vt:lpstr>
      <vt:lpstr>obalProd1Seg1Payer1TotalVolume</vt:lpstr>
      <vt:lpstr>obalProd1Seg1Payer1Volume</vt:lpstr>
      <vt:lpstr>obalProd1Seg1Payer2Share</vt:lpstr>
      <vt:lpstr>obalProd1Seg1Payer2TotalVolume</vt:lpstr>
      <vt:lpstr>obalProd1Seg1Payer2Volume</vt:lpstr>
      <vt:lpstr>obalProd1Seg1Payer3Share</vt:lpstr>
      <vt:lpstr>obalProd1Seg1Payer3TotalVolume</vt:lpstr>
      <vt:lpstr>obalProd1Seg1Payer3Volume</vt:lpstr>
      <vt:lpstr>obalProd1Seg1PromotionAlloc</vt:lpstr>
      <vt:lpstr>obalProd1Seg1PromotionAllocation</vt:lpstr>
      <vt:lpstr>obalProd1Seg1Rep1Cap</vt:lpstr>
      <vt:lpstr>obalProd1Seg1Rep1InternalTime</vt:lpstr>
      <vt:lpstr>obalProd1Seg1Rep2Cap</vt:lpstr>
      <vt:lpstr>obalProd1Seg1Rep2InternalTime</vt:lpstr>
      <vt:lpstr>obalProd1Seg1Rep3Cap</vt:lpstr>
      <vt:lpstr>obalProd1Seg1Rep3InternalTime</vt:lpstr>
      <vt:lpstr>obalProd1Seg1SampleAlloc</vt:lpstr>
      <vt:lpstr>obalProd1Seg1SpeakerAlloc</vt:lpstr>
      <vt:lpstr>obalProd1Seg1TotalMarketVolume</vt:lpstr>
      <vt:lpstr>obalProd1Seg1TotalPromotionAllocation</vt:lpstr>
      <vt:lpstr>obalProd1Seg1TotalShare</vt:lpstr>
      <vt:lpstr>obalProd1Seg1TotalVolume</vt:lpstr>
      <vt:lpstr>obalProd1Seg2Comp1NewShare</vt:lpstr>
      <vt:lpstr>obalProd1Seg2Comp1Payer1Share</vt:lpstr>
      <vt:lpstr>obalProd1Seg2Comp1Payer2Share</vt:lpstr>
      <vt:lpstr>obalProd1Seg2Comp1Payer3Share</vt:lpstr>
      <vt:lpstr>obalProd1Seg2Comp1TotalShare</vt:lpstr>
      <vt:lpstr>obalProd1Seg2Comp2NewShare</vt:lpstr>
      <vt:lpstr>obalProd1Seg2Comp2Payer1Share</vt:lpstr>
      <vt:lpstr>obalProd1Seg2Comp2Payer2Share</vt:lpstr>
      <vt:lpstr>obalProd1Seg2Comp2Payer3Share</vt:lpstr>
      <vt:lpstr>obalProd1Seg2Comp2TotalShare</vt:lpstr>
      <vt:lpstr>obalProd1Seg2NewShare</vt:lpstr>
      <vt:lpstr>obalProd1Seg2NewVolume</vt:lpstr>
      <vt:lpstr>obalProd1Seg2Payer1Share</vt:lpstr>
      <vt:lpstr>obalProd1Seg2Payer1TotalVolume</vt:lpstr>
      <vt:lpstr>obalProd1Seg2Payer1Volume</vt:lpstr>
      <vt:lpstr>obalProd1Seg2Payer2Share</vt:lpstr>
      <vt:lpstr>obalProd1Seg2Payer2TotalVolume</vt:lpstr>
      <vt:lpstr>obalProd1Seg2Payer2Volume</vt:lpstr>
      <vt:lpstr>obalProd1Seg2Payer3Share</vt:lpstr>
      <vt:lpstr>obalProd1Seg2Payer3TotalVolume</vt:lpstr>
      <vt:lpstr>obalProd1Seg2Payer3Volume</vt:lpstr>
      <vt:lpstr>obalProd1Seg2PromotionAlloc</vt:lpstr>
      <vt:lpstr>obalProd1Seg2PromotionAllocation</vt:lpstr>
      <vt:lpstr>obalProd1Seg2Rep1Cap</vt:lpstr>
      <vt:lpstr>obalProd1Seg2Rep1InternalTime</vt:lpstr>
      <vt:lpstr>obalProd1Seg2Rep2Cap</vt:lpstr>
      <vt:lpstr>obalProd1Seg2Rep2InternalTime</vt:lpstr>
      <vt:lpstr>obalProd1Seg2Rep3Cap</vt:lpstr>
      <vt:lpstr>obalProd1Seg2Rep3InternalTime</vt:lpstr>
      <vt:lpstr>obalProd1Seg2SampleAlloc</vt:lpstr>
      <vt:lpstr>obalProd1Seg2SpeakerAlloc</vt:lpstr>
      <vt:lpstr>obalProd1Seg2TotalMarketVolume</vt:lpstr>
      <vt:lpstr>obalProd1Seg2TotalPromotionAllocation</vt:lpstr>
      <vt:lpstr>obalProd1Seg2TotalShare</vt:lpstr>
      <vt:lpstr>obalProd1Seg2TotalVolume</vt:lpstr>
      <vt:lpstr>obalProd1Seg3Comp1NewShare</vt:lpstr>
      <vt:lpstr>obalProd1Seg3Comp1Payer1Share</vt:lpstr>
      <vt:lpstr>obalProd1Seg3Comp1Payer2Share</vt:lpstr>
      <vt:lpstr>obalProd1Seg3Comp1Payer3Share</vt:lpstr>
      <vt:lpstr>obalProd1Seg3Comp1TotalShare</vt:lpstr>
      <vt:lpstr>obalProd1Seg3Comp2NewShare</vt:lpstr>
      <vt:lpstr>obalProd1Seg3Comp2Payer1Share</vt:lpstr>
      <vt:lpstr>obalProd1Seg3Comp2Payer2Share</vt:lpstr>
      <vt:lpstr>obalProd1Seg3Comp2Payer3Share</vt:lpstr>
      <vt:lpstr>obalProd1Seg3Comp2TotalShare</vt:lpstr>
      <vt:lpstr>obalProd1Seg3NewShare</vt:lpstr>
      <vt:lpstr>obalProd1Seg3NewVolume</vt:lpstr>
      <vt:lpstr>obalProd1Seg3Payer1Share</vt:lpstr>
      <vt:lpstr>obalProd1Seg3Payer1TotalVolume</vt:lpstr>
      <vt:lpstr>obalProd1Seg3Payer1Volume</vt:lpstr>
      <vt:lpstr>obalProd1Seg3Payer2Share</vt:lpstr>
      <vt:lpstr>obalProd1Seg3Payer2TotalVolume</vt:lpstr>
      <vt:lpstr>obalProd1Seg3Payer2Volume</vt:lpstr>
      <vt:lpstr>obalProd1Seg3Payer3Share</vt:lpstr>
      <vt:lpstr>obalProd1Seg3Payer3TotalVolume</vt:lpstr>
      <vt:lpstr>obalProd1Seg3Payer3Volume</vt:lpstr>
      <vt:lpstr>obalProd1Seg3PromotionAlloc</vt:lpstr>
      <vt:lpstr>obalProd1Seg3PromotionAllocation</vt:lpstr>
      <vt:lpstr>obalProd1Seg3Rep1Cap</vt:lpstr>
      <vt:lpstr>obalProd1Seg3Rep1InternalTime</vt:lpstr>
      <vt:lpstr>obalProd1Seg3Rep2Cap</vt:lpstr>
      <vt:lpstr>obalProd1Seg3Rep2InternalTime</vt:lpstr>
      <vt:lpstr>obalProd1Seg3Rep3Cap</vt:lpstr>
      <vt:lpstr>obalProd1Seg3Rep3InternalTime</vt:lpstr>
      <vt:lpstr>obalProd1Seg3SampleAlloc</vt:lpstr>
      <vt:lpstr>obalProd1Seg3SpeakerAlloc</vt:lpstr>
      <vt:lpstr>obalProd1Seg3TotalMarketVolume</vt:lpstr>
      <vt:lpstr>obalProd1Seg3TotalPromotionAllocation</vt:lpstr>
      <vt:lpstr>obalProd1Seg3TotalShare</vt:lpstr>
      <vt:lpstr>obalProd1Seg3TotalVolume</vt:lpstr>
      <vt:lpstr>obalProd1TotalMarketVolume</vt:lpstr>
      <vt:lpstr>obalProd1TotalShare</vt:lpstr>
      <vt:lpstr>obalProd1TotalVolume</vt:lpstr>
      <vt:lpstr>obalReg1BudgetLeft</vt:lpstr>
      <vt:lpstr>obalReg1BudgetLeftR2</vt:lpstr>
      <vt:lpstr>obalReg1BudgetR1</vt:lpstr>
      <vt:lpstr>obalReg1Comp1NewShare</vt:lpstr>
      <vt:lpstr>obalReg1Comp1Payer1Share</vt:lpstr>
      <vt:lpstr>obalReg1Comp1Payer1Status</vt:lpstr>
      <vt:lpstr>obalReg1Comp1Payer2Share</vt:lpstr>
      <vt:lpstr>obalReg1Comp1Payer2Status</vt:lpstr>
      <vt:lpstr>obalReg1Comp1Payer3Share</vt:lpstr>
      <vt:lpstr>obalReg1Comp1Payer3Status</vt:lpstr>
      <vt:lpstr>obalReg1Comp1TotalShare</vt:lpstr>
      <vt:lpstr>obalReg1Comp2NewShare</vt:lpstr>
      <vt:lpstr>obalReg1Comp2Payer1Share</vt:lpstr>
      <vt:lpstr>obalReg1Comp2Payer1Status</vt:lpstr>
      <vt:lpstr>obalReg1Comp2Payer2Share</vt:lpstr>
      <vt:lpstr>obalReg1Comp2Payer2Status</vt:lpstr>
      <vt:lpstr>obalReg1Comp2Payer3Share</vt:lpstr>
      <vt:lpstr>obalReg1Comp2Payer3Status</vt:lpstr>
      <vt:lpstr>obalReg1Comp2TotalShare</vt:lpstr>
      <vt:lpstr>obalReg1FTEsLeft</vt:lpstr>
      <vt:lpstr>obalReg1NewShare</vt:lpstr>
      <vt:lpstr>obalReg1NewVolume</vt:lpstr>
      <vt:lpstr>obalReg1Payer1Share</vt:lpstr>
      <vt:lpstr>obalReg1Payer1Status</vt:lpstr>
      <vt:lpstr>obalReg1Payer1TotalVolume</vt:lpstr>
      <vt:lpstr>obalReg1Payer1Volume</vt:lpstr>
      <vt:lpstr>obalReg1Payer2Share</vt:lpstr>
      <vt:lpstr>obalReg1Payer2Status</vt:lpstr>
      <vt:lpstr>obalReg1Payer2TotalVolume</vt:lpstr>
      <vt:lpstr>obalReg1Payer2Volume</vt:lpstr>
      <vt:lpstr>obalReg1Payer3Share</vt:lpstr>
      <vt:lpstr>obalReg1Payer3Status</vt:lpstr>
      <vt:lpstr>obalReg1Payer3TotalVolume</vt:lpstr>
      <vt:lpstr>obalReg1Payer3Volume</vt:lpstr>
      <vt:lpstr>obalReg1SampleBudgetLeft</vt:lpstr>
      <vt:lpstr>obalReg1SampleBudgetLeftR2</vt:lpstr>
      <vt:lpstr>obalReg1Seg1Comp1NewShare</vt:lpstr>
      <vt:lpstr>obalReg1Seg1Comp1Payer1Share</vt:lpstr>
      <vt:lpstr>obalReg1Seg1Comp1Payer2Share</vt:lpstr>
      <vt:lpstr>obalReg1Seg1Comp1Payer3Share</vt:lpstr>
      <vt:lpstr>obalReg1Seg1Comp1TotalShare</vt:lpstr>
      <vt:lpstr>obalReg1Seg1Comp2NewShare</vt:lpstr>
      <vt:lpstr>obalReg1Seg1Comp2Payer1Share</vt:lpstr>
      <vt:lpstr>obalReg1Seg1Comp2Payer2Share</vt:lpstr>
      <vt:lpstr>obalReg1Seg1Comp2Payer3Share</vt:lpstr>
      <vt:lpstr>obalReg1Seg1Comp2TotalShare</vt:lpstr>
      <vt:lpstr>obalReg1Seg1NewShare</vt:lpstr>
      <vt:lpstr>obalReg1Seg1NewVolume</vt:lpstr>
      <vt:lpstr>obalReg1Seg1Payer1Share</vt:lpstr>
      <vt:lpstr>obalReg1Seg1Payer1TotalVolume</vt:lpstr>
      <vt:lpstr>obalReg1Seg1Payer1Volume</vt:lpstr>
      <vt:lpstr>obalReg1Seg1Payer2Share</vt:lpstr>
      <vt:lpstr>obalReg1Seg1Payer2TotalVolume</vt:lpstr>
      <vt:lpstr>obalReg1Seg1Payer2Volume</vt:lpstr>
      <vt:lpstr>obalReg1Seg1Payer3Share</vt:lpstr>
      <vt:lpstr>obalReg1Seg1Payer3TotalVolume</vt:lpstr>
      <vt:lpstr>obalReg1Seg1Payer3Volume</vt:lpstr>
      <vt:lpstr>obalReg1Seg1PromotionAlloc</vt:lpstr>
      <vt:lpstr>obalReg1Seg1PromotionAllocation</vt:lpstr>
      <vt:lpstr>obalReg1Seg1Rep1Cap</vt:lpstr>
      <vt:lpstr>obalReg1Seg1RepInternalTime</vt:lpstr>
      <vt:lpstr>obalReg1Seg1SampleAlloc</vt:lpstr>
      <vt:lpstr>obalReg1Seg1SpeakerAlloc</vt:lpstr>
      <vt:lpstr>obalReg1Seg1TotalMarketVolume</vt:lpstr>
      <vt:lpstr>obalReg1Seg1TotalPromotionAllocation</vt:lpstr>
      <vt:lpstr>obalReg1Seg1TotalShare</vt:lpstr>
      <vt:lpstr>obalReg1Seg1TotalVolume</vt:lpstr>
      <vt:lpstr>obalReg1Seg2Comp1NewShare</vt:lpstr>
      <vt:lpstr>obalReg1Seg2Comp1Payer1Share</vt:lpstr>
      <vt:lpstr>obalReg1Seg2Comp1Payer2Share</vt:lpstr>
      <vt:lpstr>obalReg1Seg2Comp1Payer3Share</vt:lpstr>
      <vt:lpstr>obalReg1Seg2Comp1TotalShare</vt:lpstr>
      <vt:lpstr>obalReg1Seg2Comp2NewShare</vt:lpstr>
      <vt:lpstr>obalReg1Seg2Comp2Payer1Share</vt:lpstr>
      <vt:lpstr>obalReg1Seg2Comp2Payer2Share</vt:lpstr>
      <vt:lpstr>obalReg1Seg2Comp2Payer3Share</vt:lpstr>
      <vt:lpstr>obalReg1Seg2Comp2TotalShare</vt:lpstr>
      <vt:lpstr>obalReg1Seg2NewShare</vt:lpstr>
      <vt:lpstr>obalReg1Seg2NewVolume</vt:lpstr>
      <vt:lpstr>obalReg1Seg2Payer1Share</vt:lpstr>
      <vt:lpstr>obalReg1Seg2Payer1TotalVolume</vt:lpstr>
      <vt:lpstr>obalReg1Seg2Payer1Volume</vt:lpstr>
      <vt:lpstr>obalReg1Seg2Payer2Share</vt:lpstr>
      <vt:lpstr>obalReg1Seg2Payer2TotalVolume</vt:lpstr>
      <vt:lpstr>obalReg1Seg2Payer2Volume</vt:lpstr>
      <vt:lpstr>obalReg1Seg2Payer3Share</vt:lpstr>
      <vt:lpstr>obalReg1Seg2Payer3TotalVolume</vt:lpstr>
      <vt:lpstr>obalReg1Seg2Payer3Volume</vt:lpstr>
      <vt:lpstr>obalReg1Seg2PromotionAlloc</vt:lpstr>
      <vt:lpstr>obalReg1Seg2PromotionAllocation</vt:lpstr>
      <vt:lpstr>obalReg1Seg2Rep1Cap</vt:lpstr>
      <vt:lpstr>obalReg1Seg2RepInternalTime</vt:lpstr>
      <vt:lpstr>obalReg1Seg2SampleAlloc</vt:lpstr>
      <vt:lpstr>obalReg1Seg2SpeakerAlloc</vt:lpstr>
      <vt:lpstr>obalReg1Seg2TotalMarketVolume</vt:lpstr>
      <vt:lpstr>obalReg1Seg2TotalPromotionAllocation</vt:lpstr>
      <vt:lpstr>obalReg1Seg2TotalShare</vt:lpstr>
      <vt:lpstr>obalReg1Seg2TotalVolume</vt:lpstr>
      <vt:lpstr>obalReg1Seg3Comp1NewShare</vt:lpstr>
      <vt:lpstr>obalReg1Seg3Comp1Payer1Share</vt:lpstr>
      <vt:lpstr>obalReg1Seg3Comp1Payer2Share</vt:lpstr>
      <vt:lpstr>obalReg1Seg3Comp1Payer3Share</vt:lpstr>
      <vt:lpstr>obalReg1Seg3Comp1TotalShare</vt:lpstr>
      <vt:lpstr>obalReg1Seg3Comp2NewShare</vt:lpstr>
      <vt:lpstr>obalReg1Seg3Comp2Payer1Share</vt:lpstr>
      <vt:lpstr>obalReg1Seg3Comp2Payer2Share</vt:lpstr>
      <vt:lpstr>obalReg1Seg3Comp2Payer3Share</vt:lpstr>
      <vt:lpstr>obalReg1Seg3Comp2TotalShare</vt:lpstr>
      <vt:lpstr>obalReg1Seg3NewShare</vt:lpstr>
      <vt:lpstr>obalReg1Seg3NewVolume</vt:lpstr>
      <vt:lpstr>obalReg1Seg3Payer1Share</vt:lpstr>
      <vt:lpstr>obalReg1Seg3Payer1TotalVolume</vt:lpstr>
      <vt:lpstr>obalReg1Seg3Payer1Volume</vt:lpstr>
      <vt:lpstr>obalReg1Seg3Payer2Share</vt:lpstr>
      <vt:lpstr>obalReg1Seg3Payer2TotalVolume</vt:lpstr>
      <vt:lpstr>obalReg1Seg3Payer2Volume</vt:lpstr>
      <vt:lpstr>obalReg1Seg3Payer3Share</vt:lpstr>
      <vt:lpstr>obalReg1Seg3Payer3TotalVolume</vt:lpstr>
      <vt:lpstr>obalReg1Seg3Payer3Volume</vt:lpstr>
      <vt:lpstr>obalReg1Seg3PromotionAlloc</vt:lpstr>
      <vt:lpstr>obalReg1Seg3PromotionAllocation</vt:lpstr>
      <vt:lpstr>obalReg1Seg3Rep1Cap</vt:lpstr>
      <vt:lpstr>obalReg1Seg3RepInternalTime</vt:lpstr>
      <vt:lpstr>obalReg1Seg3SampleAlloc</vt:lpstr>
      <vt:lpstr>obalReg1Seg3SpeakerAlloc</vt:lpstr>
      <vt:lpstr>obalReg1Seg3TotalMarketVolume</vt:lpstr>
      <vt:lpstr>obalReg1Seg3TotalPromotionAllocation</vt:lpstr>
      <vt:lpstr>obalReg1Seg3TotalShare</vt:lpstr>
      <vt:lpstr>obalReg1Seg3TotalVolume</vt:lpstr>
      <vt:lpstr>obalReg1TotalMarketVolume</vt:lpstr>
      <vt:lpstr>obalReg1TotalShare</vt:lpstr>
      <vt:lpstr>obalReg1TotalVolume</vt:lpstr>
      <vt:lpstr>PrintReports_Analysis_Active1</vt:lpstr>
      <vt:lpstr>PrintReports_Analysis_BW</vt:lpstr>
      <vt:lpstr>PrintReports_Analysis_Color</vt:lpstr>
      <vt:lpstr>PrintReports_Analysis_PageFit</vt:lpstr>
      <vt:lpstr>PrintReports_Analysis_Sheet1</vt:lpstr>
      <vt:lpstr>PrintReports_Annuals_Active1</vt:lpstr>
      <vt:lpstr>PrintReports_Annuals_Active10</vt:lpstr>
      <vt:lpstr>PrintReports_Annuals_Active2</vt:lpstr>
      <vt:lpstr>PrintReports_Annuals_Active3</vt:lpstr>
      <vt:lpstr>PrintReports_Annuals_Active4</vt:lpstr>
      <vt:lpstr>PrintReports_Annuals_Active5</vt:lpstr>
      <vt:lpstr>PrintReports_Annuals_Active6</vt:lpstr>
      <vt:lpstr>PrintReports_Annuals_Active7</vt:lpstr>
      <vt:lpstr>PrintReports_Annuals_Active8</vt:lpstr>
      <vt:lpstr>PrintReports_Annuals_Active9</vt:lpstr>
      <vt:lpstr>PrintReports_Annuals_BW</vt:lpstr>
      <vt:lpstr>PrintReports_Annuals_Color</vt:lpstr>
      <vt:lpstr>PrintReports_Annuals_PageFit</vt:lpstr>
      <vt:lpstr>PrintReports_Annuals_PageFit2</vt:lpstr>
      <vt:lpstr>PrintReports_Annuals_Range1</vt:lpstr>
      <vt:lpstr>PrintReports_Annuals_Range10</vt:lpstr>
      <vt:lpstr>PrintReports_Annuals_Range2</vt:lpstr>
      <vt:lpstr>PrintReports_Annuals_Range3</vt:lpstr>
      <vt:lpstr>PrintReports_Annuals_Range4</vt:lpstr>
      <vt:lpstr>PrintReports_Annuals_Range5</vt:lpstr>
      <vt:lpstr>PrintReports_Annuals_Range6</vt:lpstr>
      <vt:lpstr>PrintReports_Annuals_Range7</vt:lpstr>
      <vt:lpstr>PrintReports_Annuals_Range8</vt:lpstr>
      <vt:lpstr>PrintReports_Annuals_Range9</vt:lpstr>
      <vt:lpstr>PrintReports_Annuals_RangeType1</vt:lpstr>
      <vt:lpstr>PrintReports_Annuals_RangeType10</vt:lpstr>
      <vt:lpstr>PrintReports_Annuals_RangeType2</vt:lpstr>
      <vt:lpstr>PrintReports_Annuals_RangeType3</vt:lpstr>
      <vt:lpstr>PrintReports_Annuals_RangeType4</vt:lpstr>
      <vt:lpstr>PrintReports_Annuals_RangeType5</vt:lpstr>
      <vt:lpstr>PrintReports_Annuals_RangeType6</vt:lpstr>
      <vt:lpstr>PrintReports_Annuals_RangeType7</vt:lpstr>
      <vt:lpstr>PrintReports_Annuals_RangeType8</vt:lpstr>
      <vt:lpstr>PrintReports_Annuals_RangeType9</vt:lpstr>
      <vt:lpstr>PrintReports_Annuals_Screen1</vt:lpstr>
      <vt:lpstr>PrintReports_Annuals_Screen10</vt:lpstr>
      <vt:lpstr>PrintReports_Annuals_Screen2</vt:lpstr>
      <vt:lpstr>PrintReports_Annuals_Screen3</vt:lpstr>
      <vt:lpstr>PrintReports_Annuals_Screen4</vt:lpstr>
      <vt:lpstr>PrintReports_Annuals_Screen5</vt:lpstr>
      <vt:lpstr>PrintReports_Annuals_Screen6</vt:lpstr>
      <vt:lpstr>PrintReports_Annuals_Screen7</vt:lpstr>
      <vt:lpstr>PrintReports_Annuals_Screen8</vt:lpstr>
      <vt:lpstr>PrintReports_Annuals_Screen9</vt:lpstr>
      <vt:lpstr>PrintReports_AnnualsPages</vt:lpstr>
      <vt:lpstr>PrintReports_Competitor_Active1</vt:lpstr>
      <vt:lpstr>PrintReports_Competitor_BW</vt:lpstr>
      <vt:lpstr>PrintReports_Competitor_Color</vt:lpstr>
      <vt:lpstr>PrintReports_Competitor_Combine1</vt:lpstr>
      <vt:lpstr>PrintReports_Competitor_PageFit</vt:lpstr>
      <vt:lpstr>PrintReports_Competitor_Range1</vt:lpstr>
      <vt:lpstr>PrintReports_Competitor_Sheet1</vt:lpstr>
      <vt:lpstr>PrintReports_MktAnalysis_Active1</vt:lpstr>
      <vt:lpstr>PrintReports_MktAnalysis_Active2</vt:lpstr>
      <vt:lpstr>PrintReports_MktAnalysis_Active3</vt:lpstr>
      <vt:lpstr>PrintReports_MktAnalysis_Active4</vt:lpstr>
      <vt:lpstr>PrintReports_MktAnalysis_Active5</vt:lpstr>
      <vt:lpstr>PrintReports_MktAnalysis_Active6</vt:lpstr>
      <vt:lpstr>PrintReports_MktAnalysis_BW</vt:lpstr>
      <vt:lpstr>PrintReports_MktAnalysis_Color</vt:lpstr>
      <vt:lpstr>PrintReports_MktAnalysis_PageFit</vt:lpstr>
      <vt:lpstr>PrintReports_MktAnalysis_Range1</vt:lpstr>
      <vt:lpstr>PrintReports_MktAnalysis_Range2</vt:lpstr>
      <vt:lpstr>PrintReports_MktAnalysis_Range3</vt:lpstr>
      <vt:lpstr>PrintReports_MktAnalysis_Range4</vt:lpstr>
      <vt:lpstr>PrintReports_MktAnalysis_Range5</vt:lpstr>
      <vt:lpstr>PrintReports_MktAnalysis_Range6</vt:lpstr>
      <vt:lpstr>PrintReports_MktAnalysis_Sheet1</vt:lpstr>
      <vt:lpstr>PrintReports_MktAnalysis_Sheet2</vt:lpstr>
      <vt:lpstr>PrintReports_MktAnalysis_Sheet3</vt:lpstr>
      <vt:lpstr>PrintReports_MktAnalysis_Sheet4</vt:lpstr>
      <vt:lpstr>PrintReports_MktAnalysis_Sheet5</vt:lpstr>
      <vt:lpstr>PrintReports_MktAnalysis_Sheet6</vt:lpstr>
      <vt:lpstr>PrintReports_MktAnalysis_Title1</vt:lpstr>
      <vt:lpstr>PrintReports_MktAnalysis_Title2</vt:lpstr>
      <vt:lpstr>PrintReports_MktAnalysis_Title3</vt:lpstr>
      <vt:lpstr>PrintReports_MktAnalysis_Title4</vt:lpstr>
      <vt:lpstr>PrintReports_MktAnalysis_Title5</vt:lpstr>
      <vt:lpstr>PrintReports_MktAnalysis_Title6</vt:lpstr>
      <vt:lpstr>PrintReports_MktAnalysisPages</vt:lpstr>
      <vt:lpstr>PrintReports_NumTeams</vt:lpstr>
      <vt:lpstr>PrintReports_Orientation</vt:lpstr>
      <vt:lpstr>PrintReports_PaperSize</vt:lpstr>
      <vt:lpstr>PrintReports_Round</vt:lpstr>
      <vt:lpstr>Rep_A</vt:lpstr>
      <vt:lpstr>sim_OnResetGoTo</vt:lpstr>
      <vt:lpstr>simulation_Type</vt:lpstr>
      <vt:lpstr>Tier_2</vt:lpstr>
      <vt:lpstr>tlInputCoachScoring</vt:lpstr>
      <vt:lpstr>tlInputProd1R2RolePlayScore</vt:lpstr>
      <vt:lpstr>tlInputProd1Seg1CfCollab_R1</vt:lpstr>
      <vt:lpstr>tlInputProd1Seg1CfCollab_R2</vt:lpstr>
      <vt:lpstr>tlInputProd1Seg1PrevPromotionAllocation_R1</vt:lpstr>
      <vt:lpstr>tlInputProd1Seg1PrevPromotionAllocation_R2</vt:lpstr>
      <vt:lpstr>tlInputProd1Seg1PrevPromotionAllocationTitle_R1</vt:lpstr>
      <vt:lpstr>tlInputProd1Seg1PrevPromotionAllocationTitle_R2</vt:lpstr>
      <vt:lpstr>tlInputProd1Seg1PromotionAllocation_R1</vt:lpstr>
      <vt:lpstr>tlInputProd1Seg1PromotionAllocation_R2</vt:lpstr>
      <vt:lpstr>tlInputProd1Seg1PromotionPerc_R1</vt:lpstr>
      <vt:lpstr>tlInputProd1Seg1PromotionPerc_R2</vt:lpstr>
      <vt:lpstr>tlInputProd1Seg1RegTrainer_R1</vt:lpstr>
      <vt:lpstr>tlInputProd1Seg1RegTrainer_R2</vt:lpstr>
      <vt:lpstr>tlInputProd1Seg1Rep1Coaching_R1</vt:lpstr>
      <vt:lpstr>tlInputProd1Seg1Rep1Coaching_R2</vt:lpstr>
      <vt:lpstr>tlInputProd1Seg1Rep2Coaching_R1</vt:lpstr>
      <vt:lpstr>tlInputProd1Seg1Rep2Coaching_R2</vt:lpstr>
      <vt:lpstr>tlInputProd1Seg1Rep3Coaching_R1</vt:lpstr>
      <vt:lpstr>tlInputProd1Seg1Rep3Coaching_R2</vt:lpstr>
      <vt:lpstr>tlInputProd1Seg1SamplesPerc_R1</vt:lpstr>
      <vt:lpstr>tlInputProd1Seg1SamplesPerc_R2</vt:lpstr>
      <vt:lpstr>tlInputProd1Seg1SpeakersPerc_R1</vt:lpstr>
      <vt:lpstr>tlInputProd1Seg1SpeakersPerc_R2</vt:lpstr>
      <vt:lpstr>tlInputProd1Seg1Therapy1Rep1Weight_R1</vt:lpstr>
      <vt:lpstr>tlInputProd1Seg1Therapy1Rep1Weight_R2</vt:lpstr>
      <vt:lpstr>tlInputProd1Seg1Therapy1Rep2Weight_R1</vt:lpstr>
      <vt:lpstr>tlInputProd1Seg1Therapy1Rep2Weight_R2</vt:lpstr>
      <vt:lpstr>tlInputProd1Seg1Therapy1Rep3Weight_R1</vt:lpstr>
      <vt:lpstr>tlInputProd1Seg1Therapy1Rep3Weight_R2</vt:lpstr>
      <vt:lpstr>tlInputProd1Seg2CfCollab_R1</vt:lpstr>
      <vt:lpstr>tlInputProd1Seg2CfCollab_R2</vt:lpstr>
      <vt:lpstr>tlInputProd1Seg2PrevPromotionAllocation_R1</vt:lpstr>
      <vt:lpstr>tlInputProd1Seg2PrevPromotionAllocation_R2</vt:lpstr>
      <vt:lpstr>tlInputProd1Seg2PrevPromotionAllocationTitle_R1</vt:lpstr>
      <vt:lpstr>tlInputProd1Seg2PrevPromotionAllocationTitle_R2</vt:lpstr>
      <vt:lpstr>tlInputProd1Seg2PromotionAllocation_R1</vt:lpstr>
      <vt:lpstr>tlInputProd1Seg2PromotionAllocation_R2</vt:lpstr>
      <vt:lpstr>tlInputProd1Seg2PromotionPerc_R1</vt:lpstr>
      <vt:lpstr>tlInputProd1Seg2PromotionPerc_R2</vt:lpstr>
      <vt:lpstr>tlInputProd1Seg2RegTrainer_R1</vt:lpstr>
      <vt:lpstr>tlInputProd1Seg2RegTrainer_R2</vt:lpstr>
      <vt:lpstr>tlInputProd1Seg2Rep1Coaching_R1</vt:lpstr>
      <vt:lpstr>tlInputProd1Seg2Rep1Coaching_R2</vt:lpstr>
      <vt:lpstr>tlInputProd1Seg2Rep2Coaching_R1</vt:lpstr>
      <vt:lpstr>tlInputProd1Seg2Rep2Coaching_R2</vt:lpstr>
      <vt:lpstr>tlInputProd1Seg2Rep3Coaching_R1</vt:lpstr>
      <vt:lpstr>tlInputProd1Seg2Rep3Coaching_R2</vt:lpstr>
      <vt:lpstr>tlInputProd1Seg2SamplesPerc_R1</vt:lpstr>
      <vt:lpstr>tlInputProd1Seg2SamplesPerc_R2</vt:lpstr>
      <vt:lpstr>tlInputProd1Seg2SpeakersPerc_R1</vt:lpstr>
      <vt:lpstr>tlInputProd1Seg2SpeakersPerc_R2</vt:lpstr>
      <vt:lpstr>tlInputProd1Seg2Therapy1Rep1Weight_R1</vt:lpstr>
      <vt:lpstr>tlInputProd1Seg2Therapy1Rep1Weight_R2</vt:lpstr>
      <vt:lpstr>tlInputProd1Seg2Therapy1Rep2Weight_R1</vt:lpstr>
      <vt:lpstr>tlInputProd1Seg2Therapy1Rep2Weight_R2</vt:lpstr>
      <vt:lpstr>tlInputProd1Seg2Therapy1Rep3Weight_R1</vt:lpstr>
      <vt:lpstr>tlInputProd1Seg2Therapy1Rep3Weight_R2</vt:lpstr>
      <vt:lpstr>tlInputProd1Seg3CfCollab_R1</vt:lpstr>
      <vt:lpstr>tlInputProd1Seg3CfCollab_R2</vt:lpstr>
      <vt:lpstr>tlInputProd1Seg3PrevPromotionAllocation_R1</vt:lpstr>
      <vt:lpstr>tlInputProd1Seg3PrevPromotionAllocation_R2</vt:lpstr>
      <vt:lpstr>tlInputProd1Seg3PrevPromotionAllocationTitle_R1</vt:lpstr>
      <vt:lpstr>tlInputProd1Seg3PrevPromotionAllocationTitle_R2</vt:lpstr>
      <vt:lpstr>tlInputProd1Seg3PromotionAllocation_R1</vt:lpstr>
      <vt:lpstr>tlInputProd1Seg3PromotionAllocation_R2</vt:lpstr>
      <vt:lpstr>tlInputProd1Seg3PromotionPerc_R1</vt:lpstr>
      <vt:lpstr>tlInputProd1Seg3PromotionPerc_R2</vt:lpstr>
      <vt:lpstr>tlInputProd1Seg3RegTrainer_R1</vt:lpstr>
      <vt:lpstr>tlInputProd1Seg3RegTrainer_R2</vt:lpstr>
      <vt:lpstr>tlInputProd1Seg3Rep1Coaching_R1</vt:lpstr>
      <vt:lpstr>tlInputProd1Seg3Rep1Coaching_R2</vt:lpstr>
      <vt:lpstr>tlInputProd1Seg3Rep2Coaching_R1</vt:lpstr>
      <vt:lpstr>tlInputProd1Seg3Rep2Coaching_R2</vt:lpstr>
      <vt:lpstr>tlInputProd1Seg3Rep3Coaching_R1</vt:lpstr>
      <vt:lpstr>tlInputProd1Seg3Rep3Coaching_R2</vt:lpstr>
      <vt:lpstr>tlInputProd1Seg3SamplesPerc_R1</vt:lpstr>
      <vt:lpstr>tlInputProd1Seg3SamplesPerc_R2</vt:lpstr>
      <vt:lpstr>tlInputProd1Seg3SpeakersPerc_R1</vt:lpstr>
      <vt:lpstr>tlInputProd1Seg3SpeakersPerc_R2</vt:lpstr>
      <vt:lpstr>tlInputProd1Seg3Therapy1Rep1Weight_R1</vt:lpstr>
      <vt:lpstr>tlInputProd1Seg3Therapy1Rep1Weight_R2</vt:lpstr>
      <vt:lpstr>tlInputProd1Seg3Therapy1Rep2Weight_R1</vt:lpstr>
      <vt:lpstr>tlInputProd1Seg3Therapy1Rep2Weight_R2</vt:lpstr>
      <vt:lpstr>tlInputProd1Seg3Therapy1Rep3Weight_R1</vt:lpstr>
      <vt:lpstr>tlInputProd1Seg3Therapy1Rep3Weight_R2</vt:lpstr>
      <vt:lpstr>tlInputReg1Seg1CfCollab_R1</vt:lpstr>
      <vt:lpstr>tlInputReg1Seg1CfCollab_R2</vt:lpstr>
      <vt:lpstr>tlInputReg1Seg1PrevPromotionAllocation_R1</vt:lpstr>
      <vt:lpstr>tlInputReg1Seg1PrevPromotionAllocation_R2</vt:lpstr>
      <vt:lpstr>tlInputReg1Seg1PromotionAllocation_R1</vt:lpstr>
      <vt:lpstr>tlInputReg1Seg1PromotionAllocation_R2</vt:lpstr>
      <vt:lpstr>tlInputReg1Seg1PromotionPerc_R1</vt:lpstr>
      <vt:lpstr>tlInputReg1Seg1PromotionPerc_R2</vt:lpstr>
      <vt:lpstr>tlInputReg1Seg1RegTrainer_R1</vt:lpstr>
      <vt:lpstr>tlInputReg1Seg1RegTrainer_R2</vt:lpstr>
      <vt:lpstr>tlInputReg1Seg1Rep1Coaching_R1</vt:lpstr>
      <vt:lpstr>tlInputReg1Seg1Rep1Coaching_R2</vt:lpstr>
      <vt:lpstr>tlInputReg1Seg1RepCCoaching_R1</vt:lpstr>
      <vt:lpstr>tlInputReg1Seg1RepCCoaching_R2</vt:lpstr>
      <vt:lpstr>tlInputReg1Seg1SamplesPerc_R1</vt:lpstr>
      <vt:lpstr>tlInputReg1Seg1SamplesPerc_R2</vt:lpstr>
      <vt:lpstr>tlInputReg1Seg1SpeakersPerc_R1</vt:lpstr>
      <vt:lpstr>tlInputReg1Seg1SpeakersPerc_R2</vt:lpstr>
      <vt:lpstr>tlInputReg1Seg2CfCollab_R1</vt:lpstr>
      <vt:lpstr>tlInputReg1Seg2CfCollab_R2</vt:lpstr>
      <vt:lpstr>tlInputReg1Seg2PrevPromotionAllocation_R1</vt:lpstr>
      <vt:lpstr>tlInputReg1Seg2PrevPromotionAllocation_R2</vt:lpstr>
      <vt:lpstr>tlInputReg1Seg2PrevPromotionAllocationTitle_R1</vt:lpstr>
      <vt:lpstr>tlInputReg1Seg2PrevPromotionAllocationTitle_R2</vt:lpstr>
      <vt:lpstr>tlInputReg1Seg2PromotionAllocation_R1</vt:lpstr>
      <vt:lpstr>tlInputReg1Seg2PromotionAllocation_R2</vt:lpstr>
      <vt:lpstr>tlInputReg1Seg2PromotionPerc_R1</vt:lpstr>
      <vt:lpstr>tlInputReg1Seg2PromotionPerc_R2</vt:lpstr>
      <vt:lpstr>tlInputReg1Seg2RegTrainer_R1</vt:lpstr>
      <vt:lpstr>tlInputReg1Seg2RegTrainer_R2</vt:lpstr>
      <vt:lpstr>tlInputReg1Seg2Rep1Coaching_R1</vt:lpstr>
      <vt:lpstr>tlInputReg1Seg2Rep1Coaching_R2</vt:lpstr>
      <vt:lpstr>tlInputReg1Seg2RepCCoaching_R1</vt:lpstr>
      <vt:lpstr>tlInputReg1Seg2RepCCoaching_R2</vt:lpstr>
      <vt:lpstr>tlInputReg1Seg2SamplesPerc_R1</vt:lpstr>
      <vt:lpstr>tlInputReg1Seg2SamplesPerc_R2</vt:lpstr>
      <vt:lpstr>tlInputReg1Seg2SpeakersPerc_R1</vt:lpstr>
      <vt:lpstr>tlInputReg1Seg2SpeakersPerc_R2</vt:lpstr>
      <vt:lpstr>tlInputReg1Seg3CfCollab_R1</vt:lpstr>
      <vt:lpstr>tlInputReg1Seg3CfCollab_R2</vt:lpstr>
      <vt:lpstr>tlInputReg1Seg3PrevPromotionAllocation_R1</vt:lpstr>
      <vt:lpstr>tlInputReg1Seg3PrevPromotionAllocation_R2</vt:lpstr>
      <vt:lpstr>tlInputReg1Seg3PrevPromotionAllocationTitle_R1</vt:lpstr>
      <vt:lpstr>tlInputReg1Seg3PrevPromotionAllocationTitle_R2</vt:lpstr>
      <vt:lpstr>tlInputReg1Seg3PromotionAllocation_R1</vt:lpstr>
      <vt:lpstr>tlInputReg1Seg3PromotionAllocation_R2</vt:lpstr>
      <vt:lpstr>tlInputReg1Seg3PromotionPerc_R1</vt:lpstr>
      <vt:lpstr>tlInputReg1Seg3PromotionPerc_R2</vt:lpstr>
      <vt:lpstr>tlInputReg1Seg3RegTrainer_R1</vt:lpstr>
      <vt:lpstr>tlInputReg1Seg3RegTrainer_R2</vt:lpstr>
      <vt:lpstr>tlInputReg1Seg3Rep1Coaching_R1</vt:lpstr>
      <vt:lpstr>tlInputReg1Seg3Rep1Coaching_R2</vt:lpstr>
      <vt:lpstr>tlInputReg1Seg3RepCCoaching_R1</vt:lpstr>
      <vt:lpstr>tlInputReg1Seg3RepCCoaching_R2</vt:lpstr>
      <vt:lpstr>tlInputReg1Seg3SamplesPerc_R1</vt:lpstr>
      <vt:lpstr>tlInputReg1Seg3SamplesPerc_R2</vt:lpstr>
      <vt:lpstr>tlInputReg1Seg3SpeakersPerc_R1</vt:lpstr>
      <vt:lpstr>tlInputReg1Seg3SpeakersPerc_R2</vt:lpstr>
      <vt:lpstr>tlInputTeamName</vt:lpstr>
      <vt:lpstr>tlInputTeamNumber</vt:lpstr>
      <vt:lpstr>tlIntroTeamName</vt:lpstr>
      <vt:lpstr>tlOuputProd1Seg3RepBCoachingFTEs_R2</vt:lpstr>
      <vt:lpstr>tlOutProd1Seg1AllocationTitle_R1</vt:lpstr>
      <vt:lpstr>tlOutProd1Seg1PromotionalStratTitle_R1</vt:lpstr>
      <vt:lpstr>tlOutProd1Seg1ShareCurrentTitle_R1</vt:lpstr>
      <vt:lpstr>tlOutProd1Seg1SharePrevTitle_R1</vt:lpstr>
      <vt:lpstr>tlOutProd1Seg1Title_R1</vt:lpstr>
      <vt:lpstr>tlOutProd1Seg1VolumeTitle_R1</vt:lpstr>
      <vt:lpstr>tlOutProd1Seg2AllocationTitle_R1</vt:lpstr>
      <vt:lpstr>tlOutProd1Seg2DetailTitle_R1</vt:lpstr>
      <vt:lpstr>tlOutProd1Seg2PromotionalStratTitle_R1</vt:lpstr>
      <vt:lpstr>tlOutProd1Seg2ShareCurrentTitle_R1</vt:lpstr>
      <vt:lpstr>tlOutProd1Seg2Title_R1</vt:lpstr>
      <vt:lpstr>tlOutProd1Seg3AllocationTitle_R1</vt:lpstr>
      <vt:lpstr>tlOutProd1Seg3AllocationTitle_R2</vt:lpstr>
      <vt:lpstr>tlOutProd1Seg3DetailTitle_R2</vt:lpstr>
      <vt:lpstr>tlOutProd1Seg3PromotionalStratTitle_R2</vt:lpstr>
      <vt:lpstr>tlOutProd1Seg3ShareCurrentTitle_R1</vt:lpstr>
      <vt:lpstr>tlOutProd1Seg3ShareCurrentTitle_R2</vt:lpstr>
      <vt:lpstr>tlOutProd1Seg3SharePrevTitle_R1</vt:lpstr>
      <vt:lpstr>tlOutProd1Seg3SharePrevTitle_R2</vt:lpstr>
      <vt:lpstr>tlOutProd1Seg3Title_R2</vt:lpstr>
      <vt:lpstr>tlOutProd1Seg3VolumeTitle_R1</vt:lpstr>
      <vt:lpstr>tlOutProd1Seg3VolumeTitle_R2</vt:lpstr>
      <vt:lpstr>tlOutputProd1Comp1Payer1Tier_R1</vt:lpstr>
      <vt:lpstr>tlOutputProd1Comp1Payer1Tier_R2</vt:lpstr>
      <vt:lpstr>tlOutputProd1Comp1Payer1TRxShare_R1</vt:lpstr>
      <vt:lpstr>tlOutputProd1Comp1Payer1TRxShare_R2</vt:lpstr>
      <vt:lpstr>tlOutputProd1Comp1Payer1TRxShareChange_R1</vt:lpstr>
      <vt:lpstr>tlOutputProd1Comp1Payer1TRxShareChange_R2</vt:lpstr>
      <vt:lpstr>tlOutputProd1Comp1Payer1TRxVolume_R1</vt:lpstr>
      <vt:lpstr>tlOutputProd1Comp1Payer1TRxVolume_R2</vt:lpstr>
      <vt:lpstr>tlOutputProd1Comp1Payer1TRxVolumeChange_R1</vt:lpstr>
      <vt:lpstr>tlOutputProd1Comp1Payer1TRxVolumeChange_R2</vt:lpstr>
      <vt:lpstr>tlOutputProd1Comp1Payer2Tier_R1</vt:lpstr>
      <vt:lpstr>tlOutputProd1Comp1Payer2Tier_R2</vt:lpstr>
      <vt:lpstr>tlOutputProd1Comp1Payer2TRxShare_R1</vt:lpstr>
      <vt:lpstr>tlOutputProd1Comp1Payer2TRxShare_R2</vt:lpstr>
      <vt:lpstr>tlOutputProd1Comp1Payer2TRxShareChange_R1</vt:lpstr>
      <vt:lpstr>tlOutputProd1Comp1Payer2TRxShareChange_R2</vt:lpstr>
      <vt:lpstr>tlOutputProd1Comp1Payer2TRxVolume_R1</vt:lpstr>
      <vt:lpstr>tlOutputProd1Comp1Payer2TRxVolume_R2</vt:lpstr>
      <vt:lpstr>tlOutputProd1Comp1Payer2TRxVolumeChange_R1</vt:lpstr>
      <vt:lpstr>tlOutputProd1Comp1Payer2TRxVolumeChange_R2</vt:lpstr>
      <vt:lpstr>tlOutputProd1Comp1Payer3Tier_R1</vt:lpstr>
      <vt:lpstr>tlOutputProd1Comp1Payer3Tier_R2</vt:lpstr>
      <vt:lpstr>tlOutputProd1Comp1Payer3TRxShare_R1</vt:lpstr>
      <vt:lpstr>tlOutputProd1Comp1Payer3TRxShare_R2</vt:lpstr>
      <vt:lpstr>tlOutputProd1Comp1Payer3TRxShareChange_R1</vt:lpstr>
      <vt:lpstr>tlOutputProd1Comp1Payer3TRxShareChange_R2</vt:lpstr>
      <vt:lpstr>tlOutputProd1Comp1Payer3TRxVolume_R1</vt:lpstr>
      <vt:lpstr>tlOutputProd1Comp1Payer3TRxVolume_R2</vt:lpstr>
      <vt:lpstr>tlOutputProd1Comp1Payer3TRxVolumeChange_R1</vt:lpstr>
      <vt:lpstr>tlOutputProd1Comp1Payer3TRxVolumeChange_R2</vt:lpstr>
      <vt:lpstr>tlOutputProd1Comp1TotalPrevShare_R1</vt:lpstr>
      <vt:lpstr>tlOutputProd1Comp1TotalPrevShare_R2</vt:lpstr>
      <vt:lpstr>tlOutputProd1Comp1TotalPrevVol_R1</vt:lpstr>
      <vt:lpstr>tlOutputProd1Comp1TotalPrevVol_R2</vt:lpstr>
      <vt:lpstr>tlOutputProd1Comp1TRxShare_R1</vt:lpstr>
      <vt:lpstr>tlOutputProd1Comp1TRxShare_R2</vt:lpstr>
      <vt:lpstr>tlOutputProd1Comp1TRxShareChange_R1</vt:lpstr>
      <vt:lpstr>tlOutputProd1Comp1TRxShareChange_R2</vt:lpstr>
      <vt:lpstr>tlOutputProd1Comp1TRxVolume_R1</vt:lpstr>
      <vt:lpstr>tlOutputProd1Comp1TRxVolume_R2</vt:lpstr>
      <vt:lpstr>tlOutputProd1Comp1TRxVolumeChange_R1</vt:lpstr>
      <vt:lpstr>tlOutputProd1Comp1TRxVolumeChange_R2</vt:lpstr>
      <vt:lpstr>tlOutputProd1Comp2Payer1Tier_R1</vt:lpstr>
      <vt:lpstr>tlOutputProd1Comp2Payer1Tier_R2</vt:lpstr>
      <vt:lpstr>tlOutputProd1Comp2Payer1TRxShare_R1</vt:lpstr>
      <vt:lpstr>tlOutputProd1Comp2Payer1TRxShare_R2</vt:lpstr>
      <vt:lpstr>tlOutputProd1Comp2Payer1TRxShareChange_R1</vt:lpstr>
      <vt:lpstr>tlOutputProd1Comp2Payer1TRxShareChange_R2</vt:lpstr>
      <vt:lpstr>tlOutputProd1Comp2Payer1TRxVolume_R1</vt:lpstr>
      <vt:lpstr>tlOutputProd1Comp2Payer1TRxVolume_R2</vt:lpstr>
      <vt:lpstr>tlOutputProd1Comp2Payer1TRxVolumeChange_R1</vt:lpstr>
      <vt:lpstr>tlOutputProd1Comp2Payer1TRxVolumeChange_R2</vt:lpstr>
      <vt:lpstr>tlOutputProd1Comp2Payer2Tier_R1</vt:lpstr>
      <vt:lpstr>tlOutputProd1Comp2Payer2Tier_R2</vt:lpstr>
      <vt:lpstr>tlOutputProd1Comp2Payer2TRxShare_R1</vt:lpstr>
      <vt:lpstr>tlOutputProd1Comp2Payer2TRxShare_R2</vt:lpstr>
      <vt:lpstr>tlOutputProd1Comp2Payer2TRxShareChange_R1</vt:lpstr>
      <vt:lpstr>tlOutputProd1Comp2Payer2TRxShareChange_R2</vt:lpstr>
      <vt:lpstr>tlOutputProd1Comp2Payer2TRxVolume_R1</vt:lpstr>
      <vt:lpstr>tlOutputProd1Comp2Payer2TRxVolume_R2</vt:lpstr>
      <vt:lpstr>tlOutputProd1Comp2Payer2TRxVolumeChange_R1</vt:lpstr>
      <vt:lpstr>tlOutputProd1Comp2Payer2TRxVolumeChange_R2</vt:lpstr>
      <vt:lpstr>tlOutputProd1Comp2Payer3Tier_R1</vt:lpstr>
      <vt:lpstr>tlOutputProd1Comp2Payer3Tier_R2</vt:lpstr>
      <vt:lpstr>tlOutputProd1Comp2Payer3TRxShare_R1</vt:lpstr>
      <vt:lpstr>tlOutputProd1Comp2Payer3TRxShare_R2</vt:lpstr>
      <vt:lpstr>tlOutputProd1Comp2Payer3TRxShareChange_R1</vt:lpstr>
      <vt:lpstr>tlOutputProd1Comp2Payer3TRxShareChange_R2</vt:lpstr>
      <vt:lpstr>tlOutputProd1Comp2Payer3TRxVolume_R1</vt:lpstr>
      <vt:lpstr>tlOutputProd1Comp2Payer3TRxVolume_R2</vt:lpstr>
      <vt:lpstr>tlOutputProd1Comp2Payer3TRxVolumeChange_R1</vt:lpstr>
      <vt:lpstr>tlOutputProd1Comp2Payer3TRxVolumeChange_R2</vt:lpstr>
      <vt:lpstr>tlOutputProd1Comp2TotalPrevShare_R1</vt:lpstr>
      <vt:lpstr>tlOutputProd1Comp2TotalPrevShare_R2</vt:lpstr>
      <vt:lpstr>tlOutputProd1Comp2TotalPrevVol_R1</vt:lpstr>
      <vt:lpstr>tlOutputProd1Comp2TotalPrevVol_R2</vt:lpstr>
      <vt:lpstr>tlOutputProd1Comp2TRxShare_R1</vt:lpstr>
      <vt:lpstr>tlOutputProd1Comp2TRxShare_R2</vt:lpstr>
      <vt:lpstr>tlOutputProd1Comp2TRxShareChange_R1</vt:lpstr>
      <vt:lpstr>tlOutputProd1Comp2TRxShareChange_R2</vt:lpstr>
      <vt:lpstr>tlOutputProd1Comp2TRxVolume_R1</vt:lpstr>
      <vt:lpstr>tlOutputProd1Comp2TRxVolume_R2</vt:lpstr>
      <vt:lpstr>tlOutputProd1Comp2TRxVolumeChange_R1</vt:lpstr>
      <vt:lpstr>tlOutputProd1Comp2TRxVolumeChange_R2</vt:lpstr>
      <vt:lpstr>tlOutputProd1ESATDash</vt:lpstr>
      <vt:lpstr>tlOutputProd1ESATDashFormat</vt:lpstr>
      <vt:lpstr>tlOutputProd1FTEsLeftDash_R2</vt:lpstr>
      <vt:lpstr>tlOutputProd1FTEsLeftDashFormat_R2</vt:lpstr>
      <vt:lpstr>tlOutputProd1FTEsRemainingDash_R1</vt:lpstr>
      <vt:lpstr>tlOutputProd1FTEsRemainingDash_R2</vt:lpstr>
      <vt:lpstr>tlOutputProd1FTEsRemainingDashFormat_R1</vt:lpstr>
      <vt:lpstr>tlOutputProd1FTEsRemainingDashFormat_R2</vt:lpstr>
      <vt:lpstr>tlOutputProd1NewSharePrev_R1</vt:lpstr>
      <vt:lpstr>tlOutputProd1NewSharePrev_R2</vt:lpstr>
      <vt:lpstr>tlOutputProd1NEwVolumePrev_R1</vt:lpstr>
      <vt:lpstr>tlOutputProd1NEwVolumePrev_R2</vt:lpstr>
      <vt:lpstr>tlOutputProd1NRxShare_R1</vt:lpstr>
      <vt:lpstr>tlOutputProd1NRxShare_R2</vt:lpstr>
      <vt:lpstr>tlOutputProd1NRxShareChange_R1</vt:lpstr>
      <vt:lpstr>tlOutputProd1NRxShareChange_R2</vt:lpstr>
      <vt:lpstr>tlOutputProd1NRxShareDash</vt:lpstr>
      <vt:lpstr>tlOutputProd1NRxShareDashFormat</vt:lpstr>
      <vt:lpstr>tlOutputProd1NRxVolume_R1</vt:lpstr>
      <vt:lpstr>tlOutputProd1NRxVolume_R2</vt:lpstr>
      <vt:lpstr>tlOutputProd1NRxVolumeChange_R1</vt:lpstr>
      <vt:lpstr>tlOutputProd1NRxVolumeChange_R2</vt:lpstr>
      <vt:lpstr>tlOutputProd1OpEffDash</vt:lpstr>
      <vt:lpstr>tlOutputProd1OpEffDashFormat</vt:lpstr>
      <vt:lpstr>tlOutputProd1Payer1Tier_R1</vt:lpstr>
      <vt:lpstr>tlOutputProd1Payer1Tier_R2</vt:lpstr>
      <vt:lpstr>tlOutputProd1Payer1TRxContrib_R1</vt:lpstr>
      <vt:lpstr>tlOutputProd1Payer1TRxContrib_R2</vt:lpstr>
      <vt:lpstr>tlOutputProd1Payer1TRxShare_R1</vt:lpstr>
      <vt:lpstr>tlOutputProd1Payer1TRxShare_R2</vt:lpstr>
      <vt:lpstr>tlOutputProd1Payer1TRxShareChange_R1</vt:lpstr>
      <vt:lpstr>tlOutputProd1Payer1TRxShareChange_R2</vt:lpstr>
      <vt:lpstr>tlOutputProd1Payer1TRxTotalVolume_R1</vt:lpstr>
      <vt:lpstr>tlOutputProd1Payer1TRxTotalVolume_R2</vt:lpstr>
      <vt:lpstr>tlOutputProd1Payer1TRxVolume_R1</vt:lpstr>
      <vt:lpstr>tlOutputProd1Payer1TRxVolume_R2</vt:lpstr>
      <vt:lpstr>tlOutputProd1Payer1TRxVolumeChange_R1</vt:lpstr>
      <vt:lpstr>tlOutputProd1Payer1TRxVolumeChange_R2</vt:lpstr>
      <vt:lpstr>tlOutputProd1Payer2Tier_R1</vt:lpstr>
      <vt:lpstr>tlOutputProd1Payer2Tier_R2</vt:lpstr>
      <vt:lpstr>tlOutputProd1Payer2TRxContrib_R1</vt:lpstr>
      <vt:lpstr>tlOutputProd1Payer2TRxContrib_R2</vt:lpstr>
      <vt:lpstr>tlOutputProd1Payer2TRxShare_R1</vt:lpstr>
      <vt:lpstr>tlOutputProd1Payer2TRxShare_R2</vt:lpstr>
      <vt:lpstr>tlOutputProd1Payer2TRxShareChange_R1</vt:lpstr>
      <vt:lpstr>tlOutputProd1Payer2TRxShareChange_R2</vt:lpstr>
      <vt:lpstr>tlOutputProd1Payer2TRxTotalVolume_R1</vt:lpstr>
      <vt:lpstr>tlOutputProd1Payer2TRxTotalVolume_R2</vt:lpstr>
      <vt:lpstr>tlOutputProd1Payer2TRxVolume_R1</vt:lpstr>
      <vt:lpstr>tlOutputProd1Payer2TRxVolume_R2</vt:lpstr>
      <vt:lpstr>tlOutputProd1Payer2TRxVolumeChange_R1</vt:lpstr>
      <vt:lpstr>tlOutputProd1Payer2TRxVolumeChange_R2</vt:lpstr>
      <vt:lpstr>tlOutputProd1Payer3Tier_R1</vt:lpstr>
      <vt:lpstr>tlOutputProd1Payer3Tier_R2</vt:lpstr>
      <vt:lpstr>tlOutputProd1Payer3TRxContrib_R1</vt:lpstr>
      <vt:lpstr>tlOutputProd1Payer3TRxContrib_R2</vt:lpstr>
      <vt:lpstr>tlOutputProd1Payer3TRxShare_R1</vt:lpstr>
      <vt:lpstr>tlOutputProd1Payer3TRxShare_R2</vt:lpstr>
      <vt:lpstr>tlOutputProd1Payer3TRxShareChange_R1</vt:lpstr>
      <vt:lpstr>tlOutputProd1Payer3TRxShareChange_R2</vt:lpstr>
      <vt:lpstr>tlOutputProd1Payer3TRxTotalVolume_R1</vt:lpstr>
      <vt:lpstr>tlOutputProd1Payer3TRxTotalVolume_R2</vt:lpstr>
      <vt:lpstr>tlOutputProd1Payer3TRxVolume_R1</vt:lpstr>
      <vt:lpstr>tlOutputProd1Payer3TRxVolume_R2</vt:lpstr>
      <vt:lpstr>tlOutputProd1Payer3TRxVolumeChange_R1</vt:lpstr>
      <vt:lpstr>tlOutputProd1Payer3TRxVolumeChange_R2</vt:lpstr>
      <vt:lpstr>tlOutputProd1PrevVolume_R1</vt:lpstr>
      <vt:lpstr>tlOutputProd1PrevVolume_R2</vt:lpstr>
      <vt:lpstr>tlOutputProd1PromotionBudgetRemainingDash_R1</vt:lpstr>
      <vt:lpstr>tlOutputProd1PromotionBudgetRemainingDash_R2</vt:lpstr>
      <vt:lpstr>tlOutputProd1PromotionBudgetRemainingDashFormat_R1</vt:lpstr>
      <vt:lpstr>tlOutputProd1PromotionBudgetRemainingDashFormat_R2</vt:lpstr>
      <vt:lpstr>tlOutputProd1SampleBudgetRemainingDash_R1</vt:lpstr>
      <vt:lpstr>tlOutputProd1SampleBudgetRemainingDash_R2</vt:lpstr>
      <vt:lpstr>tlOutputProd1SampleBudgetRemainingDashFormat_R1</vt:lpstr>
      <vt:lpstr>tlOutputProd1SampleBudgetRemainingDashFormat_R2</vt:lpstr>
      <vt:lpstr>tlOutputProd1Seg1AllocationTitle_R2</vt:lpstr>
      <vt:lpstr>tlOutputProd1Seg1AllocPercSalesTitle_R1</vt:lpstr>
      <vt:lpstr>tlOutputProd1Seg1CfCollabCost_R1</vt:lpstr>
      <vt:lpstr>tlOutputProd1Seg1CfCollabCost_R2</vt:lpstr>
      <vt:lpstr>tlOutputProd1Seg1CfCollabFTEs_R1</vt:lpstr>
      <vt:lpstr>tlOutputProd1Seg1CfCollabFTEs_R2</vt:lpstr>
      <vt:lpstr>tlOutputProd1Seg1CfCollabTitle_R1</vt:lpstr>
      <vt:lpstr>tlOutputProd1Seg1CfCollabTitle_R2</vt:lpstr>
      <vt:lpstr>tlOutputProd1Seg1CfRepTime_R1</vt:lpstr>
      <vt:lpstr>tlOutputProd1Seg1CfRepTime_R2</vt:lpstr>
      <vt:lpstr>tlOutputProd1Seg1CoachingTitle_R1</vt:lpstr>
      <vt:lpstr>tlOutputProd1Seg1CoachingTitle_R2</vt:lpstr>
      <vt:lpstr>tlOutputProd1Seg1Comp1TotalPrevShare_R1</vt:lpstr>
      <vt:lpstr>tlOutputProd1Seg1Comp1TotalPrevShare_R2</vt:lpstr>
      <vt:lpstr>tlOutputProd1Seg1Comp1TotalPrevVol_R1</vt:lpstr>
      <vt:lpstr>tlOutputProd1Seg1Comp1TotalPrevVol_R2</vt:lpstr>
      <vt:lpstr>tlOutputProd1Seg1Comp1TRxShare_R1</vt:lpstr>
      <vt:lpstr>tlOutputProd1Seg1Comp1TRxShare_R2</vt:lpstr>
      <vt:lpstr>tlOutputProd1Seg1Comp1TRxShareChange_R1</vt:lpstr>
      <vt:lpstr>tlOutputProd1Seg1Comp1TRxShareChange_R2</vt:lpstr>
      <vt:lpstr>tlOutputProd1Seg1Comp1TRxVolume_R1</vt:lpstr>
      <vt:lpstr>tlOutputProd1Seg1Comp1TRxVolume_R2</vt:lpstr>
      <vt:lpstr>tlOutputProd1Seg1Comp1TRxVolumeChange_R1</vt:lpstr>
      <vt:lpstr>tlOutputProd1Seg1Comp1TRxVolumeChange_R2</vt:lpstr>
      <vt:lpstr>tlOutputProd1Seg1Comp2TotalPrevShare_R1</vt:lpstr>
      <vt:lpstr>tlOutputProd1Seg1Comp2TotalPrevShare_R2</vt:lpstr>
      <vt:lpstr>tlOutputProd1Seg1Comp2TotalPrevVol_R1</vt:lpstr>
      <vt:lpstr>tlOutputProd1Seg1Comp2TotalPrevVol_R2</vt:lpstr>
      <vt:lpstr>tlOutputProd1Seg1Comp2TRxShare_R1</vt:lpstr>
      <vt:lpstr>tlOutputProd1Seg1Comp2TRxShare_R2</vt:lpstr>
      <vt:lpstr>tlOutputProd1Seg1Comp2TRxShareChange_R1</vt:lpstr>
      <vt:lpstr>tlOutputProd1Seg1Comp2TRxShareChange_R2</vt:lpstr>
      <vt:lpstr>tlOutputProd1Seg1Comp2TRxVolume_R1</vt:lpstr>
      <vt:lpstr>tlOutputProd1Seg1Comp2TRxVolume_R2</vt:lpstr>
      <vt:lpstr>tlOutputProd1Seg1Comp2TRxVolumeChange_R1</vt:lpstr>
      <vt:lpstr>tlOutputProd1Seg1Comp2TRxVolumeChange_R2</vt:lpstr>
      <vt:lpstr>tlOutputProd1Seg1CurrentAllocationTitle_R1</vt:lpstr>
      <vt:lpstr>tlOutputProd1Seg1CurrentAllocationTitle_R2</vt:lpstr>
      <vt:lpstr>tlOutputProd1Seg1CurrentESAT_R1</vt:lpstr>
      <vt:lpstr>tlOutputProd1Seg1CurrentESAT_R2</vt:lpstr>
      <vt:lpstr>tlOutputProd1Seg1CurrentFinTitle_R1</vt:lpstr>
      <vt:lpstr>tlOutputProd1Seg1CurrentFinTitle_R2</vt:lpstr>
      <vt:lpstr>tlOutputProd1Seg1CurrentInternalCost_R1</vt:lpstr>
      <vt:lpstr>tlOutputProd1Seg1CurrentInternalCost_R2</vt:lpstr>
      <vt:lpstr>tlOutputProd1Seg1CurrentIntTitle_R1</vt:lpstr>
      <vt:lpstr>tlOutputProd1Seg1CurrentIntTitle_R2</vt:lpstr>
      <vt:lpstr>tlOutputProd1Seg1CurrentLunchMoneyCost_R1</vt:lpstr>
      <vt:lpstr>tlOutputProd1Seg1CurrentLunchMoneyCost_R2</vt:lpstr>
      <vt:lpstr>tlOutputProd1Seg1CurrentNetSales_R1</vt:lpstr>
      <vt:lpstr>tlOutputProd1Seg1CurrentNetSales_R2</vt:lpstr>
      <vt:lpstr>tlOutputProd1Seg1CurrentNRxShare_R1</vt:lpstr>
      <vt:lpstr>tlOutputProd1Seg1CurrentNRxShare_R2</vt:lpstr>
      <vt:lpstr>tlOutputProd1Seg1CurrentOE_R1</vt:lpstr>
      <vt:lpstr>tlOutputProd1Seg1CurrentOE_R2</vt:lpstr>
      <vt:lpstr>tlOutputProd1Seg1CurrentProfit_R1</vt:lpstr>
      <vt:lpstr>tlOutputProd1Seg1CurrentProfit_R2</vt:lpstr>
      <vt:lpstr>tlOutputProd1Seg1CurrentPromotionAllocation_R1</vt:lpstr>
      <vt:lpstr>tlOutputProd1Seg1CurrentPromotionAllocation_R2</vt:lpstr>
      <vt:lpstr>tlOutputProd1Seg1CurrentReimb_R1</vt:lpstr>
      <vt:lpstr>tlOutputProd1Seg1CurrentReimb_R2</vt:lpstr>
      <vt:lpstr>tlOutputProd1Seg1CurrentSales_R1</vt:lpstr>
      <vt:lpstr>tlOutputProd1Seg1CurrentSales_R2</vt:lpstr>
      <vt:lpstr>tlOutputProd1Seg1CurrentSampleCost_R1</vt:lpstr>
      <vt:lpstr>tlOutputProd1Seg1CurrentSampleCost_R2</vt:lpstr>
      <vt:lpstr>tlOutputProd1Seg1CurrentSpeakerCost_R1</vt:lpstr>
      <vt:lpstr>tlOutputProd1Seg1CurrentSpeakerCost_R2</vt:lpstr>
      <vt:lpstr>tlOutputProd1Seg1CurrentSpeakersCost_R1</vt:lpstr>
      <vt:lpstr>tlOutputProd1Seg1CurrentSpeakersCost_R2</vt:lpstr>
      <vt:lpstr>tlOutputProd1Seg1CurrentTRxShare_R1</vt:lpstr>
      <vt:lpstr>tlOutputProd1Seg1CurrentTRxShare_R2</vt:lpstr>
      <vt:lpstr>tlOutputProd1Seg1Dash1_R1</vt:lpstr>
      <vt:lpstr>tlOutputProd1Seg1Dash1_R2</vt:lpstr>
      <vt:lpstr>tlOutputProd1Seg1Dash2_R1</vt:lpstr>
      <vt:lpstr>tlOutputProd1Seg1Dash2_R2</vt:lpstr>
      <vt:lpstr>tlOutputProd1Seg1Dash3_R1</vt:lpstr>
      <vt:lpstr>tlOutputProd1Seg1Dash3_R2</vt:lpstr>
      <vt:lpstr>tlOutputProd1Seg1DetailTitle_R1</vt:lpstr>
      <vt:lpstr>tlOutputProd1Seg1DetailTitle_R2</vt:lpstr>
      <vt:lpstr>tlOutputProd1Seg1ESAT_R1</vt:lpstr>
      <vt:lpstr>tlOutputProd1Seg1ESAT_R2</vt:lpstr>
      <vt:lpstr>tlOutputProd1Seg1ESATTitle_R1</vt:lpstr>
      <vt:lpstr>tlOutputProd1Seg1ESATTitle_R2</vt:lpstr>
      <vt:lpstr>tlOutputProd1Seg1FieldTimeTitle_R1</vt:lpstr>
      <vt:lpstr>tlOutputProd1Seg1FieldTimeTitle_R2</vt:lpstr>
      <vt:lpstr>tlOutputProd1Seg1ForecastTitle</vt:lpstr>
      <vt:lpstr>tlOutputProd1Seg1ForecastTitle_R1</vt:lpstr>
      <vt:lpstr>tlOutputProd1Seg1ForecastTitle_R2</vt:lpstr>
      <vt:lpstr>tlOutputProd1Seg1FTEsTitle_R1</vt:lpstr>
      <vt:lpstr>tlOutputProd1Seg1FTEsTitle_R2</vt:lpstr>
      <vt:lpstr>tlOutputProd1Seg1GrowthTitle_R1</vt:lpstr>
      <vt:lpstr>tlOutputProd1Seg1GrowthTitle_R2</vt:lpstr>
      <vt:lpstr>tlOutputProd1Seg1InternalCostTitle_R1</vt:lpstr>
      <vt:lpstr>tlOutputProd1Seg1InternalCostTitle_R2</vt:lpstr>
      <vt:lpstr>tlOutputProd1Seg1InternalResCostTitle_R1</vt:lpstr>
      <vt:lpstr>tlOutputProd1Seg1InternalResCostTitle_R2</vt:lpstr>
      <vt:lpstr>tlOutputProd1Seg1InternalResFTEsTitle_R1</vt:lpstr>
      <vt:lpstr>tlOutputProd1Seg1InternalResFTEsTitle_R2</vt:lpstr>
      <vt:lpstr>tlOutputProd1Seg1InternalResRepTimeTitle_R1</vt:lpstr>
      <vt:lpstr>tlOutputProd1Seg1InternalResRepTimeTitle_R2</vt:lpstr>
      <vt:lpstr>tlOutputProd1Seg1InternalResTitle_R1</vt:lpstr>
      <vt:lpstr>tlOutputProd1Seg1InternalResTitle_R2</vt:lpstr>
      <vt:lpstr>tlOutputProd1Seg1IntTimeTitle_R1</vt:lpstr>
      <vt:lpstr>tlOutputProd1Seg1IntTimeTitle_R2</vt:lpstr>
      <vt:lpstr>tlOutputProd1Seg1LunchMoneyTitleCost_R1</vt:lpstr>
      <vt:lpstr>tlOutputProd1Seg1LunchMoneyTitleCost_R2</vt:lpstr>
      <vt:lpstr>tlOutputProd1Seg1NetSalesTitle_R1</vt:lpstr>
      <vt:lpstr>tlOutputProd1Seg1NetSalesTitle_R2</vt:lpstr>
      <vt:lpstr>tlOutputProd1Seg1NewSharePrev_R1</vt:lpstr>
      <vt:lpstr>tlOutputProd1Seg1NewSharePrev_R2</vt:lpstr>
      <vt:lpstr>tlOutputProd1Seg1NewVolumePrev_R1</vt:lpstr>
      <vt:lpstr>tlOutputProd1Seg1NewVolumePrev_R2</vt:lpstr>
      <vt:lpstr>tlOutputProd1Seg1NRxShare_R1</vt:lpstr>
      <vt:lpstr>tlOutputProd1Seg1NRxShare_R2</vt:lpstr>
      <vt:lpstr>tlOutputProd1Seg1NRxShareChange_R1</vt:lpstr>
      <vt:lpstr>tlOutputProd1Seg1NRxShareChange_R2</vt:lpstr>
      <vt:lpstr>tlOutputProd1Seg1NRxShareTitle_R1</vt:lpstr>
      <vt:lpstr>tlOutputProd1Seg1NRxShareTitle_R2</vt:lpstr>
      <vt:lpstr>tlOutputProd1Seg1NRxVolume_R1</vt:lpstr>
      <vt:lpstr>tlOutputProd1Seg1NRxVolume_R2</vt:lpstr>
      <vt:lpstr>tlOutputProd1Seg1NRxVolumeChange_R1</vt:lpstr>
      <vt:lpstr>tlOutputProd1Seg1NRxVolumeChange_R2</vt:lpstr>
      <vt:lpstr>tlOutputProd1Seg1OETitle_R1</vt:lpstr>
      <vt:lpstr>tlOutputProd1Seg1OETitle_R2</vt:lpstr>
      <vt:lpstr>tlOutputProd1Seg1Payer1Forecast_R1</vt:lpstr>
      <vt:lpstr>tlOutputProd1Seg1Payer1Forecast_R2</vt:lpstr>
      <vt:lpstr>tlOutputProd1Seg1Payer1Title_R1</vt:lpstr>
      <vt:lpstr>tlOutputProd1Seg1Payer1Title_R2</vt:lpstr>
      <vt:lpstr>tlOutputProd1Seg1Payer1Visits_R1</vt:lpstr>
      <vt:lpstr>tlOutputProd1Seg1Payer1Visits_R2</vt:lpstr>
      <vt:lpstr>tlOutputProd1Seg1Payer1Volume_R1</vt:lpstr>
      <vt:lpstr>tlOutputProd1Seg1Payer1Volume_R2</vt:lpstr>
      <vt:lpstr>tlOutputProd1Seg1Payer2Forecast_R1</vt:lpstr>
      <vt:lpstr>tlOutputProd1Seg1Payer2Forecast_R2</vt:lpstr>
      <vt:lpstr>tlOutputProd1Seg1Payer2Title_R1</vt:lpstr>
      <vt:lpstr>tlOutputProd1Seg1Payer2Title_R2</vt:lpstr>
      <vt:lpstr>tlOutputProd1Seg1Payer2Visits_R1</vt:lpstr>
      <vt:lpstr>tlOutputProd1Seg1Payer2Visits_R2</vt:lpstr>
      <vt:lpstr>tlOutputProd1Seg1Payer2Volume_R1</vt:lpstr>
      <vt:lpstr>tlOutputProd1Seg1Payer2Volume_R2</vt:lpstr>
      <vt:lpstr>tlOutputProd1Seg1Payer3Forecast_R1</vt:lpstr>
      <vt:lpstr>tlOutputProd1Seg1Payer3Forecast_R2</vt:lpstr>
      <vt:lpstr>tlOutputProd1Seg1Payer3Volume_R1</vt:lpstr>
      <vt:lpstr>tlOutputProd1Seg1Payer3Volume_R2</vt:lpstr>
      <vt:lpstr>tlOutputProd1Seg1PayerTitle_R1</vt:lpstr>
      <vt:lpstr>tlOutputProd1Seg1PayerTitle_R2</vt:lpstr>
      <vt:lpstr>tlOutputProd1Seg1PrevAllocationTitle_R1</vt:lpstr>
      <vt:lpstr>tlOutputProd1Seg1PrevAllocationTitle_R2</vt:lpstr>
      <vt:lpstr>tlOutputProd1Seg1PrevESAT_R1</vt:lpstr>
      <vt:lpstr>tlOutputProd1Seg1PrevESAT_R2</vt:lpstr>
      <vt:lpstr>tlOutputProd1Seg1PrevInternalCost_R1</vt:lpstr>
      <vt:lpstr>tlOutputProd1Seg1PrevInternalCost_R2</vt:lpstr>
      <vt:lpstr>tlOutputProd1Seg1PrevIntTitle_R1</vt:lpstr>
      <vt:lpstr>tlOutputProd1Seg1PrevIntTitle_R2</vt:lpstr>
      <vt:lpstr>tlOutputProd1Seg1PrevLunchMoneyCost_R1</vt:lpstr>
      <vt:lpstr>tlOutputProd1Seg1PrevLunchMoneyCost_R2</vt:lpstr>
      <vt:lpstr>tlOutputProd1Seg1PrevNetSales_R1</vt:lpstr>
      <vt:lpstr>tlOutputProd1Seg1PrevNetSales_R2</vt:lpstr>
      <vt:lpstr>tlOutputProd1Seg1PrevNRxShare_R1</vt:lpstr>
      <vt:lpstr>tlOutputProd1Seg1PrevNRxShare_R2</vt:lpstr>
      <vt:lpstr>tlOutputProd1Seg1PrevOE_R1</vt:lpstr>
      <vt:lpstr>tlOutputProd1Seg1PrevOE_R2</vt:lpstr>
      <vt:lpstr>tlOutputProd1Seg1PrevProfit_R1</vt:lpstr>
      <vt:lpstr>tlOutputProd1Seg1PrevProfit_R2</vt:lpstr>
      <vt:lpstr>tlOutputProd1Seg1PrevPromotionCost_R1</vt:lpstr>
      <vt:lpstr>tlOutputProd1Seg1PrevPromotionCost_R2</vt:lpstr>
      <vt:lpstr>tlOutputProd1Seg1PrevReimb_R1</vt:lpstr>
      <vt:lpstr>tlOutputProd1Seg1PrevReimb_R2</vt:lpstr>
      <vt:lpstr>tlOutputProd1Seg1PrevSales_R1</vt:lpstr>
      <vt:lpstr>tlOutputProd1Seg1PrevSales_R2</vt:lpstr>
      <vt:lpstr>tlOutputProd1Seg1PrevSampleCost_R1</vt:lpstr>
      <vt:lpstr>tlOutputProd1Seg1PrevSampleCost_R2</vt:lpstr>
      <vt:lpstr>tlOutputProd1Seg1PrevSamplesCost_R1</vt:lpstr>
      <vt:lpstr>tlOutputProd1Seg1PrevSamplesCost_R2</vt:lpstr>
      <vt:lpstr>tlOutputProd1Seg1PrevSpeakerCost_R1</vt:lpstr>
      <vt:lpstr>tlOutputProd1Seg1PrevSpeakerCost_R2</vt:lpstr>
      <vt:lpstr>tlOutputProd1Seg1PrevSpeakersCost_R1</vt:lpstr>
      <vt:lpstr>tlOutputProd1Seg1PrevSpeakersCost_R2</vt:lpstr>
      <vt:lpstr>tlOutputProd1Seg1PrevTRxShare_R1</vt:lpstr>
      <vt:lpstr>tlOutputProd1Seg1PrevTRxShare_R2</vt:lpstr>
      <vt:lpstr>tlOutputProd1Seg1PrevVolume_R1</vt:lpstr>
      <vt:lpstr>tlOutputProd1Seg1PrevVolume_R2</vt:lpstr>
      <vt:lpstr>tlOutputProd1Seg1ProfitTitle_R1</vt:lpstr>
      <vt:lpstr>tlOutputProd1Seg1ProfitTitle_R2</vt:lpstr>
      <vt:lpstr>tlOutputProd1Seg1ProgramTitle_R1</vt:lpstr>
      <vt:lpstr>tlOutputProd1Seg1ProgramTitle_R2</vt:lpstr>
      <vt:lpstr>tlOutputProd1Seg1PromotionCost_R1</vt:lpstr>
      <vt:lpstr>tlOutputProd1Seg1PromotionCost_R2</vt:lpstr>
      <vt:lpstr>tlOutputProd1Seg1PromotionPerc_R1</vt:lpstr>
      <vt:lpstr>tlOutputProd1Seg1PromotionPerc_R2</vt:lpstr>
      <vt:lpstr>tlOutputProd1Seg1PromotionTitle_R1</vt:lpstr>
      <vt:lpstr>tlOutputProd1Seg1PromotionTitle_R2</vt:lpstr>
      <vt:lpstr>tlOutputProd1Seg1RegTrainer_R1</vt:lpstr>
      <vt:lpstr>tlOutputProd1Seg1RegTrainer_R2</vt:lpstr>
      <vt:lpstr>tlOutputProd1Seg1RegTrainerCost_R1</vt:lpstr>
      <vt:lpstr>tlOutputProd1Seg1RegTrainerCost_R2</vt:lpstr>
      <vt:lpstr>tlOutputProd1Seg1RegTrainerFTEs_R1</vt:lpstr>
      <vt:lpstr>tlOutputProd1Seg1RegTrainerFTEs_R2</vt:lpstr>
      <vt:lpstr>tlOutputProd1Seg1RegTrainerRepTime_R1</vt:lpstr>
      <vt:lpstr>tlOutputProd1Seg1RegTrainerRepTime_R2</vt:lpstr>
      <vt:lpstr>tlOutputProd1Seg1RegTrainerTitle_R1</vt:lpstr>
      <vt:lpstr>tlOutputProd1Seg1RegTrainerTitle_R2</vt:lpstr>
      <vt:lpstr>tlOutputProd1Seg1ReimbTitle_R1</vt:lpstr>
      <vt:lpstr>tlOutputProd1Seg1ReimbTitle_R2</vt:lpstr>
      <vt:lpstr>tlOutputProd1Seg1Rep1CoachingFTEs_R1</vt:lpstr>
      <vt:lpstr>tlOutputProd1Seg1Rep1CoachingFTEs_R2</vt:lpstr>
      <vt:lpstr>tlOutputProd1Seg1Rep1ExtTime_R1</vt:lpstr>
      <vt:lpstr>tlOutputProd1Seg1Rep1ExtTime_R2</vt:lpstr>
      <vt:lpstr>tlOutputProd1Seg1Rep1IntTime_R1</vt:lpstr>
      <vt:lpstr>tlOutputProd1Seg1Rep1IntTime_R2</vt:lpstr>
      <vt:lpstr>tlOutputProd1Seg1Rep1Title_R1</vt:lpstr>
      <vt:lpstr>tlOutputProd1Seg1Rep1Title_R2</vt:lpstr>
      <vt:lpstr>tlOutputProd1Seg1Rep2CoachingFTEs_R1</vt:lpstr>
      <vt:lpstr>tlOutputProd1Seg1Rep2CoachingFTEs_R2</vt:lpstr>
      <vt:lpstr>tlOutputProd1Seg1Rep2ExtTime_R1</vt:lpstr>
      <vt:lpstr>tlOutputProd1Seg1Rep2ExtTime_R2</vt:lpstr>
      <vt:lpstr>tlOutputProd1Seg1Rep2IntTime_R1</vt:lpstr>
      <vt:lpstr>tlOutputProd1Seg1Rep2IntTime_R2</vt:lpstr>
      <vt:lpstr>tlOutputProd1Seg1Rep2Title_R1</vt:lpstr>
      <vt:lpstr>tlOutputProd1Seg1Rep2Title_R2</vt:lpstr>
      <vt:lpstr>tlOutputProd1Seg1Rep3CoachingFTEs_R1</vt:lpstr>
      <vt:lpstr>tlOutputProd1Seg1Rep3CoachingFTEs_R2</vt:lpstr>
      <vt:lpstr>tlOutputProd1Seg1Rep3ExtTime_R1</vt:lpstr>
      <vt:lpstr>tlOutputProd1Seg1Rep3ExtTime_R2</vt:lpstr>
      <vt:lpstr>tlOutputProd1Seg1Rep3IntTime_R1</vt:lpstr>
      <vt:lpstr>tlOutputProd1Seg1Rep3IntTime_R2</vt:lpstr>
      <vt:lpstr>tlOutputProd1Seg1Rep3Title_R1</vt:lpstr>
      <vt:lpstr>tlOutputProd1Seg1Rep3Title_R2</vt:lpstr>
      <vt:lpstr>tlOutputProd1Seg1RepMgmtTitle_R1</vt:lpstr>
      <vt:lpstr>tlOutputProd1Seg1RepMgmtTitle_R2</vt:lpstr>
      <vt:lpstr>tlOutputProd1Seg1ResourceAllocTitle_R1</vt:lpstr>
      <vt:lpstr>tlOutputProd1Seg1SalesTitle_R1</vt:lpstr>
      <vt:lpstr>tlOutputProd1Seg1SalesTitle_R2</vt:lpstr>
      <vt:lpstr>tlOutputProd1Seg1SampleCost_R1</vt:lpstr>
      <vt:lpstr>tlOutputProd1Seg1SampleCost_R2</vt:lpstr>
      <vt:lpstr>tlOutputProd1Seg1Samples_R1</vt:lpstr>
      <vt:lpstr>tlOutputProd1Seg1Samples_R2</vt:lpstr>
      <vt:lpstr>tlOutputProd1Seg1SamplesCostTitle_R1</vt:lpstr>
      <vt:lpstr>tlOutputProd1Seg1SamplesCostTitle_R2</vt:lpstr>
      <vt:lpstr>tlOutputProd1Seg1SamplesPerc_R1</vt:lpstr>
      <vt:lpstr>tlOutputProd1Seg1SamplesPerc_R2</vt:lpstr>
      <vt:lpstr>tlOutputProd1Seg1SampleTitle_R1</vt:lpstr>
      <vt:lpstr>tlOutputProd1Seg1SampleTitle_R2</vt:lpstr>
      <vt:lpstr>tlOutputProd1Seg1ShareCurrentTitle_R2</vt:lpstr>
      <vt:lpstr>tlOutputProd1Seg1SharePrevTitle_R2</vt:lpstr>
      <vt:lpstr>tlOutputProd1Seg1SpeakerCost_R1</vt:lpstr>
      <vt:lpstr>tlOutputProd1Seg1SpeakerCost_R2</vt:lpstr>
      <vt:lpstr>tlOutputProd1Seg1SpeakersPerc_R1</vt:lpstr>
      <vt:lpstr>tlOutputProd1Seg1SpeakersPerc_R2</vt:lpstr>
      <vt:lpstr>tlOutputProd1Seg1SpeakersTitleCost_R1</vt:lpstr>
      <vt:lpstr>tlOutputProd1Seg1SpeakersTitleCost_R2</vt:lpstr>
      <vt:lpstr>tlOutputProd1Seg1SpeakerTitle_R1</vt:lpstr>
      <vt:lpstr>tlOutputProd1Seg1SpeakerTitle_R2</vt:lpstr>
      <vt:lpstr>tlOutputProd1Seg1Therapy1PrevWeightTitle_R1</vt:lpstr>
      <vt:lpstr>tlOutputProd1Seg1Therapy1PrevWeightTitle_R2</vt:lpstr>
      <vt:lpstr>tlOutputProd1Seg1Therapy1Rep1PrevWeight_R1</vt:lpstr>
      <vt:lpstr>tlOutputProd1Seg1Therapy1Rep1PrevWeight_R2</vt:lpstr>
      <vt:lpstr>tlOutputProd1Seg1Therapy1Rep1Weight_R1</vt:lpstr>
      <vt:lpstr>tlOutputProd1Seg1Therapy1Rep2PrevWeight_R1</vt:lpstr>
      <vt:lpstr>tlOutputProd1Seg1Therapy1Rep2PrevWeight_R2</vt:lpstr>
      <vt:lpstr>tlOutputProd1Seg1Therapy1Rep2Weight_R1</vt:lpstr>
      <vt:lpstr>tlOutputProd1Seg1Therapy1Rep2Weight_R2</vt:lpstr>
      <vt:lpstr>tlOutputProd1Seg1Therapy1Rep3PrevWeight_R1</vt:lpstr>
      <vt:lpstr>tlOutputProd1Seg1Therapy1Rep3PrevWeight_R2</vt:lpstr>
      <vt:lpstr>tlOutputProd1Seg1Therapy1Rep3Weight_R1</vt:lpstr>
      <vt:lpstr>tlOutputProd1Seg1Therapy1Rep3Weight_R2</vt:lpstr>
      <vt:lpstr>tlOutputProd1Seg1Therapy1Title_R1</vt:lpstr>
      <vt:lpstr>tlOutputProd1Seg1Therapy1Title_R2</vt:lpstr>
      <vt:lpstr>tlOutputProd1Seg1Title_R1</vt:lpstr>
      <vt:lpstr>tlOutputProd1Seg1Title_R2</vt:lpstr>
      <vt:lpstr>tlOutputProd1Seg1TotalMarketVolume_R1</vt:lpstr>
      <vt:lpstr>tlOutputProd1Seg1TotalMarketVolume_R2</vt:lpstr>
      <vt:lpstr>tlOutputProd1Seg1TotalMarketVolumeChange_R1</vt:lpstr>
      <vt:lpstr>tlOutputProd1Seg1TotalMarketVolumeChange_R2</vt:lpstr>
      <vt:lpstr>tlOutputProd1Seg1TotalSharePrev_R1</vt:lpstr>
      <vt:lpstr>tlOutputProd1Seg1TotalSharePrev_R2</vt:lpstr>
      <vt:lpstr>tlOutputProd1Seg1TotalVolumePrev_R1</vt:lpstr>
      <vt:lpstr>tlOutputProd1Seg1TotalVolumePrev_R2</vt:lpstr>
      <vt:lpstr>tlOutputProd1Seg1TRxShare_R1</vt:lpstr>
      <vt:lpstr>tlOutputProd1Seg1TRxShare_R2</vt:lpstr>
      <vt:lpstr>tlOutputProd1Seg1TRxShareChange_R1</vt:lpstr>
      <vt:lpstr>tlOutputProd1Seg1TRxShareChange_R2</vt:lpstr>
      <vt:lpstr>tlOutputProd1Seg1TRxShareChangeCompView_R1</vt:lpstr>
      <vt:lpstr>tlOutputProd1Seg1TRxShareChangeCompView_R2</vt:lpstr>
      <vt:lpstr>tlOutputProd1Seg1TRxShareChangeR1</vt:lpstr>
      <vt:lpstr>tlOutputProd1Seg1TRxShareCompView_R1</vt:lpstr>
      <vt:lpstr>tlOutputProd1Seg1TRxShareCompView_R2</vt:lpstr>
      <vt:lpstr>tlOutputProd1Seg1TRxShareTitle_R1</vt:lpstr>
      <vt:lpstr>tlOutputProd1Seg1TRxShareTitle_R2</vt:lpstr>
      <vt:lpstr>tlOutputProd1Seg1TRxVolume_R1</vt:lpstr>
      <vt:lpstr>tlOutputProd1Seg1TRxVolume_R2</vt:lpstr>
      <vt:lpstr>tlOutputProd1Seg1TRxVolumeChange_R1</vt:lpstr>
      <vt:lpstr>tlOutputProd1Seg1TRxVolumeChange_R2</vt:lpstr>
      <vt:lpstr>tlOutputProd1Seg1TRxVolumeChangeCompView_R1</vt:lpstr>
      <vt:lpstr>tlOutputProd1Seg1TRxVolumeChangeCompView_R2</vt:lpstr>
      <vt:lpstr>tlOutputProd1Seg1TRxVolumeCompView_R1</vt:lpstr>
      <vt:lpstr>tlOutputProd1Seg1TRxVolumeCompView_R2</vt:lpstr>
      <vt:lpstr>tlOutputProd1Seg1VolumeTitle_R1</vt:lpstr>
      <vt:lpstr>tlOutputProd1Seg1VolumeTitle_R2</vt:lpstr>
      <vt:lpstr>tlOutputProd1Seg2AllocPercSalesTitle_R1</vt:lpstr>
      <vt:lpstr>tlOutputProd1Seg2CfCollabCost_R1</vt:lpstr>
      <vt:lpstr>tlOutputProd1Seg2CfCollabCost_R2</vt:lpstr>
      <vt:lpstr>tlOutputProd1Seg2CfCollabFTEs_R1</vt:lpstr>
      <vt:lpstr>tlOutputProd1Seg2CfCollabFTEs_R2</vt:lpstr>
      <vt:lpstr>tlOutputProd1Seg2CfCollabTitle_R1</vt:lpstr>
      <vt:lpstr>tlOutputProd1Seg2CfCollabTitle_R2</vt:lpstr>
      <vt:lpstr>tlOutputProd1Seg2CfRepTime_R1</vt:lpstr>
      <vt:lpstr>tlOutputProd1Seg2CfRepTime_R2</vt:lpstr>
      <vt:lpstr>tlOutputProd1Seg2CoachingTitle_R1</vt:lpstr>
      <vt:lpstr>tlOutputProd1Seg2CoachingTitle_R2</vt:lpstr>
      <vt:lpstr>tlOutputProd1Seg2Comp1TotalPrevShare_R1</vt:lpstr>
      <vt:lpstr>tlOutputProd1Seg2Comp1TotalPrevShare_R2</vt:lpstr>
      <vt:lpstr>tlOutputProd1Seg2Comp1TotalPrevVol_R1</vt:lpstr>
      <vt:lpstr>tlOutputProd1Seg2Comp1TotalPrevVol_R2</vt:lpstr>
      <vt:lpstr>tlOutputProd1Seg2Comp1TRxShare_R1</vt:lpstr>
      <vt:lpstr>tlOutputProd1Seg2Comp1TRxShare_R2</vt:lpstr>
      <vt:lpstr>tlOutputProd1Seg2Comp1TRxShareChange_R1</vt:lpstr>
      <vt:lpstr>tlOutputProd1Seg2Comp1TRxShareChange_R2</vt:lpstr>
      <vt:lpstr>tlOutputProd1Seg2Comp1TRxVolume_R1</vt:lpstr>
      <vt:lpstr>tlOutputProd1Seg2Comp1TRxVolume_R2</vt:lpstr>
      <vt:lpstr>tlOutputProd1Seg2Comp1TRxVolumeChange_R1</vt:lpstr>
      <vt:lpstr>tlOutputProd1Seg2Comp1TRxVolumeChange_R2</vt:lpstr>
      <vt:lpstr>tlOutputProd1Seg2Comp2TotalPrevShare_R1</vt:lpstr>
      <vt:lpstr>tlOutputProd1Seg2Comp2TotalPrevShare_R2</vt:lpstr>
      <vt:lpstr>tlOutputProd1Seg2Comp2TotalPrevVol_R1</vt:lpstr>
      <vt:lpstr>tlOutputProd1Seg2Comp2TotalPrevVol_R2</vt:lpstr>
      <vt:lpstr>tlOutputProd1Seg2Comp2TRxShare_R1</vt:lpstr>
      <vt:lpstr>tlOutputProd1Seg2Comp2TRxShare_R2</vt:lpstr>
      <vt:lpstr>tlOutputProd1Seg2Comp2TRxShareChange_R1</vt:lpstr>
      <vt:lpstr>tlOutputProd1Seg2Comp2TRxShareChange_R2</vt:lpstr>
      <vt:lpstr>tlOutputProd1Seg2Comp2TRxVolume_R1</vt:lpstr>
      <vt:lpstr>tlOutputProd1Seg2Comp2TRxVolume_R2</vt:lpstr>
      <vt:lpstr>tlOutputProd1Seg2Comp2TRxVolumeChange_R1</vt:lpstr>
      <vt:lpstr>tlOutputProd1Seg2Comp2TRxVolumeChange_R2</vt:lpstr>
      <vt:lpstr>tlOutputProd1Seg2CurrentAllocationTitle_R1</vt:lpstr>
      <vt:lpstr>tlOutputProd1Seg2CurrentAllocationTitle_R2</vt:lpstr>
      <vt:lpstr>tlOutputProd1Seg2CurrentESAT_R1</vt:lpstr>
      <vt:lpstr>tlOutputProd1Seg2CurrentESAT_R2</vt:lpstr>
      <vt:lpstr>tlOutputProd1Seg2CurrentFinTitle_R1</vt:lpstr>
      <vt:lpstr>tlOutputProd1Seg2CurrentFinTitle_R2</vt:lpstr>
      <vt:lpstr>tlOutputProd1Seg2CurrentInternalCost_R1</vt:lpstr>
      <vt:lpstr>tlOutputProd1Seg2CurrentInternalCost_R2</vt:lpstr>
      <vt:lpstr>tlOutputProd1Seg2CurrentIntTitle_R1</vt:lpstr>
      <vt:lpstr>tlOutputProd1Seg2CurrentIntTitle_R2</vt:lpstr>
      <vt:lpstr>tlOutputProd1Seg2CurrentLunchMoneyCost_R1</vt:lpstr>
      <vt:lpstr>tlOutputProd1Seg2CurrentLunchMoneyCost_R2</vt:lpstr>
      <vt:lpstr>tlOutputProd1Seg2CurrentNetSales_R1</vt:lpstr>
      <vt:lpstr>tlOutputProd1Seg2CurrentNetSales_R2</vt:lpstr>
      <vt:lpstr>tlOutputProd1Seg2CurrentNRxShare_R1</vt:lpstr>
      <vt:lpstr>tlOutputProd1Seg2CurrentNRxShare_R2</vt:lpstr>
      <vt:lpstr>tlOutputProd1Seg2CurrentOE_R1</vt:lpstr>
      <vt:lpstr>tlOutputProd1Seg2CurrentOE_R2</vt:lpstr>
      <vt:lpstr>tlOutputProd1Seg2CurrentProfit_R1</vt:lpstr>
      <vt:lpstr>tlOutputProd1Seg2CurrentProfit_R2</vt:lpstr>
      <vt:lpstr>tlOutputProd1Seg2CurrentPromotionAllocation_R1</vt:lpstr>
      <vt:lpstr>tlOutputProd1Seg2CurrentPromotionAllocation_R2</vt:lpstr>
      <vt:lpstr>tlOutputProd1Seg2CurrentReimb_R1</vt:lpstr>
      <vt:lpstr>tlOutputProd1Seg2CurrentReimb_R2</vt:lpstr>
      <vt:lpstr>tlOutputProd1Seg2CurrentSales_R1</vt:lpstr>
      <vt:lpstr>tlOutputProd1Seg2CurrentSales_R2</vt:lpstr>
      <vt:lpstr>tlOutputProd1Seg2CurrentSampleCost_R1</vt:lpstr>
      <vt:lpstr>tlOutputProd1Seg2CurrentSampleCost_R2</vt:lpstr>
      <vt:lpstr>tlOutputProd1Seg2CurrentSpeakerCost_R1</vt:lpstr>
      <vt:lpstr>tlOutputProd1Seg2CurrentSpeakerCost_R2</vt:lpstr>
      <vt:lpstr>tlOutputProd1Seg2CurrentSpeakersCost_R1</vt:lpstr>
      <vt:lpstr>tlOutputProd1Seg2CurrentSpeakersCost_R2</vt:lpstr>
      <vt:lpstr>tlOutputProd1Seg2CurrentTRxShare_R1</vt:lpstr>
      <vt:lpstr>tlOutputProd1Seg2CurrentTRxShare_R2</vt:lpstr>
      <vt:lpstr>tlOutputProd1Seg2Dash1_R1</vt:lpstr>
      <vt:lpstr>tlOutputProd1Seg2Dash1_R2</vt:lpstr>
      <vt:lpstr>tlOutputProd1Seg2Dash2_R1</vt:lpstr>
      <vt:lpstr>tlOutputProd1Seg2Dash2_R2</vt:lpstr>
      <vt:lpstr>tlOutputProd1Seg2Dash3_R1</vt:lpstr>
      <vt:lpstr>tlOutputProd1Seg2Dash3_R2</vt:lpstr>
      <vt:lpstr>tlOutputProd1Seg2ESAT_R1</vt:lpstr>
      <vt:lpstr>tlOutputProd1Seg2ESAT_R2</vt:lpstr>
      <vt:lpstr>tlOutputProd1Seg2ESATTitle_R1</vt:lpstr>
      <vt:lpstr>tlOutputProd1Seg2ESATTitle_R2</vt:lpstr>
      <vt:lpstr>tlOutputProd1Seg2FieldTimeTitle_R1</vt:lpstr>
      <vt:lpstr>tlOutputProd1Seg2FieldTimeTitle_R2</vt:lpstr>
      <vt:lpstr>tlOutputProd1Seg2ForecastTitle</vt:lpstr>
      <vt:lpstr>tlOutputProd1Seg2ForecastTitle_R1</vt:lpstr>
      <vt:lpstr>tlOutputProd1Seg2ForecastTitle_R2</vt:lpstr>
      <vt:lpstr>tlOutputProd1Seg2FTEsTitle_R1</vt:lpstr>
      <vt:lpstr>tlOutputProd1Seg2FTEsTitle_R2</vt:lpstr>
      <vt:lpstr>tlOutputProd1Seg2GrowthTitle_R1</vt:lpstr>
      <vt:lpstr>tlOutputProd1Seg2GrowthTitle_R2</vt:lpstr>
      <vt:lpstr>tlOutputProd1Seg2InternalCostTitle_R1</vt:lpstr>
      <vt:lpstr>tlOutputProd1Seg2InternalCostTitle_R2</vt:lpstr>
      <vt:lpstr>tlOutputProd1Seg2InternalResCostTitle_R1</vt:lpstr>
      <vt:lpstr>tlOutputProd1Seg2InternalResCostTitle_R2</vt:lpstr>
      <vt:lpstr>tlOutputProd1Seg2InternalResFTEsTitle_R1</vt:lpstr>
      <vt:lpstr>tlOutputProd1Seg2InternalResFTEsTitle_R2</vt:lpstr>
      <vt:lpstr>tlOutputProd1Seg2InternalResRepTimeTitle_R1</vt:lpstr>
      <vt:lpstr>tlOutputProd1Seg2InternalResRepTimeTitle_R2</vt:lpstr>
      <vt:lpstr>tlOutputProd1Seg2InternalResTitle_R1</vt:lpstr>
      <vt:lpstr>tlOutputProd1Seg2InternalResTitle_R2</vt:lpstr>
      <vt:lpstr>tlOutputProd1Seg2IntTimeTitle_R1</vt:lpstr>
      <vt:lpstr>tlOutputProd1Seg2IntTimeTitle_R2</vt:lpstr>
      <vt:lpstr>tlOutputProd1Seg2LunchMoneyTitleCost_R1</vt:lpstr>
      <vt:lpstr>tlOutputProd1Seg2LunchMoneyTitleCost_R2</vt:lpstr>
      <vt:lpstr>tlOutputProd1Seg2NetSalesTitle_R1</vt:lpstr>
      <vt:lpstr>tlOutputProd1Seg2NetSalesTitle_R2</vt:lpstr>
      <vt:lpstr>tlOutputProd1Seg2NewSharePrev_R1</vt:lpstr>
      <vt:lpstr>tlOutputProd1Seg2NewSharePrev_R2</vt:lpstr>
      <vt:lpstr>tlOutputProd1Seg2NewVolumePrev_R1</vt:lpstr>
      <vt:lpstr>tlOutputProd1Seg2NewVolumePrev_R2</vt:lpstr>
      <vt:lpstr>tlOutputProd1Seg2NRxShare_R1</vt:lpstr>
      <vt:lpstr>tlOutputProd1Seg2NRxShare_R2</vt:lpstr>
      <vt:lpstr>tlOutputProd1Seg2NRxShareChange_R1</vt:lpstr>
      <vt:lpstr>tlOutputProd1Seg2NRxShareChange_R2</vt:lpstr>
      <vt:lpstr>tlOutputProd1Seg2NRxShareTitle_R1</vt:lpstr>
      <vt:lpstr>tlOutputProd1Seg2NRxShareTitle_R2</vt:lpstr>
      <vt:lpstr>tlOutputProd1Seg2NRxVolume_R1</vt:lpstr>
      <vt:lpstr>tlOutputProd1Seg2NRxVolume_R2</vt:lpstr>
      <vt:lpstr>tlOutputProd1Seg2NRxVolumeChange_R1</vt:lpstr>
      <vt:lpstr>tlOutputProd1Seg2NRxVolumeChange_R2</vt:lpstr>
      <vt:lpstr>tlOutputProd1Seg2OETitle_R1</vt:lpstr>
      <vt:lpstr>tlOutputProd1Seg2OETitle_R2</vt:lpstr>
      <vt:lpstr>tlOutputProd1Seg2Payer1Forecast_R1</vt:lpstr>
      <vt:lpstr>tlOutputProd1Seg2Payer1Forecast_R2</vt:lpstr>
      <vt:lpstr>tlOutputProd1Seg2Payer1Title_R1</vt:lpstr>
      <vt:lpstr>tlOutputProd1Seg2Payer1Title_R2</vt:lpstr>
      <vt:lpstr>tlOutputProd1Seg2Payer1Visits_R1</vt:lpstr>
      <vt:lpstr>tlOutputProd1Seg2Payer1Visits_R2</vt:lpstr>
      <vt:lpstr>tlOutputProd1Seg2Payer1Volume_R1</vt:lpstr>
      <vt:lpstr>tlOutputProd1Seg2Payer1Volume_R2</vt:lpstr>
      <vt:lpstr>tlOutputProd1Seg2Payer2Forecast_R1</vt:lpstr>
      <vt:lpstr>tlOutputProd1Seg2Payer2Forecast_R2</vt:lpstr>
      <vt:lpstr>tlOutputProd1Seg2Payer2Title_R1</vt:lpstr>
      <vt:lpstr>tlOutputProd1Seg2Payer2Title_R2</vt:lpstr>
      <vt:lpstr>tlOutputProd1Seg2Payer2Visits_R1</vt:lpstr>
      <vt:lpstr>tlOutputProd1Seg2Payer2Visits_R2</vt:lpstr>
      <vt:lpstr>tlOutputProd1Seg2Payer2Volume_R1</vt:lpstr>
      <vt:lpstr>tlOutputProd1Seg2Payer2Volume_R2</vt:lpstr>
      <vt:lpstr>tlOutputProd1Seg2Payer3Forecast_R1</vt:lpstr>
      <vt:lpstr>tlOutputProd1Seg2Payer3Forecast_R2</vt:lpstr>
      <vt:lpstr>tlOutputProd1Seg2Payer3Volume_R1</vt:lpstr>
      <vt:lpstr>tlOutputProd1Seg2Payer3Volume_R2</vt:lpstr>
      <vt:lpstr>tlOutputProd1Seg2PayerTitle_R1</vt:lpstr>
      <vt:lpstr>tlOutputProd1Seg2PayerTitle_R2</vt:lpstr>
      <vt:lpstr>tlOutputProd1Seg2PrevAllocationTitle_R1</vt:lpstr>
      <vt:lpstr>tlOutputProd1Seg2PrevAllocationTitle_R2</vt:lpstr>
      <vt:lpstr>tlOutputProd1Seg2PrevESAT_R1</vt:lpstr>
      <vt:lpstr>tlOutputProd1Seg2PrevESAT_R2</vt:lpstr>
      <vt:lpstr>tlOutputProd1Seg2PrevInternalCost_R1</vt:lpstr>
      <vt:lpstr>tlOutputProd1Seg2PrevInternalCost_R2</vt:lpstr>
      <vt:lpstr>tlOutputProd1Seg2PrevIntTitle_R1</vt:lpstr>
      <vt:lpstr>tlOutputProd1Seg2PrevIntTitle_R2</vt:lpstr>
      <vt:lpstr>tlOutputProd1Seg2PrevLunchMoneyCost_R1</vt:lpstr>
      <vt:lpstr>tlOutputProd1Seg2PrevLunchMoneyCost_R2</vt:lpstr>
      <vt:lpstr>tlOutputProd1Seg2PrevNetSales_R1</vt:lpstr>
      <vt:lpstr>tlOutputProd1Seg2PrevNetSales_R2</vt:lpstr>
      <vt:lpstr>tlOutputProd1Seg2PrevNRxShare_R1</vt:lpstr>
      <vt:lpstr>tlOutputProd1Seg2PrevNRxShare_R2</vt:lpstr>
      <vt:lpstr>tlOutputProd1Seg2PrevOE_R1</vt:lpstr>
      <vt:lpstr>tlOutputProd1Seg2PrevOE_R2</vt:lpstr>
      <vt:lpstr>tlOutputProd1Seg2PrevProfit_R1</vt:lpstr>
      <vt:lpstr>tlOutputProd1Seg2PrevProfit_R2</vt:lpstr>
      <vt:lpstr>tlOutputProd1Seg2PrevPromotionCost_R1</vt:lpstr>
      <vt:lpstr>tlOutputProd1Seg2PrevPromotionCost_R2</vt:lpstr>
      <vt:lpstr>tlOutputProd1Seg2PrevReimb_R1</vt:lpstr>
      <vt:lpstr>tlOutputProd1Seg2PrevReimb_R2</vt:lpstr>
      <vt:lpstr>tlOutputProd1Seg2PrevSales_R1</vt:lpstr>
      <vt:lpstr>tlOutputProd1Seg2PrevSales_R2</vt:lpstr>
      <vt:lpstr>tlOutputProd1Seg2PrevSampleCost_R1</vt:lpstr>
      <vt:lpstr>tlOutputProd1Seg2PrevSampleCost_R2</vt:lpstr>
      <vt:lpstr>tlOutputProd1Seg2PrevSamplesCost_R1</vt:lpstr>
      <vt:lpstr>tlOutputProd1Seg2PrevSamplesCost_R2</vt:lpstr>
      <vt:lpstr>tlOutputProd1Seg2PrevSpeakerCost_R1</vt:lpstr>
      <vt:lpstr>tlOutputProd1Seg2PrevSpeakerCost_R2</vt:lpstr>
      <vt:lpstr>tlOutputProd1Seg2PrevSpeakersCost_R1</vt:lpstr>
      <vt:lpstr>tlOutputProd1Seg2PrevSpeakersCost_R2</vt:lpstr>
      <vt:lpstr>tlOutputProd1Seg2PrevTRxShare_R1</vt:lpstr>
      <vt:lpstr>tlOutputProd1Seg2PrevTRxShare_R2</vt:lpstr>
      <vt:lpstr>tlOutputProd1Seg2PrevVolume_R1</vt:lpstr>
      <vt:lpstr>tlOutputProd1Seg2PrevVolume_R2</vt:lpstr>
      <vt:lpstr>tlOutputProd1Seg2ProfitTitle_R1</vt:lpstr>
      <vt:lpstr>tlOutputProd1Seg2ProfitTitle_R2</vt:lpstr>
      <vt:lpstr>tlOutputProd1Seg2ProgramTitle_R1</vt:lpstr>
      <vt:lpstr>tlOutputProd1Seg2ProgramTitle_R2</vt:lpstr>
      <vt:lpstr>tlOutputProd1Seg2PromotionCost_R1</vt:lpstr>
      <vt:lpstr>tlOutputProd1Seg2PromotionCost_R2</vt:lpstr>
      <vt:lpstr>tlOutputProd1Seg2PromotionPerc_R1</vt:lpstr>
      <vt:lpstr>tlOutputProd1Seg2PromotionPerc_R2</vt:lpstr>
      <vt:lpstr>tlOutputProd1Seg2PromotionTitle_R1</vt:lpstr>
      <vt:lpstr>tlOutputProd1Seg2PromotionTitle_R2</vt:lpstr>
      <vt:lpstr>tlOutputProd1Seg2RegTrainer_R1</vt:lpstr>
      <vt:lpstr>tlOutputProd1Seg2RegTrainer_R2</vt:lpstr>
      <vt:lpstr>tlOutputProd1Seg2RegTrainerCost_R1</vt:lpstr>
      <vt:lpstr>tlOutputProd1Seg2RegTrainerCost_R2</vt:lpstr>
      <vt:lpstr>tlOutputProd1Seg2RegTrainerFTEs_R1</vt:lpstr>
      <vt:lpstr>tlOutputProd1Seg2RegTrainerFTEs_R2</vt:lpstr>
      <vt:lpstr>tlOutputProd1Seg2RegTrainerRepTime_R1</vt:lpstr>
      <vt:lpstr>tlOutputProd1Seg2RegTrainerRepTime_R2</vt:lpstr>
      <vt:lpstr>tlOutputProd1Seg2RegTrainerTitle_R1</vt:lpstr>
      <vt:lpstr>tlOutputProd1Seg2RegTrainerTitle_R2</vt:lpstr>
      <vt:lpstr>tlOutputProd1Seg2ReimbTitle_R1</vt:lpstr>
      <vt:lpstr>tlOutputProd1Seg2ReimbTitle_R2</vt:lpstr>
      <vt:lpstr>tlOutputProd1Seg2Rep1CoachingFTEs_R1</vt:lpstr>
      <vt:lpstr>tlOutputProd1Seg2Rep1CoachingFTEs_R2</vt:lpstr>
      <vt:lpstr>tlOutputProd1Seg2Rep1ExtTime_R1</vt:lpstr>
      <vt:lpstr>tlOutputProd1Seg2Rep1ExtTime_R2</vt:lpstr>
      <vt:lpstr>tlOutputProd1Seg2Rep1IntTime_R1</vt:lpstr>
      <vt:lpstr>tlOutputProd1Seg2Rep1IntTime_R2</vt:lpstr>
      <vt:lpstr>tlOutputProd1Seg2Rep1Title_R1</vt:lpstr>
      <vt:lpstr>tlOutputProd1Seg2Rep1Title_R2</vt:lpstr>
      <vt:lpstr>tlOutputProd1Seg2Rep2CoachingFTEs_R1</vt:lpstr>
      <vt:lpstr>tlOutputProd1Seg2Rep2CoachingFTEs_R2</vt:lpstr>
      <vt:lpstr>tlOutputProd1Seg2Rep2ExtTime_R1</vt:lpstr>
      <vt:lpstr>tlOutputProd1Seg2Rep2ExtTime_R2</vt:lpstr>
      <vt:lpstr>tlOutputProd1Seg2Rep2IntTime_R1</vt:lpstr>
      <vt:lpstr>tlOutputProd1Seg2Rep2IntTime_R2</vt:lpstr>
      <vt:lpstr>tlOutputProd1Seg2Rep2Title_R1</vt:lpstr>
      <vt:lpstr>tlOutputProd1Seg2Rep2Title_R2</vt:lpstr>
      <vt:lpstr>tlOutputProd1Seg2Rep3CoachingFTEs_R1</vt:lpstr>
      <vt:lpstr>tlOutputProd1Seg2Rep3CoachingFTEs_R2</vt:lpstr>
      <vt:lpstr>tlOutputProd1Seg2Rep3ExtTime_R1</vt:lpstr>
      <vt:lpstr>tlOutputProd1Seg2Rep3ExtTime_R2</vt:lpstr>
      <vt:lpstr>tlOutputProd1Seg2Rep3IntTime_R1</vt:lpstr>
      <vt:lpstr>tlOutputProd1Seg2Rep3IntTime_R2</vt:lpstr>
      <vt:lpstr>tlOutputProd1Seg2Rep3Title_R1</vt:lpstr>
      <vt:lpstr>tlOutputProd1Seg2Rep3Title_R2</vt:lpstr>
      <vt:lpstr>tlOutputProd1Seg2RepMgmtTitle_R1</vt:lpstr>
      <vt:lpstr>tlOutputProd1Seg2RepMgmtTitle_R2</vt:lpstr>
      <vt:lpstr>tlOutputProd1Seg2SalesTitle_R1</vt:lpstr>
      <vt:lpstr>tlOutputProd1Seg2SalesTitle_R2</vt:lpstr>
      <vt:lpstr>tlOutputProd1Seg2SampleCost_R1</vt:lpstr>
      <vt:lpstr>tlOutputProd1Seg2SampleCost_R2</vt:lpstr>
      <vt:lpstr>tlOutputProd1Seg2Samples_R1</vt:lpstr>
      <vt:lpstr>tlOutputProd1Seg2Samples_R2</vt:lpstr>
      <vt:lpstr>tlOutputProd1Seg2SamplesCostTitle_R1</vt:lpstr>
      <vt:lpstr>tlOutputProd1Seg2SamplesCostTitle_R2</vt:lpstr>
      <vt:lpstr>tlOutputProd1Seg2SamplesPerc_R1</vt:lpstr>
      <vt:lpstr>tlOutputProd1Seg2SamplesPerc_R2</vt:lpstr>
      <vt:lpstr>tlOutputProd1Seg2SampleTitle_R1</vt:lpstr>
      <vt:lpstr>tlOutputProd1Seg2SampleTitle_R2</vt:lpstr>
      <vt:lpstr>tlOutputProd1Seg2SharePrevTitle_R1</vt:lpstr>
      <vt:lpstr>tlOutputProd1Seg2SpeakerCost_R1</vt:lpstr>
      <vt:lpstr>tlOutputProd1Seg2SpeakerCost_R2</vt:lpstr>
      <vt:lpstr>tlOutputProd1Seg2SpeakersPerc_R1</vt:lpstr>
      <vt:lpstr>tlOutputProd1Seg2SpeakersPerc_R2</vt:lpstr>
      <vt:lpstr>tlOutputProd1Seg2SpeakersTitleCost_R1</vt:lpstr>
      <vt:lpstr>tlOutputProd1Seg2SpeakersTitleCost_R2</vt:lpstr>
      <vt:lpstr>tlOutputProd1Seg2SpeakerTitle_R1</vt:lpstr>
      <vt:lpstr>tlOutputProd1Seg2SpeakerTitle_R2</vt:lpstr>
      <vt:lpstr>tlOutputProd1Seg2Therapy1PrevWeightTitle_R1</vt:lpstr>
      <vt:lpstr>tlOutputProd1Seg2Therapy1PrevWeightTitle_R2</vt:lpstr>
      <vt:lpstr>tlOutputProd1Seg2Therapy1Rep1PrevWeight_R1</vt:lpstr>
      <vt:lpstr>tlOutputProd1Seg2Therapy1Rep1PrevWeight_R2</vt:lpstr>
      <vt:lpstr>tlOutputProd1Seg2Therapy1Rep1Weight_R1</vt:lpstr>
      <vt:lpstr>tlOutputProd1Seg2Therapy1Rep1Weight_R2</vt:lpstr>
      <vt:lpstr>tlOutputProd1Seg2Therapy1Rep2PrevWeight_R1</vt:lpstr>
      <vt:lpstr>tlOutputProd1Seg2Therapy1Rep2PrevWeight_R2</vt:lpstr>
      <vt:lpstr>tlOutputProd1Seg2Therapy1Rep2Weight_R1</vt:lpstr>
      <vt:lpstr>tlOutputProd1Seg2Therapy1Rep2Weight_R2</vt:lpstr>
      <vt:lpstr>tlOutputProd1Seg2Therapy1Rep3PrevWeight_R1</vt:lpstr>
      <vt:lpstr>tlOutputProd1Seg2Therapy1Rep3PrevWeight_R2</vt:lpstr>
      <vt:lpstr>tlOutputProd1Seg2Therapy1Rep3Weight_R1</vt:lpstr>
      <vt:lpstr>tlOutputProd1Seg2Therapy1Rep3Weight_R2</vt:lpstr>
      <vt:lpstr>tlOutputProd1Seg2Therapy1Title_R1</vt:lpstr>
      <vt:lpstr>tlOutputProd1Seg2Therapy1Title_R2</vt:lpstr>
      <vt:lpstr>tlOutputProd1Seg2Title_R1</vt:lpstr>
      <vt:lpstr>tlOutputProd1Seg2Title_R2</vt:lpstr>
      <vt:lpstr>tlOutputProd1Seg2TotalMarketVolume_R1</vt:lpstr>
      <vt:lpstr>tlOutputProd1Seg2TotalMarketVolume_R2</vt:lpstr>
      <vt:lpstr>tlOutputProd1Seg2TotalMarketVolumeChange_R1</vt:lpstr>
      <vt:lpstr>tlOutputProd1Seg2TotalMarketVolumeChange_R2</vt:lpstr>
      <vt:lpstr>tlOutputProd1Seg2TotalSharePrev_R1</vt:lpstr>
      <vt:lpstr>tlOutputProd1Seg2TotalSharePrev_R2</vt:lpstr>
      <vt:lpstr>tlOutputProd1Seg2TotalVolumePrev_R1</vt:lpstr>
      <vt:lpstr>tlOutputProd1Seg2TotalVolumePrev_R2</vt:lpstr>
      <vt:lpstr>tlOutputProd1Seg2TRxShare_R1</vt:lpstr>
      <vt:lpstr>tlOutputProd1Seg2TRxShare_R2</vt:lpstr>
      <vt:lpstr>tlOutputProd1Seg2TRxShareChange_R1</vt:lpstr>
      <vt:lpstr>tlOutputProd1Seg2TRxShareChange_R2</vt:lpstr>
      <vt:lpstr>tlOutputProd1Seg2TRxShareChangeCompView_R1</vt:lpstr>
      <vt:lpstr>tlOutputProd1Seg2TRxShareChangeCompView_R2</vt:lpstr>
      <vt:lpstr>tlOutputProd1Seg2TRxShareCompView_R1</vt:lpstr>
      <vt:lpstr>tlOutputProd1Seg2TRxShareCompView_R2</vt:lpstr>
      <vt:lpstr>tlOutputProd1Seg2TRxShareTitle_R1</vt:lpstr>
      <vt:lpstr>tlOutputProd1Seg2TRxShareTitle_R2</vt:lpstr>
      <vt:lpstr>tlOutputProd1Seg2TRxVolume_R1</vt:lpstr>
      <vt:lpstr>tlOutputProd1Seg2TRxVolume_R2</vt:lpstr>
      <vt:lpstr>tlOutputProd1Seg2TRxVolumeChange_R1</vt:lpstr>
      <vt:lpstr>tlOutputProd1Seg2TRxVolumeChange_R2</vt:lpstr>
      <vt:lpstr>tlOutputProd1Seg2TRxVolumeChangeCompView_R1</vt:lpstr>
      <vt:lpstr>tlOutputProd1Seg2TRxVolumeChangeCompView_R2</vt:lpstr>
      <vt:lpstr>tlOutputProd1Seg2TRxVolumeCompView_R1</vt:lpstr>
      <vt:lpstr>tlOutputProd1Seg2TRxVolumeCompView_R2</vt:lpstr>
      <vt:lpstr>tlOutputProd1Seg2VolumeTitle_R1</vt:lpstr>
      <vt:lpstr>tlOutputProd1Seg3AllocPercSalesTitle_R1</vt:lpstr>
      <vt:lpstr>tlOutputProd1Seg3AllocPercSalesTitle_R2</vt:lpstr>
      <vt:lpstr>tlOutputProd1Seg3CfCollabCost_R1</vt:lpstr>
      <vt:lpstr>tlOutputProd1Seg3CfCollabCost_R2</vt:lpstr>
      <vt:lpstr>tlOutputProd1Seg3CfCollabFTEs_R1</vt:lpstr>
      <vt:lpstr>tlOutputProd1Seg3CfCollabFTEs_R2</vt:lpstr>
      <vt:lpstr>tlOutputProd1Seg3CfCollabTitle_R1</vt:lpstr>
      <vt:lpstr>tlOutputProd1Seg3CfCollabTitle_R2</vt:lpstr>
      <vt:lpstr>tlOutputProd1Seg3CfRepTime_R1</vt:lpstr>
      <vt:lpstr>tlOutputProd1Seg3CfRepTime_R2</vt:lpstr>
      <vt:lpstr>tlOutputProd1Seg3CoachingTitle_R1</vt:lpstr>
      <vt:lpstr>tlOutputProd1Seg3CoachingTitle_R2</vt:lpstr>
      <vt:lpstr>tlOutputProd1Seg3Comp1TotalPrevShare_R1</vt:lpstr>
      <vt:lpstr>tlOutputProd1Seg3Comp1TotalPrevShare_R2</vt:lpstr>
      <vt:lpstr>tlOutputProd1Seg3Comp1TotalPrevVol_R1</vt:lpstr>
      <vt:lpstr>tlOutputProd1Seg3Comp1TotalPrevVol_R2</vt:lpstr>
      <vt:lpstr>tlOutputProd1Seg3Comp1TRxShare_R1</vt:lpstr>
      <vt:lpstr>tlOutputProd1Seg3Comp1TRxShare_R2</vt:lpstr>
      <vt:lpstr>tlOutputProd1Seg3Comp1TRxShareChange_R1</vt:lpstr>
      <vt:lpstr>tlOutputProd1Seg3Comp1TRxShareChange_R2</vt:lpstr>
      <vt:lpstr>tlOutputProd1Seg3Comp1TRxVolume_R1</vt:lpstr>
      <vt:lpstr>tlOutputProd1Seg3Comp1TRxVolume_R2</vt:lpstr>
      <vt:lpstr>tlOutputProd1Seg3Comp1TRxVolumeChange_R1</vt:lpstr>
      <vt:lpstr>tlOutputProd1Seg3Comp1TRxVolumeChange_R2</vt:lpstr>
      <vt:lpstr>tlOutputProd1Seg3Comp2TotalPrevShare_R1</vt:lpstr>
      <vt:lpstr>tlOutputProd1Seg3Comp2TotalPrevShare_R2</vt:lpstr>
      <vt:lpstr>tlOutputProd1Seg3Comp2TotalPrevVol_R1</vt:lpstr>
      <vt:lpstr>tlOutputProd1Seg3Comp2TotalPrevVol_R2</vt:lpstr>
      <vt:lpstr>tlOutputProd1Seg3Comp2TRxShare_R1</vt:lpstr>
      <vt:lpstr>tlOutputProd1Seg3Comp2TRxShare_R2</vt:lpstr>
      <vt:lpstr>tlOutputProd1Seg3Comp2TRxShareChange_R1</vt:lpstr>
      <vt:lpstr>tlOutputProd1Seg3Comp2TRxShareChange_R2</vt:lpstr>
      <vt:lpstr>tlOutputProd1Seg3Comp2TRxVolume_R1</vt:lpstr>
      <vt:lpstr>tlOutputProd1Seg3Comp2TRxVolume_R2</vt:lpstr>
      <vt:lpstr>tlOutputProd1Seg3Comp2TRxVolumeChange_R1</vt:lpstr>
      <vt:lpstr>tlOutputProd1Seg3Comp2TRxVolumeChange_R2</vt:lpstr>
      <vt:lpstr>tlOutputProd1Seg3CurrentAllocationTitle_R1</vt:lpstr>
      <vt:lpstr>tlOutputProd1Seg3CurrentAllocationTitle_R2</vt:lpstr>
      <vt:lpstr>tlOutputProd1Seg3CurrentESAT_R1</vt:lpstr>
      <vt:lpstr>tlOutputProd1Seg3CurrentESAT_R2</vt:lpstr>
      <vt:lpstr>tlOutputProd1Seg3CurrentFinTitle_R1</vt:lpstr>
      <vt:lpstr>tlOutputProd1Seg3CurrentFinTitle_R2</vt:lpstr>
      <vt:lpstr>tlOutputProd1Seg3CurrentInternalCost_R1</vt:lpstr>
      <vt:lpstr>tlOutputProd1Seg3CurrentInternalCost_R2</vt:lpstr>
      <vt:lpstr>tlOutputProd1Seg3CurrentIntTitle_R1</vt:lpstr>
      <vt:lpstr>tlOutputProd1Seg3CurrentIntTitle_R2</vt:lpstr>
      <vt:lpstr>tlOutputProd1Seg3CurrentLunchMoneyCost_R1</vt:lpstr>
      <vt:lpstr>tlOutputProd1Seg3CurrentLunchMoneyCost_R2</vt:lpstr>
      <vt:lpstr>tlOutputProd1Seg3CurrentNetSales_R1</vt:lpstr>
      <vt:lpstr>tlOutputProd1Seg3CurrentNetSales_R2</vt:lpstr>
      <vt:lpstr>tlOutputProd1Seg3CurrentNRxShare_R1</vt:lpstr>
      <vt:lpstr>tlOutputProd1Seg3CurrentNRxShare_R2</vt:lpstr>
      <vt:lpstr>tlOutputProd1Seg3CurrentOE_R1</vt:lpstr>
      <vt:lpstr>tlOutputProd1Seg3CurrentOE_R2</vt:lpstr>
      <vt:lpstr>tlOutputProd1Seg3CurrentProfit_R1</vt:lpstr>
      <vt:lpstr>tlOutputProd1Seg3CurrentProfit_R2</vt:lpstr>
      <vt:lpstr>tlOutputProd1Seg3CurrentPromotionAllocation_R1</vt:lpstr>
      <vt:lpstr>tlOutputProd1Seg3CurrentPromotionAllocation_R2</vt:lpstr>
      <vt:lpstr>tlOutputProd1Seg3CurrentReimb_R1</vt:lpstr>
      <vt:lpstr>tlOutputProd1Seg3CurrentReimb_R2</vt:lpstr>
      <vt:lpstr>tlOutputProd1Seg3CurrentSales_R1</vt:lpstr>
      <vt:lpstr>tlOutputProd1Seg3CurrentSales_R2</vt:lpstr>
      <vt:lpstr>tlOutputProd1Seg3CurrentSampleCost_R1</vt:lpstr>
      <vt:lpstr>tlOutputProd1Seg3CurrentSampleCost_R2</vt:lpstr>
      <vt:lpstr>tlOutputProd1Seg3CurrentSpeakerCost_R1</vt:lpstr>
      <vt:lpstr>tlOutputProd1Seg3CurrentSpeakerCost_R2</vt:lpstr>
      <vt:lpstr>tlOutputProd1Seg3CurrentSpeakersCost_R1</vt:lpstr>
      <vt:lpstr>tlOutputProd1Seg3CurrentSpeakersCost_R2</vt:lpstr>
      <vt:lpstr>tlOutputProd1Seg3CurrentTRxShare_R1</vt:lpstr>
      <vt:lpstr>tlOutputProd1Seg3CurrentTRxShare_R2</vt:lpstr>
      <vt:lpstr>tlOutputProd1Seg3Dash1_R1</vt:lpstr>
      <vt:lpstr>tlOutputProd1Seg3Dash1_R2</vt:lpstr>
      <vt:lpstr>tlOutputProd1Seg3Dash2_R1</vt:lpstr>
      <vt:lpstr>tlOutputProd1Seg3Dash2_R2</vt:lpstr>
      <vt:lpstr>tlOutputProd1Seg3Dash3_R1</vt:lpstr>
      <vt:lpstr>tlOutputProd1Seg3Dash3_R2</vt:lpstr>
      <vt:lpstr>tlOutputProd1Seg3DetailTitle_R1</vt:lpstr>
      <vt:lpstr>tlOutputProd1Seg3ESAT_R1</vt:lpstr>
      <vt:lpstr>tlOutputProd1Seg3ESAT_R2</vt:lpstr>
      <vt:lpstr>tlOutputProd1Seg3ESATTitle_R1</vt:lpstr>
      <vt:lpstr>tlOutputProd1Seg3ESATTitle_R2</vt:lpstr>
      <vt:lpstr>tlOutputProd1Seg3FieldTimeTitle_R1</vt:lpstr>
      <vt:lpstr>tlOutputProd1Seg3FieldTimeTitle_R2</vt:lpstr>
      <vt:lpstr>tlOutputProd1Seg3ForecastTitle</vt:lpstr>
      <vt:lpstr>tlOutputProd1Seg3ForecastTitle_R1</vt:lpstr>
      <vt:lpstr>tlOutputProd1Seg3ForecastTitle_R2</vt:lpstr>
      <vt:lpstr>tlOutputProd1Seg3FTEsTitle_R1</vt:lpstr>
      <vt:lpstr>tlOutputProd1Seg3FTEsTitle_R2</vt:lpstr>
      <vt:lpstr>tlOutputProd1Seg3GrowthTitle_R1</vt:lpstr>
      <vt:lpstr>tlOutputProd1Seg3GrowthTitle_R2</vt:lpstr>
      <vt:lpstr>tlOutputProd1Seg3InternalCostTitle_R1</vt:lpstr>
      <vt:lpstr>tlOutputProd1Seg3InternalCostTitle_R2</vt:lpstr>
      <vt:lpstr>tlOutputProd1Seg3InternalResCostTitle_R1</vt:lpstr>
      <vt:lpstr>tlOutputProd1Seg3InternalResCostTitle_R2</vt:lpstr>
      <vt:lpstr>tlOutputProd1Seg3InternalResFTEsTitle_R1</vt:lpstr>
      <vt:lpstr>tlOutputProd1Seg3InternalResFTEsTitle_R2</vt:lpstr>
      <vt:lpstr>tlOutputProd1Seg3InternalResRepTimeTitle_R1</vt:lpstr>
      <vt:lpstr>tlOutputProd1Seg3InternalResRepTimeTitle_R2</vt:lpstr>
      <vt:lpstr>tlOutputProd1Seg3InternalResTitle_R1</vt:lpstr>
      <vt:lpstr>tlOutputProd1Seg3InternalResTitle_R2</vt:lpstr>
      <vt:lpstr>tlOutputProd1Seg3IntTimeTitle_R1</vt:lpstr>
      <vt:lpstr>tlOutputProd1Seg3IntTimeTitle_R2</vt:lpstr>
      <vt:lpstr>tlOutputProd1Seg3LunchMoneyTitleCost_R1</vt:lpstr>
      <vt:lpstr>tlOutputProd1Seg3LunchMoneyTitleCost_R2</vt:lpstr>
      <vt:lpstr>tlOutputProd1Seg3NetSalesTitle_R1</vt:lpstr>
      <vt:lpstr>tlOutputProd1Seg3NetSalesTitle_R2</vt:lpstr>
      <vt:lpstr>tlOutputProd1Seg3NEwSharePrev_R1</vt:lpstr>
      <vt:lpstr>tlOutputProd1Seg3NEwSharePrev_R2</vt:lpstr>
      <vt:lpstr>tlOutputProd1Seg3NewVolumePrev_R1</vt:lpstr>
      <vt:lpstr>tlOutputProd1Seg3NewVolumePrev_R2</vt:lpstr>
      <vt:lpstr>tlOutputProd1Seg3NRxShare_R1</vt:lpstr>
      <vt:lpstr>tlOutputProd1Seg3NRxShare_R2</vt:lpstr>
      <vt:lpstr>tlOutputProd1Seg3NRxShareChange_R1</vt:lpstr>
      <vt:lpstr>tlOutputProd1Seg3NRxShareChange_R2</vt:lpstr>
      <vt:lpstr>tlOutputProd1Seg3NRxShareTitle_R1</vt:lpstr>
      <vt:lpstr>tlOutputProd1Seg3NRxShareTitle_R2</vt:lpstr>
      <vt:lpstr>tlOutputProd1Seg3NRxVolume_R1</vt:lpstr>
      <vt:lpstr>tlOutputProd1Seg3NRxVolume_R2</vt:lpstr>
      <vt:lpstr>tlOutputProd1Seg3NRxVolumeChange_R1</vt:lpstr>
      <vt:lpstr>tlOutputProd1Seg3NRxVolumeChange_R2</vt:lpstr>
      <vt:lpstr>tlOutputProd1Seg3OETitle_R1</vt:lpstr>
      <vt:lpstr>tlOutputProd1Seg3OETitle_R2</vt:lpstr>
      <vt:lpstr>tlOutputProd1Seg3Payer1Forecast_R1</vt:lpstr>
      <vt:lpstr>tlOutputProd1Seg3Payer1Forecast_R2</vt:lpstr>
      <vt:lpstr>tlOutputProd1Seg3Payer1Title_R1</vt:lpstr>
      <vt:lpstr>tlOutputProd1Seg3Payer1Title_R2</vt:lpstr>
      <vt:lpstr>tlOutputProd1Seg3Payer1Visits_R1</vt:lpstr>
      <vt:lpstr>tlOutputProd1Seg3Payer1Visits_R2</vt:lpstr>
      <vt:lpstr>tlOutputProd1Seg3Payer1Volume_R1</vt:lpstr>
      <vt:lpstr>tlOutputProd1Seg3Payer1Volume_R2</vt:lpstr>
      <vt:lpstr>tlOutputProd1Seg3Payer2Forecast_R1</vt:lpstr>
      <vt:lpstr>tlOutputProd1Seg3Payer2Forecast_R2</vt:lpstr>
      <vt:lpstr>tlOutputProd1Seg3Payer2Title_R1</vt:lpstr>
      <vt:lpstr>tlOutputProd1Seg3Payer2Title_R2</vt:lpstr>
      <vt:lpstr>tlOutputProd1Seg3Payer2Visits_R1</vt:lpstr>
      <vt:lpstr>tlOutputProd1Seg3Payer2Visits_R2</vt:lpstr>
      <vt:lpstr>tlOutputProd1Seg3Payer2Volume_R1</vt:lpstr>
      <vt:lpstr>tlOutputProd1Seg3Payer2Volume_R2</vt:lpstr>
      <vt:lpstr>tlOutputProd1Seg3Payer3Forecast_R1</vt:lpstr>
      <vt:lpstr>tlOutputProd1Seg3Payer3Forecast_R2</vt:lpstr>
      <vt:lpstr>tlOutputProd1Seg3Payer3Volume_R1</vt:lpstr>
      <vt:lpstr>tlOutputProd1Seg3Payer3Volume_R2</vt:lpstr>
      <vt:lpstr>tlOutputProd1Seg3PayerTitle_R1</vt:lpstr>
      <vt:lpstr>tlOutputProd1Seg3PayerTitle_R2</vt:lpstr>
      <vt:lpstr>tlOutputProd1Seg3PrevAllocationTitle_R1</vt:lpstr>
      <vt:lpstr>tlOutputProd1Seg3PrevAllocationTitle_R2</vt:lpstr>
      <vt:lpstr>tlOutputProd1Seg3PrevESAT_R1</vt:lpstr>
      <vt:lpstr>tlOutputProd1Seg3PrevESAT_R2</vt:lpstr>
      <vt:lpstr>tlOutputProd1Seg3PrevInternalCost_R1</vt:lpstr>
      <vt:lpstr>tlOutputProd1Seg3PrevInternalCost_R2</vt:lpstr>
      <vt:lpstr>tlOutputProd1Seg3PrevIntTitle_R1</vt:lpstr>
      <vt:lpstr>tlOutputProd1Seg3PrevIntTitle_R2</vt:lpstr>
      <vt:lpstr>tlOutputProd1Seg3PrevLunchMoneyCost_R1</vt:lpstr>
      <vt:lpstr>tlOutputProd1Seg3PrevLunchMoneyCost_R2</vt:lpstr>
      <vt:lpstr>tlOutputProd1Seg3PrevNetSales_R1</vt:lpstr>
      <vt:lpstr>tlOutputProd1Seg3PrevNetSales_R2</vt:lpstr>
      <vt:lpstr>tlOutputProd1Seg3PrevNRxShare_R1</vt:lpstr>
      <vt:lpstr>tlOutputProd1Seg3PrevNRxShare_R2</vt:lpstr>
      <vt:lpstr>tlOutputProd1Seg3PrevOE_R1</vt:lpstr>
      <vt:lpstr>tlOutputProd1Seg3PrevOE_R2</vt:lpstr>
      <vt:lpstr>tlOutputProd1Seg3PrevProfit_R1</vt:lpstr>
      <vt:lpstr>tlOutputProd1Seg3PrevProfit_R2</vt:lpstr>
      <vt:lpstr>tlOutputProd1Seg3PrevPromotionCost_R1</vt:lpstr>
      <vt:lpstr>tlOutputProd1Seg3PrevPromotionCost_R2</vt:lpstr>
      <vt:lpstr>tlOutputProd1Seg3PrevReimb_R1</vt:lpstr>
      <vt:lpstr>tlOutputProd1Seg3PrevReimb_R2</vt:lpstr>
      <vt:lpstr>tlOutputProd1Seg3PrevSales_R1</vt:lpstr>
      <vt:lpstr>tlOutputProd1Seg3PrevSales_R2</vt:lpstr>
      <vt:lpstr>tlOutputProd1Seg3PrevSampleCost_R1</vt:lpstr>
      <vt:lpstr>tlOutputProd1Seg3PrevSampleCost_R2</vt:lpstr>
      <vt:lpstr>tlOutputProd1Seg3PrevSamplesCost_R1</vt:lpstr>
      <vt:lpstr>tlOutputProd1Seg3PrevSamplesCost_R2</vt:lpstr>
      <vt:lpstr>tlOutputProd1Seg3PrevSpeakerCost_R1</vt:lpstr>
      <vt:lpstr>tlOutputProd1Seg3PrevSpeakerCost_R2</vt:lpstr>
      <vt:lpstr>tlOutputProd1Seg3PrevSpeakersCost_R1</vt:lpstr>
      <vt:lpstr>tlOutputProd1Seg3PrevSpeakersCost_R2</vt:lpstr>
      <vt:lpstr>tlOutputProd1Seg3PrevTRxShare_R1</vt:lpstr>
      <vt:lpstr>tlOutputProd1Seg3PrevTRxShare_R2</vt:lpstr>
      <vt:lpstr>tlOutputProd1Seg3PrevVolume_R1</vt:lpstr>
      <vt:lpstr>tlOutputProd1Seg3PrevVolume_R2</vt:lpstr>
      <vt:lpstr>tlOutputProd1Seg3ProfitTitle_R1</vt:lpstr>
      <vt:lpstr>tlOutputProd1Seg3ProfitTitle_R2</vt:lpstr>
      <vt:lpstr>tlOutputProd1Seg3ProgramTitle_R1</vt:lpstr>
      <vt:lpstr>tlOutputProd1Seg3ProgramTitle_R2</vt:lpstr>
      <vt:lpstr>tlOutputProd1Seg3PromotionalStratTitle_R1</vt:lpstr>
      <vt:lpstr>tlOutputProd1Seg3PromotionCost_R1</vt:lpstr>
      <vt:lpstr>tlOutputProd1Seg3PromotionCost_R2</vt:lpstr>
      <vt:lpstr>tlOutputProd1Seg3PromotionPerc_R1</vt:lpstr>
      <vt:lpstr>tlOutputProd1Seg3PromotionPerc_R2</vt:lpstr>
      <vt:lpstr>tlOutputProd1Seg3PromotionTitle_R1</vt:lpstr>
      <vt:lpstr>tlOutputProd1Seg3PromotionTitle_R2</vt:lpstr>
      <vt:lpstr>tlOutputProd1Seg3RegTrainer_R1</vt:lpstr>
      <vt:lpstr>tlOutputProd1Seg3RegTrainer_R2</vt:lpstr>
      <vt:lpstr>tlOutputProd1Seg3RegTrainerCost_R1</vt:lpstr>
      <vt:lpstr>tlOutputProd1Seg3RegTrainerCost_R2</vt:lpstr>
      <vt:lpstr>tlOutputProd1Seg3RegTrainerFTEs_R1</vt:lpstr>
      <vt:lpstr>tlOutputProd1Seg3RegTrainerFTEs_R2</vt:lpstr>
      <vt:lpstr>tlOutputProd1Seg3RegTrainerRepTime_R1</vt:lpstr>
      <vt:lpstr>tlOutputProd1Seg3RegTrainerRepTime_R2</vt:lpstr>
      <vt:lpstr>tlOutputProd1Seg3RegTrainerTitle_R1</vt:lpstr>
      <vt:lpstr>tlOutputProd1Seg3RegTrainerTitle_R2</vt:lpstr>
      <vt:lpstr>tlOutputProd1Seg3ReimbTitle_R1</vt:lpstr>
      <vt:lpstr>tlOutputProd1Seg3ReimbTitle_R2</vt:lpstr>
      <vt:lpstr>tlOutputProd1Seg3Rep1CoachingFTEs_R1</vt:lpstr>
      <vt:lpstr>tlOutputProd1Seg3Rep1CoachingFTEs_R2</vt:lpstr>
      <vt:lpstr>tlOutputProd1Seg3Rep1ExtTime_R1</vt:lpstr>
      <vt:lpstr>tlOutputProd1Seg3Rep1ExtTime_R2</vt:lpstr>
      <vt:lpstr>tlOutputProd1Seg3Rep1IntTime_R1</vt:lpstr>
      <vt:lpstr>tlOutputProd1Seg3Rep1IntTime_R2</vt:lpstr>
      <vt:lpstr>tlOutputProd1Seg3Rep1Title_R1</vt:lpstr>
      <vt:lpstr>tlOutputProd1Seg3Rep1Title_R2</vt:lpstr>
      <vt:lpstr>tlOutputProd1Seg3Rep2CoachingFTEs_R1</vt:lpstr>
      <vt:lpstr>tlOutputProd1Seg3Rep2ExtTime_R1</vt:lpstr>
      <vt:lpstr>tlOutputProd1Seg3Rep2ExtTime_R2</vt:lpstr>
      <vt:lpstr>tlOutputProd1Seg3Rep2IntTime_R1</vt:lpstr>
      <vt:lpstr>tlOutputProd1Seg3Rep2IntTime_R2</vt:lpstr>
      <vt:lpstr>tlOutputProd1Seg3Rep2Title_R1</vt:lpstr>
      <vt:lpstr>tlOutputProd1Seg3Rep2Title_R2</vt:lpstr>
      <vt:lpstr>tlOutputProd1Seg3Rep3CoachingFTEs_R1</vt:lpstr>
      <vt:lpstr>tlOutputProd1Seg3Rep3CoachingFTEs_R2</vt:lpstr>
      <vt:lpstr>tlOutputProd1Seg3Rep3ExtTime_R1</vt:lpstr>
      <vt:lpstr>tlOutputProd1Seg3Rep3ExtTime_R2</vt:lpstr>
      <vt:lpstr>tlOutputProd1Seg3Rep3IntTime_R1</vt:lpstr>
      <vt:lpstr>tlOutputProd1Seg3Rep3IntTime_R2</vt:lpstr>
      <vt:lpstr>tlOutputProd1Seg3Rep3Title_R1</vt:lpstr>
      <vt:lpstr>tlOutputProd1Seg3Rep3Title_R2</vt:lpstr>
      <vt:lpstr>tlOutputProd1Seg3RepMgmtTitle_R1</vt:lpstr>
      <vt:lpstr>tlOutputProd1Seg3RepMgmtTitle_R2</vt:lpstr>
      <vt:lpstr>tlOutputProd1Seg3SalesTitle_R1</vt:lpstr>
      <vt:lpstr>tlOutputProd1Seg3SalesTitle_R2</vt:lpstr>
      <vt:lpstr>tlOutputProd1Seg3SampleCost_R1</vt:lpstr>
      <vt:lpstr>tlOutputProd1Seg3SampleCost_R2</vt:lpstr>
      <vt:lpstr>tlOutputProd1Seg3Samples_R1</vt:lpstr>
      <vt:lpstr>tlOutputProd1Seg3Samples_R2</vt:lpstr>
      <vt:lpstr>tlOutputProd1Seg3SamplesCostTitle_R1</vt:lpstr>
      <vt:lpstr>tlOutputProd1Seg3SamplesCostTitle_R2</vt:lpstr>
      <vt:lpstr>tlOutputProd1Seg3SamplesPerc_R1</vt:lpstr>
      <vt:lpstr>tlOutputProd1Seg3SamplesPerc_R2</vt:lpstr>
      <vt:lpstr>tlOutputProd1Seg3SampleTitle_R1</vt:lpstr>
      <vt:lpstr>tlOutputProd1Seg3SampleTitle_R2</vt:lpstr>
      <vt:lpstr>tlOutputProd1Seg3SpeakerCost_R1</vt:lpstr>
      <vt:lpstr>tlOutputProd1Seg3SpeakerCost_R2</vt:lpstr>
      <vt:lpstr>tlOutputProd1Seg3SpeakersPerc_R1</vt:lpstr>
      <vt:lpstr>tlOutputProd1Seg3SpeakersPerc_R2</vt:lpstr>
      <vt:lpstr>tlOutputProd1Seg3SpeakersTitleCost_R1</vt:lpstr>
      <vt:lpstr>tlOutputProd1Seg3SpeakersTitleCost_R2</vt:lpstr>
      <vt:lpstr>tlOutputProd1Seg3SpeakerTitle_R1</vt:lpstr>
      <vt:lpstr>tlOutputProd1Seg3SpeakerTitle_R2</vt:lpstr>
      <vt:lpstr>tlOutputProd1Seg3Therapy1PrevWeightTitle_R1</vt:lpstr>
      <vt:lpstr>tlOutputProd1Seg3Therapy1PrevWeightTitle_R2</vt:lpstr>
      <vt:lpstr>tlOutputProd1Seg3Therapy1Rep1PrevWeight_R1</vt:lpstr>
      <vt:lpstr>tlOutputProd1Seg3Therapy1Rep1PrevWeight_R2</vt:lpstr>
      <vt:lpstr>tlOutputProd1Seg3Therapy1Rep1Weight_R1</vt:lpstr>
      <vt:lpstr>tlOutputProd1Seg3Therapy1Rep1Weight_R2</vt:lpstr>
      <vt:lpstr>tlOutputProd1Seg3Therapy1Rep2PrevWeight_R1</vt:lpstr>
      <vt:lpstr>tlOutputProd1Seg3Therapy1Rep2PrevWeight_R2</vt:lpstr>
      <vt:lpstr>tlOutputProd1Seg3Therapy1Rep2Weight_R1</vt:lpstr>
      <vt:lpstr>tlOutputProd1Seg3Therapy1Rep2Weight_R2</vt:lpstr>
      <vt:lpstr>tlOutputProd1Seg3Therapy1Rep3PrevWeight_R1</vt:lpstr>
      <vt:lpstr>tlOutputProd1Seg3Therapy1Rep3PrevWeight_R2</vt:lpstr>
      <vt:lpstr>tlOutputProd1Seg3Therapy1Rep3Weight_R1</vt:lpstr>
      <vt:lpstr>tlOutputProd1Seg3Therapy1Rep3Weight_R2</vt:lpstr>
      <vt:lpstr>tlOutputProd1Seg3Therapy1Title_R1</vt:lpstr>
      <vt:lpstr>tlOutputProd1Seg3Therapy1Title_R2</vt:lpstr>
      <vt:lpstr>tlOutputProd1Seg3Title_R1</vt:lpstr>
      <vt:lpstr>tlOutputProd1Seg3Title_R2</vt:lpstr>
      <vt:lpstr>tlOutputProd1Seg3TotalMarketVolume_R1</vt:lpstr>
      <vt:lpstr>tlOutputProd1Seg3TotalMarketVolume_R2</vt:lpstr>
      <vt:lpstr>tlOutputProd1Seg3TotalMarketVolumeChange_R1</vt:lpstr>
      <vt:lpstr>tlOutputProd1Seg3TotalMarketVolumeChange_R2</vt:lpstr>
      <vt:lpstr>tlOutputProd1Seg3TotalSharePrev_R1</vt:lpstr>
      <vt:lpstr>tlOutputProd1Seg3TotalSharePrev_R2</vt:lpstr>
      <vt:lpstr>tlOutputProd1Seg3TotalVolumePrev_R1</vt:lpstr>
      <vt:lpstr>tlOutputProd1Seg3TotalVolumePrev_R2</vt:lpstr>
      <vt:lpstr>tlOutputProd1Seg3TRxShare_R1</vt:lpstr>
      <vt:lpstr>tlOutputProd1Seg3TRxShare_R2</vt:lpstr>
      <vt:lpstr>tlOutputProd1Seg3TRxShareChange_R1</vt:lpstr>
      <vt:lpstr>tlOutputProd1Seg3TRxShareChange_R2</vt:lpstr>
      <vt:lpstr>tlOutputProd1Seg3TRxShareChangeCompView_R1</vt:lpstr>
      <vt:lpstr>tlOutputProd1Seg3TRxShareChangeCompView_R2</vt:lpstr>
      <vt:lpstr>tlOutputProd1Seg3TRxShareCompView_R1</vt:lpstr>
      <vt:lpstr>tlOutputProd1Seg3TRxShareCompView_R2</vt:lpstr>
      <vt:lpstr>tlOutputProd1Seg3TRxShareTitle_R1</vt:lpstr>
      <vt:lpstr>tlOutputProd1Seg3TRxShareTitle_R2</vt:lpstr>
      <vt:lpstr>tlOutputProd1Seg3TRxVolume_R1</vt:lpstr>
      <vt:lpstr>tlOutputProd1Seg3TRxVolume_R2</vt:lpstr>
      <vt:lpstr>tlOutputProd1Seg3TRxVolumeChange_R1</vt:lpstr>
      <vt:lpstr>tlOutputProd1Seg3TRxVolumeChange_R2</vt:lpstr>
      <vt:lpstr>tlOutputProd1Seg3TRxVolumeChangeCompView_R1</vt:lpstr>
      <vt:lpstr>tlOutputProd1Seg3TRxVolumeChangeCompView_R2</vt:lpstr>
      <vt:lpstr>tlOutputProd1Seg3TRxVolumeCompView_R1</vt:lpstr>
      <vt:lpstr>tlOutputProd1Seg3TRxVolumeCompView_R2</vt:lpstr>
      <vt:lpstr>tlOutputProd1Title_R2</vt:lpstr>
      <vt:lpstr>tlOutputProd1TotalMarketVolume_R1</vt:lpstr>
      <vt:lpstr>tlOutputProd1TotalMarketVolume_R2</vt:lpstr>
      <vt:lpstr>tlOutputProd1TotalMarketVolumeChange_R1</vt:lpstr>
      <vt:lpstr>tlOutputProd1TotalMarketVolumeChange_R2</vt:lpstr>
      <vt:lpstr>tlOutputProd1TotalSharePrev_R1</vt:lpstr>
      <vt:lpstr>tlOutputProd1TotalSharePrev_R2</vt:lpstr>
      <vt:lpstr>tlOutputProd1TotalVolumePrev_R1</vt:lpstr>
      <vt:lpstr>tlOutputProd1TotalVolumePrev_R2</vt:lpstr>
      <vt:lpstr>tlOutputProd1TRxShare_R1</vt:lpstr>
      <vt:lpstr>tlOutputProd1TRxShare_R2</vt:lpstr>
      <vt:lpstr>tlOutputProd1TRxShareChange_R1</vt:lpstr>
      <vt:lpstr>tlOutputProd1TRxShareChange_R2</vt:lpstr>
      <vt:lpstr>tlOutputProd1TRxShareChangeCompView_R1</vt:lpstr>
      <vt:lpstr>tlOutputProd1TRxShareChangeCompView_R2</vt:lpstr>
      <vt:lpstr>tlOutputProd1TRxShareChangeR1</vt:lpstr>
      <vt:lpstr>tlOutputProd1TRxShareCompView_R1</vt:lpstr>
      <vt:lpstr>tlOutputProd1TRxShareCompView_R2</vt:lpstr>
      <vt:lpstr>tlOutputProd1TRxShareDash</vt:lpstr>
      <vt:lpstr>tlOutputProd1TRxShareDashFormat</vt:lpstr>
      <vt:lpstr>tlOutputProd1TRxVolDash</vt:lpstr>
      <vt:lpstr>tlOutputProd1TRxVolDashFormat</vt:lpstr>
      <vt:lpstr>tlOutputProd1TRxVolume_R1</vt:lpstr>
      <vt:lpstr>tlOutputProd1TRxVolume_R2</vt:lpstr>
      <vt:lpstr>tlOutputProd1TRxVolumeChange_R1</vt:lpstr>
      <vt:lpstr>tlOutputProd1TRxVolumeChange_R2</vt:lpstr>
      <vt:lpstr>tlOutputProd1TRxVolumeChangeCompView_R1</vt:lpstr>
      <vt:lpstr>tlOutputProd1TRxVolumeChangeCompView_R2</vt:lpstr>
      <vt:lpstr>tlOutputProd1TRxVolumeCompView_R1</vt:lpstr>
      <vt:lpstr>tlOutputProd1TRxVolumeCompView_R2</vt:lpstr>
      <vt:lpstr>tlOutputPromotionalStratTitle_R2</vt:lpstr>
      <vt:lpstr>tlOutputReg1Comp1Payer1Tier_R1</vt:lpstr>
      <vt:lpstr>tlOutputReg1Comp1Payer1Tier_R2</vt:lpstr>
      <vt:lpstr>tlOutputReg1Comp1Payer1TRxShare_R1</vt:lpstr>
      <vt:lpstr>tlOutputReg1Comp1Payer1TRxShare_R2</vt:lpstr>
      <vt:lpstr>tlOutputReg1Comp1Payer1TRxShareChange_R1</vt:lpstr>
      <vt:lpstr>tlOutputReg1Comp1Payer1TRxShareChange_R2</vt:lpstr>
      <vt:lpstr>tlOutputReg1Comp1Payer1TRxVolume_R1</vt:lpstr>
      <vt:lpstr>tlOutputReg1Comp1Payer1TRxVolume_R2</vt:lpstr>
      <vt:lpstr>tlOutputReg1Comp1Payer1TRxVolumeChange_R1</vt:lpstr>
      <vt:lpstr>tlOutputReg1Comp1Payer1TRxVolumeChange_R2</vt:lpstr>
      <vt:lpstr>tlOutputReg1Comp1Payer2Tier_R1</vt:lpstr>
      <vt:lpstr>tlOutputReg1Comp1Payer2Tier_R2</vt:lpstr>
      <vt:lpstr>tlOutputReg1Comp1Payer2TRxShare_R1</vt:lpstr>
      <vt:lpstr>tlOutputReg1Comp1Payer2TRxShare_R2</vt:lpstr>
      <vt:lpstr>tlOutputReg1Comp1Payer2TRxShareChange_R1</vt:lpstr>
      <vt:lpstr>tlOutputReg1Comp1Payer2TRxShareChange_R2</vt:lpstr>
      <vt:lpstr>tlOutputReg1Comp1Payer2TRxVolume_R1</vt:lpstr>
      <vt:lpstr>tlOutputReg1Comp1Payer2TRxVolume_R2</vt:lpstr>
      <vt:lpstr>tlOutputReg1Comp1Payer2TRxVolumeChange_R1</vt:lpstr>
      <vt:lpstr>tlOutputReg1Comp1Payer2TRxVolumeChange_R2</vt:lpstr>
      <vt:lpstr>tlOutputReg1Comp1Payer3Tier_R1</vt:lpstr>
      <vt:lpstr>tlOutputReg1Comp1Payer3Tier_R2</vt:lpstr>
      <vt:lpstr>tlOutputReg1Comp1Payer3TRxShare_R1</vt:lpstr>
      <vt:lpstr>tlOutputReg1Comp1Payer3TRxShare_R2</vt:lpstr>
      <vt:lpstr>tlOutputReg1Comp1Payer3TRxShareChange_R1</vt:lpstr>
      <vt:lpstr>tlOutputReg1Comp1Payer3TRxShareChange_R2</vt:lpstr>
      <vt:lpstr>tlOutputReg1Comp1Payer3TRxVolume_R1</vt:lpstr>
      <vt:lpstr>tlOutputReg1Comp1Payer3TRxVolume_R2</vt:lpstr>
      <vt:lpstr>tlOutputReg1Comp1Payer3TRxVolumeChange_R1</vt:lpstr>
      <vt:lpstr>tlOutputReg1Comp1Payer3TRxVolumeChange_R2</vt:lpstr>
      <vt:lpstr>tlOutputReg1Comp1TotalPrevShare_R1</vt:lpstr>
      <vt:lpstr>tlOutputReg1Comp1TotalPrevShare_R2</vt:lpstr>
      <vt:lpstr>tlOutputReg1Comp1TotalPrevVol_R1</vt:lpstr>
      <vt:lpstr>tlOutputReg1Comp1TotalPrevVol_R2</vt:lpstr>
      <vt:lpstr>tlOutputReg1Comp1TRxShare_R1</vt:lpstr>
      <vt:lpstr>tlOutputReg1Comp1TRxShare_R2</vt:lpstr>
      <vt:lpstr>tlOutputReg1Comp1TRxShareChange_R1</vt:lpstr>
      <vt:lpstr>tlOutputReg1Comp1TRxShareChange_R2</vt:lpstr>
      <vt:lpstr>tlOutputReg1Comp1TRxVolume_R1</vt:lpstr>
      <vt:lpstr>tlOutputReg1Comp1TRxVolume_R2</vt:lpstr>
      <vt:lpstr>tlOutputReg1Comp1TRxVolumeChange_R1</vt:lpstr>
      <vt:lpstr>tlOutputReg1Comp1TRxVolumeChange_R2</vt:lpstr>
      <vt:lpstr>tlOutputReg1Comp2Payer1Tier_R1</vt:lpstr>
      <vt:lpstr>tlOutputReg1Comp2Payer1Tier_R2</vt:lpstr>
      <vt:lpstr>tlOutputReg1Comp2Payer1TRxShare_R1</vt:lpstr>
      <vt:lpstr>tlOutputReg1Comp2Payer1TRxShare_R2</vt:lpstr>
      <vt:lpstr>tlOutputReg1Comp2Payer1TRxShareChange_R1</vt:lpstr>
      <vt:lpstr>tlOutputReg1Comp2Payer1TRxShareChange_R2</vt:lpstr>
      <vt:lpstr>tlOutputReg1Comp2Payer1TRxVolume_R1</vt:lpstr>
      <vt:lpstr>tlOutputReg1Comp2Payer1TRxVolume_R2</vt:lpstr>
      <vt:lpstr>tlOutputReg1Comp2Payer1TRxVolumeChange_R1</vt:lpstr>
      <vt:lpstr>tlOutputReg1Comp2Payer1TRxVolumeChange_R2</vt:lpstr>
      <vt:lpstr>tlOutputReg1Comp2Payer2Tier_R1</vt:lpstr>
      <vt:lpstr>tlOutputReg1Comp2Payer2Tier_R2</vt:lpstr>
      <vt:lpstr>tlOutputReg1Comp2Payer2TRxShare_R1</vt:lpstr>
      <vt:lpstr>tlOutputReg1Comp2Payer2TRxShare_R2</vt:lpstr>
      <vt:lpstr>tlOutputReg1Comp2Payer2TRxShareChange_R1</vt:lpstr>
      <vt:lpstr>tlOutputReg1Comp2Payer2TRxShareChange_R2</vt:lpstr>
      <vt:lpstr>tlOutputReg1Comp2Payer2TRxVolume_R1</vt:lpstr>
      <vt:lpstr>tlOutputReg1Comp2Payer2TRxVolume_R2</vt:lpstr>
      <vt:lpstr>tlOutputReg1Comp2Payer2TRxVolumeChange_R1</vt:lpstr>
      <vt:lpstr>tlOutputReg1Comp2Payer2TRxVolumeChange_R2</vt:lpstr>
      <vt:lpstr>tlOutputReg1Comp2Payer3Tier_R1</vt:lpstr>
      <vt:lpstr>tlOutputReg1Comp2Payer3Tier_R2</vt:lpstr>
      <vt:lpstr>tlOutputReg1Comp2Payer3TRxShare_R1</vt:lpstr>
      <vt:lpstr>tlOutputReg1Comp2Payer3TRxShare_R2</vt:lpstr>
      <vt:lpstr>tlOutputReg1Comp2Payer3TRxShareChange_R1</vt:lpstr>
      <vt:lpstr>tlOutputReg1Comp2Payer3TRxShareChange_R2</vt:lpstr>
      <vt:lpstr>tlOutputReg1Comp2Payer3TRxVolume_R1</vt:lpstr>
      <vt:lpstr>tlOutputReg1Comp2Payer3TRxVolume_R2</vt:lpstr>
      <vt:lpstr>tlOutputReg1Comp2Payer3TRxVolumeChange_R1</vt:lpstr>
      <vt:lpstr>tlOutputReg1Comp2Payer3TRxVolumeChange_R2</vt:lpstr>
      <vt:lpstr>tlOutputReg1Comp2TotalPrevShare_R1</vt:lpstr>
      <vt:lpstr>tlOutputReg1Comp2TotalPrevShare_R2</vt:lpstr>
      <vt:lpstr>tlOutputReg1Comp2TotalPrevVol_R1</vt:lpstr>
      <vt:lpstr>tlOutputReg1Comp2TotalPrevVol_R2</vt:lpstr>
      <vt:lpstr>tlOutputReg1Comp2TRxShare_R1</vt:lpstr>
      <vt:lpstr>tlOutputReg1Comp2TRxShare_R2</vt:lpstr>
      <vt:lpstr>tlOutputReg1Comp2TRxShareChange_R1</vt:lpstr>
      <vt:lpstr>tlOutputReg1Comp2TRxShareChange_R2</vt:lpstr>
      <vt:lpstr>tlOutputReg1Comp2TRxVolume_R1</vt:lpstr>
      <vt:lpstr>tlOutputReg1Comp2TRxVolume_R2</vt:lpstr>
      <vt:lpstr>tlOutputReg1Comp2TRxVolumeChange_R1</vt:lpstr>
      <vt:lpstr>tlOutputReg1Comp2TRxVolumeChange_R2</vt:lpstr>
      <vt:lpstr>tlOutputReg1ESATDash</vt:lpstr>
      <vt:lpstr>tlOutputReg1ESATDashFormat</vt:lpstr>
      <vt:lpstr>tlOutputReg1FTEsLeftDash_R1</vt:lpstr>
      <vt:lpstr>tlOutputReg1FTEsLeftDash_R2</vt:lpstr>
      <vt:lpstr>tlOutputReg1FTEsLeftDashFormat_R1</vt:lpstr>
      <vt:lpstr>tlOutputReg1FTEsLeftDashFormat_R2</vt:lpstr>
      <vt:lpstr>tlOutputReg1FTEsRemainingDash_R1</vt:lpstr>
      <vt:lpstr>tlOutputReg1FTEsRemainingDash_R2</vt:lpstr>
      <vt:lpstr>tlOutputReg1FTEsRemainingDashFormat_R1</vt:lpstr>
      <vt:lpstr>tlOutputReg1FTEsRemainingDashFormat_R2</vt:lpstr>
      <vt:lpstr>tlOutputReg1NewSharePrev_R1</vt:lpstr>
      <vt:lpstr>tlOutputReg1NewSharePrev_R2</vt:lpstr>
      <vt:lpstr>tlOutputReg1NEwVolumePrev_R1</vt:lpstr>
      <vt:lpstr>tlOutputReg1NEwVolumePrev_R2</vt:lpstr>
      <vt:lpstr>tlOutputReg1NRxShare_R1</vt:lpstr>
      <vt:lpstr>tlOutputReg1NRxShare_R2</vt:lpstr>
      <vt:lpstr>tlOutputReg1NRxShareChange_R1</vt:lpstr>
      <vt:lpstr>tlOutputReg1NRxShareChange_R2</vt:lpstr>
      <vt:lpstr>tlOutputReg1NRxShareDash</vt:lpstr>
      <vt:lpstr>tlOutputReg1NRxShareDashFormat</vt:lpstr>
      <vt:lpstr>tlOutputReg1NRxVolume_R1</vt:lpstr>
      <vt:lpstr>tlOutputReg1NRxVolume_R2</vt:lpstr>
      <vt:lpstr>tlOutputReg1NRxVolumeChange_R1</vt:lpstr>
      <vt:lpstr>tlOutputReg1NRxVolumeChange_R2</vt:lpstr>
      <vt:lpstr>tlOutputReg1OpEffDash</vt:lpstr>
      <vt:lpstr>tlOutputReg1OpEffDashFormat</vt:lpstr>
      <vt:lpstr>tlOutputReg1Payer1Comp1Tier_R2</vt:lpstr>
      <vt:lpstr>tlOutputReg1Payer1Comp1TierStatus_R1</vt:lpstr>
      <vt:lpstr>tlOutputReg1Payer1Comp1TierStatus_R2</vt:lpstr>
      <vt:lpstr>tlOutputReg1Payer1Comp2Tier_R1</vt:lpstr>
      <vt:lpstr>tlOutputReg1Payer1Comp2Tier_R2</vt:lpstr>
      <vt:lpstr>tlOutputReg1Payer1Comp2TierStatus_R1</vt:lpstr>
      <vt:lpstr>tlOutputReg1Payer1Comp2TierStatus_R2</vt:lpstr>
      <vt:lpstr>tlOutputReg1Payer1Tier_R1</vt:lpstr>
      <vt:lpstr>tlOutputReg1Payer1Tier_R2</vt:lpstr>
      <vt:lpstr>tlOutputReg1Payer1TierStatus_R1</vt:lpstr>
      <vt:lpstr>tlOutputReg1Payer1TierStatus_R2</vt:lpstr>
      <vt:lpstr>tlOutputReg1Payer1TRxContrib_R1</vt:lpstr>
      <vt:lpstr>tlOutputReg1Payer1TRxContrib_R2</vt:lpstr>
      <vt:lpstr>tlOutputReg1Payer1TRxShare_R1</vt:lpstr>
      <vt:lpstr>tlOutputReg1Payer1TRxShare_R2</vt:lpstr>
      <vt:lpstr>tlOutputReg1Payer1TRxShareChange_R1</vt:lpstr>
      <vt:lpstr>tlOutputReg1Payer1TRxShareChange_R2</vt:lpstr>
      <vt:lpstr>tlOutputReg1Payer1TRxTotalVolume_R1</vt:lpstr>
      <vt:lpstr>tlOutputReg1Payer1TRxTotalVolume_R2</vt:lpstr>
      <vt:lpstr>tlOutputReg1Payer1TRxVolume_R1</vt:lpstr>
      <vt:lpstr>tlOutputReg1Payer1TRxVolume_R2</vt:lpstr>
      <vt:lpstr>tlOutputReg1Payer1TRxVolumeChange_R1</vt:lpstr>
      <vt:lpstr>tlOutputReg1Payer1TRxVolumeChange_R2</vt:lpstr>
      <vt:lpstr>tlOutputReg1Payer2Comp1Tier_R1</vt:lpstr>
      <vt:lpstr>tlOutputReg1Payer2Comp1Tier_R2</vt:lpstr>
      <vt:lpstr>tlOutputReg1Payer2Comp1TierStatus_R1</vt:lpstr>
      <vt:lpstr>tlOutputReg1Payer2Comp1TierStatus_R2</vt:lpstr>
      <vt:lpstr>tlOutputReg1Payer2Comp2Tier_R1</vt:lpstr>
      <vt:lpstr>tlOutputReg1Payer2Comp2Tier_R2</vt:lpstr>
      <vt:lpstr>tlOutputReg1Payer2Comp2TierStatus_R2</vt:lpstr>
      <vt:lpstr>tlOutputReg1Payer2Tier_R1</vt:lpstr>
      <vt:lpstr>tlOutputReg1Payer2Tier_R2</vt:lpstr>
      <vt:lpstr>tlOutputReg1Payer2TierStatus_R1</vt:lpstr>
      <vt:lpstr>tlOutputReg1Payer2TierStatus_R2</vt:lpstr>
      <vt:lpstr>tlOutputReg1Payer2TRxContrib_R1</vt:lpstr>
      <vt:lpstr>tlOutputReg1Payer2TRxContrib_R2</vt:lpstr>
      <vt:lpstr>tlOutputReg1Payer2TRxShare_R1</vt:lpstr>
      <vt:lpstr>tlOutputReg1Payer2TRxShare_R2</vt:lpstr>
      <vt:lpstr>tlOutputReg1Payer2TRxShareChange_R1</vt:lpstr>
      <vt:lpstr>tlOutputReg1Payer2TRxShareChange_R2</vt:lpstr>
      <vt:lpstr>tlOutputReg1Payer2TRxTotalVolume_R1</vt:lpstr>
      <vt:lpstr>tlOutputReg1Payer2TRxTotalVolume_R2</vt:lpstr>
      <vt:lpstr>tlOutputReg1Payer2TRxVolume_R1</vt:lpstr>
      <vt:lpstr>tlOutputReg1Payer2TRxVolume_R2</vt:lpstr>
      <vt:lpstr>tlOutputReg1Payer2TRxVolumeChange_R1</vt:lpstr>
      <vt:lpstr>tlOutputReg1Payer2TRxVolumeChange_R2</vt:lpstr>
      <vt:lpstr>tlOutputReg1Payer3Comp1Tier_R1</vt:lpstr>
      <vt:lpstr>tlOutputReg1Payer3Comp1Tier_R2</vt:lpstr>
      <vt:lpstr>tlOutputReg1Payer3Comp1TierStatus_R1</vt:lpstr>
      <vt:lpstr>tlOutputReg1Payer3Comp1TierStatus_R2</vt:lpstr>
      <vt:lpstr>tlOutputReg1Payer3Comp2Tier_R1</vt:lpstr>
      <vt:lpstr>tlOutputReg1Payer3Comp2Tier_R2</vt:lpstr>
      <vt:lpstr>tlOutputReg1Payer3Comp2TierStatus_R2</vt:lpstr>
      <vt:lpstr>tlOutputReg1Payer3Tier_R1</vt:lpstr>
      <vt:lpstr>tlOutputReg1Payer3Tier_R2</vt:lpstr>
      <vt:lpstr>tlOutputReg1Payer3TierStatus_R1</vt:lpstr>
      <vt:lpstr>tlOutputReg1Payer3TierStatus_R2</vt:lpstr>
      <vt:lpstr>tlOutputReg1Payer3TRxContrib_R1</vt:lpstr>
      <vt:lpstr>tlOutputReg1Payer3TRxContrib_R2</vt:lpstr>
      <vt:lpstr>tlOutputReg1Payer3TRxShare_R1</vt:lpstr>
      <vt:lpstr>tlOutputReg1Payer3TRxShare_R2</vt:lpstr>
      <vt:lpstr>tlOutputReg1Payer3TRxShareChange_R1</vt:lpstr>
      <vt:lpstr>tlOutputReg1Payer3TRxShareChange_R2</vt:lpstr>
      <vt:lpstr>tlOutputReg1Payer3TRxTotalVolume_R1</vt:lpstr>
      <vt:lpstr>tlOutputReg1Payer3TRxTotalVolume_R2</vt:lpstr>
      <vt:lpstr>tlOutputReg1Payer3TRxVolume_R1</vt:lpstr>
      <vt:lpstr>tlOutputReg1Payer3TRxVolume_R2</vt:lpstr>
      <vt:lpstr>tlOutputReg1Payer3TRxVolumeChange_R1</vt:lpstr>
      <vt:lpstr>tlOutputReg1Payer3TRxVolumeChange_R2</vt:lpstr>
      <vt:lpstr>tlOutputReg1PrevVolume_R1</vt:lpstr>
      <vt:lpstr>tlOutputReg1PrevVolume_R2</vt:lpstr>
      <vt:lpstr>tlOutputReg1PromotionBudgetRemainingDash_R1</vt:lpstr>
      <vt:lpstr>tlOutputReg1PromotionBudgetRemainingDash_R2</vt:lpstr>
      <vt:lpstr>tlOutputReg1PromotionBudgetRemainingDashFormat_R1</vt:lpstr>
      <vt:lpstr>tlOutputReg1PromotionBudgetRemainingDashFormat_R2</vt:lpstr>
      <vt:lpstr>tlOutputReg1SampleBudgetRemainingDash_R1</vt:lpstr>
      <vt:lpstr>tlOutputReg1SampleBudgetRemainingDash_R2</vt:lpstr>
      <vt:lpstr>tlOutputReg1SampleBudgetRemainingDashFormat_R1</vt:lpstr>
      <vt:lpstr>tlOutputReg1SampleBudgetRemainingDashFormat_R2</vt:lpstr>
      <vt:lpstr>tlOutputReg1Seg1AllocPercSalesTitle_R1</vt:lpstr>
      <vt:lpstr>tlOutputReg1Seg1CfCollabCost_R1</vt:lpstr>
      <vt:lpstr>tlOutputReg1Seg1CfCollabCost_R2</vt:lpstr>
      <vt:lpstr>tlOutputReg1Seg1CfCollabFTEs_R1</vt:lpstr>
      <vt:lpstr>tlOutputReg1Seg1CfCollabFTEs_R2</vt:lpstr>
      <vt:lpstr>tlOutputReg1Seg1CfCollabTitle_R1</vt:lpstr>
      <vt:lpstr>tlOutputReg1Seg1CfCollabTitle_R2</vt:lpstr>
      <vt:lpstr>tlOutputReg1Seg1CfRepTime_R1</vt:lpstr>
      <vt:lpstr>tlOutputReg1Seg1CfRepTime_R2</vt:lpstr>
      <vt:lpstr>tlOutputReg1Seg1CoachingTitle_R1</vt:lpstr>
      <vt:lpstr>tlOutputReg1Seg1CoachingTitle_R2</vt:lpstr>
      <vt:lpstr>tlOutputReg1Seg1Comp1TotalPrevShare_R1</vt:lpstr>
      <vt:lpstr>tlOutputReg1Seg1Comp1TotalPrevShare_R2</vt:lpstr>
      <vt:lpstr>tlOutputReg1Seg1Comp1TotalPrevVol_R1</vt:lpstr>
      <vt:lpstr>tlOutputReg1Seg1Comp1TotalPrevVol_R2</vt:lpstr>
      <vt:lpstr>tlOutputReg1Seg1Comp1TRxShare_R1</vt:lpstr>
      <vt:lpstr>tlOutputReg1Seg1Comp1TRxShare_R2</vt:lpstr>
      <vt:lpstr>tlOutputReg1Seg1Comp1TRxShareChange_R1</vt:lpstr>
      <vt:lpstr>tlOutputReg1Seg1Comp1TRxShareChange_R2</vt:lpstr>
      <vt:lpstr>tlOutputReg1Seg1Comp1TRxVolume_R1</vt:lpstr>
      <vt:lpstr>tlOutputReg1Seg1Comp1TRxVolume_R2</vt:lpstr>
      <vt:lpstr>tlOutputReg1Seg1Comp1TRxVolumeChange_R1</vt:lpstr>
      <vt:lpstr>tlOutputReg1Seg1Comp1TRxVolumeChange_R2</vt:lpstr>
      <vt:lpstr>tlOutputReg1Seg1Comp2TotalPrevShare_R1</vt:lpstr>
      <vt:lpstr>tlOutputReg1Seg1Comp2TotalPrevShare_R2</vt:lpstr>
      <vt:lpstr>tlOutputReg1Seg1Comp2TotalPrevVol_R1</vt:lpstr>
      <vt:lpstr>tlOutputReg1Seg1Comp2TotalPrevVol_R2</vt:lpstr>
      <vt:lpstr>tlOutputReg1Seg1Comp2TRxShare_R1</vt:lpstr>
      <vt:lpstr>tlOutputReg1Seg1Comp2TRxShare_R2</vt:lpstr>
      <vt:lpstr>tlOutputReg1Seg1Comp2TRxShareChange_R1</vt:lpstr>
      <vt:lpstr>tlOutputReg1Seg1Comp2TRxShareChange_R2</vt:lpstr>
      <vt:lpstr>tlOutputReg1Seg1Comp2TRxVolume_R1</vt:lpstr>
      <vt:lpstr>tlOutputReg1Seg1Comp2TRxVolume_R2</vt:lpstr>
      <vt:lpstr>tlOutputReg1Seg1Comp2TRxVolumeChange_R1</vt:lpstr>
      <vt:lpstr>tlOutputReg1Seg1Comp2TRxVolumeChange_R2</vt:lpstr>
      <vt:lpstr>tlOutputReg1Seg1CurrentAllocationTitle_R1</vt:lpstr>
      <vt:lpstr>tlOutputReg1Seg1CurrentAllocationTitle_R2</vt:lpstr>
      <vt:lpstr>tlOutputReg1Seg1CurrentESAT_R1</vt:lpstr>
      <vt:lpstr>tlOutputReg1Seg1CurrentESAT_R2</vt:lpstr>
      <vt:lpstr>tlOutputReg1Seg1CurrentFinTitle_R1</vt:lpstr>
      <vt:lpstr>tlOutputReg1Seg1CurrentFinTitle_R2</vt:lpstr>
      <vt:lpstr>tlOutputReg1Seg1CurrentInternalCost_R1</vt:lpstr>
      <vt:lpstr>tlOutputReg1Seg1CurrentInternalCost_R2</vt:lpstr>
      <vt:lpstr>tlOutputReg1Seg1CurrentIntTitle_R1</vt:lpstr>
      <vt:lpstr>tlOutputReg1Seg1CurrentIntTitle_R2</vt:lpstr>
      <vt:lpstr>tlOutputReg1Seg1CurrentLunchMoneyCost_R1</vt:lpstr>
      <vt:lpstr>tlOutputReg1Seg1CurrentLunchMoneyCost_R2</vt:lpstr>
      <vt:lpstr>tlOutputReg1Seg1CurrentNetSales_R1</vt:lpstr>
      <vt:lpstr>tlOutputReg1Seg1CurrentNetSales_R2</vt:lpstr>
      <vt:lpstr>tlOutputReg1Seg1CurrentNRxShare_R1</vt:lpstr>
      <vt:lpstr>tlOutputReg1Seg1CurrentNRxShare_R2</vt:lpstr>
      <vt:lpstr>tlOutputReg1Seg1CurrentOE_R1</vt:lpstr>
      <vt:lpstr>tlOutputReg1Seg1CurrentOE_R2</vt:lpstr>
      <vt:lpstr>tlOutputReg1Seg1CurrentProfit_R1</vt:lpstr>
      <vt:lpstr>tlOutputReg1Seg1CurrentProfit_R2</vt:lpstr>
      <vt:lpstr>tlOutputReg1Seg1CurrentPromotionAllocation_R1</vt:lpstr>
      <vt:lpstr>tlOutputReg1Seg1CurrentPromotionAllocation_R2</vt:lpstr>
      <vt:lpstr>tlOutputReg1Seg1CurrentReimb_R1</vt:lpstr>
      <vt:lpstr>tlOutputReg1Seg1CurrentReimb_R2</vt:lpstr>
      <vt:lpstr>tlOutputReg1Seg1CurrentSales_R1</vt:lpstr>
      <vt:lpstr>tlOutputReg1Seg1CurrentSales_R2</vt:lpstr>
      <vt:lpstr>tlOutputReg1Seg1CurrentSampleCost_R1</vt:lpstr>
      <vt:lpstr>tlOutputReg1Seg1CurrentSampleCost_R2</vt:lpstr>
      <vt:lpstr>tlOutputReg1Seg1CurrentSpeakerCost_R1</vt:lpstr>
      <vt:lpstr>tlOutputReg1Seg1CurrentSpeakerCost_R2</vt:lpstr>
      <vt:lpstr>tlOutputReg1Seg1CurrentSpeakersCost_R1</vt:lpstr>
      <vt:lpstr>tlOutputReg1Seg1CurrentSpeakersCost_R2</vt:lpstr>
      <vt:lpstr>tlOutputReg1Seg1CurrentTRxShare_R1</vt:lpstr>
      <vt:lpstr>tlOutputReg1Seg1CurrentTRxShare_R2</vt:lpstr>
      <vt:lpstr>tlOutputReg1Seg1Dash1_R1</vt:lpstr>
      <vt:lpstr>tlOutputReg1Seg1Dash1_R2</vt:lpstr>
      <vt:lpstr>tlOutputReg1Seg1Dash2_R1</vt:lpstr>
      <vt:lpstr>tlOutputReg1Seg1Dash2_R2</vt:lpstr>
      <vt:lpstr>tlOutputReg1Seg1Dash3_R1</vt:lpstr>
      <vt:lpstr>tlOutputReg1Seg1Dash3_R2</vt:lpstr>
      <vt:lpstr>tlOutputReg1Seg1ESAT_R1</vt:lpstr>
      <vt:lpstr>tlOutputReg1Seg1ESAT_R2</vt:lpstr>
      <vt:lpstr>tlOutputReg1Seg1ESATTitle_R1</vt:lpstr>
      <vt:lpstr>tlOutputReg1Seg1ESATTitle_R2</vt:lpstr>
      <vt:lpstr>tlOutputReg1Seg1FieldTimeTitle_R1</vt:lpstr>
      <vt:lpstr>tlOutputReg1Seg1FieldTimeTitle_R2</vt:lpstr>
      <vt:lpstr>tlOutputReg1Seg1ForecastTitle</vt:lpstr>
      <vt:lpstr>tlOutputReg1Seg1ForecastTitle_R1</vt:lpstr>
      <vt:lpstr>tlOutputReg1Seg1ForecastTitle_R2</vt:lpstr>
      <vt:lpstr>tlOutputReg1Seg1FTEsTitle_R1</vt:lpstr>
      <vt:lpstr>tlOutputReg1Seg1FTEsTitle_R2</vt:lpstr>
      <vt:lpstr>tlOutputReg1Seg1GrowthTitle_R1</vt:lpstr>
      <vt:lpstr>tlOutputReg1Seg1GrowthTitle_R2</vt:lpstr>
      <vt:lpstr>tlOutputReg1Seg1InternalCostTitle_R1</vt:lpstr>
      <vt:lpstr>tlOutputReg1Seg1InternalCostTitle_R2</vt:lpstr>
      <vt:lpstr>tlOutputReg1Seg1InternalResCostTitle_R1</vt:lpstr>
      <vt:lpstr>tlOutputReg1Seg1InternalResCostTitle_R2</vt:lpstr>
      <vt:lpstr>tlOutputReg1Seg1InternalResFTEsTitle_R1</vt:lpstr>
      <vt:lpstr>tlOutputReg1Seg1InternalResFTEsTitle_R2</vt:lpstr>
      <vt:lpstr>tlOutputReg1Seg1InternalResRepTimeTitle_R1</vt:lpstr>
      <vt:lpstr>tlOutputReg1Seg1InternalResRepTimeTitle_R2</vt:lpstr>
      <vt:lpstr>tlOutputReg1Seg1InternalResTitle_R1</vt:lpstr>
      <vt:lpstr>tlOutputReg1Seg1InternalResTitle_R2</vt:lpstr>
      <vt:lpstr>tlOutputReg1Seg1IntTimeTitle_R1</vt:lpstr>
      <vt:lpstr>tlOutputReg1Seg1IntTimeTitle_R2</vt:lpstr>
      <vt:lpstr>tlOutputReg1Seg1LunchMoneyTitleCost_R1</vt:lpstr>
      <vt:lpstr>tlOutputReg1Seg1LunchMoneyTitleCost_R2</vt:lpstr>
      <vt:lpstr>tlOutputReg1Seg1NetSalesTitle_R1</vt:lpstr>
      <vt:lpstr>tlOutputReg1Seg1NetSalesTitle_R2</vt:lpstr>
      <vt:lpstr>tlOutputReg1Seg1NewSharePrev_R1</vt:lpstr>
      <vt:lpstr>tlOutputReg1Seg1NewSharePrev_R2</vt:lpstr>
      <vt:lpstr>tlOutputReg1Seg1NewVolumePrev_R1</vt:lpstr>
      <vt:lpstr>tlOutputReg1Seg1NewVolumePrev_R2</vt:lpstr>
      <vt:lpstr>tlOutputReg1Seg1NRxShare_R1</vt:lpstr>
      <vt:lpstr>tlOutputReg1Seg1NRxShare_R2</vt:lpstr>
      <vt:lpstr>tlOutputReg1Seg1NRxShareChange_R1</vt:lpstr>
      <vt:lpstr>tlOutputReg1Seg1NRxShareChange_R2</vt:lpstr>
      <vt:lpstr>tlOutputReg1Seg1NRxShareTitle_R1</vt:lpstr>
      <vt:lpstr>tlOutputReg1Seg1NRxShareTitle_R2</vt:lpstr>
      <vt:lpstr>tlOutputReg1Seg1NRxVolume_R1</vt:lpstr>
      <vt:lpstr>tlOutputReg1Seg1NRxVolume_R2</vt:lpstr>
      <vt:lpstr>tlOutputReg1Seg1NRxVolumeChange_R1</vt:lpstr>
      <vt:lpstr>tlOutputReg1Seg1NRxVolumeChange_R2</vt:lpstr>
      <vt:lpstr>tlOutputReg1Seg1OETitle_R1</vt:lpstr>
      <vt:lpstr>tlOutputReg1Seg1OETitle_R2</vt:lpstr>
      <vt:lpstr>tlOutputReg1Seg1Payer1Forecast_R1</vt:lpstr>
      <vt:lpstr>tlOutputReg1Seg1Payer1Forecast_R2</vt:lpstr>
      <vt:lpstr>tlOutputReg1Seg1Payer1Title_R1</vt:lpstr>
      <vt:lpstr>tlOutputReg1Seg1Payer1Title_R2</vt:lpstr>
      <vt:lpstr>tlOutputReg1Seg1Payer1Visits_R1</vt:lpstr>
      <vt:lpstr>tlOutputReg1Seg1Payer1Visits_R2</vt:lpstr>
      <vt:lpstr>tlOutputReg1Seg1Payer1Volume_R1</vt:lpstr>
      <vt:lpstr>tlOutputReg1Seg1Payer1Volume_R2</vt:lpstr>
      <vt:lpstr>tlOutputReg1Seg1Payer2Forecast_R1</vt:lpstr>
      <vt:lpstr>tlOutputReg1Seg1Payer2Forecast_R2</vt:lpstr>
      <vt:lpstr>tlOutputReg1Seg1Payer2Title_R1</vt:lpstr>
      <vt:lpstr>tlOutputReg1Seg1Payer2Title_R2</vt:lpstr>
      <vt:lpstr>tlOutputReg1Seg1Payer2Visits_R1</vt:lpstr>
      <vt:lpstr>tlOutputReg1Seg1Payer2Visits_R2</vt:lpstr>
      <vt:lpstr>tlOutputReg1Seg1Payer2Volume_R1</vt:lpstr>
      <vt:lpstr>tlOutputReg1Seg1Payer2Volume_R2</vt:lpstr>
      <vt:lpstr>tlOutputReg1Seg1Payer3Forecast_R1</vt:lpstr>
      <vt:lpstr>tlOutputReg1Seg1Payer3Forecast_R2</vt:lpstr>
      <vt:lpstr>tlOutputReg1Seg1Payer3Volume_R1</vt:lpstr>
      <vt:lpstr>tlOutputReg1Seg1Payer3Volume_R2</vt:lpstr>
      <vt:lpstr>tlOutputReg1Seg1PayerTitle_R1</vt:lpstr>
      <vt:lpstr>tlOutputReg1Seg1PayerTitle_R2</vt:lpstr>
      <vt:lpstr>tlOutputReg1Seg1PrevAllocationTitle_R1</vt:lpstr>
      <vt:lpstr>tlOutputReg1Seg1PrevAllocationTitle_R2</vt:lpstr>
      <vt:lpstr>tlOutputReg1Seg1PrevESAT_R1</vt:lpstr>
      <vt:lpstr>tlOutputReg1Seg1PrevESAT_R2</vt:lpstr>
      <vt:lpstr>tlOutputReg1Seg1PrevInternalCost_R1</vt:lpstr>
      <vt:lpstr>tlOutputReg1Seg1PrevInternalCost_R2</vt:lpstr>
      <vt:lpstr>tlOutputReg1Seg1PrevIntTitle_R1</vt:lpstr>
      <vt:lpstr>tlOutputReg1Seg1PrevIntTitle_R2</vt:lpstr>
      <vt:lpstr>tlOutputReg1Seg1PrevLunchMoneyCost_R1</vt:lpstr>
      <vt:lpstr>tlOutputReg1Seg1PrevLunchMoneyCost_R2</vt:lpstr>
      <vt:lpstr>tlOutputReg1Seg1PrevNetSales_R1</vt:lpstr>
      <vt:lpstr>tlOutputReg1Seg1PrevNetSales_R2</vt:lpstr>
      <vt:lpstr>tlOutputReg1Seg1PrevNRxShare_R1</vt:lpstr>
      <vt:lpstr>tlOutputReg1Seg1PrevNRxShare_R2</vt:lpstr>
      <vt:lpstr>tlOutputReg1Seg1PrevOE_R1</vt:lpstr>
      <vt:lpstr>tlOutputReg1Seg1PrevOE_R2</vt:lpstr>
      <vt:lpstr>tlOutputReg1Seg1PrevProfit_R1</vt:lpstr>
      <vt:lpstr>tlOutputReg1Seg1PrevProfit_R2</vt:lpstr>
      <vt:lpstr>tlOutputReg1Seg1PrevPromotionCost_R1</vt:lpstr>
      <vt:lpstr>tlOutputReg1Seg1PrevPromotionCost_R2</vt:lpstr>
      <vt:lpstr>tlOutputReg1Seg1PrevReimb_R1</vt:lpstr>
      <vt:lpstr>tlOutputReg1Seg1PrevReimb_R2</vt:lpstr>
      <vt:lpstr>tlOutputReg1Seg1PrevSales_R1</vt:lpstr>
      <vt:lpstr>tlOutputReg1Seg1PrevSales_R2</vt:lpstr>
      <vt:lpstr>tlOutputReg1Seg1PrevSampleCost_R1</vt:lpstr>
      <vt:lpstr>tlOutputReg1Seg1PrevSampleCost_R2</vt:lpstr>
      <vt:lpstr>tlOutputReg1Seg1PrevSamplesCost_R1</vt:lpstr>
      <vt:lpstr>tlOutputReg1Seg1PrevSamplesCost_R2</vt:lpstr>
      <vt:lpstr>tlOutputReg1Seg1PrevSpeakerCost_R1</vt:lpstr>
      <vt:lpstr>tlOutputReg1Seg1PrevSpeakerCost_R2</vt:lpstr>
      <vt:lpstr>tlOutputReg1Seg1PrevSpeakersCost_R1</vt:lpstr>
      <vt:lpstr>tlOutputReg1Seg1PrevSpeakersCost_R2</vt:lpstr>
      <vt:lpstr>tlOutputReg1Seg1PrevTRxShare_R1</vt:lpstr>
      <vt:lpstr>tlOutputReg1Seg1PrevTRxShare_R2</vt:lpstr>
      <vt:lpstr>tlOutputReg1Seg1PrevVolume_R1</vt:lpstr>
      <vt:lpstr>tlOutputReg1Seg1PrevVolume_R2</vt:lpstr>
      <vt:lpstr>tlOutputReg1Seg1ProfitTitle_R1</vt:lpstr>
      <vt:lpstr>tlOutputReg1Seg1ProfitTitle_R2</vt:lpstr>
      <vt:lpstr>tlOutputReg1Seg1ProgramTitle_R1</vt:lpstr>
      <vt:lpstr>tlOutputReg1Seg1ProgramTitle_R2</vt:lpstr>
      <vt:lpstr>tlOutputReg1Seg1PromotionCost_R1</vt:lpstr>
      <vt:lpstr>tlOutputReg1Seg1PromotionCost_R2</vt:lpstr>
      <vt:lpstr>tlOutputReg1Seg1PromotionPerc_R1</vt:lpstr>
      <vt:lpstr>tlOutputReg1Seg1PromotionPerc_R2</vt:lpstr>
      <vt:lpstr>tlOutputReg1Seg1PromotionTitle_R1</vt:lpstr>
      <vt:lpstr>tlOutputReg1Seg1PromotionTitle_R2</vt:lpstr>
      <vt:lpstr>tlOutputReg1Seg1RegTrainer_R1</vt:lpstr>
      <vt:lpstr>tlOutputReg1Seg1RegTrainer_R2</vt:lpstr>
      <vt:lpstr>tlOutputReg1Seg1RegTrainerCost_R1</vt:lpstr>
      <vt:lpstr>tlOutputReg1Seg1RegTrainerCost_R2</vt:lpstr>
      <vt:lpstr>tlOutputReg1Seg1RegTrainerFTEs_R1</vt:lpstr>
      <vt:lpstr>tlOutputReg1Seg1RegTrainerFTEs_R2</vt:lpstr>
      <vt:lpstr>tlOutputReg1Seg1RegTrainerRepTime_R1</vt:lpstr>
      <vt:lpstr>tlOutputReg1Seg1RegTrainerRepTime_R2</vt:lpstr>
      <vt:lpstr>tlOutputReg1Seg1RegTrainerTitle_R1</vt:lpstr>
      <vt:lpstr>tlOutputReg1Seg1RegTrainerTitle_R2</vt:lpstr>
      <vt:lpstr>tlOutputReg1Seg1ReimbTitle_R1</vt:lpstr>
      <vt:lpstr>tlOutputReg1Seg1ReimbTitle_R2</vt:lpstr>
      <vt:lpstr>tlOutputReg1Seg1Rep1CoachingFTEs_R1</vt:lpstr>
      <vt:lpstr>tlOutputReg1Seg1Rep1CoachingFTEs_R2</vt:lpstr>
      <vt:lpstr>tlOutputReg1Seg1Rep1ExtTime_R1</vt:lpstr>
      <vt:lpstr>tlOutputReg1Seg1Rep1ExtTime_R2</vt:lpstr>
      <vt:lpstr>tlOutputReg1Seg1Rep1IntTime_R1</vt:lpstr>
      <vt:lpstr>tlOutputReg1Seg1Rep1IntTime_R2</vt:lpstr>
      <vt:lpstr>tlOutputReg1Seg1Rep1Title_R1</vt:lpstr>
      <vt:lpstr>tlOutputReg1Seg1Rep1Title_R2</vt:lpstr>
      <vt:lpstr>tlOutputReg1Seg1Rep2ExtTime_R1</vt:lpstr>
      <vt:lpstr>tlOutputReg1Seg1Rep2ExtTime_R2</vt:lpstr>
      <vt:lpstr>tlOutputReg1Seg1Rep2IntTime_R1</vt:lpstr>
      <vt:lpstr>tlOutputReg1Seg1Rep2IntTime_R2</vt:lpstr>
      <vt:lpstr>tlOutputReg1Seg1Rep3ExtTime_R1</vt:lpstr>
      <vt:lpstr>tlOutputReg1Seg1Rep3ExtTime_R2</vt:lpstr>
      <vt:lpstr>tlOutputReg1Seg1Rep3IntTime_R1</vt:lpstr>
      <vt:lpstr>tlOutputReg1Seg1Rep3IntTime_R2</vt:lpstr>
      <vt:lpstr>tlOutputReg1Seg1Rep3Title_R1</vt:lpstr>
      <vt:lpstr>tlOutputReg1Seg1Rep3Title_R2</vt:lpstr>
      <vt:lpstr>tlOutputReg1Seg1RepBExtTime_R2</vt:lpstr>
      <vt:lpstr>tlOutputReg1Seg1RepBIntTime_R2</vt:lpstr>
      <vt:lpstr>tlOutputReg1Seg1RepBTitle_R2</vt:lpstr>
      <vt:lpstr>tlOutputReg1Seg1RepMgmtTitle_R1</vt:lpstr>
      <vt:lpstr>tlOutputReg1Seg1RepMgmtTitle_R2</vt:lpstr>
      <vt:lpstr>tlOutputReg1Seg1ResourceAllocTitle_R1</vt:lpstr>
      <vt:lpstr>tlOutputReg1Seg1SalesTitle_R1</vt:lpstr>
      <vt:lpstr>tlOutputReg1Seg1SalesTitle_R2</vt:lpstr>
      <vt:lpstr>tlOutputReg1Seg1SampleCost_R1</vt:lpstr>
      <vt:lpstr>tlOutputReg1Seg1SampleCost_R2</vt:lpstr>
      <vt:lpstr>tlOutputReg1Seg1Samples_R1</vt:lpstr>
      <vt:lpstr>tlOutputReg1Seg1Samples_R2</vt:lpstr>
      <vt:lpstr>tlOutputReg1Seg1SamplesCostTitle_R1</vt:lpstr>
      <vt:lpstr>tlOutputReg1Seg1SamplesCostTitle_R2</vt:lpstr>
      <vt:lpstr>tlOutputReg1Seg1SamplesPerc_R1</vt:lpstr>
      <vt:lpstr>tlOutputReg1Seg1SamplesPerc_R2</vt:lpstr>
      <vt:lpstr>tlOutputReg1Seg1SampleTitle_R1</vt:lpstr>
      <vt:lpstr>tlOutputReg1Seg1SampleTitle_R2</vt:lpstr>
      <vt:lpstr>tlOutputReg1Seg1SpeakerCost_R1</vt:lpstr>
      <vt:lpstr>tlOutputReg1Seg1SpeakerCost_R2</vt:lpstr>
      <vt:lpstr>tlOutputReg1Seg1SpeakersPerc_R2</vt:lpstr>
      <vt:lpstr>tlOutputReg1Seg1SpeakersTitleCost_R1</vt:lpstr>
      <vt:lpstr>tlOutputReg1Seg1SpeakersTitleCost_R2</vt:lpstr>
      <vt:lpstr>tlOutputReg1Seg1SpeakerTitle_R1</vt:lpstr>
      <vt:lpstr>tlOutputReg1Seg1SpeakerTitle_R2</vt:lpstr>
      <vt:lpstr>tlOutputReg1Seg1Therapy1PrevWeightTitle_R1</vt:lpstr>
      <vt:lpstr>tlOutputReg1Seg1Therapy1PrevWeightTitle_R2</vt:lpstr>
      <vt:lpstr>tlOutputReg1Seg1Therapy1RepAPrevWeight_R1</vt:lpstr>
      <vt:lpstr>tlOutputReg1Seg1Therapy1RepAWeight_R1</vt:lpstr>
      <vt:lpstr>tlOutputReg1Seg1Therapy1RepBPrevWeight_R1</vt:lpstr>
      <vt:lpstr>tlOutputReg1Seg1Therapy1RepBWeight_R1</vt:lpstr>
      <vt:lpstr>tlOutputReg1Seg1Therapy1RepCPrevWeight_R1</vt:lpstr>
      <vt:lpstr>tlOutputReg1Seg1Therapy1RepCWeight_R1</vt:lpstr>
      <vt:lpstr>tlOutputReg1Seg1Therapy1Title_R1</vt:lpstr>
      <vt:lpstr>tlOutputReg1Seg1Therapy1Title_R2</vt:lpstr>
      <vt:lpstr>tlOutputReg1Seg1Title_R1</vt:lpstr>
      <vt:lpstr>tlOutputReg1Seg1Title_R2</vt:lpstr>
      <vt:lpstr>tlOutputReg1Seg1TotalMarketVolume_R1</vt:lpstr>
      <vt:lpstr>tlOutputReg1Seg1TotalMarketVolume_R2</vt:lpstr>
      <vt:lpstr>tlOutputReg1Seg1TotalMarketVolumeChange_R1</vt:lpstr>
      <vt:lpstr>tlOutputReg1Seg1TotalMarketVolumeChange_R2</vt:lpstr>
      <vt:lpstr>tlOutputReg1Seg1TotalSharePrev_R1</vt:lpstr>
      <vt:lpstr>tlOutputReg1Seg1TotalSharePrev_R2</vt:lpstr>
      <vt:lpstr>tlOutputReg1Seg1TotalVolumePrev_R1</vt:lpstr>
      <vt:lpstr>tlOutputReg1Seg1TotalVolumePrev_R2</vt:lpstr>
      <vt:lpstr>tlOutputReg1Seg1TRxShare_R1</vt:lpstr>
      <vt:lpstr>tlOutputReg1Seg1TRxShare_R2</vt:lpstr>
      <vt:lpstr>tlOutputReg1Seg1TRxShareChange_R1</vt:lpstr>
      <vt:lpstr>tlOutputReg1Seg1TRxShareChange_R2</vt:lpstr>
      <vt:lpstr>tlOutputReg1Seg1TRxShareChangeCompView_R1</vt:lpstr>
      <vt:lpstr>tlOutputReg1Seg1TRxShareChangeCompView_R2</vt:lpstr>
      <vt:lpstr>tlOutputReg1Seg1TRxShareChangeR1</vt:lpstr>
      <vt:lpstr>tlOutputReg1Seg1TRxShareCompView_R1</vt:lpstr>
      <vt:lpstr>tlOutputReg1Seg1TRxShareCompView_R2</vt:lpstr>
      <vt:lpstr>tlOutputReg1Seg1TRxShareTitle_R1</vt:lpstr>
      <vt:lpstr>tlOutputReg1Seg1TRxShareTitle_R2</vt:lpstr>
      <vt:lpstr>tlOutputReg1Seg1TRxVolume_R1</vt:lpstr>
      <vt:lpstr>tlOutputReg1Seg1TRxVolume_R2</vt:lpstr>
      <vt:lpstr>tlOutputReg1Seg1TRxVolumeChange_R1</vt:lpstr>
      <vt:lpstr>tlOutputReg1Seg1TRxVolumeChange_R2</vt:lpstr>
      <vt:lpstr>tlOutputReg1Seg1TRxVolumeChangeCompView_R1</vt:lpstr>
      <vt:lpstr>tlOutputReg1Seg1TRxVolumeChangeCompView_R2</vt:lpstr>
      <vt:lpstr>tlOutputReg1Seg1TRxVolumeCompView_R1</vt:lpstr>
      <vt:lpstr>tlOutputReg1Seg1TRxVolumeCompView_R2</vt:lpstr>
      <vt:lpstr>tlOutputReg1Seg2AllocPercSalesTitle_R1</vt:lpstr>
      <vt:lpstr>tlOutputReg1Seg2AllocPercSalesTitle_R2</vt:lpstr>
      <vt:lpstr>tlOutputReg1Seg2CfCollabCost_R1</vt:lpstr>
      <vt:lpstr>tlOutputReg1Seg2CfCollabCost_R2</vt:lpstr>
      <vt:lpstr>tlOutputReg1Seg2CfCollabFTEs_R1</vt:lpstr>
      <vt:lpstr>tlOutputReg1Seg2CfCollabFTEs_R2</vt:lpstr>
      <vt:lpstr>tlOutputReg1Seg2CfCollabTitle_R1</vt:lpstr>
      <vt:lpstr>tlOutputReg1Seg2CfCollabTitle_R2</vt:lpstr>
      <vt:lpstr>tlOutputReg1Seg2CfRepTime_R1</vt:lpstr>
      <vt:lpstr>tlOutputReg1Seg2CfRepTime_R2</vt:lpstr>
      <vt:lpstr>tlOutputReg1Seg2CoachingTitle_R1</vt:lpstr>
      <vt:lpstr>tlOutputReg1Seg2CoachingTitle_R2</vt:lpstr>
      <vt:lpstr>tlOutputReg1Seg2Comp1TotalPrevShare_R1</vt:lpstr>
      <vt:lpstr>tlOutputReg1Seg2Comp1TotalPrevShare_R2</vt:lpstr>
      <vt:lpstr>tlOutputReg1Seg2Comp1TotalPrevVol_R1</vt:lpstr>
      <vt:lpstr>tlOutputReg1Seg2Comp1TotalPrevVol_R2</vt:lpstr>
      <vt:lpstr>tlOutputReg1Seg2Comp1TRxShare_R1</vt:lpstr>
      <vt:lpstr>tlOutputReg1Seg2Comp1TRxShare_R2</vt:lpstr>
      <vt:lpstr>tlOutputReg1Seg2Comp1TRxShareChange_R1</vt:lpstr>
      <vt:lpstr>tlOutputReg1Seg2Comp1TRxShareChange_R2</vt:lpstr>
      <vt:lpstr>tlOutputReg1Seg2Comp1TRxVolume_R1</vt:lpstr>
      <vt:lpstr>tlOutputReg1Seg2Comp1TRxVolume_R2</vt:lpstr>
      <vt:lpstr>tlOutputReg1Seg2Comp1TRxVolumeChange_R1</vt:lpstr>
      <vt:lpstr>tlOutputReg1Seg2Comp1TRxVolumeChange_R2</vt:lpstr>
      <vt:lpstr>tlOutputReg1Seg2Comp2TotalPrevShare_R1</vt:lpstr>
      <vt:lpstr>tlOutputReg1Seg2Comp2TotalPrevShare_R2</vt:lpstr>
      <vt:lpstr>tlOutputReg1Seg2Comp2TotalPrevVol_R1</vt:lpstr>
      <vt:lpstr>tlOutputReg1Seg2Comp2TotalPrevVol_R2</vt:lpstr>
      <vt:lpstr>tlOutputReg1Seg2Comp2TRxShare_R1</vt:lpstr>
      <vt:lpstr>tlOutputReg1Seg2Comp2TRxShare_R2</vt:lpstr>
      <vt:lpstr>tlOutputReg1Seg2Comp2TRxShareChange_R1</vt:lpstr>
      <vt:lpstr>tlOutputReg1Seg2Comp2TRxShareChange_R2</vt:lpstr>
      <vt:lpstr>tlOutputReg1Seg2Comp2TRxVolume_R1</vt:lpstr>
      <vt:lpstr>tlOutputReg1Seg2Comp2TRxVolume_R2</vt:lpstr>
      <vt:lpstr>tlOutputReg1Seg2Comp2TRxVolumeChange_R1</vt:lpstr>
      <vt:lpstr>tlOutputReg1Seg2Comp2TRxVolumeChange_R2</vt:lpstr>
      <vt:lpstr>tlOutputReg1Seg2CurrentAllocationTitle_R1</vt:lpstr>
      <vt:lpstr>tlOutputReg1Seg2CurrentAllocationTitle_R2</vt:lpstr>
      <vt:lpstr>tlOutputReg1Seg2CurrentESAT_R1</vt:lpstr>
      <vt:lpstr>tlOutputReg1Seg2CurrentESAT_R2</vt:lpstr>
      <vt:lpstr>tlOutputReg1Seg2CurrentFinTitle_R1</vt:lpstr>
      <vt:lpstr>tlOutputReg1Seg2CurrentFinTitle_R2</vt:lpstr>
      <vt:lpstr>tlOutputReg1Seg2CurrentInternalCost_R1</vt:lpstr>
      <vt:lpstr>tlOutputReg1Seg2CurrentInternalCost_R2</vt:lpstr>
      <vt:lpstr>tlOutputReg1Seg2CurrentIntTitle_R1</vt:lpstr>
      <vt:lpstr>tlOutputReg1Seg2CurrentIntTitle_R2</vt:lpstr>
      <vt:lpstr>tlOutputReg1Seg2CurrentLunchMoneyCost_R1</vt:lpstr>
      <vt:lpstr>tlOutputReg1Seg2CurrentLunchMoneyCost_R2</vt:lpstr>
      <vt:lpstr>tlOutputReg1Seg2CurrentNetSales_R1</vt:lpstr>
      <vt:lpstr>tlOutputReg1Seg2CurrentNetSales_R2</vt:lpstr>
      <vt:lpstr>tlOutputReg1Seg2CurrentNRxShare_R1</vt:lpstr>
      <vt:lpstr>tlOutputReg1Seg2CurrentNRxShare_R2</vt:lpstr>
      <vt:lpstr>tlOutputReg1Seg2CurrentOE_R1</vt:lpstr>
      <vt:lpstr>tlOutputReg1Seg2CurrentOE_R2</vt:lpstr>
      <vt:lpstr>tlOutputReg1Seg2CurrentProfit_R1</vt:lpstr>
      <vt:lpstr>tlOutputReg1Seg2CurrentProfit_R2</vt:lpstr>
      <vt:lpstr>tlOutputReg1Seg2CurrentPromotionAllocation_R1</vt:lpstr>
      <vt:lpstr>tlOutputReg1Seg2CurrentPromotionAllocation_R2</vt:lpstr>
      <vt:lpstr>tlOutputReg1Seg2CurrentReimb_R1</vt:lpstr>
      <vt:lpstr>tlOutputReg1Seg2CurrentReimb_R2</vt:lpstr>
      <vt:lpstr>tlOutputReg1Seg2CurrentSales_R1</vt:lpstr>
      <vt:lpstr>tlOutputReg1Seg2CurrentSales_R2</vt:lpstr>
      <vt:lpstr>tlOutputReg1Seg2CurrentSampleCost_R1</vt:lpstr>
      <vt:lpstr>tlOutputReg1Seg2CurrentSampleCost_R2</vt:lpstr>
      <vt:lpstr>tlOutputReg1Seg2CurrentSpeakerCost_R1</vt:lpstr>
      <vt:lpstr>tlOutputReg1Seg2CurrentSpeakerCost_R2</vt:lpstr>
      <vt:lpstr>tlOutputReg1Seg2CurrentSpeakersCost_R1</vt:lpstr>
      <vt:lpstr>tlOutputReg1Seg2CurrentSpeakersCost_R2</vt:lpstr>
      <vt:lpstr>tlOutputReg1Seg2CurrentTRxShare_R1</vt:lpstr>
      <vt:lpstr>tlOutputReg1Seg2CurrentTRxShare_R2</vt:lpstr>
      <vt:lpstr>tlOutputReg1Seg2Dash1_R1</vt:lpstr>
      <vt:lpstr>tlOutputReg1Seg2Dash1_R2</vt:lpstr>
      <vt:lpstr>tlOutputReg1Seg2Dash2_R1</vt:lpstr>
      <vt:lpstr>tlOutputReg1Seg2Dash2_R2</vt:lpstr>
      <vt:lpstr>tlOutputReg1Seg2Dash3_R1</vt:lpstr>
      <vt:lpstr>tlOutputReg1Seg2Dash3_R2</vt:lpstr>
      <vt:lpstr>tlOutputReg1Seg2ESAT_R1</vt:lpstr>
      <vt:lpstr>tlOutputReg1Seg2ESAT_R2</vt:lpstr>
      <vt:lpstr>tlOutputReg1Seg2ESATTitle_R1</vt:lpstr>
      <vt:lpstr>tlOutputReg1Seg2ESATTitle_R2</vt:lpstr>
      <vt:lpstr>tlOutputReg1Seg2FieldTimeTitle_R1</vt:lpstr>
      <vt:lpstr>tlOutputReg1Seg2FieldTimeTitle_R2</vt:lpstr>
      <vt:lpstr>tlOutputReg1Seg2ForecastTitle</vt:lpstr>
      <vt:lpstr>tlOutputReg1Seg2ForecastTitle_R1</vt:lpstr>
      <vt:lpstr>tlOutputReg1Seg2ForecastTitle_R2</vt:lpstr>
      <vt:lpstr>tlOutputReg1Seg2FTEsTitle_R1</vt:lpstr>
      <vt:lpstr>tlOutputReg1Seg2FTEsTitle_R2</vt:lpstr>
      <vt:lpstr>tlOutputReg1Seg2GrowthTitle_R1</vt:lpstr>
      <vt:lpstr>tlOutputReg1Seg2GrowthTitle_R2</vt:lpstr>
      <vt:lpstr>tlOutputReg1Seg2InternalCostTitle_R1</vt:lpstr>
      <vt:lpstr>tlOutputReg1Seg2InternalCostTitle_R2</vt:lpstr>
      <vt:lpstr>tlOutputReg1Seg2InternalResCostTitle_R1</vt:lpstr>
      <vt:lpstr>tlOutputReg1Seg2InternalResCostTitle_R2</vt:lpstr>
      <vt:lpstr>tlOutputReg1Seg2InternalResFTEsTitle_R1</vt:lpstr>
      <vt:lpstr>tlOutputReg1Seg2InternalResFTEsTitle_R2</vt:lpstr>
      <vt:lpstr>tlOutputReg1Seg2InternalResRepTimeTitle_R1</vt:lpstr>
      <vt:lpstr>tlOutputReg1Seg2InternalResRepTimeTitle_R2</vt:lpstr>
      <vt:lpstr>tlOutputReg1Seg2InternalResTitle_R1</vt:lpstr>
      <vt:lpstr>tlOutputReg1Seg2InternalResTitle_R2</vt:lpstr>
      <vt:lpstr>tlOutputReg1Seg2IntTimeTitle_R1</vt:lpstr>
      <vt:lpstr>tlOutputReg1Seg2IntTimeTitle_R2</vt:lpstr>
      <vt:lpstr>tlOutputReg1Seg2LunchMoneyTitleCost_R1</vt:lpstr>
      <vt:lpstr>tlOutputReg1Seg2LunchMoneyTitleCost_R2</vt:lpstr>
      <vt:lpstr>tlOutputReg1Seg2NetSalesTitle_R1</vt:lpstr>
      <vt:lpstr>tlOutputReg1Seg2NetSalesTitle_R2</vt:lpstr>
      <vt:lpstr>tlOutputReg1Seg2NewSharePrev_R1</vt:lpstr>
      <vt:lpstr>tlOutputReg1Seg2NewSharePrev_R2</vt:lpstr>
      <vt:lpstr>tlOutputReg1Seg2NewVolumePrev_R1</vt:lpstr>
      <vt:lpstr>tlOutputReg1Seg2NewVolumePrev_R2</vt:lpstr>
      <vt:lpstr>tlOutputReg1Seg2NRxShare_R1</vt:lpstr>
      <vt:lpstr>tlOutputReg1Seg2NRxShare_R2</vt:lpstr>
      <vt:lpstr>tlOutputReg1Seg2NRxShareChange_R1</vt:lpstr>
      <vt:lpstr>tlOutputReg1Seg2NRxShareChange_R2</vt:lpstr>
      <vt:lpstr>tlOutputReg1Seg2NRxShareTitle_R1</vt:lpstr>
      <vt:lpstr>tlOutputReg1Seg2NRxShareTitle_R2</vt:lpstr>
      <vt:lpstr>tlOutputReg1Seg2NRxVolume_R1</vt:lpstr>
      <vt:lpstr>tlOutputReg1Seg2NRxVolume_R2</vt:lpstr>
      <vt:lpstr>tlOutputReg1Seg2NRxVolumeChange_R1</vt:lpstr>
      <vt:lpstr>tlOutputReg1Seg2NRxVolumeChange_R2</vt:lpstr>
      <vt:lpstr>tlOutputReg1Seg2OETitle_R1</vt:lpstr>
      <vt:lpstr>tlOutputReg1Seg2OETitle_R2</vt:lpstr>
      <vt:lpstr>tlOutputReg1Seg2Payer1Forecast_R1</vt:lpstr>
      <vt:lpstr>tlOutputReg1Seg2Payer1Forecast_R2</vt:lpstr>
      <vt:lpstr>tlOutputReg1Seg2Payer1Title_R1</vt:lpstr>
      <vt:lpstr>tlOutputReg1Seg2Payer1Title_R2</vt:lpstr>
      <vt:lpstr>tlOutputReg1Seg2Payer1Visits_R1</vt:lpstr>
      <vt:lpstr>tlOutputReg1Seg2Payer1Visits_R2</vt:lpstr>
      <vt:lpstr>tlOutputReg1Seg2Payer1Volume_R1</vt:lpstr>
      <vt:lpstr>tlOutputReg1Seg2Payer1Volume_R2</vt:lpstr>
      <vt:lpstr>tlOutputReg1Seg2Payer2Forecast_R1</vt:lpstr>
      <vt:lpstr>tlOutputReg1Seg2Payer2Forecast_R2</vt:lpstr>
      <vt:lpstr>tlOutputReg1Seg2Payer2Title_R1</vt:lpstr>
      <vt:lpstr>tlOutputReg1Seg2Payer2Title_R2</vt:lpstr>
      <vt:lpstr>tlOutputReg1Seg2Payer2Visits_R1</vt:lpstr>
      <vt:lpstr>tlOutputReg1Seg2Payer2Visits_R2</vt:lpstr>
      <vt:lpstr>tlOutputReg1Seg2Payer2Volume_R1</vt:lpstr>
      <vt:lpstr>tlOutputReg1Seg2Payer2Volume_R2</vt:lpstr>
      <vt:lpstr>tlOutputReg1Seg2Payer3Forecast_R1</vt:lpstr>
      <vt:lpstr>tlOutputReg1Seg2Payer3Forecast_R2</vt:lpstr>
      <vt:lpstr>tlOutputReg1Seg2Payer3Volume_R1</vt:lpstr>
      <vt:lpstr>tlOutputReg1Seg2Payer3Volume_R2</vt:lpstr>
      <vt:lpstr>tlOutputReg1Seg2PayerTitle_R1</vt:lpstr>
      <vt:lpstr>tlOutputReg1Seg2PayerTitle_R2</vt:lpstr>
      <vt:lpstr>tlOutputReg1Seg2PrevAllocationTitle_R1</vt:lpstr>
      <vt:lpstr>tlOutputReg1Seg2PrevAllocationTitle_R2</vt:lpstr>
      <vt:lpstr>tlOutputReg1Seg2PrevESAT_R1</vt:lpstr>
      <vt:lpstr>tlOutputReg1Seg2PrevESAT_R2</vt:lpstr>
      <vt:lpstr>tlOutputReg1Seg2PrevInternalCost_R1</vt:lpstr>
      <vt:lpstr>tlOutputReg1Seg2PrevInternalCost_R2</vt:lpstr>
      <vt:lpstr>tlOutputReg1Seg2PrevIntTitle_R1</vt:lpstr>
      <vt:lpstr>tlOutputReg1Seg2PrevIntTitle_R2</vt:lpstr>
      <vt:lpstr>tlOutputReg1Seg2PrevLunchMoneyCost_R1</vt:lpstr>
      <vt:lpstr>tlOutputReg1Seg2PrevLunchMoneyCost_R2</vt:lpstr>
      <vt:lpstr>tlOutputReg1Seg2PrevNetSales_R1</vt:lpstr>
      <vt:lpstr>tlOutputReg1Seg2PrevNetSales_R2</vt:lpstr>
      <vt:lpstr>tlOutputReg1Seg2PrevNRxShare_R1</vt:lpstr>
      <vt:lpstr>tlOutputReg1Seg2PrevNRxShare_R2</vt:lpstr>
      <vt:lpstr>tlOutputReg1Seg2PrevOE_R1</vt:lpstr>
      <vt:lpstr>tlOutputReg1Seg2PrevOE_R2</vt:lpstr>
      <vt:lpstr>tlOutputReg1Seg2PrevProfit_R1</vt:lpstr>
      <vt:lpstr>tlOutputReg1Seg2PrevProfit_R2</vt:lpstr>
      <vt:lpstr>tlOutputReg1Seg2PrevPromotionCost_R1</vt:lpstr>
      <vt:lpstr>tlOutputReg1Seg2PrevPromotionCost_R2</vt:lpstr>
      <vt:lpstr>tlOutputReg1Seg2PrevReimb_R1</vt:lpstr>
      <vt:lpstr>tlOutputReg1Seg2PrevReimb_R2</vt:lpstr>
      <vt:lpstr>tlOutputReg1Seg2PrevSales_R1</vt:lpstr>
      <vt:lpstr>tlOutputReg1Seg2PrevSales_R2</vt:lpstr>
      <vt:lpstr>tlOutputReg1Seg2PrevSampleCost_R1</vt:lpstr>
      <vt:lpstr>tlOutputReg1Seg2PrevSampleCost_R2</vt:lpstr>
      <vt:lpstr>tlOutputReg1Seg2PrevSamplesCost_R1</vt:lpstr>
      <vt:lpstr>tlOutputReg1Seg2PrevSamplesCost_R2</vt:lpstr>
      <vt:lpstr>tlOutputReg1Seg2PrevSpeakerCost_R1</vt:lpstr>
      <vt:lpstr>tlOutputReg1Seg2PrevSpeakerCost_R2</vt:lpstr>
      <vt:lpstr>tlOutputReg1Seg2PrevSpeakersCost_R1</vt:lpstr>
      <vt:lpstr>tlOutputReg1Seg2PrevSpeakersCost_R2</vt:lpstr>
      <vt:lpstr>tlOutputReg1Seg2PrevTRxShare_R1</vt:lpstr>
      <vt:lpstr>tlOutputReg1Seg2PrevTRxShare_R2</vt:lpstr>
      <vt:lpstr>tlOutputReg1Seg2PrevVolume_R1</vt:lpstr>
      <vt:lpstr>tlOutputReg1Seg2PrevVolume_R2</vt:lpstr>
      <vt:lpstr>tlOutputReg1Seg2ProfitTitle_R1</vt:lpstr>
      <vt:lpstr>tlOutputReg1Seg2ProfitTitle_R2</vt:lpstr>
      <vt:lpstr>tlOutputReg1Seg2ProgramTitle_R1</vt:lpstr>
      <vt:lpstr>tlOutputReg1Seg2ProgramTitle_R2</vt:lpstr>
      <vt:lpstr>tlOutputReg1Seg2PromotionCost_R1</vt:lpstr>
      <vt:lpstr>tlOutputReg1Seg2PromotionCost_R2</vt:lpstr>
      <vt:lpstr>tlOutputReg1Seg2PromotionPerc_R1</vt:lpstr>
      <vt:lpstr>tlOutputReg1Seg2PromotionPerc_R2</vt:lpstr>
      <vt:lpstr>tlOutputReg1Seg2PromotionTitle_R1</vt:lpstr>
      <vt:lpstr>tlOutputReg1Seg2PromotionTitle_R2</vt:lpstr>
      <vt:lpstr>tlOutputReg1Seg2RegTrainer_R1</vt:lpstr>
      <vt:lpstr>tlOutputReg1Seg2RegTrainer_R2</vt:lpstr>
      <vt:lpstr>tlOutputReg1Seg2RegTrainerCost_R1</vt:lpstr>
      <vt:lpstr>tlOutputReg1Seg2RegTrainerCost_R2</vt:lpstr>
      <vt:lpstr>tlOutputReg1Seg2RegTrainerFTEs_R1</vt:lpstr>
      <vt:lpstr>tlOutputReg1Seg2RegTrainerFTEs_R2</vt:lpstr>
      <vt:lpstr>tlOutputReg1Seg2RegTrainerRepTime_R1</vt:lpstr>
      <vt:lpstr>tlOutputReg1Seg2RegTrainerRepTime_R2</vt:lpstr>
      <vt:lpstr>tlOutputReg1Seg2RegTrainerTitle_R1</vt:lpstr>
      <vt:lpstr>tlOutputReg1Seg2RegTrainerTitle_R2</vt:lpstr>
      <vt:lpstr>tlOutputReg1Seg2ReimbTitle_R1</vt:lpstr>
      <vt:lpstr>tlOutputReg1Seg2ReimbTitle_R2</vt:lpstr>
      <vt:lpstr>tlOutputReg1Seg2Rep1CoachingFTEs_R1</vt:lpstr>
      <vt:lpstr>tlOutputReg1Seg2Rep1CoachingFTEs_R2</vt:lpstr>
      <vt:lpstr>tlOutputReg1Seg2Rep1ExtTime_R1</vt:lpstr>
      <vt:lpstr>tlOutputReg1Seg2Rep1ExtTime_R2</vt:lpstr>
      <vt:lpstr>tlOutputReg1Seg2Rep1IntTime_R1</vt:lpstr>
      <vt:lpstr>tlOutputReg1Seg2Rep1IntTime_R2</vt:lpstr>
      <vt:lpstr>tlOutputReg1Seg2Rep1Title_R1</vt:lpstr>
      <vt:lpstr>tlOutputReg1Seg2Rep1Title_R2</vt:lpstr>
      <vt:lpstr>tlOutputReg1Seg2Rep2ExtTime_R1</vt:lpstr>
      <vt:lpstr>tlOutputReg1Seg2Rep2ExtTime_R2</vt:lpstr>
      <vt:lpstr>tlOutputReg1Seg2Rep2IntTime_R1</vt:lpstr>
      <vt:lpstr>tlOutputReg1Seg2Rep2IntTime_R2</vt:lpstr>
      <vt:lpstr>tlOutputReg1Seg2Rep2Title_R1</vt:lpstr>
      <vt:lpstr>tlOutputReg1Seg2Rep2Title_R2</vt:lpstr>
      <vt:lpstr>tlOutputReg1Seg2Rep3ExtTime_R1</vt:lpstr>
      <vt:lpstr>tlOutputReg1Seg2Rep3ExtTime_R2</vt:lpstr>
      <vt:lpstr>tlOutputReg1Seg2Rep3IntTime_R1</vt:lpstr>
      <vt:lpstr>tlOutputReg1Seg2Rep3IntTime_R2</vt:lpstr>
      <vt:lpstr>tlOutputReg1Seg2Rep3Title_R1</vt:lpstr>
      <vt:lpstr>tlOutputReg1Seg2Rep3Title_R2</vt:lpstr>
      <vt:lpstr>tlOutputReg1Seg2RepMgmtTitle_R1</vt:lpstr>
      <vt:lpstr>tlOutputReg1Seg2RepMgmtTitle_R2</vt:lpstr>
      <vt:lpstr>tlOutputReg1Seg2SalesTitle_R1</vt:lpstr>
      <vt:lpstr>tlOutputReg1Seg2SalesTitle_R2</vt:lpstr>
      <vt:lpstr>tlOutputReg1Seg2SampleCost_R1</vt:lpstr>
      <vt:lpstr>tlOutputReg1Seg2SampleCost_R2</vt:lpstr>
      <vt:lpstr>tlOutputReg1Seg2Samples_R1</vt:lpstr>
      <vt:lpstr>tlOutputReg1Seg2Samples_R2</vt:lpstr>
      <vt:lpstr>tlOutputReg1Seg2SamplesCostTitle_R1</vt:lpstr>
      <vt:lpstr>tlOutputReg1Seg2SamplesCostTitle_R2</vt:lpstr>
      <vt:lpstr>tlOutputReg1Seg2SamplesPerc_R1</vt:lpstr>
      <vt:lpstr>tlOutputReg1Seg2SamplesPerc_R2</vt:lpstr>
      <vt:lpstr>tlOutputReg1Seg2SampleTitle_R1</vt:lpstr>
      <vt:lpstr>tlOutputReg1Seg2SampleTitle_R2</vt:lpstr>
      <vt:lpstr>tlOutputReg1Seg2SpeakerCost_R1</vt:lpstr>
      <vt:lpstr>tlOutputReg1Seg2SpeakerCost_R2</vt:lpstr>
      <vt:lpstr>tlOutputReg1Seg2SpeakersPerc_R1</vt:lpstr>
      <vt:lpstr>tlOutputReg1Seg2SpeakersPerc_R2</vt:lpstr>
      <vt:lpstr>tlOutputReg1Seg2SpeakersTitleCost_R1</vt:lpstr>
      <vt:lpstr>tlOutputReg1Seg2SpeakersTitleCost_R2</vt:lpstr>
      <vt:lpstr>tlOutputReg1Seg2SpeakerTitle_R1</vt:lpstr>
      <vt:lpstr>tlOutputReg1Seg2SpeakerTitle_R2</vt:lpstr>
      <vt:lpstr>tlOutputReg1Seg2Therapy1PrevWeightTitle_R1</vt:lpstr>
      <vt:lpstr>tlOutputReg1Seg2Therapy1PrevWeightTitle_R2</vt:lpstr>
      <vt:lpstr>tlOutputReg1Seg2Therapy1Title_R1</vt:lpstr>
      <vt:lpstr>tlOutputReg1Seg2Therapy1Title_R2</vt:lpstr>
      <vt:lpstr>tlOutputReg1Seg2Title_R1</vt:lpstr>
      <vt:lpstr>tlOutputReg1Seg2Title_R2</vt:lpstr>
      <vt:lpstr>tlOutputReg1Seg2TotalMarketVolume_R1</vt:lpstr>
      <vt:lpstr>tlOutputReg1Seg2TotalMarketVolume_R2</vt:lpstr>
      <vt:lpstr>tlOutputReg1Seg2TotalMarketVolumeChange_R1</vt:lpstr>
      <vt:lpstr>tlOutputReg1Seg2TotalMarketVolumeChange_R2</vt:lpstr>
      <vt:lpstr>tlOutputReg1Seg2TotalSharePrev_R1</vt:lpstr>
      <vt:lpstr>tlOutputReg1Seg2TotalSharePrev_R2</vt:lpstr>
      <vt:lpstr>tlOutputReg1Seg2TotalVolumePrev_R1</vt:lpstr>
      <vt:lpstr>tlOutputReg1Seg2TotalVolumePrev_R2</vt:lpstr>
      <vt:lpstr>tlOutputReg1Seg2TRxShare_R1</vt:lpstr>
      <vt:lpstr>tlOutputReg1Seg2TRxShare_R2</vt:lpstr>
      <vt:lpstr>tlOutputReg1Seg2TRxShareChange_R1</vt:lpstr>
      <vt:lpstr>tlOutputReg1Seg2TRxShareChange_R2</vt:lpstr>
      <vt:lpstr>tlOutputReg1Seg2TRxShareChangeCompView_R1</vt:lpstr>
      <vt:lpstr>tlOutputReg1Seg2TRxShareChangeCompView_R2</vt:lpstr>
      <vt:lpstr>tlOutputReg1Seg2TRxShareCompView_R1</vt:lpstr>
      <vt:lpstr>tlOutputReg1Seg2TRxShareCompView_R2</vt:lpstr>
      <vt:lpstr>tlOutputReg1Seg2TRxShareTitle_R1</vt:lpstr>
      <vt:lpstr>tlOutputReg1Seg2TRxShareTitle_R2</vt:lpstr>
      <vt:lpstr>tlOutputReg1Seg2TRxVolume_R1</vt:lpstr>
      <vt:lpstr>tlOutputReg1Seg2TRxVolume_R2</vt:lpstr>
      <vt:lpstr>tlOutputReg1Seg2TRxVolumeChange_R1</vt:lpstr>
      <vt:lpstr>tlOutputReg1Seg2TRxVolumeChange_R2</vt:lpstr>
      <vt:lpstr>tlOutputReg1Seg2TRxVolumeChangeCompView_R1</vt:lpstr>
      <vt:lpstr>tlOutputReg1Seg2TRxVolumeChangeCompView_R2</vt:lpstr>
      <vt:lpstr>tlOutputReg1Seg2TRxVolumeCompView_R1</vt:lpstr>
      <vt:lpstr>tlOutputReg1Seg2TRxVolumeCompView_R2</vt:lpstr>
      <vt:lpstr>tlOutputReg1Seg3AllocPercSalesTitle_R1</vt:lpstr>
      <vt:lpstr>tlOutputReg1Seg3AllocPercSalesTitle_R2</vt:lpstr>
      <vt:lpstr>tlOutputReg1Seg3CfCollabCost_R1</vt:lpstr>
      <vt:lpstr>tlOutputReg1Seg3CfCollabCost_R2</vt:lpstr>
      <vt:lpstr>tlOutputReg1Seg3CfCollabFTEs_R1</vt:lpstr>
      <vt:lpstr>tlOutputReg1Seg3CfCollabFTEs_R2</vt:lpstr>
      <vt:lpstr>tlOutputReg1Seg3CfCollabTitle_R1</vt:lpstr>
      <vt:lpstr>tlOutputReg1Seg3CfCollabTitle_R2</vt:lpstr>
      <vt:lpstr>tlOutputReg1Seg3CfRepTime_R1</vt:lpstr>
      <vt:lpstr>tlOutputReg1Seg3CfRepTime_R2</vt:lpstr>
      <vt:lpstr>tlOutputReg1Seg3CoachingTitle_R1</vt:lpstr>
      <vt:lpstr>tlOutputReg1Seg3CoachingTitle_R2</vt:lpstr>
      <vt:lpstr>tlOutputReg1Seg3Comp1TotalPrevShare_R1</vt:lpstr>
      <vt:lpstr>tlOutputReg1Seg3Comp1TotalPrevShare_R2</vt:lpstr>
      <vt:lpstr>tlOutputReg1Seg3Comp1TotalPrevVol_R1</vt:lpstr>
      <vt:lpstr>tlOutputReg1Seg3Comp1TotalPrevVol_R2</vt:lpstr>
      <vt:lpstr>tlOutputReg1Seg3Comp1TRxShare_R1</vt:lpstr>
      <vt:lpstr>tlOutputReg1Seg3Comp1TRxShare_R2</vt:lpstr>
      <vt:lpstr>tlOutputReg1Seg3Comp1TRxShareChange_R1</vt:lpstr>
      <vt:lpstr>tlOutputReg1Seg3Comp1TRxShareChange_R2</vt:lpstr>
      <vt:lpstr>tlOutputReg1Seg3Comp1TRxVolume_R1</vt:lpstr>
      <vt:lpstr>tlOutputReg1Seg3Comp1TRxVolume_R2</vt:lpstr>
      <vt:lpstr>tlOutputReg1Seg3Comp1TRxVolumeChange_R1</vt:lpstr>
      <vt:lpstr>tlOutputReg1Seg3Comp1TRxVolumeChange_R2</vt:lpstr>
      <vt:lpstr>tlOutputReg1Seg3Comp2TotalPrevShare_R1</vt:lpstr>
      <vt:lpstr>tlOutputReg1Seg3Comp2TotalPrevShare_R2</vt:lpstr>
      <vt:lpstr>tlOutputReg1Seg3Comp2TotalPrevVol_R1</vt:lpstr>
      <vt:lpstr>tlOutputReg1Seg3Comp2TotalPrevVol_R2</vt:lpstr>
      <vt:lpstr>tlOutputReg1Seg3Comp2TRxShare_R1</vt:lpstr>
      <vt:lpstr>tlOutputReg1Seg3Comp2TRxShare_R2</vt:lpstr>
      <vt:lpstr>tlOutputReg1Seg3Comp2TRxShareChange_R1</vt:lpstr>
      <vt:lpstr>tlOutputReg1Seg3Comp2TRxShareChange_R2</vt:lpstr>
      <vt:lpstr>tlOutputReg1Seg3Comp2TRxVolume_R1</vt:lpstr>
      <vt:lpstr>tlOutputReg1Seg3Comp2TRxVolume_R2</vt:lpstr>
      <vt:lpstr>tlOutputReg1Seg3Comp2TRxVolumeChange_R1</vt:lpstr>
      <vt:lpstr>tlOutputReg1Seg3Comp2TRxVolumeChange_R2</vt:lpstr>
      <vt:lpstr>tlOutputReg1Seg3CurrentAllocationTitle_R1</vt:lpstr>
      <vt:lpstr>tlOutputReg1Seg3CurrentAllocationTitle_R2</vt:lpstr>
      <vt:lpstr>tlOutputReg1Seg3CurrentESAT_R1</vt:lpstr>
      <vt:lpstr>tlOutputReg1Seg3CurrentESAT_R2</vt:lpstr>
      <vt:lpstr>tlOutputReg1Seg3CurrentFinTitle_R1</vt:lpstr>
      <vt:lpstr>tlOutputReg1Seg3CurrentFinTitle_R2</vt:lpstr>
      <vt:lpstr>tlOutputReg1Seg3CurrentInternalCost_R1</vt:lpstr>
      <vt:lpstr>tlOutputReg1Seg3CurrentInternalCost_R2</vt:lpstr>
      <vt:lpstr>tlOutputReg1Seg3CurrentIntTitle_R1</vt:lpstr>
      <vt:lpstr>tlOutputReg1Seg3CurrentIntTitle_R2</vt:lpstr>
      <vt:lpstr>tlOutputReg1Seg3CurrentLunchMoneyCost_R1</vt:lpstr>
      <vt:lpstr>tlOutputReg1Seg3CurrentLunchMoneyCost_R2</vt:lpstr>
      <vt:lpstr>tlOutputReg1Seg3CurrentNetSales_R1</vt:lpstr>
      <vt:lpstr>tlOutputReg1Seg3CurrentNetSales_R2</vt:lpstr>
      <vt:lpstr>tlOutputReg1Seg3CurrentNRxShare_R1</vt:lpstr>
      <vt:lpstr>tlOutputReg1Seg3CurrentNRxShare_R2</vt:lpstr>
      <vt:lpstr>tlOutputReg1Seg3CurrentOE_R1</vt:lpstr>
      <vt:lpstr>tlOutputReg1Seg3CurrentOE_R2</vt:lpstr>
      <vt:lpstr>tlOutputReg1Seg3CurrentProfit_R1</vt:lpstr>
      <vt:lpstr>tlOutputReg1Seg3CurrentProfit_R2</vt:lpstr>
      <vt:lpstr>tlOutputReg1Seg3CurrentPromotionAllocation_R1</vt:lpstr>
      <vt:lpstr>tlOutputReg1Seg3CurrentPromotionAllocation_R2</vt:lpstr>
      <vt:lpstr>tlOutputReg1Seg3CurrentReimb_R1</vt:lpstr>
      <vt:lpstr>tlOutputReg1Seg3CurrentReimb_R2</vt:lpstr>
      <vt:lpstr>tlOutputReg1Seg3CurrentSales_R1</vt:lpstr>
      <vt:lpstr>tlOutputReg1Seg3CurrentSales_R2</vt:lpstr>
      <vt:lpstr>tlOutputReg1Seg3CurrentSampleCost_R1</vt:lpstr>
      <vt:lpstr>tlOutputReg1Seg3CurrentSampleCost_R2</vt:lpstr>
      <vt:lpstr>tlOutputReg1Seg3CurrentSpeakerCost_R1</vt:lpstr>
      <vt:lpstr>tlOutputReg1Seg3CurrentSpeakerCost_R2</vt:lpstr>
      <vt:lpstr>tlOutputReg1Seg3CurrentSpeakersCost_R1</vt:lpstr>
      <vt:lpstr>tlOutputReg1Seg3CurrentSpeakersCost_R2</vt:lpstr>
      <vt:lpstr>tlOutputReg1Seg3CurrentTRxShare_R1</vt:lpstr>
      <vt:lpstr>tlOutputReg1Seg3CurrentTRxShare_R2</vt:lpstr>
      <vt:lpstr>tlOutputReg1Seg3Dash1_R1</vt:lpstr>
      <vt:lpstr>tlOutputReg1Seg3Dash1_R2</vt:lpstr>
      <vt:lpstr>tlOutputReg1Seg3Dash2_R1</vt:lpstr>
      <vt:lpstr>tlOutputReg1Seg3Dash2_R2</vt:lpstr>
      <vt:lpstr>tlOutputReg1Seg3Dash3_R1</vt:lpstr>
      <vt:lpstr>tlOutputReg1Seg3Dash3_R2</vt:lpstr>
      <vt:lpstr>tlOutputReg1Seg3ESAT_R1</vt:lpstr>
      <vt:lpstr>tlOutputReg1Seg3ESAT_R2</vt:lpstr>
      <vt:lpstr>tlOutputReg1Seg3ESATTitle_R1</vt:lpstr>
      <vt:lpstr>tlOutputReg1Seg3ESATTitle_R2</vt:lpstr>
      <vt:lpstr>tlOutputReg1Seg3FieldTimeTitle_R1</vt:lpstr>
      <vt:lpstr>tlOutputReg1Seg3FieldTimeTitle_R2</vt:lpstr>
      <vt:lpstr>tlOutputReg1Seg3ForecastTitle</vt:lpstr>
      <vt:lpstr>tlOutputReg1Seg3ForecastTitle_R1</vt:lpstr>
      <vt:lpstr>tlOutputReg1Seg3ForecastTitle_R2</vt:lpstr>
      <vt:lpstr>tlOutputReg1Seg3FTEsTitle_R1</vt:lpstr>
      <vt:lpstr>tlOutputReg1Seg3FTEsTitle_R2</vt:lpstr>
      <vt:lpstr>tlOutputReg1Seg3GrowthTitle_R1</vt:lpstr>
      <vt:lpstr>tlOutputReg1Seg3GrowthTitle_R2</vt:lpstr>
      <vt:lpstr>tlOutputReg1Seg3InternalCostTitle_R1</vt:lpstr>
      <vt:lpstr>tlOutputReg1Seg3InternalCostTitle_R2</vt:lpstr>
      <vt:lpstr>tlOutputReg1Seg3InternalResCostTitle_R1</vt:lpstr>
      <vt:lpstr>tlOutputReg1Seg3InternalResCostTitle_R2</vt:lpstr>
      <vt:lpstr>tlOutputReg1Seg3InternalResFTEsTitle_R1</vt:lpstr>
      <vt:lpstr>tlOutputReg1Seg3InternalResFTEsTitle_R2</vt:lpstr>
      <vt:lpstr>tlOutputReg1Seg3InternalResRepTimeTitle_R1</vt:lpstr>
      <vt:lpstr>tlOutputReg1Seg3InternalResRepTimeTitle_R2</vt:lpstr>
      <vt:lpstr>tlOutputReg1Seg3InternalResTitle_R1</vt:lpstr>
      <vt:lpstr>tlOutputReg1Seg3InternalResTitle_R2</vt:lpstr>
      <vt:lpstr>tlOutputReg1Seg3IntTimeTitle_R1</vt:lpstr>
      <vt:lpstr>tlOutputReg1Seg3IntTimeTitle_R2</vt:lpstr>
      <vt:lpstr>tlOutputReg1Seg3LunchMoneyTitleCost_R1</vt:lpstr>
      <vt:lpstr>tlOutputReg1Seg3LunchMoneyTitleCost_R2</vt:lpstr>
      <vt:lpstr>tlOutputReg1Seg3NetSalesTitle_R1</vt:lpstr>
      <vt:lpstr>tlOutputReg1Seg3NetSalesTitle_R2</vt:lpstr>
      <vt:lpstr>tlOutputReg1Seg3NEwSharePrev_R1</vt:lpstr>
      <vt:lpstr>tlOutputReg1Seg3NEwSharePrev_R2</vt:lpstr>
      <vt:lpstr>tlOutputReg1Seg3NewVolumePrev_R1</vt:lpstr>
      <vt:lpstr>tlOutputReg1Seg3NewVolumePrev_R2</vt:lpstr>
      <vt:lpstr>tlOutputReg1Seg3NRxShare_R1</vt:lpstr>
      <vt:lpstr>tlOutputReg1Seg3NRxShare_R2</vt:lpstr>
      <vt:lpstr>tlOutputReg1Seg3NRxShareChange_R1</vt:lpstr>
      <vt:lpstr>tlOutputReg1Seg3NRxShareChange_R2</vt:lpstr>
      <vt:lpstr>tlOutputReg1Seg3NRxShareTitle_R1</vt:lpstr>
      <vt:lpstr>tlOutputReg1Seg3NRxShareTitle_R2</vt:lpstr>
      <vt:lpstr>tlOutputReg1Seg3NRxVolume_R1</vt:lpstr>
      <vt:lpstr>tlOutputReg1Seg3NRxVolume_R2</vt:lpstr>
      <vt:lpstr>tlOutputReg1Seg3NRxVolumeChange_R1</vt:lpstr>
      <vt:lpstr>tlOutputReg1Seg3NRxVolumeChange_R2</vt:lpstr>
      <vt:lpstr>tlOutputReg1Seg3OETitle_R1</vt:lpstr>
      <vt:lpstr>tlOutputReg1Seg3OETitle_R2</vt:lpstr>
      <vt:lpstr>tlOutputReg1Seg3Payer1Forecast_R1</vt:lpstr>
      <vt:lpstr>tlOutputReg1Seg3Payer1Forecast_R2</vt:lpstr>
      <vt:lpstr>tlOutputReg1Seg3Payer1Title_R1</vt:lpstr>
      <vt:lpstr>tlOutputReg1Seg3Payer1Title_R2</vt:lpstr>
      <vt:lpstr>tlOutputReg1Seg3Payer1Visits_R1</vt:lpstr>
      <vt:lpstr>tlOutputReg1Seg3Payer1Visits_R2</vt:lpstr>
      <vt:lpstr>tlOutputReg1Seg3Payer1Volume_R1</vt:lpstr>
      <vt:lpstr>tlOutputReg1Seg3Payer1Volume_R2</vt:lpstr>
      <vt:lpstr>tlOutputReg1Seg3Payer2Forecast_R1</vt:lpstr>
      <vt:lpstr>tlOutputReg1Seg3Payer2Forecast_R2</vt:lpstr>
      <vt:lpstr>tlOutputReg1Seg3Payer2Title_R1</vt:lpstr>
      <vt:lpstr>tlOutputReg1Seg3Payer2Title_R2</vt:lpstr>
      <vt:lpstr>tlOutputReg1Seg3Payer2Visits_R1</vt:lpstr>
      <vt:lpstr>tlOutputReg1Seg3Payer2Visits_R2</vt:lpstr>
      <vt:lpstr>tlOutputReg1Seg3Payer2Volume_R1</vt:lpstr>
      <vt:lpstr>tlOutputReg1Seg3Payer2Volume_R2</vt:lpstr>
      <vt:lpstr>tlOutputReg1Seg3Payer3Forecast_R1</vt:lpstr>
      <vt:lpstr>tlOutputReg1Seg3Payer3Forecast_R2</vt:lpstr>
      <vt:lpstr>tlOutputReg1Seg3Payer3Volume_R1</vt:lpstr>
      <vt:lpstr>tlOutputReg1Seg3Payer3Volume_R2</vt:lpstr>
      <vt:lpstr>tlOutputReg1Seg3PayerTitle_R1</vt:lpstr>
      <vt:lpstr>tlOutputReg1Seg3PayerTitle_R2</vt:lpstr>
      <vt:lpstr>tlOutputReg1Seg3PrevAllocationTitle_R1</vt:lpstr>
      <vt:lpstr>tlOutputReg1Seg3PrevAllocationTitle_R2</vt:lpstr>
      <vt:lpstr>tlOutputReg1Seg3PrevESAT_R1</vt:lpstr>
      <vt:lpstr>tlOutputReg1Seg3PrevESAT_R2</vt:lpstr>
      <vt:lpstr>tlOutputReg1Seg3PrevInternalCost_R1</vt:lpstr>
      <vt:lpstr>tlOutputReg1Seg3PrevInternalCost_R2</vt:lpstr>
      <vt:lpstr>tlOutputReg1Seg3PrevIntTitle_R1</vt:lpstr>
      <vt:lpstr>tlOutputReg1Seg3PrevIntTitle_R2</vt:lpstr>
      <vt:lpstr>tlOutputReg1Seg3PrevLunchMoneyCost_R1</vt:lpstr>
      <vt:lpstr>tlOutputReg1Seg3PrevLunchMoneyCost_R2</vt:lpstr>
      <vt:lpstr>tlOutputReg1Seg3PrevNetSales_R1</vt:lpstr>
      <vt:lpstr>tlOutputReg1Seg3PrevNetSales_R2</vt:lpstr>
      <vt:lpstr>tlOutputReg1Seg3PrevNRxShare_R1</vt:lpstr>
      <vt:lpstr>tlOutputReg1Seg3PrevNRxShare_R2</vt:lpstr>
      <vt:lpstr>tlOutputReg1Seg3PrevOE_R1</vt:lpstr>
      <vt:lpstr>tlOutputReg1Seg3PrevOE_R2</vt:lpstr>
      <vt:lpstr>tlOutputReg1Seg3PrevProfit_R1</vt:lpstr>
      <vt:lpstr>tlOutputReg1Seg3PrevProfit_R2</vt:lpstr>
      <vt:lpstr>tlOutputReg1Seg3PrevPromotionAllocation_R1</vt:lpstr>
      <vt:lpstr>tlOutputReg1Seg3PrevPromotionCost_R1</vt:lpstr>
      <vt:lpstr>tlOutputReg1Seg3PrevPromotionCost_R2</vt:lpstr>
      <vt:lpstr>tlOutputReg1Seg3PrevReimb_R1</vt:lpstr>
      <vt:lpstr>tlOutputReg1Seg3PrevReimb_R2</vt:lpstr>
      <vt:lpstr>tlOutputReg1Seg3PrevSales_R1</vt:lpstr>
      <vt:lpstr>tlOutputReg1Seg3PrevSales_R2</vt:lpstr>
      <vt:lpstr>tlOutputReg1Seg3PrevSampleCost_R1</vt:lpstr>
      <vt:lpstr>tlOutputReg1Seg3PrevSampleCost_R2</vt:lpstr>
      <vt:lpstr>tlOutputReg1Seg3PrevSamplesCost_R1</vt:lpstr>
      <vt:lpstr>tlOutputReg1Seg3PrevSamplesCost_R2</vt:lpstr>
      <vt:lpstr>tlOutputReg1Seg3PrevSpeakerCost_R1</vt:lpstr>
      <vt:lpstr>tlOutputReg1Seg3PrevSpeakerCost_R2</vt:lpstr>
      <vt:lpstr>tlOutputReg1Seg3PrevSpeakersCost_R1</vt:lpstr>
      <vt:lpstr>tlOutputReg1Seg3PrevSpeakersCost_R2</vt:lpstr>
      <vt:lpstr>tlOutputReg1Seg3PrevTRxShare_R1</vt:lpstr>
      <vt:lpstr>tlOutputReg1Seg3PrevTRxShare_R2</vt:lpstr>
      <vt:lpstr>tlOutputReg1Seg3PrevVolume_R1</vt:lpstr>
      <vt:lpstr>tlOutputReg1Seg3PrevVolume_R2</vt:lpstr>
      <vt:lpstr>tlOutputReg1Seg3ProfitTitle_R1</vt:lpstr>
      <vt:lpstr>tlOutputReg1Seg3ProfitTitle_R2</vt:lpstr>
      <vt:lpstr>tlOutputReg1Seg3ProgramTitle_R1</vt:lpstr>
      <vt:lpstr>tlOutputReg1Seg3ProgramTitle_R2</vt:lpstr>
      <vt:lpstr>tlOutputReg1Seg3PromotionCost_R1</vt:lpstr>
      <vt:lpstr>tlOutputReg1Seg3PromotionCost_R2</vt:lpstr>
      <vt:lpstr>tlOutputReg1Seg3PromotionPerc_R1</vt:lpstr>
      <vt:lpstr>tlOutputReg1Seg3PromotionPerc_R2</vt:lpstr>
      <vt:lpstr>tlOutputReg1Seg3PromotionTitle_R1</vt:lpstr>
      <vt:lpstr>tlOutputReg1Seg3PromotionTitle_R2</vt:lpstr>
      <vt:lpstr>tlOutputReg1Seg3RegTrainer_R1</vt:lpstr>
      <vt:lpstr>tlOutputReg1Seg3RegTrainer_R2</vt:lpstr>
      <vt:lpstr>tlOutputReg1Seg3RegTrainerCost_R1</vt:lpstr>
      <vt:lpstr>tlOutputReg1Seg3RegTrainerCost_R2</vt:lpstr>
      <vt:lpstr>tlOutputReg1Seg3RegTrainerFTEs_R1</vt:lpstr>
      <vt:lpstr>tlOutputReg1Seg3RegTrainerFTEs_R2</vt:lpstr>
      <vt:lpstr>tlOutputReg1Seg3RegTrainerRepTime_R1</vt:lpstr>
      <vt:lpstr>tlOutputReg1Seg3RegTrainerRepTime_R2</vt:lpstr>
      <vt:lpstr>tlOutputReg1Seg3RegTrainerTitle_R1</vt:lpstr>
      <vt:lpstr>tlOutputReg1Seg3RegTrainerTitle_R2</vt:lpstr>
      <vt:lpstr>tlOutputReg1Seg3ReimbTitle_R1</vt:lpstr>
      <vt:lpstr>tlOutputReg1Seg3ReimbTitle_R2</vt:lpstr>
      <vt:lpstr>tlOutputReg1Seg3Rep1CoachingFTEs_R1</vt:lpstr>
      <vt:lpstr>tlOutputReg1Seg3Rep1CoachingFTEs_R2</vt:lpstr>
      <vt:lpstr>tlOutputReg1Seg3Rep1ExtTime_R1</vt:lpstr>
      <vt:lpstr>tlOutputReg1Seg3Rep1ExtTime_R2</vt:lpstr>
      <vt:lpstr>tlOutputReg1Seg3Rep1IntTime_R1</vt:lpstr>
      <vt:lpstr>tlOutputReg1Seg3Rep1IntTime_R2</vt:lpstr>
      <vt:lpstr>tlOutputReg1Seg3Rep1Title_R1</vt:lpstr>
      <vt:lpstr>tlOutputReg1Seg3Rep1Title_R2</vt:lpstr>
      <vt:lpstr>tlOutputReg1Seg3Rep2ExtTime_R1</vt:lpstr>
      <vt:lpstr>tlOutputReg1Seg3Rep2ExtTime_R2</vt:lpstr>
      <vt:lpstr>tlOutputReg1Seg3Rep2IntTime_R1</vt:lpstr>
      <vt:lpstr>tlOutputReg1Seg3Rep2IntTime_R2</vt:lpstr>
      <vt:lpstr>tlOutputReg1Seg3Rep2Title_R2</vt:lpstr>
      <vt:lpstr>tlOutputReg1Seg3Rep3ExtTime_R1</vt:lpstr>
      <vt:lpstr>tlOutputReg1Seg3Rep3ExtTime_R2</vt:lpstr>
      <vt:lpstr>tlOutputReg1Seg3Rep3IntTime_R1</vt:lpstr>
      <vt:lpstr>tlOutputReg1Seg3Rep3IntTime_R2</vt:lpstr>
      <vt:lpstr>tlOutputReg1Seg3Rep3Title_R1</vt:lpstr>
      <vt:lpstr>tlOutputReg1Seg3Rep3Title_R2</vt:lpstr>
      <vt:lpstr>tlOutputReg1Seg3RepMgmtTitle_R1</vt:lpstr>
      <vt:lpstr>tlOutputReg1Seg3RepMgmtTitle_R2</vt:lpstr>
      <vt:lpstr>tlOutputReg1Seg3SalesTitle_R1</vt:lpstr>
      <vt:lpstr>tlOutputReg1Seg3SalesTitle_R2</vt:lpstr>
      <vt:lpstr>tlOutputReg1Seg3SampleCost_R1</vt:lpstr>
      <vt:lpstr>tlOutputReg1Seg3SampleCost_R2</vt:lpstr>
      <vt:lpstr>tlOutputReg1Seg3Samples_R1</vt:lpstr>
      <vt:lpstr>tlOutputReg1Seg3Samples_R2</vt:lpstr>
      <vt:lpstr>tlOutputReg1Seg3SamplesCostTitle_R1</vt:lpstr>
      <vt:lpstr>tlOutputReg1Seg3SamplesCostTitle_R2</vt:lpstr>
      <vt:lpstr>tlOutputReg1Seg3SamplesPerc_R1</vt:lpstr>
      <vt:lpstr>tlOutputReg1Seg3SamplesPerc_R2</vt:lpstr>
      <vt:lpstr>tlOutputReg1Seg3SampleTitle_R1</vt:lpstr>
      <vt:lpstr>tlOutputReg1Seg3SampleTitle_R2</vt:lpstr>
      <vt:lpstr>tlOutputReg1Seg3SpeakerCost_R1</vt:lpstr>
      <vt:lpstr>tlOutputReg1Seg3SpeakerCost_R2</vt:lpstr>
      <vt:lpstr>tlOutputReg1Seg3SpeakersPerc_R1</vt:lpstr>
      <vt:lpstr>tlOutputReg1Seg3SpeakersPerc_R2</vt:lpstr>
      <vt:lpstr>tlOutputReg1Seg3SpeakersTitleCost_R1</vt:lpstr>
      <vt:lpstr>tlOutputReg1Seg3SpeakersTitleCost_R2</vt:lpstr>
      <vt:lpstr>tlOutputReg1Seg3SpeakerTitle_R1</vt:lpstr>
      <vt:lpstr>tlOutputReg1Seg3SpeakerTitle_R2</vt:lpstr>
      <vt:lpstr>tlOutputReg1Seg3Therapy1PrevWeightTitle_R1</vt:lpstr>
      <vt:lpstr>tlOutputReg1Seg3Therapy1PrevWeightTitle_R2</vt:lpstr>
      <vt:lpstr>tlOutputReg1Seg3Therapy1Title_R1</vt:lpstr>
      <vt:lpstr>tlOutputReg1Seg3Therapy1Title_R2</vt:lpstr>
      <vt:lpstr>tlOutputReg1Seg3Title_R1</vt:lpstr>
      <vt:lpstr>tlOutputReg1Seg3Title_R2</vt:lpstr>
      <vt:lpstr>tlOutputReg1Seg3TotalMarketVolume_R1</vt:lpstr>
      <vt:lpstr>tlOutputReg1Seg3TotalMarketVolume_R2</vt:lpstr>
      <vt:lpstr>tlOutputReg1Seg3TotalMarketVolumeChange_R1</vt:lpstr>
      <vt:lpstr>tlOutputReg1Seg3TotalMarketVolumeChange_R2</vt:lpstr>
      <vt:lpstr>tlOutputReg1Seg3TotalSharePrev_R1</vt:lpstr>
      <vt:lpstr>tlOutputReg1Seg3TotalSharePrev_R2</vt:lpstr>
      <vt:lpstr>tlOutputReg1Seg3TotalVolumePrev_R1</vt:lpstr>
      <vt:lpstr>tlOutputReg1Seg3TRxShare_R1</vt:lpstr>
      <vt:lpstr>tlOutputReg1Seg3TRxShare_R2</vt:lpstr>
      <vt:lpstr>tlOutputReg1Seg3TRxShareChange_R1</vt:lpstr>
      <vt:lpstr>tlOutputReg1Seg3TRxShareChange_R2</vt:lpstr>
      <vt:lpstr>tlOutputReg1Seg3TRxShareChangeCompView_R1</vt:lpstr>
      <vt:lpstr>tlOutputReg1Seg3TRxShareChangeCompView_R2</vt:lpstr>
      <vt:lpstr>tlOutputReg1Seg3TRxShareCompView_R1</vt:lpstr>
      <vt:lpstr>tlOutputReg1Seg3TRxShareCompView_R2</vt:lpstr>
      <vt:lpstr>tlOutputReg1Seg3TRxShareTitle_R1</vt:lpstr>
      <vt:lpstr>tlOutputReg1Seg3TRxShareTitle_R2</vt:lpstr>
      <vt:lpstr>tlOutputReg1Seg3TRxVolume_R1</vt:lpstr>
      <vt:lpstr>tlOutputReg1Seg3TRxVolume_R2</vt:lpstr>
      <vt:lpstr>tlOutputReg1Seg3TRxVolumeChange_R1</vt:lpstr>
      <vt:lpstr>tlOutputReg1Seg3TRxVolumeChange_R2</vt:lpstr>
      <vt:lpstr>tlOutputReg1Seg3TRxVolumeChangeCompView_R1</vt:lpstr>
      <vt:lpstr>tlOutputReg1Seg3TRxVolumeChangeCompView_R2</vt:lpstr>
      <vt:lpstr>tlOutputReg1Seg3TRxVolumeCompView_R1</vt:lpstr>
      <vt:lpstr>tlOutputReg1Seg3TRxVolumeCompView_R2</vt:lpstr>
      <vt:lpstr>tlOutputReg1TotalMarketVolume_R1</vt:lpstr>
      <vt:lpstr>tlOutputReg1TotalMarketVolume_R2</vt:lpstr>
      <vt:lpstr>tlOutputReg1TotalMarketVolumeChange_R1</vt:lpstr>
      <vt:lpstr>tlOutputReg1TotalMarketVolumeChange_R2</vt:lpstr>
      <vt:lpstr>tlOutputReg1TotalSharePrev_R1</vt:lpstr>
      <vt:lpstr>tlOutputReg1TotalSharePrev_R2</vt:lpstr>
      <vt:lpstr>tlOutputReg1TotalVolumePrev_R1</vt:lpstr>
      <vt:lpstr>tlOutputReg1TotalVolumePrev_R2</vt:lpstr>
      <vt:lpstr>tlOutputReg1TRxShare_R1</vt:lpstr>
      <vt:lpstr>tlOutputReg1TRxShare_R2</vt:lpstr>
      <vt:lpstr>tlOutputReg1TRxShareChange_R1</vt:lpstr>
      <vt:lpstr>tlOutputReg1TRxShareChange_R2</vt:lpstr>
      <vt:lpstr>tlOutputReg1TRxShareChangeCompView_R1</vt:lpstr>
      <vt:lpstr>tlOutputReg1TRxShareChangeCompView_R2</vt:lpstr>
      <vt:lpstr>tlOutputReg1TRxShareChangeR1</vt:lpstr>
      <vt:lpstr>tlOutputReg1TRxShareCompView_R1</vt:lpstr>
      <vt:lpstr>tlOutputReg1TRxShareCompView_R2</vt:lpstr>
      <vt:lpstr>tlOutputReg1TRxShareDash</vt:lpstr>
      <vt:lpstr>tlOutputReg1TRxShareDashFormat</vt:lpstr>
      <vt:lpstr>tlOutputReg1TRxVolDash</vt:lpstr>
      <vt:lpstr>tlOutputReg1TRxVolDashFormat</vt:lpstr>
      <vt:lpstr>tlOutputReg1TRxVolume_R1</vt:lpstr>
      <vt:lpstr>tlOutputReg1TRxVolume_R2</vt:lpstr>
      <vt:lpstr>tlOutputReg1TRxVolumeChange_R1</vt:lpstr>
      <vt:lpstr>tlOutputReg1TRxVolumeChange_R2</vt:lpstr>
      <vt:lpstr>tlOutputReg1TRxVolumeChangeCompView_R1</vt:lpstr>
      <vt:lpstr>tlOutputReg1TRxVolumeChangeCompView_R2</vt:lpstr>
      <vt:lpstr>tlOutputReg1TRxVolumeCompView_R1</vt:lpstr>
      <vt:lpstr>tlOutputReg1TRxVolumeCompView_R2</vt:lpstr>
      <vt:lpstr>tlOutputSeg1TotalSharePrev_R1</vt:lpstr>
      <vt:lpstr>tlOutputSeg2NewVolumePrev_R1</vt:lpstr>
      <vt:lpstr>tlOutputSeg2TotalVolumePrev_R1</vt:lpstr>
      <vt:lpstr>tlOutputxxDashboard1</vt:lpstr>
      <vt:lpstr>tlOutputxxDashboard2</vt:lpstr>
      <vt:lpstr>tlOutputxxDashboard3</vt:lpstr>
      <vt:lpstr>tlOutputxxDashboard4</vt:lpstr>
      <vt:lpstr>tlTeamNumber</vt:lpstr>
      <vt:lpstr>tlTeamRound</vt:lpstr>
      <vt:lpstr>vbaPopupMenu1ItemNumber</vt:lpstr>
      <vt:lpstr>vbaPopupMenu1ListFaceID</vt:lpstr>
      <vt:lpstr>vbaPopupMenu1ListLevel</vt:lpstr>
      <vt:lpstr>vbaPopupMenu1ListMacro</vt:lpstr>
      <vt:lpstr>vbaPopupMenu1ListTitle</vt:lpstr>
      <vt:lpstr>vbaPopupMenu1Lvl1ItemNumber</vt:lpstr>
      <vt:lpstr>vbaPopupMenu1Lvl2ItemNumber</vt:lpstr>
      <vt:lpstr>vbaPopupMenuActive</vt:lpstr>
      <vt:lpstr>vbaPopupMenuName</vt:lpstr>
      <vt:lpstr>xxBagWeightProductThresh</vt:lpstr>
      <vt:lpstr>xxCoachInput</vt:lpstr>
      <vt:lpstr>xxDashESATProd1_R1</vt:lpstr>
      <vt:lpstr>xxDashESATProd1_R2</vt:lpstr>
      <vt:lpstr>xxDashESATReg1_R1</vt:lpstr>
      <vt:lpstr>xxDashESATReg1_R2</vt:lpstr>
      <vt:lpstr>xxDashESATReg11R1</vt:lpstr>
      <vt:lpstr>xxDashOpEffProd1_R1</vt:lpstr>
      <vt:lpstr>xxDashOpEffProd1_R2</vt:lpstr>
      <vt:lpstr>xxDashOpEffReg1_R1</vt:lpstr>
      <vt:lpstr>xxDashOpEffReg1_R2</vt:lpstr>
      <vt:lpstr>xxDashProd1NewShare_R1</vt:lpstr>
      <vt:lpstr>xxDashProd1NewShare_R2</vt:lpstr>
      <vt:lpstr>xxDashProd1TotalShare_R1</vt:lpstr>
      <vt:lpstr>xxDashProd1TotalShare_R2</vt:lpstr>
      <vt:lpstr>xxDashProd1TotalVolume_R1</vt:lpstr>
      <vt:lpstr>xxDashProd1TotalVolume_R2</vt:lpstr>
      <vt:lpstr>xxDashReg1NewShare_R1</vt:lpstr>
      <vt:lpstr>xxDashReg1NewShare_R2</vt:lpstr>
      <vt:lpstr>xxDashReg1TotalShare_R1</vt:lpstr>
      <vt:lpstr>xxDashReg1TotalShare_R2</vt:lpstr>
      <vt:lpstr>xxDashReg1TotalVolume_R1</vt:lpstr>
      <vt:lpstr>xxDashReg1TotalVolume_R2</vt:lpstr>
      <vt:lpstr>xxIndexTeam</vt:lpstr>
      <vt:lpstr>xxNumOfTeams</vt:lpstr>
      <vt:lpstr>xxPromotionThreshold</vt:lpstr>
      <vt:lpstr>xxPromotionThreshold_R1</vt:lpstr>
      <vt:lpstr>xxPromotionThreshold_R2</vt:lpstr>
      <vt:lpstr>xxRBD1DBM2</vt:lpstr>
      <vt:lpstr>xxRDB1DBM2</vt:lpstr>
      <vt:lpstr>xxRepCapMax</vt:lpstr>
      <vt:lpstr>xxRepMaxImpact</vt:lpstr>
      <vt:lpstr>xxRepThreshold</vt:lpstr>
      <vt:lpstr>xxRepThresholdBagWeight</vt:lpstr>
      <vt:lpstr>xxResetTeam</vt:lpstr>
      <vt:lpstr>xxRolePlayScore</vt:lpstr>
      <vt:lpstr>xxRound</vt:lpstr>
      <vt:lpstr>xxSamplesThreshold</vt:lpstr>
      <vt:lpstr>xxSamplesThreshold_R1</vt:lpstr>
      <vt:lpstr>xxSamplesThreshold_R2</vt:lpstr>
      <vt:lpstr>xxSim0Tool1</vt:lpstr>
      <vt:lpstr>xxToolPrefix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BTS London IT</dc:creator>
  <cp:lastModifiedBy>Dev Shangari</cp:lastModifiedBy>
  <cp:lastPrinted>2017-03-10T19:33:50Z</cp:lastPrinted>
  <dcterms:created xsi:type="dcterms:W3CDTF">2014-12-08T07:15:00Z</dcterms:created>
  <dcterms:modified xsi:type="dcterms:W3CDTF">2017-04-19T18:11:19Z</dcterms:modified>
</cp:coreProperties>
</file>