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npactonline-my.sharepoint.com/personal/703188067_genpact_com/Documents/Mahmood/"/>
    </mc:Choice>
  </mc:AlternateContent>
  <xr:revisionPtr revIDLastSave="429" documentId="13_ncr:1_{2A972D91-90F4-41C2-BDDB-048C41F54E69}" xr6:coauthVersionLast="47" xr6:coauthVersionMax="47" xr10:uidLastSave="{3DA98919-1FE2-4839-8327-1C3DCF22EB64}"/>
  <bookViews>
    <workbookView xWindow="-108" yWindow="-108" windowWidth="23256" windowHeight="12456" activeTab="1" xr2:uid="{46339AA4-EB9C-4F90-8D0C-7962BF27BDD8}"/>
  </bookViews>
  <sheets>
    <sheet name="new" sheetId="4" r:id="rId1"/>
    <sheet name="old" sheetId="5" r:id="rId2"/>
    <sheet name="Sheet2" sheetId="2" r:id="rId3"/>
  </sheets>
  <definedNames>
    <definedName name="_xlnm._FilterDatabase" localSheetId="0" hidden="1">new!$A$29:$O$47</definedName>
    <definedName name="_xlnm._FilterDatabase" localSheetId="2" hidden="1">Sheet2!$B$1:$K$26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4" l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D51" i="5"/>
  <c r="E51" i="5" s="1"/>
  <c r="D50" i="5"/>
  <c r="E50" i="5" s="1"/>
  <c r="D49" i="5"/>
  <c r="E49" i="5" s="1"/>
  <c r="E48" i="5"/>
  <c r="D48" i="5"/>
  <c r="E47" i="5"/>
  <c r="D47" i="5"/>
  <c r="D46" i="5"/>
  <c r="E46" i="5" s="1"/>
  <c r="D45" i="5"/>
  <c r="E45" i="5" s="1"/>
  <c r="D44" i="5"/>
  <c r="E44" i="5" s="1"/>
  <c r="E43" i="5"/>
  <c r="D43" i="5"/>
  <c r="E42" i="5"/>
  <c r="D42" i="5"/>
  <c r="E41" i="5"/>
  <c r="D41" i="5"/>
  <c r="D40" i="5"/>
  <c r="D33" i="5" s="1"/>
  <c r="D39" i="5"/>
  <c r="E39" i="5" s="1"/>
  <c r="D38" i="5"/>
  <c r="E38" i="5" s="1"/>
  <c r="E37" i="5"/>
  <c r="D37" i="5"/>
  <c r="E36" i="5"/>
  <c r="D36" i="5"/>
  <c r="E35" i="5"/>
  <c r="D35" i="5"/>
  <c r="E34" i="5"/>
  <c r="F34" i="5" s="1"/>
  <c r="G34" i="5" s="1"/>
  <c r="H34" i="5" s="1"/>
  <c r="I34" i="5" s="1"/>
  <c r="J34" i="5" s="1"/>
  <c r="K34" i="5" s="1"/>
  <c r="L34" i="5" s="1"/>
  <c r="M34" i="5" s="1"/>
  <c r="N34" i="5" s="1"/>
  <c r="O34" i="5" s="1"/>
  <c r="O33" i="5"/>
  <c r="N33" i="5"/>
  <c r="M33" i="5"/>
  <c r="L33" i="5"/>
  <c r="K33" i="5"/>
  <c r="J33" i="5"/>
  <c r="I33" i="5"/>
  <c r="H33" i="5"/>
  <c r="G33" i="5"/>
  <c r="F33" i="5"/>
  <c r="C33" i="5"/>
  <c r="B33" i="5"/>
  <c r="A33" i="5"/>
  <c r="E31" i="5"/>
  <c r="E29" i="5"/>
  <c r="E28" i="5"/>
  <c r="E27" i="5"/>
  <c r="C27" i="5"/>
  <c r="E26" i="5"/>
  <c r="C26" i="5"/>
  <c r="C22" i="5"/>
  <c r="C1" i="5" s="1"/>
  <c r="C21" i="5"/>
  <c r="E20" i="5"/>
  <c r="F20" i="5" s="1"/>
  <c r="F19" i="5"/>
  <c r="F18" i="5"/>
  <c r="E18" i="5"/>
  <c r="F17" i="5"/>
  <c r="E16" i="5"/>
  <c r="F16" i="5" s="1"/>
  <c r="E15" i="5"/>
  <c r="F15" i="5" s="1"/>
  <c r="F14" i="5"/>
  <c r="E14" i="5"/>
  <c r="E13" i="5"/>
  <c r="F12" i="5"/>
  <c r="E12" i="5"/>
  <c r="E11" i="5"/>
  <c r="F11" i="5" s="1"/>
  <c r="E10" i="5"/>
  <c r="F10" i="5" s="1"/>
  <c r="F9" i="5"/>
  <c r="F8" i="5"/>
  <c r="E2" i="5"/>
  <c r="F2" i="5" s="1"/>
  <c r="G2" i="5" s="1"/>
  <c r="H2" i="5" s="1"/>
  <c r="I2" i="5" s="1"/>
  <c r="J2" i="5" s="1"/>
  <c r="K2" i="5" s="1"/>
  <c r="L2" i="5" s="1"/>
  <c r="M2" i="5" s="1"/>
  <c r="N2" i="5" s="1"/>
  <c r="O2" i="5" s="1"/>
  <c r="O1" i="5"/>
  <c r="N1" i="5"/>
  <c r="M1" i="5"/>
  <c r="L1" i="5"/>
  <c r="K1" i="5"/>
  <c r="J1" i="5"/>
  <c r="I1" i="5"/>
  <c r="H1" i="5"/>
  <c r="G1" i="5"/>
  <c r="D1" i="5"/>
  <c r="C15" i="4"/>
  <c r="C14" i="4"/>
  <c r="D34" i="4"/>
  <c r="E34" i="4" s="1"/>
  <c r="D45" i="4"/>
  <c r="E45" i="4" s="1"/>
  <c r="D46" i="4"/>
  <c r="E46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3" i="4"/>
  <c r="E33" i="4" s="1"/>
  <c r="D32" i="4"/>
  <c r="E32" i="4" s="1"/>
  <c r="D31" i="4"/>
  <c r="E31" i="4" s="1"/>
  <c r="D30" i="4"/>
  <c r="E30" i="4" s="1"/>
  <c r="B28" i="4"/>
  <c r="O28" i="4"/>
  <c r="N28" i="4"/>
  <c r="M28" i="4"/>
  <c r="L28" i="4"/>
  <c r="K28" i="4"/>
  <c r="J28" i="4"/>
  <c r="I28" i="4"/>
  <c r="H28" i="4"/>
  <c r="G28" i="4"/>
  <c r="F28" i="4"/>
  <c r="C28" i="4"/>
  <c r="E29" i="4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C20" i="4"/>
  <c r="C19" i="4"/>
  <c r="E2" i="4"/>
  <c r="F2" i="4" s="1"/>
  <c r="G2" i="4" s="1"/>
  <c r="H2" i="4" s="1"/>
  <c r="I2" i="4" s="1"/>
  <c r="J2" i="4" s="1"/>
  <c r="K2" i="4" s="1"/>
  <c r="L2" i="4" s="1"/>
  <c r="M2" i="4" s="1"/>
  <c r="N2" i="4" s="1"/>
  <c r="O2" i="4" s="1"/>
  <c r="G25" i="2"/>
  <c r="I29" i="2"/>
  <c r="E25" i="2"/>
  <c r="G18" i="2"/>
  <c r="H18" i="2" s="1"/>
  <c r="G17" i="2"/>
  <c r="H17" i="2" s="1"/>
  <c r="F21" i="2"/>
  <c r="H23" i="2"/>
  <c r="H22" i="2"/>
  <c r="H21" i="2"/>
  <c r="H20" i="2"/>
  <c r="H19" i="2"/>
  <c r="H16" i="2"/>
  <c r="L31" i="2"/>
  <c r="F39" i="2"/>
  <c r="C33" i="2"/>
  <c r="D33" i="2" s="1"/>
  <c r="D31" i="2"/>
  <c r="F32" i="2"/>
  <c r="E32" i="2" s="1"/>
  <c r="G12" i="2"/>
  <c r="G2" i="2"/>
  <c r="G13" i="2"/>
  <c r="G14" i="2"/>
  <c r="G3" i="2"/>
  <c r="G4" i="2"/>
  <c r="G5" i="2"/>
  <c r="G6" i="2"/>
  <c r="G7" i="2"/>
  <c r="S5" i="2"/>
  <c r="E1" i="5" l="1"/>
  <c r="C1" i="4"/>
  <c r="E33" i="5"/>
  <c r="F1" i="5"/>
  <c r="E40" i="5"/>
  <c r="F13" i="5"/>
  <c r="A28" i="4"/>
  <c r="E28" i="4"/>
  <c r="D28" i="4"/>
</calcChain>
</file>

<file path=xl/sharedStrings.xml><?xml version="1.0" encoding="utf-8"?>
<sst xmlns="http://schemas.openxmlformats.org/spreadsheetml/2006/main" count="193" uniqueCount="107">
  <si>
    <t>S.no</t>
  </si>
  <si>
    <t>Company</t>
  </si>
  <si>
    <t>Total Bal</t>
  </si>
  <si>
    <t>Monthly</t>
  </si>
  <si>
    <t>JPM</t>
  </si>
  <si>
    <t>Launch (Stilt)</t>
  </si>
  <si>
    <t>Lending Club</t>
  </si>
  <si>
    <t>Uptrart</t>
  </si>
  <si>
    <t>Net Credit</t>
  </si>
  <si>
    <t>Rise - Finwise</t>
  </si>
  <si>
    <t>SST - Seedfi</t>
  </si>
  <si>
    <t>Amex</t>
  </si>
  <si>
    <t>Jasper</t>
  </si>
  <si>
    <t>Integra</t>
  </si>
  <si>
    <t>CCB</t>
  </si>
  <si>
    <t>Apple</t>
  </si>
  <si>
    <t>Personify</t>
  </si>
  <si>
    <t>BOA</t>
  </si>
  <si>
    <t>BestBuy</t>
  </si>
  <si>
    <t>Aspire</t>
  </si>
  <si>
    <t>Credit One</t>
  </si>
  <si>
    <t>First Premier</t>
  </si>
  <si>
    <t>Possible</t>
  </si>
  <si>
    <t>Fig Loan</t>
  </si>
  <si>
    <t>Payoff</t>
  </si>
  <si>
    <t>Loan Estimate</t>
  </si>
  <si>
    <t>Check Payable to</t>
  </si>
  <si>
    <t>UNI FBO UPSPT 2021-ST6</t>
  </si>
  <si>
    <t>FW1350195</t>
  </si>
  <si>
    <t>Check Memo</t>
  </si>
  <si>
    <t>LendingClub Corporation</t>
  </si>
  <si>
    <t>Address</t>
  </si>
  <si>
    <t>LendingClub Bank
Lockbox #134268
P.O. Box 884268
Los Angeles, CA 90088-4268</t>
  </si>
  <si>
    <t>Mail via standard mail*
UNI FBO UPSPT 2021-ST6
PO BOX 842917
LOS ANGELES, California 90084
Overnight check address*
LOCKBOX SERVICES 842917
3440 FLAIR DRIVE
EL MONTE, California 91731</t>
  </si>
  <si>
    <t>PO BOX 679220, Dallas, TX 75267-9220</t>
  </si>
  <si>
    <t>Call them and check</t>
  </si>
  <si>
    <t>NetCredit
P.O. Box 206766
Dallas, TX 75320-6766</t>
  </si>
  <si>
    <t>NetCredit</t>
  </si>
  <si>
    <t>Rise Credit</t>
  </si>
  <si>
    <t>Payment by Check
Please mail your check to one of the following addresses:
    RISE Credit
   PO Box 679900
    Dallas, TX 75267-9900
Overnight payments only:
    RISE Credit 
    Lockbox Number 679900
    1200 E. Campbell Rd., Suite 108
    Richardson, TX 75081</t>
  </si>
  <si>
    <t>Please mail your payment to:
Systems &amp; Services Technologies, Inc.
PO Box 88059
Chicago, IL, 60680-1059</t>
  </si>
  <si>
    <t>Systems &amp; Services Technologies, Inc.</t>
  </si>
  <si>
    <t>120 S. LaSalle St., Suite 1600, Chicago, IL 60603</t>
  </si>
  <si>
    <t>Integra Credit</t>
  </si>
  <si>
    <t>BC1681540</t>
  </si>
  <si>
    <t>Balance Credit
Attn: Customer Support
P. O. Box 4356
DEPT # 1557
Houston, TX 77210-4356</t>
  </si>
  <si>
    <t>Balance Credit</t>
  </si>
  <si>
    <t>2022061600174B</t>
  </si>
  <si>
    <t>Personify Financial</t>
  </si>
  <si>
    <t>Send to:
Personify Financial
PO Box 208417
Dallas, TX 75320-8417</t>
  </si>
  <si>
    <t>Possible Financial, Inc.</t>
  </si>
  <si>
    <t>Call and ask</t>
  </si>
  <si>
    <t xml:space="preserve">2231 1st Ave. Ste. B, Seattle, WA98121 </t>
  </si>
  <si>
    <t>Type</t>
  </si>
  <si>
    <t>CC</t>
  </si>
  <si>
    <t>PL</t>
  </si>
  <si>
    <t>CL</t>
  </si>
  <si>
    <t>Credit Ninja</t>
  </si>
  <si>
    <t>Date</t>
  </si>
  <si>
    <t>Lendly</t>
  </si>
  <si>
    <t>Balance</t>
  </si>
  <si>
    <t>Mortgage</t>
  </si>
  <si>
    <t>Stilt</t>
  </si>
  <si>
    <t>Category</t>
  </si>
  <si>
    <t>Upstart</t>
  </si>
  <si>
    <t>Rise</t>
  </si>
  <si>
    <t>Netcredit</t>
  </si>
  <si>
    <t>Credit Limit</t>
  </si>
  <si>
    <t>Ahmed</t>
  </si>
  <si>
    <t>Venu</t>
  </si>
  <si>
    <t>Waheed</t>
  </si>
  <si>
    <t>Mitesh</t>
  </si>
  <si>
    <t>Quick Credit</t>
  </si>
  <si>
    <t>Balance (4/16/25)</t>
  </si>
  <si>
    <t>Simple fast</t>
  </si>
  <si>
    <t>AF247</t>
  </si>
  <si>
    <t>Auto</t>
  </si>
  <si>
    <t>Home</t>
  </si>
  <si>
    <t>Credit oNe</t>
  </si>
  <si>
    <t>Brightway</t>
  </si>
  <si>
    <t>fortiva</t>
  </si>
  <si>
    <t>cap one</t>
  </si>
  <si>
    <t>premier</t>
  </si>
  <si>
    <t>merrick</t>
  </si>
  <si>
    <t>mission lane</t>
  </si>
  <si>
    <t>venmo</t>
  </si>
  <si>
    <t>firestone</t>
  </si>
  <si>
    <t>imagine</t>
  </si>
  <si>
    <t>One main</t>
  </si>
  <si>
    <t>Paypal</t>
  </si>
  <si>
    <t>bestbuy</t>
  </si>
  <si>
    <t>fig loans</t>
  </si>
  <si>
    <t>paypal</t>
  </si>
  <si>
    <t>affirm</t>
  </si>
  <si>
    <t>zip</t>
  </si>
  <si>
    <t>opp finance</t>
  </si>
  <si>
    <t>adv financial</t>
  </si>
  <si>
    <t>credit ninja</t>
  </si>
  <si>
    <t>net credit</t>
  </si>
  <si>
    <t>elastic</t>
  </si>
  <si>
    <t>ACH from chase</t>
  </si>
  <si>
    <t>upstart</t>
  </si>
  <si>
    <t>Salary</t>
  </si>
  <si>
    <t>Dave</t>
  </si>
  <si>
    <t>Cleo</t>
  </si>
  <si>
    <t>Empower</t>
  </si>
  <si>
    <t>Moin Amex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</si>
</sst>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9" fontId="0" fillId="0" borderId="0" xfId="0" applyNumberFormat="1"/>
    <xf numFmtId="9" fontId="0" fillId="2" borderId="0" xfId="0" applyNumberFormat="1" applyFill="1"/>
    <xf numFmtId="4" fontId="0" fillId="0" borderId="0" xfId="0" applyNumberFormat="1"/>
    <xf numFmtId="14" fontId="0" fillId="0" borderId="0" xfId="0" applyNumberFormat="1"/>
    <xf numFmtId="0" fontId="0" fillId="0" borderId="1" xfId="0" applyBorder="1"/>
    <xf numFmtId="0" fontId="3" fillId="6" borderId="1" xfId="0" applyFont="1" applyFill="1" applyBorder="1"/>
    <xf numFmtId="16" fontId="3" fillId="6" borderId="1" xfId="0" applyNumberFormat="1" applyFont="1" applyFill="1" applyBorder="1"/>
    <xf numFmtId="164" fontId="3" fillId="7" borderId="1" xfId="1" applyNumberFormat="1" applyFont="1" applyFill="1" applyBorder="1"/>
    <xf numFmtId="0" fontId="4" fillId="0" borderId="1" xfId="0" applyFont="1" applyBorder="1"/>
    <xf numFmtId="0" fontId="0" fillId="0" borderId="2" xfId="0" applyBorder="1"/>
    <xf numFmtId="44" fontId="0" fillId="0" borderId="1" xfId="0" applyNumberFormat="1" applyBorder="1"/>
    <xf numFmtId="9" fontId="0" fillId="0" borderId="1" xfId="0" applyNumberFormat="1" applyBorder="1"/>
    <xf numFmtId="9" fontId="0" fillId="2" borderId="1" xfId="0" applyNumberFormat="1" applyFill="1" applyBorder="1"/>
    <xf numFmtId="0" fontId="0" fillId="7" borderId="1" xfId="0" applyFill="1" applyBorder="1"/>
    <xf numFmtId="8" fontId="3" fillId="6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270C-B0A9-43BE-BDFC-B342DD049421}">
  <dimension ref="A1:O47"/>
  <sheetViews>
    <sheetView zoomScale="85" zoomScaleNormal="85" workbookViewId="0">
      <pane ySplit="2" topLeftCell="A3" activePane="bottomLeft" state="frozen"/>
      <selection pane="bottomLeft" activeCell="C11" sqref="C11"/>
    </sheetView>
  </sheetViews>
  <sheetFormatPr defaultRowHeight="14.4" x14ac:dyDescent="0.3"/>
  <cols>
    <col min="1" max="1" width="14.5546875" bestFit="1" customWidth="1"/>
    <col min="2" max="2" width="14.5546875" customWidth="1"/>
    <col min="3" max="3" width="15.77734375" bestFit="1" customWidth="1"/>
    <col min="4" max="5" width="10.5546875" bestFit="1" customWidth="1"/>
    <col min="6" max="15" width="11.5546875" bestFit="1" customWidth="1"/>
  </cols>
  <sheetData>
    <row r="1" spans="1:15" x14ac:dyDescent="0.3">
      <c r="A1" s="10" t="s">
        <v>60</v>
      </c>
      <c r="B1" s="10"/>
      <c r="C1" s="13">
        <f>SUM(C11:C23)</f>
        <v>35126</v>
      </c>
      <c r="D1" s="13">
        <f>SUM(D3-SUM(D8:D26))</f>
        <v>2949.94</v>
      </c>
      <c r="E1" s="13">
        <f>SUM(E3-SUM(E8:E26))+D1</f>
        <v>56.889999999999873</v>
      </c>
      <c r="F1" s="13">
        <f t="shared" ref="F1:O1" si="0">SUM(F3-SUM(F8:F26))+E1</f>
        <v>3206.83</v>
      </c>
      <c r="G1" s="13">
        <f t="shared" si="0"/>
        <v>313.77999999999975</v>
      </c>
      <c r="H1" s="13">
        <f t="shared" si="0"/>
        <v>3463.72</v>
      </c>
      <c r="I1" s="13">
        <f t="shared" si="0"/>
        <v>920.66999999999962</v>
      </c>
      <c r="J1" s="13">
        <f t="shared" si="0"/>
        <v>4270.6099999999997</v>
      </c>
      <c r="K1" s="13">
        <f t="shared" si="0"/>
        <v>7620.5499999999993</v>
      </c>
      <c r="L1" s="13">
        <f t="shared" si="0"/>
        <v>5077.4999999999991</v>
      </c>
      <c r="M1" s="13">
        <f t="shared" si="0"/>
        <v>8427.4399999999987</v>
      </c>
      <c r="N1" s="13">
        <f t="shared" si="0"/>
        <v>5884.3899999999985</v>
      </c>
      <c r="O1" s="13">
        <f t="shared" si="0"/>
        <v>9234.3299999999981</v>
      </c>
    </row>
    <row r="2" spans="1:15" x14ac:dyDescent="0.3">
      <c r="A2" s="11" t="s">
        <v>63</v>
      </c>
      <c r="B2" s="11" t="s">
        <v>67</v>
      </c>
      <c r="C2" s="11" t="s">
        <v>73</v>
      </c>
      <c r="D2" s="12">
        <v>45800</v>
      </c>
      <c r="E2" s="12">
        <f>+D2+14</f>
        <v>45814</v>
      </c>
      <c r="F2" s="12">
        <f t="shared" ref="F2:O2" si="1">+E2+14</f>
        <v>45828</v>
      </c>
      <c r="G2" s="12">
        <f t="shared" si="1"/>
        <v>45842</v>
      </c>
      <c r="H2" s="12">
        <f t="shared" si="1"/>
        <v>45856</v>
      </c>
      <c r="I2" s="12">
        <f t="shared" si="1"/>
        <v>45870</v>
      </c>
      <c r="J2" s="12">
        <f t="shared" si="1"/>
        <v>45884</v>
      </c>
      <c r="K2" s="12">
        <f t="shared" si="1"/>
        <v>45898</v>
      </c>
      <c r="L2" s="12">
        <f t="shared" si="1"/>
        <v>45912</v>
      </c>
      <c r="M2" s="12">
        <f t="shared" si="1"/>
        <v>45926</v>
      </c>
      <c r="N2" s="12">
        <f t="shared" si="1"/>
        <v>45940</v>
      </c>
      <c r="O2" s="12">
        <f t="shared" si="1"/>
        <v>45954</v>
      </c>
    </row>
    <row r="3" spans="1:15" x14ac:dyDescent="0.3">
      <c r="A3" s="11" t="s">
        <v>102</v>
      </c>
      <c r="B3" s="11"/>
      <c r="C3" s="11"/>
      <c r="D3" s="20">
        <v>5000</v>
      </c>
      <c r="E3" s="20">
        <v>3750</v>
      </c>
      <c r="F3" s="20">
        <v>3750</v>
      </c>
      <c r="G3" s="20">
        <v>3750</v>
      </c>
      <c r="H3" s="20">
        <v>3750</v>
      </c>
      <c r="I3" s="20">
        <v>3750</v>
      </c>
      <c r="J3" s="20">
        <v>3750</v>
      </c>
      <c r="K3" s="20">
        <v>3750</v>
      </c>
      <c r="L3" s="20">
        <v>3750</v>
      </c>
      <c r="M3" s="20">
        <v>3750</v>
      </c>
      <c r="N3" s="20">
        <v>3750</v>
      </c>
      <c r="O3" s="20">
        <v>3750</v>
      </c>
    </row>
    <row r="4" spans="1:15" x14ac:dyDescent="0.3">
      <c r="A4" s="10" t="s">
        <v>68</v>
      </c>
      <c r="B4" s="10"/>
      <c r="C4" s="10">
        <v>5000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3">
      <c r="A5" s="10" t="s">
        <v>69</v>
      </c>
      <c r="B5" s="10"/>
      <c r="C5" s="10">
        <v>3000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 x14ac:dyDescent="0.3">
      <c r="A6" s="10" t="s">
        <v>70</v>
      </c>
      <c r="B6" s="10"/>
      <c r="C6" s="10">
        <v>2000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x14ac:dyDescent="0.3">
      <c r="A7" s="10" t="s">
        <v>71</v>
      </c>
      <c r="B7" s="10"/>
      <c r="C7" s="10">
        <v>3000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x14ac:dyDescent="0.3">
      <c r="A8" s="10" t="s">
        <v>103</v>
      </c>
      <c r="B8" s="10"/>
      <c r="C8" s="10">
        <v>600</v>
      </c>
      <c r="D8" s="10">
        <v>600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x14ac:dyDescent="0.3">
      <c r="A9" s="10" t="s">
        <v>104</v>
      </c>
      <c r="B9" s="10"/>
      <c r="C9" s="10">
        <v>500</v>
      </c>
      <c r="D9" s="10">
        <v>500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5" x14ac:dyDescent="0.3">
      <c r="A10" s="10" t="s">
        <v>105</v>
      </c>
      <c r="B10" s="10"/>
      <c r="C10" s="10">
        <v>350</v>
      </c>
      <c r="D10" s="10">
        <v>350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x14ac:dyDescent="0.3">
      <c r="A11" s="14" t="s">
        <v>94</v>
      </c>
      <c r="B11" s="10"/>
      <c r="C11" s="10">
        <v>1000</v>
      </c>
      <c r="D11" s="10">
        <v>200</v>
      </c>
      <c r="E11" s="10">
        <v>200</v>
      </c>
      <c r="F11" s="10">
        <v>200</v>
      </c>
      <c r="G11" s="10">
        <v>200</v>
      </c>
      <c r="H11" s="10">
        <v>200</v>
      </c>
      <c r="I11" s="10"/>
      <c r="J11" s="10"/>
      <c r="K11" s="10"/>
      <c r="L11" s="10"/>
      <c r="M11" s="10"/>
      <c r="N11" s="10"/>
      <c r="O11" s="10"/>
    </row>
    <row r="12" spans="1:15" x14ac:dyDescent="0.3">
      <c r="A12" s="10" t="s">
        <v>65</v>
      </c>
      <c r="B12" s="10"/>
      <c r="C12" s="10">
        <v>4554</v>
      </c>
      <c r="D12" s="10">
        <v>200.06</v>
      </c>
      <c r="E12" s="10">
        <v>200.06</v>
      </c>
      <c r="F12" s="10">
        <v>200.06</v>
      </c>
      <c r="G12" s="10">
        <v>200.06</v>
      </c>
      <c r="H12" s="10">
        <v>200.06</v>
      </c>
      <c r="I12" s="10">
        <v>200.06</v>
      </c>
      <c r="J12" s="10">
        <v>200.06</v>
      </c>
      <c r="K12" s="10">
        <v>200.06</v>
      </c>
      <c r="L12" s="10">
        <v>200.06</v>
      </c>
      <c r="M12" s="10">
        <v>200.06</v>
      </c>
      <c r="N12" s="10">
        <v>200.06</v>
      </c>
      <c r="O12" s="10">
        <v>200.06</v>
      </c>
    </row>
    <row r="13" spans="1:15" x14ac:dyDescent="0.3">
      <c r="A13" s="10" t="s">
        <v>66</v>
      </c>
      <c r="B13" s="10"/>
      <c r="C13" s="10">
        <v>5000</v>
      </c>
      <c r="D13" s="10">
        <v>200</v>
      </c>
      <c r="E13" s="10">
        <v>200</v>
      </c>
      <c r="F13" s="10">
        <v>200</v>
      </c>
      <c r="G13" s="10">
        <v>200</v>
      </c>
      <c r="H13" s="10">
        <v>200</v>
      </c>
      <c r="I13" s="10">
        <v>200</v>
      </c>
      <c r="J13" s="10">
        <v>200</v>
      </c>
      <c r="K13" s="10">
        <v>200</v>
      </c>
      <c r="L13" s="10">
        <v>200</v>
      </c>
      <c r="M13" s="10">
        <v>200</v>
      </c>
      <c r="N13" s="10">
        <v>200</v>
      </c>
      <c r="O13" s="10">
        <v>200</v>
      </c>
    </row>
    <row r="14" spans="1:15" x14ac:dyDescent="0.3">
      <c r="A14" s="10" t="s">
        <v>101</v>
      </c>
      <c r="B14" s="10"/>
      <c r="C14" s="10">
        <f>1500-273</f>
        <v>1227</v>
      </c>
      <c r="D14" s="10"/>
      <c r="E14" s="10">
        <v>47.19</v>
      </c>
      <c r="F14" s="17"/>
      <c r="G14" s="10">
        <v>47.19</v>
      </c>
      <c r="H14" s="10"/>
      <c r="I14" s="10">
        <v>47.19</v>
      </c>
      <c r="J14" s="10"/>
      <c r="K14" s="10"/>
      <c r="L14" s="10">
        <v>47.19</v>
      </c>
      <c r="M14" s="10"/>
      <c r="N14" s="10">
        <v>47.19</v>
      </c>
      <c r="O14" s="10"/>
    </row>
    <row r="15" spans="1:15" x14ac:dyDescent="0.3">
      <c r="A15" s="10" t="s">
        <v>101</v>
      </c>
      <c r="B15" s="10"/>
      <c r="C15" s="10">
        <f>4000-397</f>
        <v>3603</v>
      </c>
      <c r="D15" s="10"/>
      <c r="E15" s="10">
        <v>131.63999999999999</v>
      </c>
      <c r="F15" s="17"/>
      <c r="G15" s="10">
        <v>131.63999999999999</v>
      </c>
      <c r="H15" s="10"/>
      <c r="I15" s="10">
        <v>131.63999999999999</v>
      </c>
      <c r="J15" s="10"/>
      <c r="K15" s="10"/>
      <c r="L15" s="10">
        <v>131.63999999999999</v>
      </c>
      <c r="M15" s="10"/>
      <c r="N15" s="10">
        <v>131.63999999999999</v>
      </c>
      <c r="O15" s="10"/>
    </row>
    <row r="16" spans="1:15" x14ac:dyDescent="0.3">
      <c r="A16" s="10" t="s">
        <v>91</v>
      </c>
      <c r="B16" s="10"/>
      <c r="C16" s="10">
        <v>450</v>
      </c>
      <c r="D16" s="10"/>
      <c r="E16" s="10">
        <v>150</v>
      </c>
      <c r="F16" s="10"/>
      <c r="G16" s="10">
        <v>150</v>
      </c>
      <c r="H16" s="10"/>
      <c r="I16" s="10"/>
      <c r="J16" s="10"/>
      <c r="K16" s="10"/>
      <c r="L16" s="10"/>
      <c r="M16" s="10"/>
      <c r="N16" s="10"/>
      <c r="O16" s="10"/>
    </row>
    <row r="17" spans="1:15" x14ac:dyDescent="0.3">
      <c r="A17" s="10" t="s">
        <v>92</v>
      </c>
      <c r="B17" s="10"/>
      <c r="C17" s="10">
        <v>1450</v>
      </c>
      <c r="D17" s="10"/>
      <c r="E17" s="10">
        <v>326.52999999999997</v>
      </c>
      <c r="F17" s="10"/>
      <c r="G17" s="10">
        <v>326.52999999999997</v>
      </c>
      <c r="H17" s="10"/>
      <c r="I17" s="10">
        <v>326.52999999999997</v>
      </c>
      <c r="J17" s="10"/>
      <c r="K17" s="10"/>
      <c r="L17" s="10">
        <v>326.52999999999997</v>
      </c>
      <c r="M17" s="10"/>
      <c r="N17" s="10">
        <v>326.52999999999997</v>
      </c>
      <c r="O17" s="10"/>
    </row>
    <row r="18" spans="1:15" x14ac:dyDescent="0.3">
      <c r="A18" s="10" t="s">
        <v>93</v>
      </c>
      <c r="B18" s="10"/>
      <c r="C18" s="10">
        <v>650</v>
      </c>
      <c r="D18" s="10"/>
      <c r="E18" s="10">
        <v>156.75</v>
      </c>
      <c r="F18" s="10"/>
      <c r="G18" s="10">
        <v>156.75</v>
      </c>
      <c r="H18" s="10"/>
      <c r="I18" s="10">
        <v>156.75</v>
      </c>
      <c r="J18" s="10"/>
      <c r="K18" s="10"/>
      <c r="L18" s="10">
        <v>156.75</v>
      </c>
      <c r="M18" s="10"/>
      <c r="N18" s="10">
        <v>156.75</v>
      </c>
      <c r="O18" s="10"/>
    </row>
    <row r="19" spans="1:15" x14ac:dyDescent="0.3">
      <c r="A19" s="10" t="s">
        <v>64</v>
      </c>
      <c r="B19" s="10"/>
      <c r="C19" s="10">
        <f>9400-5557</f>
        <v>3843</v>
      </c>
      <c r="D19" s="10"/>
      <c r="E19" s="10">
        <v>312.45999999999998</v>
      </c>
      <c r="F19" s="10"/>
      <c r="G19" s="10">
        <v>312.45999999999998</v>
      </c>
      <c r="H19" s="10"/>
      <c r="I19" s="10">
        <v>312.45999999999998</v>
      </c>
      <c r="J19" s="10"/>
      <c r="K19" s="10"/>
      <c r="L19" s="10">
        <v>312.45999999999998</v>
      </c>
      <c r="M19" s="10"/>
      <c r="N19" s="10">
        <v>312.45999999999998</v>
      </c>
      <c r="O19" s="10"/>
    </row>
    <row r="20" spans="1:15" x14ac:dyDescent="0.3">
      <c r="A20" s="10" t="s">
        <v>64</v>
      </c>
      <c r="B20" s="10"/>
      <c r="C20" s="10">
        <f>1400*0.87</f>
        <v>1218</v>
      </c>
      <c r="D20" s="10"/>
      <c r="E20" s="10">
        <v>44.33</v>
      </c>
      <c r="F20" s="10"/>
      <c r="G20" s="10">
        <v>44.33</v>
      </c>
      <c r="H20" s="10"/>
      <c r="I20" s="10">
        <v>44.33</v>
      </c>
      <c r="J20" s="10"/>
      <c r="K20" s="10"/>
      <c r="L20" s="10">
        <v>44.33</v>
      </c>
      <c r="M20" s="10"/>
      <c r="N20" s="10">
        <v>44.33</v>
      </c>
      <c r="O20" s="10"/>
    </row>
    <row r="21" spans="1:15" x14ac:dyDescent="0.3">
      <c r="A21" s="10" t="s">
        <v>64</v>
      </c>
      <c r="B21" s="10"/>
      <c r="C21" s="10">
        <v>2500</v>
      </c>
      <c r="D21" s="10"/>
      <c r="E21" s="10">
        <v>250</v>
      </c>
      <c r="F21" s="10"/>
      <c r="G21" s="10">
        <v>250</v>
      </c>
      <c r="H21" s="10"/>
      <c r="I21" s="10">
        <v>250</v>
      </c>
      <c r="J21" s="10"/>
      <c r="K21" s="10"/>
      <c r="L21" s="10">
        <v>250</v>
      </c>
      <c r="M21" s="10"/>
      <c r="N21" s="10">
        <v>250</v>
      </c>
      <c r="O21" s="10"/>
    </row>
    <row r="22" spans="1:15" x14ac:dyDescent="0.3">
      <c r="A22" s="10" t="s">
        <v>6</v>
      </c>
      <c r="B22" s="10"/>
      <c r="C22" s="10">
        <v>5145</v>
      </c>
      <c r="D22" s="10"/>
      <c r="E22" s="10">
        <v>259.36</v>
      </c>
      <c r="F22" s="10"/>
      <c r="G22" s="10">
        <v>259.36</v>
      </c>
      <c r="H22" s="10"/>
      <c r="I22" s="10">
        <v>259.36</v>
      </c>
      <c r="J22" s="10"/>
      <c r="K22" s="10"/>
      <c r="L22" s="10">
        <v>259.36</v>
      </c>
      <c r="M22" s="10"/>
      <c r="N22" s="10">
        <v>259.36</v>
      </c>
      <c r="O22" s="10"/>
    </row>
    <row r="23" spans="1:15" x14ac:dyDescent="0.3">
      <c r="A23" s="10" t="s">
        <v>88</v>
      </c>
      <c r="B23" s="10"/>
      <c r="C23" s="10">
        <v>4486</v>
      </c>
      <c r="D23" s="10"/>
      <c r="E23" s="10">
        <v>144.72999999999999</v>
      </c>
      <c r="F23" s="10"/>
      <c r="G23" s="10">
        <v>144.72999999999999</v>
      </c>
      <c r="H23" s="10"/>
      <c r="I23" s="10">
        <v>144.72999999999999</v>
      </c>
      <c r="J23" s="10"/>
      <c r="K23" s="10"/>
      <c r="L23" s="10">
        <v>144.72999999999999</v>
      </c>
      <c r="M23" s="10"/>
      <c r="N23" s="10">
        <v>144.72999999999999</v>
      </c>
      <c r="O23" s="10"/>
    </row>
    <row r="24" spans="1:15" x14ac:dyDescent="0.3">
      <c r="A24" s="10" t="s">
        <v>76</v>
      </c>
      <c r="B24" s="10"/>
      <c r="C24" s="10">
        <v>13500</v>
      </c>
      <c r="D24" s="10"/>
      <c r="E24" s="10">
        <v>370</v>
      </c>
      <c r="F24" s="10"/>
      <c r="G24" s="10">
        <v>370</v>
      </c>
      <c r="H24" s="10"/>
      <c r="I24" s="10">
        <v>370</v>
      </c>
      <c r="J24" s="10"/>
      <c r="K24" s="10"/>
      <c r="L24" s="10">
        <v>370</v>
      </c>
      <c r="M24" s="10"/>
      <c r="N24" s="10">
        <v>370</v>
      </c>
      <c r="O24" s="10"/>
    </row>
    <row r="25" spans="1:15" x14ac:dyDescent="0.3">
      <c r="A25" s="10" t="s">
        <v>106</v>
      </c>
      <c r="B25" s="10"/>
      <c r="C25" s="10">
        <v>25000</v>
      </c>
      <c r="D25" s="10"/>
      <c r="E25" s="10">
        <v>700</v>
      </c>
      <c r="F25" s="10"/>
      <c r="G25" s="10">
        <v>700</v>
      </c>
      <c r="H25" s="10"/>
      <c r="I25" s="10">
        <v>700</v>
      </c>
      <c r="J25" s="10"/>
      <c r="K25" s="10"/>
      <c r="L25" s="10">
        <v>700</v>
      </c>
      <c r="M25" s="10"/>
      <c r="N25" s="10">
        <v>700</v>
      </c>
      <c r="O25" s="10"/>
    </row>
    <row r="26" spans="1:15" x14ac:dyDescent="0.3">
      <c r="A26" s="10" t="s">
        <v>77</v>
      </c>
      <c r="B26" s="10"/>
      <c r="C26" s="10">
        <v>398000</v>
      </c>
      <c r="D26" s="10"/>
      <c r="E26" s="10">
        <v>3150</v>
      </c>
      <c r="F26" s="10"/>
      <c r="G26" s="10">
        <v>3150</v>
      </c>
      <c r="H26" s="10"/>
      <c r="I26" s="10">
        <v>3150</v>
      </c>
      <c r="J26" s="10"/>
      <c r="K26" s="10"/>
      <c r="L26" s="10">
        <v>3150</v>
      </c>
      <c r="M26" s="10"/>
      <c r="N26" s="10">
        <v>3150</v>
      </c>
      <c r="O26" s="10"/>
    </row>
    <row r="28" spans="1:15" x14ac:dyDescent="0.3">
      <c r="A28" s="16">
        <f>+C28/B28</f>
        <v>0.91091400491400487</v>
      </c>
      <c r="B28" s="13">
        <f>SUM(B30:B47)</f>
        <v>20350</v>
      </c>
      <c r="C28" s="13">
        <f>SUM(C30:C47)</f>
        <v>18537.099999999999</v>
      </c>
      <c r="D28" s="13">
        <f t="shared" ref="D28:O28" si="2">SUM(D30:D47)</f>
        <v>1453.7099999999998</v>
      </c>
      <c r="E28" s="13">
        <f t="shared" si="2"/>
        <v>3253.71</v>
      </c>
      <c r="F28" s="13">
        <f t="shared" si="2"/>
        <v>0</v>
      </c>
      <c r="G28" s="13">
        <f t="shared" si="2"/>
        <v>0</v>
      </c>
      <c r="H28" s="13">
        <f t="shared" si="2"/>
        <v>0</v>
      </c>
      <c r="I28" s="13">
        <f t="shared" si="2"/>
        <v>0</v>
      </c>
      <c r="J28" s="13">
        <f t="shared" si="2"/>
        <v>0</v>
      </c>
      <c r="K28" s="13">
        <f t="shared" si="2"/>
        <v>0</v>
      </c>
      <c r="L28" s="13">
        <f t="shared" si="2"/>
        <v>0</v>
      </c>
      <c r="M28" s="13">
        <f t="shared" si="2"/>
        <v>0</v>
      </c>
      <c r="N28" s="13">
        <f t="shared" si="2"/>
        <v>0</v>
      </c>
      <c r="O28" s="13">
        <f t="shared" si="2"/>
        <v>0</v>
      </c>
    </row>
    <row r="29" spans="1:15" x14ac:dyDescent="0.3">
      <c r="A29" s="11" t="s">
        <v>63</v>
      </c>
      <c r="B29" s="11" t="s">
        <v>67</v>
      </c>
      <c r="C29" s="11" t="s">
        <v>73</v>
      </c>
      <c r="D29" s="12">
        <v>45772</v>
      </c>
      <c r="E29" s="12">
        <f>+D29+14</f>
        <v>45786</v>
      </c>
      <c r="F29" s="12">
        <f>+E29+30</f>
        <v>45816</v>
      </c>
      <c r="G29" s="12">
        <f t="shared" ref="G29" si="3">+F29+30</f>
        <v>45846</v>
      </c>
      <c r="H29" s="12">
        <f t="shared" ref="H29" si="4">+G29+30</f>
        <v>45876</v>
      </c>
      <c r="I29" s="12">
        <f t="shared" ref="I29" si="5">+H29+30</f>
        <v>45906</v>
      </c>
      <c r="J29" s="12">
        <f t="shared" ref="J29" si="6">+I29+30</f>
        <v>45936</v>
      </c>
      <c r="K29" s="12">
        <f t="shared" ref="K29" si="7">+J29+30</f>
        <v>45966</v>
      </c>
      <c r="L29" s="12">
        <f t="shared" ref="L29" si="8">+K29+30</f>
        <v>45996</v>
      </c>
      <c r="M29" s="12">
        <f t="shared" ref="M29" si="9">+L29+30</f>
        <v>46026</v>
      </c>
      <c r="N29" s="12">
        <f t="shared" ref="N29" si="10">+M29+30</f>
        <v>46056</v>
      </c>
      <c r="O29" s="12">
        <f t="shared" ref="O29" si="11">+N29+30</f>
        <v>46086</v>
      </c>
    </row>
    <row r="30" spans="1:15" x14ac:dyDescent="0.3">
      <c r="A30" s="10" t="s">
        <v>81</v>
      </c>
      <c r="B30" s="10">
        <v>300</v>
      </c>
      <c r="C30" s="10">
        <v>264</v>
      </c>
      <c r="D30" s="10">
        <f>+C30*0.1</f>
        <v>26.400000000000002</v>
      </c>
      <c r="E30" s="10">
        <f>+D30*1</f>
        <v>26.400000000000002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x14ac:dyDescent="0.3">
      <c r="A31" s="10" t="s">
        <v>84</v>
      </c>
      <c r="B31" s="10">
        <v>300</v>
      </c>
      <c r="C31" s="10">
        <v>273</v>
      </c>
      <c r="D31" s="10">
        <f t="shared" ref="D31:D46" si="12">+C31*0.1</f>
        <v>27.3</v>
      </c>
      <c r="E31" s="10">
        <f t="shared" ref="E31:E46" si="13">+D31*1</f>
        <v>27.3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 x14ac:dyDescent="0.3">
      <c r="A32" s="10" t="s">
        <v>85</v>
      </c>
      <c r="B32" s="10">
        <v>500</v>
      </c>
      <c r="C32" s="10">
        <v>450</v>
      </c>
      <c r="D32" s="10">
        <f t="shared" si="12"/>
        <v>45</v>
      </c>
      <c r="E32" s="10">
        <f t="shared" si="13"/>
        <v>45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5" x14ac:dyDescent="0.3">
      <c r="A33" s="10" t="s">
        <v>78</v>
      </c>
      <c r="B33" s="10">
        <v>650</v>
      </c>
      <c r="C33" s="10">
        <v>630</v>
      </c>
      <c r="D33" s="10">
        <f t="shared" si="12"/>
        <v>63</v>
      </c>
      <c r="E33" s="10">
        <f t="shared" si="13"/>
        <v>63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1:15" x14ac:dyDescent="0.3">
      <c r="A34" s="10" t="s">
        <v>89</v>
      </c>
      <c r="B34" s="10">
        <v>700</v>
      </c>
      <c r="C34" s="10">
        <v>670</v>
      </c>
      <c r="D34" s="10">
        <f t="shared" si="12"/>
        <v>67</v>
      </c>
      <c r="E34" s="10">
        <f t="shared" si="13"/>
        <v>67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x14ac:dyDescent="0.3">
      <c r="A35" s="10" t="s">
        <v>82</v>
      </c>
      <c r="B35" s="10">
        <v>700</v>
      </c>
      <c r="C35" s="10">
        <v>640</v>
      </c>
      <c r="D35" s="10">
        <f t="shared" si="12"/>
        <v>64</v>
      </c>
      <c r="E35" s="10">
        <f t="shared" si="13"/>
        <v>64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1:15" x14ac:dyDescent="0.3">
      <c r="A36" s="10" t="s">
        <v>79</v>
      </c>
      <c r="B36" s="10">
        <v>750</v>
      </c>
      <c r="C36" s="10">
        <v>663</v>
      </c>
      <c r="D36" s="10">
        <f t="shared" si="12"/>
        <v>66.3</v>
      </c>
      <c r="E36" s="10">
        <f t="shared" si="13"/>
        <v>66.3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1:15" x14ac:dyDescent="0.3">
      <c r="A37" s="10" t="s">
        <v>82</v>
      </c>
      <c r="B37" s="10">
        <v>700</v>
      </c>
      <c r="C37" s="10">
        <v>679</v>
      </c>
      <c r="D37" s="10">
        <f t="shared" si="12"/>
        <v>67.900000000000006</v>
      </c>
      <c r="E37" s="10">
        <f t="shared" si="13"/>
        <v>67.900000000000006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5" x14ac:dyDescent="0.3">
      <c r="A38" s="10" t="s">
        <v>78</v>
      </c>
      <c r="B38" s="10">
        <v>800</v>
      </c>
      <c r="C38" s="10">
        <v>775</v>
      </c>
      <c r="D38" s="10">
        <f t="shared" si="12"/>
        <v>77.5</v>
      </c>
      <c r="E38" s="10">
        <f t="shared" si="13"/>
        <v>77.5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x14ac:dyDescent="0.3">
      <c r="A39" s="10" t="s">
        <v>86</v>
      </c>
      <c r="B39" s="10">
        <v>1000</v>
      </c>
      <c r="C39" s="10">
        <v>800</v>
      </c>
      <c r="D39" s="10">
        <f t="shared" si="12"/>
        <v>80</v>
      </c>
      <c r="E39" s="10">
        <f t="shared" si="13"/>
        <v>80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x14ac:dyDescent="0.3">
      <c r="A40" s="10" t="s">
        <v>81</v>
      </c>
      <c r="B40" s="10">
        <v>1000</v>
      </c>
      <c r="C40" s="10">
        <v>978</v>
      </c>
      <c r="D40" s="10">
        <f t="shared" si="12"/>
        <v>97.800000000000011</v>
      </c>
      <c r="E40" s="10">
        <f t="shared" si="13"/>
        <v>97.800000000000011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x14ac:dyDescent="0.3">
      <c r="A41" s="10" t="s">
        <v>83</v>
      </c>
      <c r="B41" s="10">
        <v>1000</v>
      </c>
      <c r="C41" s="10">
        <v>988</v>
      </c>
      <c r="D41" s="10">
        <f t="shared" si="12"/>
        <v>98.800000000000011</v>
      </c>
      <c r="E41" s="10">
        <f t="shared" si="13"/>
        <v>98.800000000000011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x14ac:dyDescent="0.3">
      <c r="A42" s="15" t="s">
        <v>87</v>
      </c>
      <c r="B42" s="15">
        <v>1075</v>
      </c>
      <c r="C42" s="15">
        <v>1076</v>
      </c>
      <c r="D42" s="10">
        <f t="shared" si="12"/>
        <v>107.60000000000001</v>
      </c>
      <c r="E42" s="10">
        <f t="shared" si="13"/>
        <v>107.60000000000001</v>
      </c>
    </row>
    <row r="43" spans="1:15" x14ac:dyDescent="0.3">
      <c r="A43" s="15" t="s">
        <v>80</v>
      </c>
      <c r="B43" s="15">
        <v>1325</v>
      </c>
      <c r="C43" s="15">
        <v>1325</v>
      </c>
      <c r="D43" s="10">
        <f t="shared" si="12"/>
        <v>132.5</v>
      </c>
      <c r="E43" s="10">
        <f t="shared" si="13"/>
        <v>132.5</v>
      </c>
    </row>
    <row r="44" spans="1:15" x14ac:dyDescent="0.3">
      <c r="A44" s="15" t="s">
        <v>19</v>
      </c>
      <c r="B44" s="15">
        <v>1450</v>
      </c>
      <c r="C44" s="15">
        <v>1450</v>
      </c>
      <c r="D44" s="10">
        <f t="shared" si="12"/>
        <v>145</v>
      </c>
      <c r="E44" s="10">
        <f t="shared" si="13"/>
        <v>145</v>
      </c>
    </row>
    <row r="45" spans="1:15" x14ac:dyDescent="0.3">
      <c r="A45" s="15" t="s">
        <v>90</v>
      </c>
      <c r="B45" s="15">
        <v>1500</v>
      </c>
      <c r="C45" s="15">
        <v>1400</v>
      </c>
      <c r="D45" s="10">
        <f t="shared" si="12"/>
        <v>140</v>
      </c>
      <c r="E45" s="10">
        <f t="shared" si="13"/>
        <v>140</v>
      </c>
    </row>
    <row r="46" spans="1:15" x14ac:dyDescent="0.3">
      <c r="A46" s="15" t="s">
        <v>17</v>
      </c>
      <c r="B46" s="15">
        <v>2000</v>
      </c>
      <c r="C46" s="15">
        <v>1476.1</v>
      </c>
      <c r="D46" s="10">
        <f t="shared" si="12"/>
        <v>147.60999999999999</v>
      </c>
      <c r="E46" s="10">
        <f t="shared" si="13"/>
        <v>147.60999999999999</v>
      </c>
    </row>
    <row r="47" spans="1:15" x14ac:dyDescent="0.3">
      <c r="A47" s="15" t="s">
        <v>11</v>
      </c>
      <c r="B47">
        <v>4600</v>
      </c>
      <c r="C47" s="15">
        <v>4000</v>
      </c>
      <c r="E47" s="10">
        <v>1800</v>
      </c>
    </row>
  </sheetData>
  <autoFilter ref="A29:O47" xr:uid="{3A7F270C-B0A9-43BE-BDFC-B342DD049421}">
    <sortState xmlns:xlrd2="http://schemas.microsoft.com/office/spreadsheetml/2017/richdata2" ref="A30:O47">
      <sortCondition ref="C29:C47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6B247-C55C-4045-ADEF-33BB598EAEC7}">
  <dimension ref="A1:O52"/>
  <sheetViews>
    <sheetView tabSelected="1" topLeftCell="A2" workbookViewId="0">
      <selection activeCell="E2" sqref="E2"/>
    </sheetView>
  </sheetViews>
  <sheetFormatPr defaultRowHeight="14.4" x14ac:dyDescent="0.3"/>
  <cols>
    <col min="1" max="1" width="14.5546875" bestFit="1" customWidth="1"/>
    <col min="2" max="2" width="14.5546875" customWidth="1"/>
    <col min="3" max="3" width="15.77734375" bestFit="1" customWidth="1"/>
    <col min="4" max="5" width="10.5546875" bestFit="1" customWidth="1"/>
    <col min="6" max="15" width="11.5546875" bestFit="1" customWidth="1"/>
  </cols>
  <sheetData>
    <row r="1" spans="1:15" x14ac:dyDescent="0.3">
      <c r="A1" s="10" t="s">
        <v>60</v>
      </c>
      <c r="B1" s="10"/>
      <c r="C1" s="13">
        <f>SUM(C8:C29)</f>
        <v>54624.2</v>
      </c>
      <c r="D1" s="13">
        <f>SUM(D8:D31)</f>
        <v>5086.4699999999993</v>
      </c>
      <c r="E1" s="13">
        <f>SUM(E8:E31)</f>
        <v>8851.1299999999992</v>
      </c>
      <c r="F1" s="13">
        <f t="shared" ref="F1:O1" si="0">SUM(F8:F13)</f>
        <v>0.76721165530541713</v>
      </c>
      <c r="G1" s="13">
        <f t="shared" si="0"/>
        <v>0</v>
      </c>
      <c r="H1" s="13">
        <f t="shared" si="0"/>
        <v>0</v>
      </c>
      <c r="I1" s="13">
        <f t="shared" si="0"/>
        <v>0</v>
      </c>
      <c r="J1" s="13">
        <f t="shared" si="0"/>
        <v>0</v>
      </c>
      <c r="K1" s="13">
        <f t="shared" si="0"/>
        <v>0</v>
      </c>
      <c r="L1" s="13">
        <f t="shared" si="0"/>
        <v>0</v>
      </c>
      <c r="M1" s="13">
        <f t="shared" si="0"/>
        <v>0</v>
      </c>
      <c r="N1" s="13">
        <f t="shared" si="0"/>
        <v>0</v>
      </c>
      <c r="O1" s="13">
        <f t="shared" si="0"/>
        <v>0</v>
      </c>
    </row>
    <row r="2" spans="1:15" x14ac:dyDescent="0.3">
      <c r="A2" s="11" t="s">
        <v>63</v>
      </c>
      <c r="B2" s="11" t="s">
        <v>67</v>
      </c>
      <c r="C2" s="11" t="s">
        <v>73</v>
      </c>
      <c r="D2" s="12">
        <v>45772</v>
      </c>
      <c r="E2" s="12">
        <f>+D2+14</f>
        <v>45786</v>
      </c>
      <c r="F2" s="12">
        <f>+E2+30</f>
        <v>45816</v>
      </c>
      <c r="G2" s="12">
        <f t="shared" ref="G2:O2" si="1">+F2+30</f>
        <v>45846</v>
      </c>
      <c r="H2" s="12">
        <f t="shared" si="1"/>
        <v>45876</v>
      </c>
      <c r="I2" s="12">
        <f t="shared" si="1"/>
        <v>45906</v>
      </c>
      <c r="J2" s="12">
        <f t="shared" si="1"/>
        <v>45936</v>
      </c>
      <c r="K2" s="12">
        <f t="shared" si="1"/>
        <v>45966</v>
      </c>
      <c r="L2" s="12">
        <f t="shared" si="1"/>
        <v>45996</v>
      </c>
      <c r="M2" s="12">
        <f t="shared" si="1"/>
        <v>46026</v>
      </c>
      <c r="N2" s="12">
        <f t="shared" si="1"/>
        <v>46056</v>
      </c>
      <c r="O2" s="12">
        <f t="shared" si="1"/>
        <v>46086</v>
      </c>
    </row>
    <row r="3" spans="1:15" x14ac:dyDescent="0.3">
      <c r="A3" s="10" t="s">
        <v>68</v>
      </c>
      <c r="B3" s="10"/>
      <c r="C3" s="10">
        <v>5000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x14ac:dyDescent="0.3">
      <c r="A4" s="10" t="s">
        <v>69</v>
      </c>
      <c r="B4" s="10"/>
      <c r="C4" s="10">
        <v>3000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3">
      <c r="A5" s="10" t="s">
        <v>70</v>
      </c>
      <c r="B5" s="10"/>
      <c r="C5" s="10">
        <v>2000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 x14ac:dyDescent="0.3">
      <c r="A6" s="10" t="s">
        <v>71</v>
      </c>
      <c r="B6" s="10"/>
      <c r="C6" s="10">
        <v>3000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x14ac:dyDescent="0.3">
      <c r="A7" s="14" t="s">
        <v>94</v>
      </c>
      <c r="B7" s="10"/>
      <c r="C7" s="10">
        <v>1000</v>
      </c>
      <c r="D7" s="10"/>
      <c r="E7" s="10">
        <v>200</v>
      </c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x14ac:dyDescent="0.3">
      <c r="A8" s="14" t="s">
        <v>46</v>
      </c>
      <c r="B8" s="10"/>
      <c r="C8" s="19">
        <v>3000</v>
      </c>
      <c r="D8" s="10"/>
      <c r="E8" s="10">
        <v>400</v>
      </c>
      <c r="F8" s="18">
        <f>+E8/C8</f>
        <v>0.13333333333333333</v>
      </c>
      <c r="G8" s="10"/>
      <c r="H8" s="10"/>
      <c r="I8" s="10"/>
      <c r="J8" s="10"/>
      <c r="K8" s="10"/>
      <c r="L8" s="10"/>
      <c r="M8" s="10"/>
      <c r="N8" s="10"/>
      <c r="O8" s="10"/>
    </row>
    <row r="9" spans="1:15" x14ac:dyDescent="0.3">
      <c r="A9" s="14" t="s">
        <v>72</v>
      </c>
      <c r="B9" s="10"/>
      <c r="C9" s="19">
        <v>3000</v>
      </c>
      <c r="D9" s="10"/>
      <c r="E9" s="10">
        <v>400</v>
      </c>
      <c r="F9" s="18">
        <f t="shared" ref="F9:F20" si="2">+E9/C9</f>
        <v>0.13333333333333333</v>
      </c>
      <c r="G9" s="10" t="s">
        <v>100</v>
      </c>
      <c r="H9" s="10"/>
      <c r="I9" s="10"/>
      <c r="J9" s="10"/>
      <c r="K9" s="10"/>
      <c r="L9" s="10"/>
      <c r="M9" s="10"/>
      <c r="N9" s="10"/>
      <c r="O9" s="10"/>
    </row>
    <row r="10" spans="1:15" x14ac:dyDescent="0.3">
      <c r="A10" s="14" t="s">
        <v>74</v>
      </c>
      <c r="B10" s="10"/>
      <c r="C10" s="19">
        <v>952.2</v>
      </c>
      <c r="D10" s="10">
        <v>97.65</v>
      </c>
      <c r="E10" s="10">
        <f t="shared" ref="E10:E13" si="3">+D10*2</f>
        <v>195.3</v>
      </c>
      <c r="F10" s="18">
        <f t="shared" si="2"/>
        <v>0.20510396975425332</v>
      </c>
      <c r="G10" s="10"/>
      <c r="H10" s="10"/>
      <c r="I10" s="10"/>
      <c r="J10" s="10"/>
      <c r="K10" s="10"/>
      <c r="L10" s="10"/>
      <c r="M10" s="10"/>
      <c r="N10" s="10"/>
      <c r="O10" s="10"/>
    </row>
    <row r="11" spans="1:15" x14ac:dyDescent="0.3">
      <c r="A11" s="14" t="s">
        <v>75</v>
      </c>
      <c r="B11" s="10"/>
      <c r="C11" s="19">
        <v>2475</v>
      </c>
      <c r="D11" s="10">
        <v>157.88</v>
      </c>
      <c r="E11" s="10">
        <f t="shared" si="3"/>
        <v>315.76</v>
      </c>
      <c r="F11" s="17">
        <f t="shared" si="2"/>
        <v>0.12757979797979799</v>
      </c>
      <c r="G11" s="10"/>
      <c r="H11" s="10"/>
      <c r="I11" s="10"/>
      <c r="J11" s="10"/>
      <c r="K11" s="10"/>
      <c r="L11" s="10"/>
      <c r="M11" s="10"/>
      <c r="N11" s="10"/>
      <c r="O11" s="10"/>
    </row>
    <row r="12" spans="1:15" x14ac:dyDescent="0.3">
      <c r="A12" s="10" t="s">
        <v>65</v>
      </c>
      <c r="B12" s="10"/>
      <c r="C12" s="10">
        <v>4554</v>
      </c>
      <c r="D12" s="10">
        <v>200.06</v>
      </c>
      <c r="E12" s="10">
        <f t="shared" si="3"/>
        <v>400.12</v>
      </c>
      <c r="F12" s="17">
        <f t="shared" si="2"/>
        <v>8.7861220904699167E-2</v>
      </c>
      <c r="G12" s="10"/>
      <c r="H12" s="10"/>
      <c r="I12" s="10"/>
      <c r="J12" s="10"/>
      <c r="K12" s="10"/>
      <c r="L12" s="10"/>
      <c r="M12" s="10"/>
      <c r="N12" s="10"/>
      <c r="O12" s="10"/>
    </row>
    <row r="13" spans="1:15" x14ac:dyDescent="0.3">
      <c r="A13" s="10" t="s">
        <v>66</v>
      </c>
      <c r="B13" s="10"/>
      <c r="C13" s="10">
        <v>5000</v>
      </c>
      <c r="D13" s="10">
        <v>200</v>
      </c>
      <c r="E13" s="10">
        <f t="shared" si="3"/>
        <v>400</v>
      </c>
      <c r="F13" s="17">
        <f t="shared" si="2"/>
        <v>0.08</v>
      </c>
      <c r="G13" s="10"/>
      <c r="H13" s="10"/>
      <c r="I13" s="10"/>
      <c r="J13" s="10"/>
      <c r="K13" s="10"/>
      <c r="L13" s="10"/>
      <c r="M13" s="10"/>
      <c r="N13" s="10"/>
      <c r="O13" s="10"/>
    </row>
    <row r="14" spans="1:15" x14ac:dyDescent="0.3">
      <c r="A14" s="10" t="s">
        <v>46</v>
      </c>
      <c r="B14" s="10"/>
      <c r="C14" s="19">
        <v>940</v>
      </c>
      <c r="D14" s="10"/>
      <c r="E14" s="10">
        <f>114.38*2</f>
        <v>228.76</v>
      </c>
      <c r="F14" s="18">
        <f t="shared" si="2"/>
        <v>0.24336170212765956</v>
      </c>
      <c r="G14" s="10"/>
      <c r="H14" s="10"/>
      <c r="I14" s="10"/>
      <c r="J14" s="10"/>
      <c r="K14" s="10"/>
      <c r="L14" s="10"/>
      <c r="M14" s="10"/>
      <c r="N14" s="10"/>
      <c r="O14" s="10"/>
    </row>
    <row r="15" spans="1:15" x14ac:dyDescent="0.3">
      <c r="A15" s="10" t="s">
        <v>65</v>
      </c>
      <c r="B15" s="10"/>
      <c r="C15" s="19">
        <v>3800</v>
      </c>
      <c r="D15" s="10"/>
      <c r="E15" s="10">
        <f>188.45*2</f>
        <v>376.9</v>
      </c>
      <c r="F15" s="17">
        <f t="shared" si="2"/>
        <v>9.9184210526315778E-2</v>
      </c>
      <c r="G15" s="10"/>
      <c r="H15" s="10"/>
      <c r="I15" s="10"/>
      <c r="J15" s="10"/>
      <c r="K15" s="10"/>
      <c r="L15" s="10"/>
      <c r="M15" s="10"/>
      <c r="N15" s="10"/>
      <c r="O15" s="10"/>
    </row>
    <row r="16" spans="1:15" x14ac:dyDescent="0.3">
      <c r="A16" s="10" t="s">
        <v>95</v>
      </c>
      <c r="B16" s="10"/>
      <c r="C16" s="19">
        <v>684</v>
      </c>
      <c r="D16" s="10"/>
      <c r="E16" s="10">
        <f>111.29*2</f>
        <v>222.58</v>
      </c>
      <c r="F16" s="18">
        <f t="shared" si="2"/>
        <v>0.3254093567251462</v>
      </c>
      <c r="G16" s="10"/>
      <c r="H16" s="10"/>
      <c r="I16" s="10"/>
      <c r="J16" s="10"/>
      <c r="K16" s="10"/>
      <c r="L16" s="10"/>
      <c r="M16" s="10"/>
      <c r="N16" s="10"/>
      <c r="O16" s="10"/>
    </row>
    <row r="17" spans="1:15" x14ac:dyDescent="0.3">
      <c r="A17" s="10" t="s">
        <v>96</v>
      </c>
      <c r="B17" s="10"/>
      <c r="C17" s="19">
        <v>793</v>
      </c>
      <c r="D17" s="10"/>
      <c r="E17" s="10">
        <v>140</v>
      </c>
      <c r="F17" s="18">
        <f t="shared" si="2"/>
        <v>0.17654476670870115</v>
      </c>
      <c r="G17" s="10"/>
      <c r="H17" s="10"/>
      <c r="I17" s="10"/>
      <c r="J17" s="10"/>
      <c r="K17" s="10"/>
      <c r="L17" s="10"/>
      <c r="M17" s="10"/>
      <c r="N17" s="10"/>
      <c r="O17" s="10"/>
    </row>
    <row r="18" spans="1:15" x14ac:dyDescent="0.3">
      <c r="A18" s="10" t="s">
        <v>97</v>
      </c>
      <c r="B18" s="10"/>
      <c r="C18" s="19">
        <v>1020</v>
      </c>
      <c r="D18" s="10"/>
      <c r="E18" s="10">
        <f>94*2</f>
        <v>188</v>
      </c>
      <c r="F18" s="18">
        <f t="shared" si="2"/>
        <v>0.18431372549019609</v>
      </c>
      <c r="G18" s="10"/>
      <c r="H18" s="10"/>
      <c r="I18" s="10"/>
      <c r="J18" s="10"/>
      <c r="K18" s="10"/>
      <c r="L18" s="10"/>
      <c r="M18" s="10"/>
      <c r="N18" s="10"/>
      <c r="O18" s="10"/>
    </row>
    <row r="19" spans="1:15" x14ac:dyDescent="0.3">
      <c r="A19" s="10" t="s">
        <v>98</v>
      </c>
      <c r="B19" s="10"/>
      <c r="C19" s="19">
        <v>2800</v>
      </c>
      <c r="D19" s="10"/>
      <c r="E19" s="10">
        <v>408</v>
      </c>
      <c r="F19" s="18">
        <f t="shared" si="2"/>
        <v>0.14571428571428571</v>
      </c>
      <c r="G19" s="10"/>
      <c r="H19" s="10"/>
      <c r="I19" s="10"/>
      <c r="J19" s="10"/>
      <c r="K19" s="10"/>
      <c r="L19" s="10"/>
      <c r="M19" s="10"/>
      <c r="N19" s="10"/>
      <c r="O19" s="10"/>
    </row>
    <row r="20" spans="1:15" x14ac:dyDescent="0.3">
      <c r="A20" s="10" t="s">
        <v>99</v>
      </c>
      <c r="B20" s="10"/>
      <c r="C20" s="19">
        <v>2769</v>
      </c>
      <c r="D20" s="10"/>
      <c r="E20" s="10">
        <f>281*2</f>
        <v>562</v>
      </c>
      <c r="F20" s="18">
        <f t="shared" si="2"/>
        <v>0.20296135789093536</v>
      </c>
      <c r="G20" s="10"/>
      <c r="H20" s="10"/>
      <c r="I20" s="10"/>
      <c r="J20" s="10"/>
      <c r="K20" s="10"/>
      <c r="L20" s="10"/>
      <c r="M20" s="10"/>
      <c r="N20" s="10"/>
      <c r="O20" s="10"/>
    </row>
    <row r="21" spans="1:15" x14ac:dyDescent="0.3">
      <c r="A21" s="10" t="s">
        <v>101</v>
      </c>
      <c r="B21" s="10"/>
      <c r="C21" s="10">
        <f>1500-273</f>
        <v>1227</v>
      </c>
      <c r="D21" s="10"/>
      <c r="E21" s="10">
        <v>47.19</v>
      </c>
      <c r="F21" s="18"/>
      <c r="G21" s="10"/>
      <c r="H21" s="10"/>
      <c r="I21" s="10"/>
      <c r="J21" s="10"/>
      <c r="K21" s="10"/>
      <c r="L21" s="10"/>
      <c r="M21" s="10"/>
      <c r="N21" s="10"/>
      <c r="O21" s="10"/>
    </row>
    <row r="22" spans="1:15" x14ac:dyDescent="0.3">
      <c r="A22" s="10" t="s">
        <v>101</v>
      </c>
      <c r="B22" s="10"/>
      <c r="C22" s="10">
        <f>4000-397</f>
        <v>3603</v>
      </c>
      <c r="D22" s="10"/>
      <c r="E22" s="10">
        <v>131.63999999999999</v>
      </c>
      <c r="F22" s="18"/>
      <c r="G22" s="10"/>
      <c r="H22" s="10"/>
      <c r="I22" s="10"/>
      <c r="J22" s="10"/>
      <c r="K22" s="10"/>
      <c r="L22" s="10"/>
      <c r="M22" s="10"/>
      <c r="N22" s="10"/>
      <c r="O22" s="10"/>
    </row>
    <row r="23" spans="1:15" x14ac:dyDescent="0.3">
      <c r="A23" s="10" t="s">
        <v>91</v>
      </c>
      <c r="B23" s="10"/>
      <c r="C23" s="10">
        <v>450</v>
      </c>
      <c r="D23" s="10">
        <v>150</v>
      </c>
      <c r="E23" s="10">
        <v>150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x14ac:dyDescent="0.3">
      <c r="A24" s="10" t="s">
        <v>92</v>
      </c>
      <c r="B24" s="10"/>
      <c r="C24" s="10">
        <v>1813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3">
      <c r="A25" s="10" t="s">
        <v>93</v>
      </c>
      <c r="B25" s="10"/>
      <c r="C25" s="10">
        <v>1052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x14ac:dyDescent="0.3">
      <c r="A26" s="10" t="s">
        <v>64</v>
      </c>
      <c r="B26" s="10"/>
      <c r="C26" s="10">
        <f>9400-5557</f>
        <v>3843</v>
      </c>
      <c r="D26" s="10">
        <v>312.45999999999998</v>
      </c>
      <c r="E26" s="10">
        <f>+D26*1</f>
        <v>312.45999999999998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x14ac:dyDescent="0.3">
      <c r="A27" s="10" t="s">
        <v>64</v>
      </c>
      <c r="B27" s="10"/>
      <c r="C27" s="10">
        <f>1400*0.87</f>
        <v>1218</v>
      </c>
      <c r="D27" s="10">
        <v>44.33</v>
      </c>
      <c r="E27" s="10">
        <f t="shared" ref="E27:E31" si="4">+D27*1</f>
        <v>44.33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3">
      <c r="A28" s="10" t="s">
        <v>6</v>
      </c>
      <c r="B28" s="10"/>
      <c r="C28" s="10">
        <v>5145</v>
      </c>
      <c r="D28" s="10">
        <v>259.36</v>
      </c>
      <c r="E28" s="10">
        <f t="shared" si="4"/>
        <v>259.36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x14ac:dyDescent="0.3">
      <c r="A29" s="10" t="s">
        <v>88</v>
      </c>
      <c r="B29" s="10"/>
      <c r="C29" s="10">
        <v>4486</v>
      </c>
      <c r="D29" s="10">
        <v>144.72999999999999</v>
      </c>
      <c r="E29" s="10">
        <f t="shared" si="4"/>
        <v>144.72999999999999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x14ac:dyDescent="0.3">
      <c r="A30" s="10" t="s">
        <v>76</v>
      </c>
      <c r="B30" s="10"/>
      <c r="C30" s="10">
        <v>13500</v>
      </c>
      <c r="D30" s="10">
        <v>370</v>
      </c>
      <c r="E30" s="10">
        <v>374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x14ac:dyDescent="0.3">
      <c r="A31" s="10" t="s">
        <v>77</v>
      </c>
      <c r="B31" s="10"/>
      <c r="C31" s="10">
        <v>398000</v>
      </c>
      <c r="D31" s="10">
        <v>3150</v>
      </c>
      <c r="E31" s="10">
        <f t="shared" si="4"/>
        <v>3150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3" spans="1:15" x14ac:dyDescent="0.3">
      <c r="A33" s="16">
        <f>+C33/B33</f>
        <v>0.91091400491400487</v>
      </c>
      <c r="B33" s="13">
        <f>SUM(B35:B52)</f>
        <v>20350</v>
      </c>
      <c r="C33" s="13">
        <f>SUM(C35:C52)</f>
        <v>18537.099999999999</v>
      </c>
      <c r="D33" s="13">
        <f t="shared" ref="D33:O33" si="5">SUM(D35:D52)</f>
        <v>1453.7099999999998</v>
      </c>
      <c r="E33" s="13">
        <f t="shared" si="5"/>
        <v>3253.71</v>
      </c>
      <c r="F33" s="13">
        <f t="shared" si="5"/>
        <v>0</v>
      </c>
      <c r="G33" s="13">
        <f t="shared" si="5"/>
        <v>0</v>
      </c>
      <c r="H33" s="13">
        <f t="shared" si="5"/>
        <v>0</v>
      </c>
      <c r="I33" s="13">
        <f t="shared" si="5"/>
        <v>0</v>
      </c>
      <c r="J33" s="13">
        <f t="shared" si="5"/>
        <v>0</v>
      </c>
      <c r="K33" s="13">
        <f t="shared" si="5"/>
        <v>0</v>
      </c>
      <c r="L33" s="13">
        <f t="shared" si="5"/>
        <v>0</v>
      </c>
      <c r="M33" s="13">
        <f t="shared" si="5"/>
        <v>0</v>
      </c>
      <c r="N33" s="13">
        <f t="shared" si="5"/>
        <v>0</v>
      </c>
      <c r="O33" s="13">
        <f t="shared" si="5"/>
        <v>0</v>
      </c>
    </row>
    <row r="34" spans="1:15" x14ac:dyDescent="0.3">
      <c r="A34" s="11" t="s">
        <v>63</v>
      </c>
      <c r="B34" s="11" t="s">
        <v>67</v>
      </c>
      <c r="C34" s="11" t="s">
        <v>73</v>
      </c>
      <c r="D34" s="12">
        <v>45772</v>
      </c>
      <c r="E34" s="12">
        <f>+D34+14</f>
        <v>45786</v>
      </c>
      <c r="F34" s="12">
        <f>+E34+30</f>
        <v>45816</v>
      </c>
      <c r="G34" s="12">
        <f t="shared" ref="G34:O34" si="6">+F34+30</f>
        <v>45846</v>
      </c>
      <c r="H34" s="12">
        <f t="shared" si="6"/>
        <v>45876</v>
      </c>
      <c r="I34" s="12">
        <f t="shared" si="6"/>
        <v>45906</v>
      </c>
      <c r="J34" s="12">
        <f t="shared" si="6"/>
        <v>45936</v>
      </c>
      <c r="K34" s="12">
        <f t="shared" si="6"/>
        <v>45966</v>
      </c>
      <c r="L34" s="12">
        <f t="shared" si="6"/>
        <v>45996</v>
      </c>
      <c r="M34" s="12">
        <f t="shared" si="6"/>
        <v>46026</v>
      </c>
      <c r="N34" s="12">
        <f t="shared" si="6"/>
        <v>46056</v>
      </c>
      <c r="O34" s="12">
        <f t="shared" si="6"/>
        <v>46086</v>
      </c>
    </row>
    <row r="35" spans="1:15" x14ac:dyDescent="0.3">
      <c r="A35" s="10" t="s">
        <v>81</v>
      </c>
      <c r="B35" s="10">
        <v>300</v>
      </c>
      <c r="C35" s="10">
        <v>264</v>
      </c>
      <c r="D35" s="10">
        <f>+C35*0.1</f>
        <v>26.400000000000002</v>
      </c>
      <c r="E35" s="10">
        <f>+D35*1</f>
        <v>26.400000000000002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1:15" x14ac:dyDescent="0.3">
      <c r="A36" s="10" t="s">
        <v>84</v>
      </c>
      <c r="B36" s="10">
        <v>300</v>
      </c>
      <c r="C36" s="10">
        <v>273</v>
      </c>
      <c r="D36" s="10">
        <f t="shared" ref="D36:D51" si="7">+C36*0.1</f>
        <v>27.3</v>
      </c>
      <c r="E36" s="10">
        <f t="shared" ref="E36:E51" si="8">+D36*1</f>
        <v>27.3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1:15" x14ac:dyDescent="0.3">
      <c r="A37" s="10" t="s">
        <v>85</v>
      </c>
      <c r="B37" s="10">
        <v>500</v>
      </c>
      <c r="C37" s="10">
        <v>450</v>
      </c>
      <c r="D37" s="10">
        <f t="shared" si="7"/>
        <v>45</v>
      </c>
      <c r="E37" s="10">
        <f t="shared" si="8"/>
        <v>45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5" x14ac:dyDescent="0.3">
      <c r="A38" s="10" t="s">
        <v>78</v>
      </c>
      <c r="B38" s="10">
        <v>650</v>
      </c>
      <c r="C38" s="10">
        <v>630</v>
      </c>
      <c r="D38" s="10">
        <f t="shared" si="7"/>
        <v>63</v>
      </c>
      <c r="E38" s="10">
        <f t="shared" si="8"/>
        <v>63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x14ac:dyDescent="0.3">
      <c r="A39" s="10" t="s">
        <v>89</v>
      </c>
      <c r="B39" s="10">
        <v>700</v>
      </c>
      <c r="C39" s="10">
        <v>670</v>
      </c>
      <c r="D39" s="10">
        <f t="shared" si="7"/>
        <v>67</v>
      </c>
      <c r="E39" s="10">
        <f t="shared" si="8"/>
        <v>67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x14ac:dyDescent="0.3">
      <c r="A40" s="10" t="s">
        <v>82</v>
      </c>
      <c r="B40" s="10">
        <v>700</v>
      </c>
      <c r="C40" s="10">
        <v>640</v>
      </c>
      <c r="D40" s="10">
        <f t="shared" si="7"/>
        <v>64</v>
      </c>
      <c r="E40" s="10">
        <f t="shared" si="8"/>
        <v>64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x14ac:dyDescent="0.3">
      <c r="A41" s="10" t="s">
        <v>79</v>
      </c>
      <c r="B41" s="10">
        <v>750</v>
      </c>
      <c r="C41" s="10">
        <v>663</v>
      </c>
      <c r="D41" s="10">
        <f t="shared" si="7"/>
        <v>66.3</v>
      </c>
      <c r="E41" s="10">
        <f t="shared" si="8"/>
        <v>66.3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x14ac:dyDescent="0.3">
      <c r="A42" s="10" t="s">
        <v>82</v>
      </c>
      <c r="B42" s="10">
        <v>700</v>
      </c>
      <c r="C42" s="10">
        <v>679</v>
      </c>
      <c r="D42" s="10">
        <f t="shared" si="7"/>
        <v>67.900000000000006</v>
      </c>
      <c r="E42" s="10">
        <f t="shared" si="8"/>
        <v>67.900000000000006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 x14ac:dyDescent="0.3">
      <c r="A43" s="10" t="s">
        <v>78</v>
      </c>
      <c r="B43" s="10">
        <v>800</v>
      </c>
      <c r="C43" s="10">
        <v>775</v>
      </c>
      <c r="D43" s="10">
        <f t="shared" si="7"/>
        <v>77.5</v>
      </c>
      <c r="E43" s="10">
        <f t="shared" si="8"/>
        <v>77.5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 x14ac:dyDescent="0.3">
      <c r="A44" s="10" t="s">
        <v>86</v>
      </c>
      <c r="B44" s="10">
        <v>1000</v>
      </c>
      <c r="C44" s="10">
        <v>800</v>
      </c>
      <c r="D44" s="10">
        <f t="shared" si="7"/>
        <v>80</v>
      </c>
      <c r="E44" s="10">
        <f t="shared" si="8"/>
        <v>80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1:15" x14ac:dyDescent="0.3">
      <c r="A45" s="10" t="s">
        <v>81</v>
      </c>
      <c r="B45" s="10">
        <v>1000</v>
      </c>
      <c r="C45" s="10">
        <v>978</v>
      </c>
      <c r="D45" s="10">
        <f t="shared" si="7"/>
        <v>97.800000000000011</v>
      </c>
      <c r="E45" s="10">
        <f t="shared" si="8"/>
        <v>97.800000000000011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1:15" x14ac:dyDescent="0.3">
      <c r="A46" s="10" t="s">
        <v>83</v>
      </c>
      <c r="B46" s="10">
        <v>1000</v>
      </c>
      <c r="C46" s="10">
        <v>988</v>
      </c>
      <c r="D46" s="10">
        <f t="shared" si="7"/>
        <v>98.800000000000011</v>
      </c>
      <c r="E46" s="10">
        <f t="shared" si="8"/>
        <v>98.800000000000011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 x14ac:dyDescent="0.3">
      <c r="A47" s="15" t="s">
        <v>87</v>
      </c>
      <c r="B47" s="15">
        <v>1075</v>
      </c>
      <c r="C47" s="15">
        <v>1076</v>
      </c>
      <c r="D47" s="10">
        <f t="shared" si="7"/>
        <v>107.60000000000001</v>
      </c>
      <c r="E47" s="10">
        <f t="shared" si="8"/>
        <v>107.60000000000001</v>
      </c>
    </row>
    <row r="48" spans="1:15" x14ac:dyDescent="0.3">
      <c r="A48" s="15" t="s">
        <v>80</v>
      </c>
      <c r="B48" s="15">
        <v>1325</v>
      </c>
      <c r="C48" s="15">
        <v>1325</v>
      </c>
      <c r="D48" s="10">
        <f t="shared" si="7"/>
        <v>132.5</v>
      </c>
      <c r="E48" s="10">
        <f t="shared" si="8"/>
        <v>132.5</v>
      </c>
    </row>
    <row r="49" spans="1:5" x14ac:dyDescent="0.3">
      <c r="A49" s="15" t="s">
        <v>19</v>
      </c>
      <c r="B49" s="15">
        <v>1450</v>
      </c>
      <c r="C49" s="15">
        <v>1450</v>
      </c>
      <c r="D49" s="10">
        <f t="shared" si="7"/>
        <v>145</v>
      </c>
      <c r="E49" s="10">
        <f t="shared" si="8"/>
        <v>145</v>
      </c>
    </row>
    <row r="50" spans="1:5" x14ac:dyDescent="0.3">
      <c r="A50" s="15" t="s">
        <v>90</v>
      </c>
      <c r="B50" s="15">
        <v>1500</v>
      </c>
      <c r="C50" s="15">
        <v>1400</v>
      </c>
      <c r="D50" s="10">
        <f t="shared" si="7"/>
        <v>140</v>
      </c>
      <c r="E50" s="10">
        <f t="shared" si="8"/>
        <v>140</v>
      </c>
    </row>
    <row r="51" spans="1:5" x14ac:dyDescent="0.3">
      <c r="A51" s="15" t="s">
        <v>17</v>
      </c>
      <c r="B51" s="15">
        <v>2000</v>
      </c>
      <c r="C51" s="15">
        <v>1476.1</v>
      </c>
      <c r="D51" s="10">
        <f t="shared" si="7"/>
        <v>147.60999999999999</v>
      </c>
      <c r="E51" s="10">
        <f t="shared" si="8"/>
        <v>147.60999999999999</v>
      </c>
    </row>
    <row r="52" spans="1:5" x14ac:dyDescent="0.3">
      <c r="A52" s="15" t="s">
        <v>11</v>
      </c>
      <c r="B52">
        <v>4600</v>
      </c>
      <c r="C52" s="15">
        <v>4000</v>
      </c>
      <c r="E52" s="10">
        <v>1800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A69AE-4114-41C7-BFAE-EDB8732D71E5}">
  <sheetPr filterMode="1"/>
  <dimension ref="A1:S40"/>
  <sheetViews>
    <sheetView workbookViewId="0">
      <selection activeCell="F21" sqref="F21"/>
    </sheetView>
  </sheetViews>
  <sheetFormatPr defaultRowHeight="14.4" x14ac:dyDescent="0.3"/>
  <cols>
    <col min="3" max="3" width="7.5546875" bestFit="1" customWidth="1"/>
    <col min="4" max="4" width="14.21875" bestFit="1" customWidth="1"/>
    <col min="5" max="5" width="10.77734375" bestFit="1" customWidth="1"/>
    <col min="7" max="7" width="10.21875" bestFit="1" customWidth="1"/>
    <col min="9" max="9" width="35" bestFit="1" customWidth="1"/>
    <col min="10" max="10" width="15.21875" bestFit="1" customWidth="1"/>
    <col min="11" max="11" width="51.5546875" customWidth="1"/>
    <col min="12" max="13" width="12.5546875" customWidth="1"/>
    <col min="15" max="15" width="13.44140625" bestFit="1" customWidth="1"/>
  </cols>
  <sheetData>
    <row r="1" spans="1:19" x14ac:dyDescent="0.3">
      <c r="A1" t="s">
        <v>58</v>
      </c>
      <c r="B1" t="s">
        <v>0</v>
      </c>
      <c r="C1" t="s">
        <v>53</v>
      </c>
      <c r="D1" t="s">
        <v>1</v>
      </c>
      <c r="E1" t="s">
        <v>2</v>
      </c>
      <c r="F1" t="s">
        <v>3</v>
      </c>
      <c r="G1" t="s">
        <v>24</v>
      </c>
      <c r="I1" t="s">
        <v>26</v>
      </c>
      <c r="J1" t="s">
        <v>29</v>
      </c>
      <c r="K1" t="s">
        <v>31</v>
      </c>
    </row>
    <row r="2" spans="1:19" x14ac:dyDescent="0.3">
      <c r="A2" s="1">
        <v>45064</v>
      </c>
      <c r="B2">
        <v>22</v>
      </c>
      <c r="C2" t="s">
        <v>54</v>
      </c>
      <c r="D2" t="s">
        <v>20</v>
      </c>
      <c r="E2">
        <v>265</v>
      </c>
      <c r="F2">
        <v>30</v>
      </c>
      <c r="G2">
        <f t="shared" ref="G2:G7" si="0">E2</f>
        <v>265</v>
      </c>
      <c r="J2">
        <v>2750</v>
      </c>
      <c r="N2" s="1">
        <v>45050</v>
      </c>
      <c r="O2" t="s">
        <v>25</v>
      </c>
      <c r="Q2">
        <v>23890</v>
      </c>
    </row>
    <row r="3" spans="1:19" x14ac:dyDescent="0.3">
      <c r="A3" s="1">
        <v>45064</v>
      </c>
      <c r="B3">
        <v>19</v>
      </c>
      <c r="C3" t="s">
        <v>54</v>
      </c>
      <c r="D3" t="s">
        <v>21</v>
      </c>
      <c r="E3">
        <v>648</v>
      </c>
      <c r="F3">
        <v>46</v>
      </c>
      <c r="G3">
        <f t="shared" si="0"/>
        <v>648</v>
      </c>
      <c r="J3">
        <v>615</v>
      </c>
      <c r="Q3">
        <v>-3409</v>
      </c>
      <c r="S3">
        <v>470000</v>
      </c>
    </row>
    <row r="4" spans="1:19" x14ac:dyDescent="0.3">
      <c r="A4" s="1">
        <v>45064</v>
      </c>
      <c r="B4">
        <v>18</v>
      </c>
      <c r="C4" t="s">
        <v>54</v>
      </c>
      <c r="D4" t="s">
        <v>20</v>
      </c>
      <c r="E4">
        <v>767</v>
      </c>
      <c r="F4">
        <v>39</v>
      </c>
      <c r="G4">
        <f t="shared" si="0"/>
        <v>767</v>
      </c>
      <c r="J4">
        <v>571</v>
      </c>
      <c r="Q4">
        <v>-6081</v>
      </c>
      <c r="S4">
        <v>-413580</v>
      </c>
    </row>
    <row r="5" spans="1:19" x14ac:dyDescent="0.3">
      <c r="A5" s="1">
        <v>45064</v>
      </c>
      <c r="B5">
        <v>16</v>
      </c>
      <c r="C5" t="s">
        <v>54</v>
      </c>
      <c r="D5" t="s">
        <v>19</v>
      </c>
      <c r="E5">
        <v>1009</v>
      </c>
      <c r="F5">
        <v>64</v>
      </c>
      <c r="G5">
        <f t="shared" si="0"/>
        <v>1009</v>
      </c>
      <c r="J5">
        <v>806</v>
      </c>
      <c r="Q5">
        <v>-3000</v>
      </c>
      <c r="S5">
        <f>SUM(S3:S4)</f>
        <v>56420</v>
      </c>
    </row>
    <row r="6" spans="1:19" x14ac:dyDescent="0.3">
      <c r="A6" s="1">
        <v>45064</v>
      </c>
      <c r="B6">
        <v>15</v>
      </c>
      <c r="C6" t="s">
        <v>54</v>
      </c>
      <c r="D6" t="s">
        <v>18</v>
      </c>
      <c r="E6">
        <v>1369</v>
      </c>
      <c r="F6">
        <v>29</v>
      </c>
      <c r="G6">
        <f t="shared" si="0"/>
        <v>1369</v>
      </c>
      <c r="J6">
        <v>-6000</v>
      </c>
    </row>
    <row r="7" spans="1:19" x14ac:dyDescent="0.3">
      <c r="A7" s="1">
        <v>45064</v>
      </c>
      <c r="B7">
        <v>14</v>
      </c>
      <c r="C7" t="s">
        <v>54</v>
      </c>
      <c r="D7" s="5" t="s">
        <v>17</v>
      </c>
      <c r="E7">
        <v>1382</v>
      </c>
      <c r="F7">
        <v>45</v>
      </c>
      <c r="G7">
        <f t="shared" si="0"/>
        <v>1382</v>
      </c>
      <c r="J7">
        <v>-1600</v>
      </c>
    </row>
    <row r="8" spans="1:19" x14ac:dyDescent="0.3">
      <c r="A8" s="1">
        <v>45064</v>
      </c>
      <c r="B8">
        <v>12</v>
      </c>
      <c r="C8" t="s">
        <v>54</v>
      </c>
      <c r="D8" t="s">
        <v>15</v>
      </c>
      <c r="E8">
        <v>2379</v>
      </c>
      <c r="F8">
        <v>142</v>
      </c>
      <c r="G8">
        <v>2347</v>
      </c>
    </row>
    <row r="9" spans="1:19" x14ac:dyDescent="0.3">
      <c r="A9" s="1">
        <v>45064</v>
      </c>
      <c r="B9">
        <v>9</v>
      </c>
      <c r="C9" t="s">
        <v>54</v>
      </c>
      <c r="D9" t="s">
        <v>12</v>
      </c>
      <c r="E9">
        <v>3344</v>
      </c>
      <c r="F9">
        <v>127</v>
      </c>
      <c r="G9">
        <v>3485</v>
      </c>
      <c r="I9" s="9">
        <v>46167</v>
      </c>
    </row>
    <row r="10" spans="1:19" x14ac:dyDescent="0.3">
      <c r="A10" s="1">
        <v>45064</v>
      </c>
      <c r="B10">
        <v>8</v>
      </c>
      <c r="C10" t="s">
        <v>54</v>
      </c>
      <c r="D10" t="s">
        <v>11</v>
      </c>
      <c r="E10">
        <v>3558</v>
      </c>
      <c r="F10">
        <v>0</v>
      </c>
      <c r="G10">
        <v>3558</v>
      </c>
      <c r="I10" s="9">
        <v>45347</v>
      </c>
    </row>
    <row r="11" spans="1:19" hidden="1" x14ac:dyDescent="0.3">
      <c r="A11" s="1">
        <v>45064</v>
      </c>
      <c r="B11">
        <v>1</v>
      </c>
      <c r="C11" t="s">
        <v>56</v>
      </c>
      <c r="D11" t="s">
        <v>4</v>
      </c>
      <c r="E11">
        <v>26475</v>
      </c>
      <c r="F11">
        <v>615</v>
      </c>
      <c r="G11">
        <v>26475</v>
      </c>
    </row>
    <row r="12" spans="1:19" x14ac:dyDescent="0.3">
      <c r="A12" s="1">
        <v>45064</v>
      </c>
      <c r="B12">
        <v>23</v>
      </c>
      <c r="C12" t="s">
        <v>55</v>
      </c>
      <c r="D12" t="s">
        <v>23</v>
      </c>
      <c r="E12">
        <v>0</v>
      </c>
      <c r="F12">
        <v>0</v>
      </c>
      <c r="G12">
        <f>E12</f>
        <v>0</v>
      </c>
    </row>
    <row r="13" spans="1:19" x14ac:dyDescent="0.3">
      <c r="A13" s="1">
        <v>45064</v>
      </c>
      <c r="B13">
        <v>21</v>
      </c>
      <c r="C13" t="s">
        <v>55</v>
      </c>
      <c r="D13" t="s">
        <v>17</v>
      </c>
      <c r="E13">
        <v>0</v>
      </c>
      <c r="F13">
        <v>0</v>
      </c>
      <c r="G13">
        <f>E13</f>
        <v>0</v>
      </c>
    </row>
    <row r="14" spans="1:19" x14ac:dyDescent="0.3">
      <c r="A14" s="1">
        <v>45064</v>
      </c>
      <c r="B14">
        <v>20</v>
      </c>
      <c r="C14" t="s">
        <v>55</v>
      </c>
      <c r="D14" t="s">
        <v>22</v>
      </c>
      <c r="E14">
        <v>0</v>
      </c>
      <c r="F14">
        <v>0</v>
      </c>
      <c r="G14">
        <f>E14</f>
        <v>0</v>
      </c>
      <c r="I14" t="s">
        <v>50</v>
      </c>
      <c r="J14" t="s">
        <v>51</v>
      </c>
      <c r="K14" t="s">
        <v>52</v>
      </c>
    </row>
    <row r="15" spans="1:19" x14ac:dyDescent="0.3">
      <c r="A15" s="1">
        <v>45064</v>
      </c>
      <c r="B15">
        <v>7</v>
      </c>
      <c r="C15" t="s">
        <v>55</v>
      </c>
      <c r="D15" t="s">
        <v>10</v>
      </c>
      <c r="E15">
        <v>3497</v>
      </c>
      <c r="F15">
        <v>80</v>
      </c>
      <c r="G15">
        <v>2800</v>
      </c>
      <c r="I15" t="s">
        <v>41</v>
      </c>
      <c r="J15">
        <v>41351032</v>
      </c>
      <c r="K15" t="s">
        <v>40</v>
      </c>
    </row>
    <row r="16" spans="1:19" x14ac:dyDescent="0.3">
      <c r="A16" s="1">
        <v>45064</v>
      </c>
      <c r="B16">
        <v>13</v>
      </c>
      <c r="C16" t="s">
        <v>55</v>
      </c>
      <c r="D16" t="s">
        <v>16</v>
      </c>
      <c r="E16" s="4">
        <v>0</v>
      </c>
      <c r="F16">
        <v>0</v>
      </c>
      <c r="G16">
        <v>0</v>
      </c>
      <c r="H16" s="6">
        <f>+F16/2000</f>
        <v>0</v>
      </c>
      <c r="I16" t="s">
        <v>48</v>
      </c>
      <c r="J16" t="s">
        <v>47</v>
      </c>
      <c r="K16" t="s">
        <v>49</v>
      </c>
    </row>
    <row r="17" spans="1:12" x14ac:dyDescent="0.3">
      <c r="A17" s="1">
        <v>45064</v>
      </c>
      <c r="B17">
        <v>3</v>
      </c>
      <c r="C17" t="s">
        <v>55</v>
      </c>
      <c r="D17" t="s">
        <v>6</v>
      </c>
      <c r="E17" s="3">
        <v>7363</v>
      </c>
      <c r="F17">
        <v>259</v>
      </c>
      <c r="G17" s="8">
        <f>+F17*38</f>
        <v>9842</v>
      </c>
      <c r="H17" s="6">
        <f t="shared" ref="H17" si="1">+(G17-E17)/E17</f>
        <v>0.33668341708542715</v>
      </c>
      <c r="I17" t="s">
        <v>30</v>
      </c>
      <c r="J17">
        <v>188107522</v>
      </c>
      <c r="K17" t="s">
        <v>32</v>
      </c>
    </row>
    <row r="18" spans="1:12" x14ac:dyDescent="0.3">
      <c r="A18" s="1">
        <v>45064</v>
      </c>
      <c r="B18">
        <v>4</v>
      </c>
      <c r="C18" t="s">
        <v>55</v>
      </c>
      <c r="D18" t="s">
        <v>7</v>
      </c>
      <c r="E18">
        <v>6445</v>
      </c>
      <c r="F18">
        <v>312</v>
      </c>
      <c r="G18">
        <f>+F18*28</f>
        <v>8736</v>
      </c>
      <c r="H18" s="6">
        <f>+(G18-E18)/E18</f>
        <v>0.35546935608999225</v>
      </c>
      <c r="I18" t="s">
        <v>27</v>
      </c>
      <c r="J18" t="s">
        <v>28</v>
      </c>
      <c r="K18" t="s">
        <v>33</v>
      </c>
    </row>
    <row r="19" spans="1:12" x14ac:dyDescent="0.3">
      <c r="A19" s="1">
        <v>45064</v>
      </c>
      <c r="B19">
        <v>6</v>
      </c>
      <c r="C19" t="s">
        <v>55</v>
      </c>
      <c r="D19" t="s">
        <v>9</v>
      </c>
      <c r="E19" s="3">
        <v>3510</v>
      </c>
      <c r="F19">
        <v>355</v>
      </c>
      <c r="G19">
        <v>3510</v>
      </c>
      <c r="H19" s="6">
        <f>+F19/4000</f>
        <v>8.8749999999999996E-2</v>
      </c>
      <c r="I19" t="s">
        <v>38</v>
      </c>
      <c r="J19">
        <v>1701829</v>
      </c>
      <c r="K19" t="s">
        <v>39</v>
      </c>
    </row>
    <row r="20" spans="1:12" x14ac:dyDescent="0.3">
      <c r="A20" s="1">
        <v>45064</v>
      </c>
      <c r="B20">
        <v>17</v>
      </c>
      <c r="C20" t="s">
        <v>55</v>
      </c>
      <c r="D20" t="s">
        <v>59</v>
      </c>
      <c r="E20" s="4"/>
      <c r="G20">
        <v>0</v>
      </c>
      <c r="H20" s="6">
        <f>+F20/2000</f>
        <v>0</v>
      </c>
    </row>
    <row r="21" spans="1:12" x14ac:dyDescent="0.3">
      <c r="A21" s="1">
        <v>45064</v>
      </c>
      <c r="B21">
        <v>10</v>
      </c>
      <c r="C21" t="s">
        <v>55</v>
      </c>
      <c r="D21" t="s">
        <v>13</v>
      </c>
      <c r="E21" s="4">
        <v>2887</v>
      </c>
      <c r="F21">
        <f>180.02*2</f>
        <v>360.04</v>
      </c>
      <c r="G21">
        <v>2951</v>
      </c>
      <c r="H21" s="6">
        <f>+F21/3000</f>
        <v>0.12001333333333335</v>
      </c>
      <c r="I21" t="s">
        <v>43</v>
      </c>
      <c r="J21">
        <v>55671107</v>
      </c>
      <c r="K21" t="s">
        <v>42</v>
      </c>
    </row>
    <row r="22" spans="1:12" x14ac:dyDescent="0.3">
      <c r="A22" s="1">
        <v>45064</v>
      </c>
      <c r="B22">
        <v>24</v>
      </c>
      <c r="C22" t="s">
        <v>55</v>
      </c>
      <c r="D22" t="s">
        <v>57</v>
      </c>
      <c r="E22" s="4">
        <v>0</v>
      </c>
      <c r="G22">
        <v>0</v>
      </c>
      <c r="H22" s="6">
        <f>+F22/2500</f>
        <v>0</v>
      </c>
    </row>
    <row r="23" spans="1:12" x14ac:dyDescent="0.3">
      <c r="A23" s="1">
        <v>45064</v>
      </c>
      <c r="B23">
        <v>5</v>
      </c>
      <c r="C23" t="s">
        <v>55</v>
      </c>
      <c r="D23" t="s">
        <v>8</v>
      </c>
      <c r="E23" s="3">
        <v>3822</v>
      </c>
      <c r="F23">
        <v>449</v>
      </c>
      <c r="G23" s="8">
        <v>3822</v>
      </c>
      <c r="H23" s="6">
        <f>+F23/5000</f>
        <v>8.9800000000000005E-2</v>
      </c>
      <c r="I23" t="s">
        <v>37</v>
      </c>
      <c r="J23">
        <v>23691052</v>
      </c>
      <c r="K23" t="s">
        <v>36</v>
      </c>
    </row>
    <row r="24" spans="1:12" x14ac:dyDescent="0.3">
      <c r="A24" s="1">
        <v>45064</v>
      </c>
      <c r="B24">
        <v>11</v>
      </c>
      <c r="C24" t="s">
        <v>55</v>
      </c>
      <c r="D24" t="s">
        <v>14</v>
      </c>
      <c r="E24" s="4">
        <v>0</v>
      </c>
      <c r="G24">
        <v>0</v>
      </c>
      <c r="H24" s="6"/>
      <c r="I24" t="s">
        <v>46</v>
      </c>
      <c r="J24" t="s">
        <v>44</v>
      </c>
      <c r="K24" t="s">
        <v>45</v>
      </c>
    </row>
    <row r="25" spans="1:12" x14ac:dyDescent="0.3">
      <c r="A25" s="1">
        <v>45064</v>
      </c>
      <c r="B25">
        <v>2</v>
      </c>
      <c r="C25" t="s">
        <v>55</v>
      </c>
      <c r="D25" t="s">
        <v>5</v>
      </c>
      <c r="E25" s="2">
        <f>+F25*5</f>
        <v>4030</v>
      </c>
      <c r="F25">
        <v>806</v>
      </c>
      <c r="G25" s="2">
        <f>F25*5</f>
        <v>4030</v>
      </c>
      <c r="H25" s="7"/>
      <c r="I25" t="s">
        <v>35</v>
      </c>
      <c r="J25">
        <v>766836000</v>
      </c>
      <c r="K25" t="s">
        <v>34</v>
      </c>
    </row>
    <row r="26" spans="1:12" hidden="1" x14ac:dyDescent="0.3"/>
    <row r="28" spans="1:12" x14ac:dyDescent="0.3">
      <c r="C28">
        <v>6000</v>
      </c>
      <c r="F28">
        <v>1371</v>
      </c>
    </row>
    <row r="29" spans="1:12" x14ac:dyDescent="0.3">
      <c r="C29">
        <v>-615</v>
      </c>
      <c r="F29">
        <v>500</v>
      </c>
      <c r="H29" t="s">
        <v>60</v>
      </c>
      <c r="I29">
        <f>SUM(I30:I40)</f>
        <v>5348.43</v>
      </c>
    </row>
    <row r="30" spans="1:12" x14ac:dyDescent="0.3">
      <c r="C30">
        <v>-806</v>
      </c>
      <c r="D30">
        <v>1800</v>
      </c>
      <c r="F30">
        <v>615</v>
      </c>
      <c r="I30">
        <v>14437</v>
      </c>
    </row>
    <row r="31" spans="1:12" x14ac:dyDescent="0.3">
      <c r="C31">
        <v>-500</v>
      </c>
      <c r="D31">
        <f>+D30*6</f>
        <v>10800</v>
      </c>
      <c r="F31">
        <v>3150</v>
      </c>
      <c r="I31">
        <v>3249</v>
      </c>
      <c r="L31">
        <f>15*40*52</f>
        <v>31200</v>
      </c>
    </row>
    <row r="32" spans="1:12" x14ac:dyDescent="0.3">
      <c r="C32">
        <v>-1000</v>
      </c>
      <c r="E32">
        <f>6000-F32</f>
        <v>364</v>
      </c>
      <c r="F32">
        <f>SUBTOTAL(9,F28:F31)</f>
        <v>5636</v>
      </c>
      <c r="I32">
        <v>1900</v>
      </c>
    </row>
    <row r="33" spans="3:10" x14ac:dyDescent="0.3">
      <c r="C33">
        <f>SUBTOTAL(9,C28:C32)</f>
        <v>3079</v>
      </c>
      <c r="D33">
        <f>+C33*6</f>
        <v>18474</v>
      </c>
      <c r="I33">
        <v>2500</v>
      </c>
    </row>
    <row r="34" spans="3:10" x14ac:dyDescent="0.3">
      <c r="I34">
        <v>-2750</v>
      </c>
      <c r="J34" t="s">
        <v>61</v>
      </c>
    </row>
    <row r="35" spans="3:10" x14ac:dyDescent="0.3">
      <c r="I35">
        <v>-1437</v>
      </c>
      <c r="J35" t="s">
        <v>59</v>
      </c>
    </row>
    <row r="36" spans="3:10" x14ac:dyDescent="0.3">
      <c r="F36">
        <v>3100</v>
      </c>
      <c r="I36">
        <v>-3050</v>
      </c>
      <c r="J36" t="s">
        <v>57</v>
      </c>
    </row>
    <row r="37" spans="3:10" x14ac:dyDescent="0.3">
      <c r="F37">
        <v>615</v>
      </c>
      <c r="I37">
        <v>-806</v>
      </c>
      <c r="J37" t="s">
        <v>62</v>
      </c>
    </row>
    <row r="38" spans="3:10" x14ac:dyDescent="0.3">
      <c r="F38">
        <v>1653</v>
      </c>
      <c r="I38">
        <v>-3144.57</v>
      </c>
      <c r="J38" t="s">
        <v>46</v>
      </c>
    </row>
    <row r="39" spans="3:10" x14ac:dyDescent="0.3">
      <c r="F39">
        <f>SUBTOTAL(9,F36:F38)</f>
        <v>5368</v>
      </c>
      <c r="I39">
        <v>-1750</v>
      </c>
    </row>
    <row r="40" spans="3:10" x14ac:dyDescent="0.3">
      <c r="I40">
        <v>-3800</v>
      </c>
    </row>
  </sheetData>
  <autoFilter ref="B1:K26" xr:uid="{AC8A69AE-4114-41C7-BFAE-EDB8732D71E5}">
    <filterColumn colId="1">
      <filters>
        <filter val="CC"/>
        <filter val="PL"/>
      </filters>
    </filterColumn>
    <sortState xmlns:xlrd2="http://schemas.microsoft.com/office/spreadsheetml/2017/richdata2" ref="B2:K26">
      <sortCondition ref="C1:C2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</vt:lpstr>
      <vt:lpstr>old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Mahmood</dc:creator>
  <cp:lastModifiedBy>Khan, Mahmood</cp:lastModifiedBy>
  <dcterms:created xsi:type="dcterms:W3CDTF">2023-05-03T14:56:28Z</dcterms:created>
  <dcterms:modified xsi:type="dcterms:W3CDTF">2025-06-05T19:55:07Z</dcterms:modified>
</cp:coreProperties>
</file>