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rbs-file01\ahfile\Departments\Finance\03 management accounts\Sammir Radha\"/>
    </mc:Choice>
  </mc:AlternateContent>
  <xr:revisionPtr revIDLastSave="0" documentId="13_ncr:1_{40C33ED2-EA63-47A8-B258-C88C18E05501}" xr6:coauthVersionLast="47" xr6:coauthVersionMax="47" xr10:uidLastSave="{00000000-0000-0000-0000-000000000000}"/>
  <bookViews>
    <workbookView xWindow="-120" yWindow="-120" windowWidth="29040" windowHeight="15840" tabRatio="840" xr2:uid="{F3FA98D3-057C-4569-B281-7112049E59FD}"/>
  </bookViews>
  <sheets>
    <sheet name="GUIDE" sheetId="12" r:id="rId1"/>
    <sheet name="XLOOKUP" sheetId="1" r:id="rId2"/>
    <sheet name="CONCAT" sheetId="2" r:id="rId3"/>
    <sheet name="TEXTJOIN" sheetId="3" r:id="rId4"/>
    <sheet name="ISFORMULA &amp; FORMULATEXT" sheetId="4" r:id="rId5"/>
    <sheet name="MINIFS &amp; MAXIFS" sheetId="5" r:id="rId6"/>
    <sheet name="Array Formulas Intro" sheetId="15" r:id="rId7"/>
    <sheet name="FILTER" sheetId="6" r:id="rId8"/>
    <sheet name="SORT &amp; SORTBY" sheetId="7" r:id="rId9"/>
    <sheet name="UNIQUE" sheetId="8" r:id="rId10"/>
    <sheet name="SEQUENCE" sheetId="11" r:id="rId11"/>
    <sheet name="RANDARRAY" sheetId="13" r:id="rId12"/>
    <sheet name="TRANSPOSE &amp; FILTERXML" sheetId="9" r:id="rId13"/>
    <sheet name="Lookups" sheetId="14" r:id="rId14"/>
  </sheets>
  <definedNames>
    <definedName name="Filter_Directorate">FILTER!$N$15</definedName>
    <definedName name="Filter_DirectorateDropDown">_xlfn.ANCHORARRAY(Lookups!$B$4)</definedName>
    <definedName name="Filter_Division">FILTER!$I$15</definedName>
    <definedName name="Filter_DivisionDirectorateDropDown">_xlfn.ANCHORARRAY(Lookups!$C$4)</definedName>
    <definedName name="Filter_DivisionDropDown">_xlfn.ANCHORARRAY(Lookups!$A$4)</definedName>
    <definedName name="Filter_DivisionSelectedColumns">FILTER!$Q$15</definedName>
    <definedName name="Filter_DivisionToDirectorate">FILTER!$N$14</definedName>
    <definedName name="Filter_DivisionValidation">_xlfn.UNIQUE(tblFilterCCs[Division])</definedName>
    <definedName name="Sort_ColumnDropDown">tblSortCCs[#Headers]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8" i="6" l="1" a="1"/>
  <c r="P18" i="6" s="1"/>
  <c r="M18" i="6" a="1"/>
  <c r="M18" i="6" s="1"/>
  <c r="G18" i="6" a="1"/>
  <c r="G18" i="6" s="1"/>
  <c r="G38" i="15" a="1"/>
  <c r="G38" i="15" s="1"/>
  <c r="D24" i="15" a="1"/>
  <c r="D24" i="15" s="1"/>
  <c r="B24" i="15" a="1"/>
  <c r="B24" i="15" s="1"/>
  <c r="A38" i="15" s="1" a="1"/>
  <c r="A38" i="15" s="1"/>
  <c r="B14" i="15"/>
  <c r="B15" i="15"/>
  <c r="B16" i="15"/>
  <c r="B17" i="15"/>
  <c r="B18" i="15"/>
  <c r="B19" i="15"/>
  <c r="B20" i="15"/>
  <c r="B13" i="15"/>
  <c r="A80" i="9" a="1"/>
  <c r="A80" i="9" s="1"/>
  <c r="A54" i="9"/>
  <c r="A59" i="9" s="1" a="1"/>
  <c r="A59" i="9" s="1"/>
  <c r="A70" i="9" s="1" a="1"/>
  <c r="A70" i="9" s="1"/>
  <c r="A42" i="9"/>
  <c r="A46" i="9" s="1" a="1"/>
  <c r="A46" i="9" s="1"/>
  <c r="C50" i="15" l="1" a="1"/>
  <c r="C50" i="15" s="1"/>
  <c r="A50" i="15" a="1"/>
  <c r="A50" i="15" s="1"/>
  <c r="C38" i="15" a="1"/>
  <c r="C38" i="15" s="1"/>
  <c r="E38" i="15" s="1" a="1"/>
  <c r="E38" i="15" s="1"/>
  <c r="B59" i="9" a="1"/>
  <c r="B59" i="9" s="1"/>
  <c r="A76" i="9" a="1"/>
  <c r="A76" i="9" s="1"/>
  <c r="D11" i="13" l="1" a="1"/>
  <c r="D11" i="13" s="1"/>
  <c r="D15" i="11" a="1"/>
  <c r="D15" i="11" s="1"/>
  <c r="P16" i="8" a="1"/>
  <c r="P16" i="8" s="1"/>
  <c r="M16" i="8" a="1"/>
  <c r="M16" i="8" s="1"/>
  <c r="J15" i="8" a="1"/>
  <c r="J15" i="8" s="1"/>
  <c r="G16" i="8" a="1"/>
  <c r="G16" i="8" s="1"/>
  <c r="G15" i="8"/>
  <c r="C4" i="14" l="1" a="1"/>
  <c r="C4" i="14" s="1"/>
  <c r="B4" i="14" a="1"/>
  <c r="B4" i="14" s="1"/>
  <c r="A4" i="14" a="1"/>
  <c r="A4" i="14" s="1"/>
  <c r="M19" i="7" a="1"/>
  <c r="M19" i="7" s="1"/>
  <c r="G19" i="7" a="1"/>
  <c r="G19" i="7" s="1"/>
  <c r="AB18" i="6" a="1"/>
  <c r="AB18" i="6" s="1"/>
  <c r="AD18" i="6" a="1"/>
  <c r="AD18" i="6" s="1"/>
  <c r="AC18" i="6" a="1"/>
  <c r="AC18" i="6" s="1"/>
  <c r="W18" i="6" a="1"/>
  <c r="W18" i="6" s="1"/>
  <c r="Z18" i="6" s="1" a="1"/>
  <c r="Z18" i="6" s="1"/>
  <c r="S18" i="6" a="1"/>
  <c r="S18" i="6" s="1"/>
  <c r="J33" i="5" l="1"/>
  <c r="C31" i="5"/>
  <c r="D27" i="5"/>
  <c r="D23" i="5"/>
  <c r="D19" i="5"/>
  <c r="D15" i="5"/>
  <c r="H32" i="4"/>
  <c r="H30" i="4"/>
  <c r="H33" i="4"/>
  <c r="G25" i="4"/>
  <c r="G24" i="4"/>
  <c r="G22" i="4"/>
  <c r="I17" i="4"/>
  <c r="I18" i="4"/>
  <c r="I19" i="4"/>
  <c r="I16" i="4"/>
  <c r="G19" i="4"/>
  <c r="G18" i="4"/>
  <c r="G16" i="4"/>
  <c r="C19" i="3"/>
  <c r="C23" i="3"/>
  <c r="C39" i="2"/>
  <c r="C37" i="2"/>
  <c r="C27" i="2"/>
  <c r="C23" i="2"/>
  <c r="C19" i="2"/>
  <c r="C44" i="1"/>
  <c r="C46" i="1" a="1"/>
  <c r="C46" i="1" s="1"/>
  <c r="C35" i="1"/>
  <c r="C27" i="1"/>
  <c r="C31" i="1"/>
  <c r="I22" i="4"/>
  <c r="I24" i="4"/>
  <c r="I23" i="4"/>
  <c r="I32" i="4"/>
  <c r="I33" i="4"/>
  <c r="I30" i="4"/>
  <c r="I25" i="4"/>
  <c r="I31" i="4"/>
  <c r="C2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<sst xmlns="http://schemas.openxmlformats.org/spreadsheetml/2006/main" count="1589" uniqueCount="375">
  <si>
    <t>Microsoft Documentation:</t>
  </si>
  <si>
    <t>Summary</t>
  </si>
  <si>
    <t>Example</t>
  </si>
  <si>
    <t>https://support.microsoft.com/en-us/office/xlookup-function-b7fd680e-6d10-43e6-84f9-88eae8bf5929</t>
  </si>
  <si>
    <t>https://support.microsoft.com/en-us/office/concat-function-9b1a9a3f-94ff-41af-9736-694cbd6b4ca2</t>
  </si>
  <si>
    <t>https://support.microsoft.com/en-us/office/textjoin-function-357b449a-ec91-49d0-80c3-0e8fc845691c</t>
  </si>
  <si>
    <t>https://support.microsoft.com/en-gb/office/isformula-function-e4d1355f-7121-4ef2-801e-3839bfd6b1e5?ui=en-us&amp;rs=en-gb&amp;ad=gb</t>
  </si>
  <si>
    <t>https://support.microsoft.com/en-us/office/formulatext-function-0a786771-54fd-4ae2-96ee-09cda35439c8</t>
  </si>
  <si>
    <t>https://support.microsoft.com/en-us/office/minifs-function-6ca1ddaa-079b-4e74-80cc-72eef32e6599</t>
  </si>
  <si>
    <t>https://support.microsoft.com/en-us/office/maxifs-function-dfd611e6-da2c-488a-919b-9b6376b28883</t>
  </si>
  <si>
    <t>https://support.microsoft.com/en-us/office/filter-function-f4f7cb66-82eb-4767-8f7c-4877ad80c759</t>
  </si>
  <si>
    <t>https://support.microsoft.com/en-us/office/sort-function-22f63bd0-ccc8-492f-953d-c20e8e44b86c</t>
  </si>
  <si>
    <t>https://support.microsoft.com/en-us/office/sortby-function-cd2d7a62-1b93-435c-b561-d6a35134f28f</t>
  </si>
  <si>
    <t>https://support.microsoft.com/en-us/office/unique-function-c5ab87fd-30a3-4ce9-9d1a-40204fb85e1e</t>
  </si>
  <si>
    <t>https://support.microsoft.com/en-us/office/sequence-function-57467a98-57e0-4817-9f14-2eb78519ca90</t>
  </si>
  <si>
    <t>https://support.microsoft.com/en-us/office/transpose-function-ed039415-ed8a-4a81-93e9-4b6dfac76027</t>
  </si>
  <si>
    <t>https://support.microsoft.com/en-us/office/filterxml-function-4df72efc-11ec-4951-86f5-c1374812f5b7</t>
  </si>
  <si>
    <t>Excel for Microsoft 365</t>
  </si>
  <si>
    <t>Earliest Version Available in:</t>
  </si>
  <si>
    <t>Key</t>
  </si>
  <si>
    <t>This spreadsheet was designed to briefly explain and provide an example for how these new formulas in Excel 365 (or just formulas that you may not be used to from earlier versions) can be put to good use.</t>
  </si>
  <si>
    <t>On each sheet there is a link to the official Microsoft documentation for the formula(s), a note for when the formula first came to Excel, a summary of how I'd describe the formula and an example of how it's used.</t>
  </si>
  <si>
    <t>I am using Excel 365 version 2002 for this so any formulas that have arrived after that date (LET and LAMBDA) will not be covered this time around.</t>
  </si>
  <si>
    <t>The Transpose &amp; FilterXML sheet requires knowledge of xpath to be able to achieve what you need for it however I've provided some examples which you can easily copy the implementation for to get some common outputs.</t>
  </si>
  <si>
    <t>https://support.microsoft.com/en-us/office/randarray-function-21261e55-3bec-4885-86a6-8b0a47fd4d33</t>
  </si>
  <si>
    <t>Effectively the VLOOKUP and INDEX/MATCH killer.</t>
  </si>
  <si>
    <t>Division</t>
  </si>
  <si>
    <t>Directorate</t>
  </si>
  <si>
    <t>Cost Centre</t>
  </si>
  <si>
    <t>Budget</t>
  </si>
  <si>
    <t>Actual</t>
  </si>
  <si>
    <t>A</t>
  </si>
  <si>
    <t>B</t>
  </si>
  <si>
    <t>C</t>
  </si>
  <si>
    <t>D</t>
  </si>
  <si>
    <t>Q1) Lookup Division of this cost centre:</t>
  </si>
  <si>
    <t>A1)</t>
  </si>
  <si>
    <t>Period</t>
  </si>
  <si>
    <t>CC Name</t>
  </si>
  <si>
    <t>Medical Staff</t>
  </si>
  <si>
    <t>Community Staff</t>
  </si>
  <si>
    <t>Theatre A</t>
  </si>
  <si>
    <t>Theatre Main</t>
  </si>
  <si>
    <t>Mental Health Staff</t>
  </si>
  <si>
    <t>WTE</t>
  </si>
  <si>
    <t>Sheets for New Formulas</t>
  </si>
  <si>
    <t>Sheets New 2D Formulas</t>
  </si>
  <si>
    <t>Variables</t>
  </si>
  <si>
    <t>Formulas</t>
  </si>
  <si>
    <t>The Old Formulas…</t>
  </si>
  <si>
    <t>VLOOKUP can search for a value in the leftmost column anywhere within a selected range to the right and it'll give you the first result it finds from top to bottom</t>
  </si>
  <si>
    <t>HLOOKUP can search for a value in the topmost row anywhere within a selected range downward and it'll give you the first result it finds from left to right</t>
  </si>
  <si>
    <t>XLOOKUP can lookup in any direction and it can search for a value from bottom to top if you tell it to</t>
  </si>
  <si>
    <t>INDEX/MATCH formulas allowed you to perform the above with some nifty combination of the INDEX formula (which allows you to pin point a particular row and column number in a range) and the MATCH formula (which allows you to get the row/column numbers that match your lookup value)</t>
  </si>
  <si>
    <t>The New Formula…</t>
  </si>
  <si>
    <t>A2)</t>
  </si>
  <si>
    <t xml:space="preserve"> </t>
  </si>
  <si>
    <t>Community Staffs</t>
  </si>
  <si>
    <t>Q2) Get the next largest match:</t>
  </si>
  <si>
    <t>Q3) Get the next smallest match:</t>
  </si>
  <si>
    <t>A3)</t>
  </si>
  <si>
    <t>Q4) Get the last name CC Name for:</t>
  </si>
  <si>
    <t>A4)</t>
  </si>
  <si>
    <t>A4)*</t>
  </si>
  <si>
    <t>*this formula doesn’t work unless the Period column is in ascending order for the cost centre code being looked up</t>
  </si>
  <si>
    <t>&lt;--- This may not be the best way to do this but it works</t>
  </si>
  <si>
    <t>You can use the SORTBY formula to get away with not having to sort the Period column, can you figure out how to change the below formula to make that work?</t>
  </si>
  <si>
    <t>Come back here once you're done with the SORT &amp; SORTBY sheet…</t>
  </si>
  <si>
    <t>Unhide row 46 to reveal the answer</t>
  </si>
  <si>
    <t>Hello</t>
  </si>
  <si>
    <t>My</t>
  </si>
  <si>
    <t>Name</t>
  </si>
  <si>
    <t>Is</t>
  </si>
  <si>
    <t>CONCAT is the new version of CONCATENATE which allows you to select ranges instead of the old way of one cell at a time whilst you press the comma button in between cells you click on</t>
  </si>
  <si>
    <t>What</t>
  </si>
  <si>
    <t>Your</t>
  </si>
  <si>
    <t>?</t>
  </si>
  <si>
    <t>Enter your name into cell H23</t>
  </si>
  <si>
    <t>Sammir</t>
  </si>
  <si>
    <t>A3)*</t>
  </si>
  <si>
    <t>*Okay so I super cheated here by adding spaces in column I but adding the punctuation manually reverts the formula to working pretty much the same way as the CONCATENATE one did</t>
  </si>
  <si>
    <t>Come back here once you're done with the TEXTJOIN sheet…</t>
  </si>
  <si>
    <t>Q3) Add spaces in between all the words of your answer to Q2</t>
  </si>
  <si>
    <t>Excel 2019</t>
  </si>
  <si>
    <t>TEXTJOIN works in the same way as CONCAT now does with the addition of two extra pieces of functionality</t>
  </si>
  <si>
    <t>You can tell it to put a particular piece of text in between each of the cells you're concatenating - this is called a delimiter</t>
  </si>
  <si>
    <t>You can also tell it to ignore empty cells - useful if you don't want to add loads of delimiters when your cells aren't all populated</t>
  </si>
  <si>
    <t>Enter your name into cell H19</t>
  </si>
  <si>
    <t>We've all tried joining two or more cells together by using =H15&amp;H16&amp;H17 or =CONCATENATE(H19,H20,H21) but that is a pain when you've got dozens or hundreds of cells you want to combine</t>
  </si>
  <si>
    <t>Q1) Combine the text in H15 to H19</t>
  </si>
  <si>
    <t>Q2) Combine the text in H15 to H19 with the text in H21 to H25</t>
  </si>
  <si>
    <t>There is a way to answer Q3 with the TEXTJOIN function, can you figure out how to change the below formula to match the result of cell C27?</t>
  </si>
  <si>
    <t>Unhide row 35 to reveal the answer</t>
  </si>
  <si>
    <t>Q1) Combine the text in H15 to H23 and separate them all by a pipe ---&gt; "|"</t>
  </si>
  <si>
    <t>Q2) Combine the text (including empty cells) in H15 to H23 and separate them all by a pipe</t>
  </si>
  <si>
    <t>A1)*</t>
  </si>
  <si>
    <t>*you can see that I didn't add the 1 that indicates that I want to exclude empty cells here, it's done that automatically as TRUE (or 1) is the default behaviour for this formula - you'll find most of the formulas in this spreadsheet have some sort of default setting for a lot of their parameters</t>
  </si>
  <si>
    <t>Excel 2013</t>
  </si>
  <si>
    <t>As user of Excel 2010 and earlier, knowing whether a cell contains a formula or whether someone had written over it was not easy to do.</t>
  </si>
  <si>
    <t>In Excel 2013 came the ISFORMULA and FORMULATEXT functions which allows you to set up proper checks against your data to know whether every cell is a formula or not</t>
  </si>
  <si>
    <t>Variance</t>
  </si>
  <si>
    <t>Q1) Check if cells G16:G19 contain formulas:</t>
  </si>
  <si>
    <t>Q2) Check if cells G22:G25 contain consistent formulas:</t>
  </si>
  <si>
    <t>&lt;--- if a cell doesn't contain a formula at all, the result of FORMULATEXT is an error</t>
  </si>
  <si>
    <t>A2)*</t>
  </si>
  <si>
    <t>*here you can see that G24 has a formula in it but it's doing Actual - Budget instead of Budget - Actual</t>
  </si>
  <si>
    <t>You can see consistent formulas even better in tables like this:</t>
  </si>
  <si>
    <t>FORMULATEXT</t>
  </si>
  <si>
    <t>These work exactly the same way as SUMIFS whereby you select a range you want to find the min/max of, then select a range of criteria you want to specify and then provide the criteria you want to filter by</t>
  </si>
  <si>
    <t>Period Name</t>
  </si>
  <si>
    <t>Amount</t>
  </si>
  <si>
    <t>Q1) Find the minimum amount spent during:</t>
  </si>
  <si>
    <t>Q2) Find the maximum amount spent during:</t>
  </si>
  <si>
    <t>Q3) Find the minimum amount spent for CC:</t>
  </si>
  <si>
    <t>Q4) Find the maximum amount spent for CC:</t>
  </si>
  <si>
    <t>CC</t>
  </si>
  <si>
    <t>…where CC =</t>
  </si>
  <si>
    <t>Q5) Find the maximum spend before…</t>
  </si>
  <si>
    <t>A5)</t>
  </si>
  <si>
    <t>As with SUMIFS, you must have the same number of rows in each of your min/max range and your criteria ranges</t>
  </si>
  <si>
    <t>&lt;--- this fails because the min/max range is bigger than the criteria range</t>
  </si>
  <si>
    <t>This is also not an exhaustive list of every new formula but it's a decent amount of them that may be of interest to you.</t>
  </si>
  <si>
    <t>Allows you to show filtered versions of data with just a formula</t>
  </si>
  <si>
    <t>No need for filter buttons, pivots or copy and paste</t>
  </si>
  <si>
    <t>Very useful if you're looking to show filtered lists where you can either define once and leave alone or set up to dynamically change given different cells as variables</t>
  </si>
  <si>
    <t>Not ideal if you're filtering is very ad hoc but if you get to know the formula well enough, you may find it is faster than even the filter buttons</t>
  </si>
  <si>
    <t>MEDICINE</t>
  </si>
  <si>
    <t>CANCER, PALLIATIVE &amp; END OF LIFE CARE GROUP</t>
  </si>
  <si>
    <t>911203 Palliative Care</t>
  </si>
  <si>
    <t>911204 Haematology Specialty</t>
  </si>
  <si>
    <t>911208 Ward 3b Oncology</t>
  </si>
  <si>
    <t>SPECIALIST CARE GROUP</t>
  </si>
  <si>
    <t>911304 Special Feeds Unit</t>
  </si>
  <si>
    <t>911305 Home Dialysis</t>
  </si>
  <si>
    <t>911306 Dieticians</t>
  </si>
  <si>
    <t>COMPLEX CARE GROUP</t>
  </si>
  <si>
    <t>911307 Gastroenterology</t>
  </si>
  <si>
    <t>911308 Stoma Therapy</t>
  </si>
  <si>
    <t>911309 Rheumatology</t>
  </si>
  <si>
    <t>911310 Endocrinology</t>
  </si>
  <si>
    <t>911311 Nephrology</t>
  </si>
  <si>
    <t>911312 Renal Unit</t>
  </si>
  <si>
    <t>911313 Ward 3c</t>
  </si>
  <si>
    <t>911314 Medical Daycase Unit</t>
  </si>
  <si>
    <t>911315 Specialist Medicine Care Group HQ</t>
  </si>
  <si>
    <t>911402 Respiratory Unit</t>
  </si>
  <si>
    <t>911403 Cystic Home Patients</t>
  </si>
  <si>
    <t>911404 Infectious Diseases &amp; Immunology</t>
  </si>
  <si>
    <t>911405 Allergy</t>
  </si>
  <si>
    <t>911406 Metabolic Diseases</t>
  </si>
  <si>
    <t>911407 Cystic Fibrosis Network</t>
  </si>
  <si>
    <t>COMMUNITY</t>
  </si>
  <si>
    <t>COMMUNITY MANAGEMENT</t>
  </si>
  <si>
    <t>912103 Youth Forum</t>
  </si>
  <si>
    <t>ACUTE CARE GROUP</t>
  </si>
  <si>
    <t>912201 Accident &amp; Emergency</t>
  </si>
  <si>
    <t>912202 Dermatology</t>
  </si>
  <si>
    <t>912203 Diabetes</t>
  </si>
  <si>
    <t>912204 General Paediatrics</t>
  </si>
  <si>
    <t>912207 Ward 4c</t>
  </si>
  <si>
    <t>CAMHS AND TIER 4 IN-PATIENT SERVICES</t>
  </si>
  <si>
    <t>912303 South Sefton Camhs Team</t>
  </si>
  <si>
    <t>912304 Psychological Services</t>
  </si>
  <si>
    <t>912306 North Liverpool Camhs</t>
  </si>
  <si>
    <t>912308 Camhs Med Staff Tier 3</t>
  </si>
  <si>
    <t>912309 3tc Sefton</t>
  </si>
  <si>
    <t>912310 Dewi Jones Unit</t>
  </si>
  <si>
    <t>SURGICAL CARE</t>
  </si>
  <si>
    <t>CRITICAL CARE</t>
  </si>
  <si>
    <t>SPECIALIST COMMUNITY SERVICES</t>
  </si>
  <si>
    <t>912325 Crisis Care</t>
  </si>
  <si>
    <t>912326 Fresh Camhs Liverpool</t>
  </si>
  <si>
    <t>912327 Sefton Tier 3</t>
  </si>
  <si>
    <t>912330 Eating Disorder Service</t>
  </si>
  <si>
    <t>912332 Sefton MHST</t>
  </si>
  <si>
    <t>NEURODEVELOPMENTAL PAEDIATRICS &amp; STATUTORY SERVICES</t>
  </si>
  <si>
    <t>912402 Community Paediatrics</t>
  </si>
  <si>
    <t>912403 Rainbow Centre</t>
  </si>
  <si>
    <t>912404 Homecare Nursing Team</t>
  </si>
  <si>
    <t>912406 Children'S Community Nursing Team</t>
  </si>
  <si>
    <t>ENT &amp; AUDIOLOGY</t>
  </si>
  <si>
    <t>912407 Audiology</t>
  </si>
  <si>
    <t>912411 Social Work Support</t>
  </si>
  <si>
    <t>912412 Neurodevelopmental Paediatrics - Asd</t>
  </si>
  <si>
    <t>912413 Complex Discharge</t>
  </si>
  <si>
    <t>912414 Community Dietetics Sefton</t>
  </si>
  <si>
    <t>912415 Community Services Single Point Of Referral</t>
  </si>
  <si>
    <t>912416 Learning Disability</t>
  </si>
  <si>
    <t>BURNS &amp; PLASTICS</t>
  </si>
  <si>
    <t>913201 Burns Unit</t>
  </si>
  <si>
    <t>913204 Critical Care</t>
  </si>
  <si>
    <t>OUTPATIENTS</t>
  </si>
  <si>
    <t>CARDIAC &amp; CARDIOLOGY</t>
  </si>
  <si>
    <t>913206 Perfusionists</t>
  </si>
  <si>
    <t>913207 Ecmo Service</t>
  </si>
  <si>
    <t>913208 Critical Care Ward</t>
  </si>
  <si>
    <t>913209 Critical Care Income</t>
  </si>
  <si>
    <t>913210 High Dependancy Unit (Hdu)</t>
  </si>
  <si>
    <t>913301 Ward 1c Neonatal</t>
  </si>
  <si>
    <t>913302 Ecg</t>
  </si>
  <si>
    <t>913304 Cardiac Surgery</t>
  </si>
  <si>
    <t>913305 Cardiology</t>
  </si>
  <si>
    <t>913307 Ward 1c</t>
  </si>
  <si>
    <t>PAEDIATRIC SURGERY &amp; UROLOGY</t>
  </si>
  <si>
    <t>SURGERY MANAGEMENT</t>
  </si>
  <si>
    <t>914201 Neuromedical Ward</t>
  </si>
  <si>
    <t>914202 Neurology</t>
  </si>
  <si>
    <t>ORTHOPAEDICS &amp; SPINAL SURGERY</t>
  </si>
  <si>
    <t>914203 Neurosurgery Ward</t>
  </si>
  <si>
    <t>NEUROSURGERY &amp; CRANIOFACIAL</t>
  </si>
  <si>
    <t>914204 Neurosurgery</t>
  </si>
  <si>
    <t>914206 Craniofacial</t>
  </si>
  <si>
    <t>914208 Eeg</t>
  </si>
  <si>
    <t>914209 Major Trauma</t>
  </si>
  <si>
    <t>914210 Ward 4a</t>
  </si>
  <si>
    <t>914211 Ward 4b</t>
  </si>
  <si>
    <t>OPHTHALMOLOGY</t>
  </si>
  <si>
    <t>914302 Optometrists</t>
  </si>
  <si>
    <t>914303 Optical Services</t>
  </si>
  <si>
    <t>914304 Ophthalmology</t>
  </si>
  <si>
    <t>CLEFT DENTAL &amp; ORAL</t>
  </si>
  <si>
    <t>914306 Dentistry</t>
  </si>
  <si>
    <t>914308 Orthodontics</t>
  </si>
  <si>
    <t>914309 Maxillofacial</t>
  </si>
  <si>
    <t>914310 Ent</t>
  </si>
  <si>
    <t>914311 Outpatients Level 1</t>
  </si>
  <si>
    <t>914312 Cleft Lip &amp; Palate</t>
  </si>
  <si>
    <t>915203 Outpatients Ground Floor</t>
  </si>
  <si>
    <t>915204 Orthopaedics</t>
  </si>
  <si>
    <t>915206 Gait Laboratory</t>
  </si>
  <si>
    <t>915207 Plastic Surgery</t>
  </si>
  <si>
    <t>915210 Spinal Surgery</t>
  </si>
  <si>
    <t>915304 General Surgery</t>
  </si>
  <si>
    <t>915305 Urology</t>
  </si>
  <si>
    <t>915306 Gynaecology</t>
  </si>
  <si>
    <t>915307 Neonatal Surgery</t>
  </si>
  <si>
    <t>915309 Ward 3a</t>
  </si>
  <si>
    <t>THEATRES</t>
  </si>
  <si>
    <t>ANAESTHESIA</t>
  </si>
  <si>
    <t>915403 Anaesthetics</t>
  </si>
  <si>
    <t>915405 Cardiothoracic Surgery</t>
  </si>
  <si>
    <t>915406 Neurosurgery Theatre</t>
  </si>
  <si>
    <t>915407 Burns &amp; Plastics Theatre</t>
  </si>
  <si>
    <t>915408 Trauma &amp; Orthopaedics</t>
  </si>
  <si>
    <t>915410 Anaesthetic &amp; Recovery</t>
  </si>
  <si>
    <t>915411 Catheterisation Theatre</t>
  </si>
  <si>
    <t>915412 Oral &amp; Surgery &amp; Dentistry</t>
  </si>
  <si>
    <t>915414 Urology Theatre</t>
  </si>
  <si>
    <t>915415 Ent Theatre</t>
  </si>
  <si>
    <t>915416 Paediatric Surgery Theatre</t>
  </si>
  <si>
    <t>915418 Surgical Daycase</t>
  </si>
  <si>
    <t>915419 Pre Assessment</t>
  </si>
  <si>
    <t>915420 Theatres - Emergency</t>
  </si>
  <si>
    <t>915421 Theatres - Day Case</t>
  </si>
  <si>
    <t>915422 Theatres - Recovery</t>
  </si>
  <si>
    <t>915423 Theatres - Anaesthetics</t>
  </si>
  <si>
    <t>915424 Theatres - Inpatient Scrub</t>
  </si>
  <si>
    <t>915426 Theatres - General Surgery</t>
  </si>
  <si>
    <t>915427 Admissions</t>
  </si>
  <si>
    <t>RADIOLOGY CARE GROUP</t>
  </si>
  <si>
    <t>916202 Ultrasound</t>
  </si>
  <si>
    <t>916203 Radiology</t>
  </si>
  <si>
    <t>916204 Cross Sectional Imaging</t>
  </si>
  <si>
    <t>916205 Medical Illustration</t>
  </si>
  <si>
    <t>916206 Gamma Camera</t>
  </si>
  <si>
    <t>PATHOLOGY CARE GROUP</t>
  </si>
  <si>
    <t>916302 Virology</t>
  </si>
  <si>
    <t>916303 Mortuary</t>
  </si>
  <si>
    <t>916304 Microbiology</t>
  </si>
  <si>
    <t>916305 Immunology</t>
  </si>
  <si>
    <t>916306 Histopathology</t>
  </si>
  <si>
    <t>916307 Haematology</t>
  </si>
  <si>
    <t>916308 General Pathology</t>
  </si>
  <si>
    <t>916309 Blood Transfusion Services</t>
  </si>
  <si>
    <t>916310 Biochemistry</t>
  </si>
  <si>
    <t>PHARMACY CARE GROUP</t>
  </si>
  <si>
    <t>916402 Pharmacy</t>
  </si>
  <si>
    <t>916403 Aseptic Unit</t>
  </si>
  <si>
    <t>916503 Outpatients Level 2</t>
  </si>
  <si>
    <t>916505 Patient Flows</t>
  </si>
  <si>
    <t>916508 Speech Therapy</t>
  </si>
  <si>
    <t>916509 Physiotherapy Respiratory</t>
  </si>
  <si>
    <t>916510 Physiotherapy Orthopaedic</t>
  </si>
  <si>
    <t>916511 Physiotherapy Neurology</t>
  </si>
  <si>
    <t>916515 Occupational Therapy</t>
  </si>
  <si>
    <t>916516 Orthotics Department</t>
  </si>
  <si>
    <t>MEDICAL ENGINEERING</t>
  </si>
  <si>
    <t>916518 Medical Engineering</t>
  </si>
  <si>
    <t>916522 Surgical Admissions Lounge</t>
  </si>
  <si>
    <t>916526 Clinic Reception</t>
  </si>
  <si>
    <t>917412 Alder Centre</t>
  </si>
  <si>
    <t>Filter tblFilterCCs for division =</t>
  </si>
  <si>
    <t>Filter Cost Centre column of tblFilterCCs for directorate =</t>
  </si>
  <si>
    <t>Filter</t>
  </si>
  <si>
    <t>Unique Divisions</t>
  </si>
  <si>
    <t>Unique Directorates</t>
  </si>
  <si>
    <t>Filtered Unique Directorates</t>
  </si>
  <si>
    <t>Filter Directorate Drop Down for Division =</t>
  </si>
  <si>
    <t>Filter tblFilterCCs to show just Division and Cost Centre columns</t>
  </si>
  <si>
    <t>With Division =</t>
  </si>
  <si>
    <t>*a bit of a hack, you can do better I imagine*</t>
  </si>
  <si>
    <t>Filter for Budgets between</t>
  </si>
  <si>
    <t>Filter on Variances (budget-actual) less than</t>
  </si>
  <si>
    <t>Sort data with a formula instead of having to use any sort buttons or click through features</t>
  </si>
  <si>
    <t>There are two types of sort formula:</t>
  </si>
  <si>
    <t>SORT will simply sort data ascending or descending based on a particular column or row</t>
  </si>
  <si>
    <t>SORTBY will allow you to add multiple sorts to your data all in the one formula</t>
  </si>
  <si>
    <t>Simple sort on this column:</t>
  </si>
  <si>
    <t>Sort by</t>
  </si>
  <si>
    <t>then</t>
  </si>
  <si>
    <t>Provides you with a unique list/combination of values from a range of data</t>
  </si>
  <si>
    <t>Exceptionally useful for drop down lists</t>
  </si>
  <si>
    <t>Can be combined with all other formulas to produce unique, sorted, filtered lists</t>
  </si>
  <si>
    <t>Unique list of:</t>
  </si>
  <si>
    <t>Sorted Filtered Unique Directorates based on Division =</t>
  </si>
  <si>
    <t>Unique Combinations</t>
  </si>
  <si>
    <t>Unique Combinations where combination only appears exactly once</t>
  </si>
  <si>
    <t>A seemingly bland formula that will create sequences of numbers straight away</t>
  </si>
  <si>
    <t>It has really powerful use cases that we'll see later on..</t>
  </si>
  <si>
    <t>Could mean no more dragging numbers down the side of a sheet or creating A1+1 formulas etc.</t>
  </si>
  <si>
    <t>Rows:</t>
  </si>
  <si>
    <t>Columns:</t>
  </si>
  <si>
    <t>Starting Number:</t>
  </si>
  <si>
    <t>Step:</t>
  </si>
  <si>
    <t>Quick way of creating random data</t>
  </si>
  <si>
    <t>Min:</t>
  </si>
  <si>
    <t>Max:</t>
  </si>
  <si>
    <t>Integer/Decimal?:</t>
  </si>
  <si>
    <t>Integer</t>
  </si>
  <si>
    <t>Not actually array formulas but with the array formula engine in Excel 365, the combination of these two formulas can be visualised really well</t>
  </si>
  <si>
    <t>In other words, if you have ESR Payroll data which looks like below (made up to overexagerate the use of the formula) then you can get whatever you want from it</t>
  </si>
  <si>
    <t>XN0501|MONTH01|265738271|17988282|28500|0.95|1.00|Staff Nurse</t>
  </si>
  <si>
    <t>These formulas combined with SUBSTITUTE allows you to finally say "I want the value that appears between the nth delimiters* of this cell"</t>
  </si>
  <si>
    <t>*As seen in the TEXTJOIN formula, a delimiter is any character that is placed in between values to represent something new</t>
  </si>
  <si>
    <t>A CSV file is a comma separated values file where the comma is the delimiter in that case</t>
  </si>
  <si>
    <t>Xpath Cheat Sheet:</t>
  </si>
  <si>
    <t>https://devhints.io/xpath</t>
  </si>
  <si>
    <t>If I want to strip out the assignment number from this (3rd block of values) then I would either need to do Text to Columns or a really long '=MID(SEARCH(MID(SEARCH…" kind of formula</t>
  </si>
  <si>
    <t>That formula would get far worse when we want to the position number or salary (4th and 5th block of values)</t>
  </si>
  <si>
    <t>Xpath is a way of traversing XML to pick out specifically tagged items</t>
  </si>
  <si>
    <t>&lt;note&gt;</t>
  </si>
  <si>
    <t>&lt;heading&gt;Reminder&lt;/heading&gt;</t>
  </si>
  <si>
    <t>&lt;/note&gt;</t>
  </si>
  <si>
    <t>&lt;from&gt;Sammir&lt;/from&gt;</t>
  </si>
  <si>
    <t>&lt;body&gt;Don't forget to sign up for the Value Maker Conference!&lt;/body&gt;</t>
  </si>
  <si>
    <t>&lt;to&gt;Value Makers&lt;/to&gt;</t>
  </si>
  <si>
    <t>What can we do about this to make it easier?</t>
  </si>
  <si>
    <t>Each word inside a &lt; &gt; is called a tag</t>
  </si>
  <si>
    <t>Each tag has a start like &lt;body&gt; and an end like &lt;/body&gt; (where the / indicates the end of the tag)</t>
  </si>
  <si>
    <t>Xpath is a way of querying XML to get the contents of each tag in various ways</t>
  </si>
  <si>
    <t>In order to prep the above to being used, I've joined the XML together into one string using TEXTJOIN:</t>
  </si>
  <si>
    <t>The xpath for getting all of the contents of a tag is to just put // before the tag name, in this case, //body produces:</t>
  </si>
  <si>
    <t>Now we have that sorted, what can we do with our long delimited text to get the values we want?</t>
  </si>
  <si>
    <t>We can wrap the above with a random tag, say &lt;a&gt; and &lt;/a&gt; and then substitute every pipe with a different tag to enclose each block of values with, say, &lt;b&gt; &lt;/b&gt;</t>
  </si>
  <si>
    <t>Now we can visualise our FILTERXML for all the blocks of text in this XML using //b</t>
  </si>
  <si>
    <t>We can also effectively mimic text to columns in a formula by transposing the above:</t>
  </si>
  <si>
    <t>Xpath can be used to select a specific tag number by adding [x] to the //b like //b[x] where x is the number of the tag you want to get</t>
  </si>
  <si>
    <t>And all in one formula we have:</t>
  </si>
  <si>
    <t>Finally we have the below formula to get this block value from cell A50:</t>
  </si>
  <si>
    <t>Tag Number:</t>
  </si>
  <si>
    <t>Block Values:</t>
  </si>
  <si>
    <t>In Excel 365, formulas are no longer restricted to showing you just one value in one cell</t>
  </si>
  <si>
    <t>They can be used to show you many values across many cells</t>
  </si>
  <si>
    <t>They also come with a the ability to reference everything about them by adding a # symbol to the end of your array formula cell reference</t>
  </si>
  <si>
    <t>Examples</t>
  </si>
  <si>
    <t>In previous versions of Excel, if you had the following list of numbers you wanted to multiply by 2, you'd need to say =A13*2 and drag the formula down</t>
  </si>
  <si>
    <t>In Excel 365, you can now select all the cells you want to multiply by 2 and it'll SPILL the result into the adjacent cells as seen in cell B24 below</t>
  </si>
  <si>
    <t>As B24 contains an array formula (where the result SPILLed into the adjacent cells) then you can reference the entire array by using B24# as seen below</t>
  </si>
  <si>
    <t>If there is something blocking where the array needs to SPILL to then an error message #SPILL! Appears</t>
  </si>
  <si>
    <t>Hi</t>
  </si>
  <si>
    <t>Cells B24:B31 show an array with 8 rows and 1 column, cells D24:F27 show an array with 4 rows and 3 columns</t>
  </si>
  <si>
    <t>Similarly D24 shows one of the new array formulas and it can be referenced with D24# as seen in G38 below</t>
  </si>
  <si>
    <t>If you click in a cell with #SPILL! In it it will show you where it it is trying to spill into so you can see what's blocking it</t>
  </si>
  <si>
    <t>New Excel Calculation Engine for Array Formulas</t>
  </si>
  <si>
    <t>Filters can also work horizontally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</si>
</sst>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7" x14ac:knownFonts="1">
    <font>
      <sz val="11"/>
      <color theme="1"/>
      <name val="Calibri"/>
      <family val="2"/>
      <scheme val="minor"/>
    </font>
    <font>
      <b/>
      <u/>
      <sz val="11"/>
      <color theme="1"/>
      <name val="Calibri"/>
      <family val="2"/>
      <scheme val="minor"/>
    </font>
    <font>
      <i/>
      <sz val="11"/>
      <color theme="1"/>
      <name val="Calibri"/>
      <family val="2"/>
      <scheme val="minor"/>
    </font>
    <font>
      <i/>
      <sz val="11"/>
      <color indexed="8"/>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2" borderId="0" xfId="0" applyFill="1"/>
    <xf numFmtId="0" fontId="4" fillId="0" borderId="0" xfId="1" applyFill="1"/>
    <xf numFmtId="0" fontId="0" fillId="3" borderId="0" xfId="0" applyFill="1"/>
    <xf numFmtId="0" fontId="0" fillId="4" borderId="0" xfId="0" applyFill="1"/>
    <xf numFmtId="0" fontId="0" fillId="5" borderId="0" xfId="0" applyFill="1"/>
    <xf numFmtId="0" fontId="0" fillId="0" borderId="0" xfId="0" applyAlignment="1">
      <alignment horizontal="left" wrapText="1"/>
    </xf>
    <xf numFmtId="0" fontId="0" fillId="0" borderId="0" xfId="0" applyAlignment="1">
      <alignment horizontal="center"/>
    </xf>
    <xf numFmtId="17" fontId="0" fillId="0" borderId="0" xfId="0" applyNumberFormat="1"/>
    <xf numFmtId="17" fontId="0" fillId="3" borderId="0" xfId="0" applyNumberFormat="1" applyFill="1"/>
    <xf numFmtId="0" fontId="0" fillId="3" borderId="0" xfId="0" applyNumberFormat="1" applyFill="1"/>
    <xf numFmtId="0" fontId="5" fillId="6" borderId="1" xfId="0" applyFont="1" applyFill="1" applyBorder="1"/>
    <xf numFmtId="0" fontId="5" fillId="6" borderId="2" xfId="0" applyFont="1" applyFill="1" applyBorder="1"/>
    <xf numFmtId="0" fontId="5" fillId="6" borderId="3" xfId="0" applyFont="1" applyFill="1" applyBorder="1"/>
    <xf numFmtId="0" fontId="5" fillId="6" borderId="0" xfId="0" applyFont="1" applyFill="1" applyBorder="1"/>
    <xf numFmtId="164" fontId="0" fillId="0" borderId="0" xfId="0" applyNumberFormat="1"/>
    <xf numFmtId="0" fontId="0" fillId="7" borderId="0" xfId="0" applyFill="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6" fillId="8" borderId="4" xfId="0" applyFont="1" applyFill="1" applyBorder="1"/>
  </cellXfs>
  <cellStyles count="2">
    <cellStyle name="Hyperlink" xfId="1" builtinId="8"/>
    <cellStyle name="Normal" xfId="0" builtinId="0"/>
  </cellStyles>
  <dxfs count="8">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0" formatCode="General"/>
      <fill>
        <patternFill patternType="solid">
          <fgColor indexed="64"/>
          <bgColor theme="9" tint="0.39997558519241921"/>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7</v>
    <v>1</v>
  </rv>
  <rv s="0">
    <v>2</v>
    <v>8</v>
    <v>3</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EC4795-B3D1-4B97-B9A5-795F46AF253D}" name="Table1" displayName="Table1" ref="G21:N29" totalsRowShown="0">
  <autoFilter ref="G21:N29" xr:uid="{34314050-47A9-4842-A947-F63C76EA31CE}"/>
  <sortState xmlns:xlrd2="http://schemas.microsoft.com/office/spreadsheetml/2017/richdata2" ref="G22:N29">
    <sortCondition ref="I21:I29"/>
  </sortState>
  <tableColumns count="8">
    <tableColumn id="1" xr3:uid="{75E474B3-17BB-4055-BCB6-272999C57A84}" name="Division"/>
    <tableColumn id="2" xr3:uid="{76EBB4C3-CA8F-4CE8-B7C9-DBFB04CEAAB2}" name="Directorate"/>
    <tableColumn id="3" xr3:uid="{1B640BFD-D042-4BCC-8FD6-5BFAE94DCE59}" name="Cost Centre"/>
    <tableColumn id="6" xr3:uid="{63FC1138-F20A-4040-AAA4-B26BADEF24C5}" name="CC Name"/>
    <tableColumn id="4" xr3:uid="{8406E24B-D236-48BE-BCAA-C1A1DC9609D3}" name="Period"/>
    <tableColumn id="5" xr3:uid="{F5E35404-CA5D-4D7C-BB66-4FA1F8B3AECC}" name="Budget"/>
    <tableColumn id="7" xr3:uid="{EC6E9CC0-6489-4C35-B8B4-B4C9E154AD0E}" name="Actual"/>
    <tableColumn id="8" xr3:uid="{2E90DED6-21F0-4588-AC7D-E2A4CAE63A4E}" name="W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1D18D5-7FD9-4C2F-9E45-EA06DD0DFC8C}" name="Table2" displayName="Table2" ref="F29:I33" totalsRowShown="0">
  <autoFilter ref="F29:I33" xr:uid="{38ED36FC-7645-4459-84D1-C4E02AEA88A6}"/>
  <tableColumns count="4">
    <tableColumn id="1" xr3:uid="{E9F9D521-3BA7-4D71-A94E-6A2DBEF248A7}" name="Budget"/>
    <tableColumn id="2" xr3:uid="{8EA11247-25BA-49CF-9EF9-5952CB15862C}" name="Actual"/>
    <tableColumn id="3" xr3:uid="{B1537D01-03FF-4D46-B31E-300CAEF07D44}" name="Variance" dataDxfId="7">
      <calculatedColumnFormula>Table2[[#This Row],[Budget]]-Table2[[#This Row],[Actual]]</calculatedColumnFormula>
    </tableColumn>
    <tableColumn id="4" xr3:uid="{548BE0D5-FDE5-4281-95A3-8666E7444720}" name="FORMULATEXT" dataDxfId="6">
      <calculatedColumnFormula>_xlfn.FORMULATEXT(Table2[[#This Row],[Variance]])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971D5F-63CD-42DC-AB48-C00D42C33FB5}" name="tblFilterCCs" displayName="tblFilterCCs" ref="A17:E154" totalsRowShown="0">
  <autoFilter ref="A17:E154" xr:uid="{6B99E48D-AA57-4452-BE70-918EBBBA5179}"/>
  <tableColumns count="5">
    <tableColumn id="1" xr3:uid="{E8A79817-E46F-4E35-A2CB-9A344B9F2B91}" name="Division"/>
    <tableColumn id="2" xr3:uid="{CA475DCB-F725-44A0-9283-63EC382423DD}" name="Directorate"/>
    <tableColumn id="3" xr3:uid="{B736482E-FAA7-45B0-8BAD-17891F9121EC}" name="Cost Centre"/>
    <tableColumn id="4" xr3:uid="{E4BA71B8-8D05-4E8D-8A67-CC80DC9D3AA8}" name="Budget" dataDxfId="5"/>
    <tableColumn id="5" xr3:uid="{A0DBDB21-D32D-4A88-8A03-5689F62F67F3}" name="Actual"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1D3384-B8DE-4EC3-8E2F-C7CC162418A0}" name="tblSortCCs" displayName="tblSortCCs" ref="A18:E155" totalsRowShown="0">
  <autoFilter ref="A18:E155" xr:uid="{2361688F-AFA5-4820-A406-7BD392993675}"/>
  <tableColumns count="5">
    <tableColumn id="1" xr3:uid="{8F585987-5AD1-4949-9E7A-18280B0ADD97}" name="Division"/>
    <tableColumn id="2" xr3:uid="{02E23528-B269-4500-88D1-99A6CA5EC7D6}" name="Directorate"/>
    <tableColumn id="3" xr3:uid="{1D8EF0DB-6C5B-45E6-87B2-21704A688447}" name="Cost Centre"/>
    <tableColumn id="4" xr3:uid="{3BB8D009-A248-4F74-A6C8-A26CCC90AC8C}" name="Budget" dataDxfId="3"/>
    <tableColumn id="5" xr3:uid="{28EE6D07-4584-4755-82EB-F6E3009EC50C}" name="Actual" dataDxf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D094F95-3AF0-4939-9E0F-946D906D52AD}" name="tblUniqueCCs" displayName="tblUniqueCCs" ref="A15:E152" totalsRowShown="0">
  <autoFilter ref="A15:E152" xr:uid="{4B28EDAE-AD0C-40F0-9464-EEA162BB17CC}"/>
  <tableColumns count="5">
    <tableColumn id="1" xr3:uid="{60FAD99D-F1FA-4B2E-9436-C963B4C9E2CF}" name="Division"/>
    <tableColumn id="2" xr3:uid="{FD3576A8-D718-4D26-9AF7-EB385DA07E86}" name="Directorate"/>
    <tableColumn id="3" xr3:uid="{757EA608-ED1F-4E3E-9B63-5C197596C3F1}" name="Cost Centre"/>
    <tableColumn id="4" xr3:uid="{F95B8DC0-9203-4514-AB1F-191F47251D4B}" name="Budget" dataDxfId="1"/>
    <tableColumn id="5" xr3:uid="{3B6EE65E-A802-4BB1-9D9B-10F6261DF4E3}" name="Actu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upport.microsoft.com/en-us/office/xlookup-function-b7fd680e-6d10-43e6-84f9-88eae8bf59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microsoft.com/en-us/office/concat-function-9b1a9a3f-94ff-41af-9736-694cbd6b4ca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upport.microsoft.com/en-us/office/textjoin-function-357b449a-ec91-49d0-80c3-0e8fc845691c"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support.microsoft.com/en-us/office/formulatext-function-0a786771-54fd-4ae2-96ee-09cda35439c8" TargetMode="External"/><Relationship Id="rId1" Type="http://schemas.openxmlformats.org/officeDocument/2006/relationships/hyperlink" Target="https://support.microsoft.com/en-gb/office/isformula-function-e4d1355f-7121-4ef2-801e-3839bfd6b1e5?ui=en-us&amp;rs=en-gb&amp;ad=gb"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upport.microsoft.com/en-us/office/maxifs-function-dfd611e6-da2c-488a-919b-9b6376b28883" TargetMode="External"/><Relationship Id="rId1" Type="http://schemas.openxmlformats.org/officeDocument/2006/relationships/hyperlink" Target="https://support.microsoft.com/en-us/office/minifs-function-6ca1ddaa-079b-4e74-80cc-72eef32e6599"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support.microsoft.com/en-us/office/filter-function-f4f7cb66-82eb-4767-8f7c-4877ad80c759"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support.microsoft.com/en-us/office/sortby-function-cd2d7a62-1b93-435c-b561-d6a35134f28f" TargetMode="External"/><Relationship Id="rId1" Type="http://schemas.openxmlformats.org/officeDocument/2006/relationships/hyperlink" Target="https://support.microsoft.com/en-us/office/sort-function-22f63bd0-ccc8-492f-953d-c20e8e44b86c"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support.microsoft.com/en-us/office/unique-function-c5ab87fd-30a3-4ce9-9d1a-40204fb85e1e"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upport.microsoft.com/en-us/office/sequence-function-57467a98-57e0-4817-9f14-2eb78519ca9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upport.microsoft.com/en-us/office/randarray-function-21261e55-3bec-4885-86a6-8b0a47fd4d3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hints.io/xpath" TargetMode="External"/><Relationship Id="rId2" Type="http://schemas.openxmlformats.org/officeDocument/2006/relationships/hyperlink" Target="https://support.microsoft.com/en-us/office/filterxml-function-4df72efc-11ec-4951-86f5-c1374812f5b7" TargetMode="External"/><Relationship Id="rId1" Type="http://schemas.openxmlformats.org/officeDocument/2006/relationships/hyperlink" Target="https://support.microsoft.com/en-us/office/transpose-function-ed039415-ed8a-4a81-93e9-4b6dfac76027"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8E352-C9A7-4DC2-B94E-4A64F45E2E2A}">
  <dimension ref="A1:F14"/>
  <sheetViews>
    <sheetView tabSelected="1" workbookViewId="0">
      <selection activeCell="A16" sqref="A16"/>
    </sheetView>
  </sheetViews>
  <sheetFormatPr defaultRowHeight="15" x14ac:dyDescent="0.25"/>
  <sheetData>
    <row r="1" spans="1:6" x14ac:dyDescent="0.25">
      <c r="A1" s="1" t="s">
        <v>19</v>
      </c>
    </row>
    <row r="3" spans="1:6" x14ac:dyDescent="0.25">
      <c r="A3" s="5"/>
      <c r="B3" t="s">
        <v>45</v>
      </c>
      <c r="E3" s="7"/>
      <c r="F3" t="s">
        <v>47</v>
      </c>
    </row>
    <row r="4" spans="1:6" x14ac:dyDescent="0.25">
      <c r="A4" s="9"/>
      <c r="B4" t="s">
        <v>46</v>
      </c>
      <c r="E4" s="8"/>
      <c r="F4" t="s">
        <v>48</v>
      </c>
    </row>
    <row r="6" spans="1:6" x14ac:dyDescent="0.25">
      <c r="A6" t="s">
        <v>20</v>
      </c>
    </row>
    <row r="8" spans="1:6" x14ac:dyDescent="0.25">
      <c r="A8" t="s">
        <v>21</v>
      </c>
    </row>
    <row r="10" spans="1:6" x14ac:dyDescent="0.25">
      <c r="A10" t="s">
        <v>22</v>
      </c>
    </row>
    <row r="12" spans="1:6" x14ac:dyDescent="0.25">
      <c r="A12" t="s">
        <v>121</v>
      </c>
    </row>
    <row r="14" spans="1:6" x14ac:dyDescent="0.25">
      <c r="A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AF52-F8A0-47C0-9CC0-FC46EF719EA5}">
  <sheetPr>
    <tabColor theme="8" tint="0.59999389629810485"/>
  </sheetPr>
  <dimension ref="A1:N46"/>
  <sheetViews>
    <sheetView workbookViewId="0">
      <selection activeCell="A12" sqref="A12:N13"/>
    </sheetView>
  </sheetViews>
  <sheetFormatPr defaultRowHeight="15" x14ac:dyDescent="0.25"/>
  <cols>
    <col min="1" max="1" width="26.42578125" bestFit="1" customWidth="1"/>
    <col min="7" max="11" width="11" customWidth="1"/>
  </cols>
  <sheetData>
    <row r="1" spans="1:14" x14ac:dyDescent="0.25">
      <c r="A1" s="3" t="s">
        <v>0</v>
      </c>
      <c r="B1" s="4" t="s">
        <v>3</v>
      </c>
    </row>
    <row r="3" spans="1:14" x14ac:dyDescent="0.25">
      <c r="A3" s="2" t="s">
        <v>18</v>
      </c>
      <c r="B3" t="s">
        <v>17</v>
      </c>
    </row>
    <row r="5" spans="1:14" x14ac:dyDescent="0.25">
      <c r="A5" s="1" t="s">
        <v>1</v>
      </c>
    </row>
    <row r="7" spans="1:14" x14ac:dyDescent="0.25">
      <c r="A7" t="s">
        <v>25</v>
      </c>
    </row>
    <row r="9" spans="1:14" x14ac:dyDescent="0.25">
      <c r="A9" t="s">
        <v>49</v>
      </c>
    </row>
    <row r="10" spans="1:14" x14ac:dyDescent="0.25">
      <c r="A10" t="s">
        <v>50</v>
      </c>
    </row>
    <row r="11" spans="1:14" x14ac:dyDescent="0.25">
      <c r="A11" t="s">
        <v>51</v>
      </c>
    </row>
    <row r="12" spans="1:14" x14ac:dyDescent="0.25">
      <c r="A12" s="21" t="s">
        <v>53</v>
      </c>
      <c r="B12" s="21"/>
      <c r="C12" s="21"/>
      <c r="D12" s="21"/>
      <c r="E12" s="21"/>
      <c r="F12" s="21"/>
      <c r="G12" s="21"/>
      <c r="H12" s="21"/>
      <c r="I12" s="21"/>
      <c r="J12" s="21"/>
      <c r="K12" s="21"/>
      <c r="L12" s="21"/>
      <c r="M12" s="21"/>
      <c r="N12" s="21"/>
    </row>
    <row r="13" spans="1:14" x14ac:dyDescent="0.25">
      <c r="A13" s="21"/>
      <c r="B13" s="21"/>
      <c r="C13" s="21"/>
      <c r="D13" s="21"/>
      <c r="E13" s="21"/>
      <c r="F13" s="21"/>
      <c r="G13" s="21"/>
      <c r="H13" s="21"/>
      <c r="I13" s="21"/>
      <c r="J13" s="21"/>
      <c r="K13" s="21"/>
      <c r="L13" s="21"/>
      <c r="M13" s="21"/>
      <c r="N13" s="21"/>
    </row>
    <row r="14" spans="1:14" x14ac:dyDescent="0.25">
      <c r="A14" s="10"/>
      <c r="B14" s="10"/>
      <c r="C14" s="10"/>
      <c r="D14" s="10"/>
      <c r="E14" s="10"/>
      <c r="F14" s="10"/>
      <c r="G14" s="10"/>
      <c r="H14" s="10"/>
      <c r="I14" s="10"/>
      <c r="J14" s="10"/>
      <c r="K14" s="10"/>
      <c r="L14" s="10"/>
      <c r="M14" s="10"/>
      <c r="N14" s="10"/>
    </row>
    <row r="15" spans="1:14" x14ac:dyDescent="0.25">
      <c r="A15" t="s">
        <v>54</v>
      </c>
    </row>
    <row r="16" spans="1:14" x14ac:dyDescent="0.25">
      <c r="A16" t="s">
        <v>52</v>
      </c>
    </row>
    <row r="19" spans="1:14" x14ac:dyDescent="0.25">
      <c r="A19" s="1" t="s">
        <v>2</v>
      </c>
    </row>
    <row r="21" spans="1:14" x14ac:dyDescent="0.25">
      <c r="A21" t="s">
        <v>35</v>
      </c>
      <c r="C21" s="7">
        <v>913308</v>
      </c>
      <c r="G21" t="s">
        <v>26</v>
      </c>
      <c r="H21" t="s">
        <v>27</v>
      </c>
      <c r="I21" t="s">
        <v>28</v>
      </c>
      <c r="J21" t="s">
        <v>38</v>
      </c>
      <c r="K21" t="s">
        <v>37</v>
      </c>
      <c r="L21" t="s">
        <v>29</v>
      </c>
      <c r="M21" t="s">
        <v>30</v>
      </c>
      <c r="N21" t="s">
        <v>44</v>
      </c>
    </row>
    <row r="22" spans="1:14" x14ac:dyDescent="0.25">
      <c r="G22">
        <v>1</v>
      </c>
      <c r="H22" t="s">
        <v>31</v>
      </c>
      <c r="I22">
        <v>911101</v>
      </c>
      <c r="J22" t="s">
        <v>39</v>
      </c>
      <c r="K22">
        <v>1</v>
      </c>
      <c r="L22">
        <v>5000</v>
      </c>
      <c r="M22">
        <v>6000</v>
      </c>
      <c r="N22">
        <v>5</v>
      </c>
    </row>
    <row r="23" spans="1:14" x14ac:dyDescent="0.25">
      <c r="A23" t="s">
        <v>36</v>
      </c>
      <c r="C23" s="8">
        <f>_xlfn.XLOOKUP(C21,Table1[Cost Centre],Table1[Division],"Cannot Find This Cost Centre",0,1)</f>
        <v>2</v>
      </c>
      <c r="G23">
        <v>1</v>
      </c>
      <c r="H23" t="s">
        <v>31</v>
      </c>
      <c r="I23">
        <v>911101</v>
      </c>
      <c r="J23" t="s">
        <v>39</v>
      </c>
      <c r="K23">
        <v>2</v>
      </c>
      <c r="L23">
        <v>5000</v>
      </c>
      <c r="M23">
        <v>5500</v>
      </c>
      <c r="N23">
        <v>5</v>
      </c>
    </row>
    <row r="24" spans="1:14" x14ac:dyDescent="0.25">
      <c r="G24">
        <v>3</v>
      </c>
      <c r="H24" t="s">
        <v>32</v>
      </c>
      <c r="I24">
        <v>912104</v>
      </c>
      <c r="J24" t="s">
        <v>40</v>
      </c>
      <c r="K24">
        <v>1</v>
      </c>
      <c r="L24">
        <v>3000</v>
      </c>
      <c r="M24">
        <v>2900</v>
      </c>
      <c r="N24">
        <v>10</v>
      </c>
    </row>
    <row r="25" spans="1:14" x14ac:dyDescent="0.25">
      <c r="A25" t="s">
        <v>58</v>
      </c>
      <c r="C25" s="7" t="s">
        <v>57</v>
      </c>
      <c r="G25">
        <v>3</v>
      </c>
      <c r="H25" t="s">
        <v>32</v>
      </c>
      <c r="I25">
        <v>912104</v>
      </c>
      <c r="J25" t="s">
        <v>40</v>
      </c>
      <c r="K25">
        <v>2</v>
      </c>
      <c r="L25">
        <v>3300</v>
      </c>
      <c r="M25">
        <v>3400</v>
      </c>
      <c r="N25">
        <v>11</v>
      </c>
    </row>
    <row r="26" spans="1:14" x14ac:dyDescent="0.25">
      <c r="G26">
        <v>2</v>
      </c>
      <c r="H26" t="s">
        <v>33</v>
      </c>
      <c r="I26">
        <v>913308</v>
      </c>
      <c r="J26" t="s">
        <v>42</v>
      </c>
      <c r="K26">
        <v>2</v>
      </c>
      <c r="L26">
        <v>500</v>
      </c>
      <c r="M26">
        <v>1200</v>
      </c>
      <c r="N26">
        <v>1</v>
      </c>
    </row>
    <row r="27" spans="1:14" x14ac:dyDescent="0.25">
      <c r="A27" t="s">
        <v>55</v>
      </c>
      <c r="C27" s="8" t="str">
        <f>_xlfn.XLOOKUP(C25,Table1[CC Name],Table1[CC Name],"No values greater than or equal to C25",1,1)</f>
        <v>Medical Staff</v>
      </c>
      <c r="G27">
        <v>2</v>
      </c>
      <c r="H27" t="s">
        <v>33</v>
      </c>
      <c r="I27">
        <v>913308</v>
      </c>
      <c r="J27" t="s">
        <v>41</v>
      </c>
      <c r="K27">
        <v>1</v>
      </c>
      <c r="L27">
        <v>500</v>
      </c>
      <c r="M27">
        <v>1000</v>
      </c>
      <c r="N27">
        <v>1</v>
      </c>
    </row>
    <row r="28" spans="1:14" x14ac:dyDescent="0.25">
      <c r="G28">
        <v>3</v>
      </c>
      <c r="H28" t="s">
        <v>34</v>
      </c>
      <c r="I28">
        <v>917250</v>
      </c>
      <c r="J28" t="s">
        <v>43</v>
      </c>
      <c r="K28">
        <v>1</v>
      </c>
      <c r="L28">
        <v>3000</v>
      </c>
      <c r="M28">
        <v>3000</v>
      </c>
      <c r="N28">
        <v>10</v>
      </c>
    </row>
    <row r="29" spans="1:14" x14ac:dyDescent="0.25">
      <c r="A29" t="s">
        <v>59</v>
      </c>
      <c r="C29" s="7" t="s">
        <v>57</v>
      </c>
      <c r="G29">
        <v>3</v>
      </c>
      <c r="H29" t="s">
        <v>34</v>
      </c>
      <c r="I29">
        <v>917250</v>
      </c>
      <c r="J29" t="s">
        <v>43</v>
      </c>
      <c r="K29">
        <v>2</v>
      </c>
      <c r="L29">
        <v>2700</v>
      </c>
      <c r="M29">
        <v>2700</v>
      </c>
      <c r="N29">
        <v>9</v>
      </c>
    </row>
    <row r="31" spans="1:14" x14ac:dyDescent="0.25">
      <c r="A31" t="s">
        <v>60</v>
      </c>
      <c r="C31" s="8" t="str">
        <f>_xlfn.XLOOKUP(C29,Table1[CC Name],Table1[CC Name],"No values less than or equal to C29",-1,1)</f>
        <v>Community Staff</v>
      </c>
    </row>
    <row r="33" spans="1:5" x14ac:dyDescent="0.25">
      <c r="A33" t="s">
        <v>61</v>
      </c>
      <c r="C33" s="7">
        <v>913308</v>
      </c>
    </row>
    <row r="35" spans="1:5" x14ac:dyDescent="0.25">
      <c r="A35" t="s">
        <v>63</v>
      </c>
      <c r="C35" s="8" t="str">
        <f>_xlfn.XLOOKUP(C33,Table1[Cost Centre],Table1[CC Name],"Please enter a value in C25",-1,-1)</f>
        <v>Theatre A</v>
      </c>
    </row>
    <row r="37" spans="1:5" x14ac:dyDescent="0.25">
      <c r="A37" t="s">
        <v>64</v>
      </c>
    </row>
    <row r="39" spans="1:5" x14ac:dyDescent="0.25">
      <c r="A39" t="s">
        <v>67</v>
      </c>
    </row>
    <row r="41" spans="1:5" x14ac:dyDescent="0.25">
      <c r="A41" t="s">
        <v>66</v>
      </c>
    </row>
    <row r="42" spans="1:5" x14ac:dyDescent="0.25">
      <c r="A42" s="2" t="s">
        <v>68</v>
      </c>
    </row>
    <row r="44" spans="1:5" x14ac:dyDescent="0.25">
      <c r="C44" s="8" t="str">
        <f>_xlfn.XLOOKUP(C33,Table1[Cost Centre],Table1[CC Name],"Please enter a value in C25",-1,-1)</f>
        <v>Theatre A</v>
      </c>
    </row>
    <row r="46" spans="1:5" hidden="1" x14ac:dyDescent="0.25">
      <c r="C46" s="8" t="str" cm="1">
        <f t="array" ref="C46">_xlfn.XLOOKUP(C33,_xlfn.SORTBY(Table1[Cost Centre],Table1[Period],1),_xlfn.SORTBY(Table1[CC Name],Table1[Period],1),"Please enter a value in C25",-1,-1)</f>
        <v>Theatre Main</v>
      </c>
      <c r="E46" s="2" t="s">
        <v>65</v>
      </c>
    </row>
  </sheetData>
  <mergeCells count="1">
    <mergeCell ref="A12:N13"/>
  </mergeCells>
  <hyperlinks>
    <hyperlink ref="B1" r:id="rId1" xr:uid="{ADFA257D-C4D1-43F6-BF0A-94323D2E034A}"/>
  </hyperlinks>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373C-B9BD-4EE5-BD2C-5C0FA8B9F080}">
  <sheetPr>
    <tabColor theme="8" tint="0.59999389629810485"/>
  </sheetPr>
  <dimension ref="A1:N39"/>
  <sheetViews>
    <sheetView workbookViewId="0">
      <selection activeCell="A3" sqref="A3"/>
    </sheetView>
  </sheetViews>
  <sheetFormatPr defaultRowHeight="15" x14ac:dyDescent="0.25"/>
  <cols>
    <col min="1" max="1" width="26.42578125" bestFit="1" customWidth="1"/>
  </cols>
  <sheetData>
    <row r="1" spans="1:14" x14ac:dyDescent="0.25">
      <c r="A1" s="3" t="s">
        <v>0</v>
      </c>
      <c r="B1" s="4" t="s">
        <v>4</v>
      </c>
    </row>
    <row r="3" spans="1:14" x14ac:dyDescent="0.25">
      <c r="A3" s="3" t="s">
        <v>18</v>
      </c>
      <c r="B3" t="s">
        <v>83</v>
      </c>
    </row>
    <row r="5" spans="1:14" x14ac:dyDescent="0.25">
      <c r="A5" s="1" t="s">
        <v>1</v>
      </c>
    </row>
    <row r="7" spans="1:14" x14ac:dyDescent="0.25">
      <c r="A7" s="21" t="s">
        <v>88</v>
      </c>
      <c r="B7" s="21"/>
      <c r="C7" s="21"/>
      <c r="D7" s="21"/>
      <c r="E7" s="21"/>
      <c r="F7" s="21"/>
      <c r="G7" s="21"/>
      <c r="H7" s="21"/>
      <c r="I7" s="21"/>
      <c r="J7" s="21"/>
      <c r="K7" s="21"/>
      <c r="L7" s="21"/>
      <c r="M7" s="21"/>
      <c r="N7" s="21"/>
    </row>
    <row r="8" spans="1:14" x14ac:dyDescent="0.25">
      <c r="A8" s="21"/>
      <c r="B8" s="21"/>
      <c r="C8" s="21"/>
      <c r="D8" s="21"/>
      <c r="E8" s="21"/>
      <c r="F8" s="21"/>
      <c r="G8" s="21"/>
      <c r="H8" s="21"/>
      <c r="I8" s="21"/>
      <c r="J8" s="21"/>
      <c r="K8" s="21"/>
      <c r="L8" s="21"/>
      <c r="M8" s="21"/>
      <c r="N8" s="21"/>
    </row>
    <row r="10" spans="1:14" x14ac:dyDescent="0.25">
      <c r="A10" s="21" t="s">
        <v>73</v>
      </c>
      <c r="B10" s="21"/>
      <c r="C10" s="21"/>
      <c r="D10" s="21"/>
      <c r="E10" s="21"/>
      <c r="F10" s="21"/>
      <c r="G10" s="21"/>
      <c r="H10" s="21"/>
      <c r="I10" s="21"/>
      <c r="J10" s="21"/>
      <c r="K10" s="21"/>
      <c r="L10" s="21"/>
      <c r="M10" s="21"/>
      <c r="N10" s="21"/>
    </row>
    <row r="11" spans="1:14" x14ac:dyDescent="0.25">
      <c r="A11" s="21"/>
      <c r="B11" s="21"/>
      <c r="C11" s="21"/>
      <c r="D11" s="21"/>
      <c r="E11" s="21"/>
      <c r="F11" s="21"/>
      <c r="G11" s="21"/>
      <c r="H11" s="21"/>
      <c r="I11" s="21"/>
      <c r="J11" s="21"/>
      <c r="K11" s="21"/>
      <c r="L11" s="21"/>
      <c r="M11" s="21"/>
      <c r="N11" s="21"/>
    </row>
    <row r="13" spans="1:14" x14ac:dyDescent="0.25">
      <c r="A13" s="1" t="s">
        <v>2</v>
      </c>
    </row>
    <row r="15" spans="1:14" x14ac:dyDescent="0.25">
      <c r="A15" t="s">
        <v>87</v>
      </c>
      <c r="H15" t="s">
        <v>69</v>
      </c>
      <c r="I15" t="s">
        <v>56</v>
      </c>
    </row>
    <row r="16" spans="1:14" x14ac:dyDescent="0.25">
      <c r="H16" t="s">
        <v>70</v>
      </c>
      <c r="I16" t="s">
        <v>56</v>
      </c>
    </row>
    <row r="17" spans="1:14" x14ac:dyDescent="0.25">
      <c r="A17" t="s">
        <v>89</v>
      </c>
      <c r="H17" t="s">
        <v>71</v>
      </c>
      <c r="I17" t="s">
        <v>56</v>
      </c>
    </row>
    <row r="18" spans="1:14" x14ac:dyDescent="0.25">
      <c r="H18" t="s">
        <v>72</v>
      </c>
      <c r="I18" t="s">
        <v>56</v>
      </c>
    </row>
    <row r="19" spans="1:14" x14ac:dyDescent="0.25">
      <c r="A19" t="s">
        <v>36</v>
      </c>
      <c r="C19" s="8" t="str">
        <f>_xlfn.CONCAT(H15:H19)</f>
        <v>HelloMyNameIsSammir</v>
      </c>
      <c r="H19" s="7" t="s">
        <v>78</v>
      </c>
      <c r="I19" t="s">
        <v>56</v>
      </c>
    </row>
    <row r="21" spans="1:14" x14ac:dyDescent="0.25">
      <c r="A21" t="s">
        <v>90</v>
      </c>
      <c r="H21" t="s">
        <v>74</v>
      </c>
      <c r="I21" t="s">
        <v>56</v>
      </c>
    </row>
    <row r="22" spans="1:14" x14ac:dyDescent="0.25">
      <c r="H22" t="s">
        <v>72</v>
      </c>
      <c r="I22" t="s">
        <v>56</v>
      </c>
    </row>
    <row r="23" spans="1:14" x14ac:dyDescent="0.25">
      <c r="A23" t="s">
        <v>55</v>
      </c>
      <c r="C23" s="8" t="str">
        <f>_xlfn.CONCAT(H15:H19,H21:H25)</f>
        <v>HelloMyNameIsSammirWhatIsYourName?</v>
      </c>
      <c r="H23" t="s">
        <v>75</v>
      </c>
      <c r="I23" t="s">
        <v>56</v>
      </c>
    </row>
    <row r="24" spans="1:14" x14ac:dyDescent="0.25">
      <c r="H24" t="s">
        <v>71</v>
      </c>
      <c r="I24" t="s">
        <v>56</v>
      </c>
    </row>
    <row r="25" spans="1:14" x14ac:dyDescent="0.25">
      <c r="A25" t="s">
        <v>82</v>
      </c>
      <c r="H25" t="s">
        <v>76</v>
      </c>
    </row>
    <row r="27" spans="1:14" x14ac:dyDescent="0.25">
      <c r="A27" t="s">
        <v>79</v>
      </c>
      <c r="C27" s="8" t="str">
        <f>_xlfn.CONCAT(H15:I19,H21:I25)</f>
        <v>Hello My Name Is Sammir What Is Your Name ?</v>
      </c>
    </row>
    <row r="29" spans="1:14" x14ac:dyDescent="0.25">
      <c r="A29" s="22" t="s">
        <v>80</v>
      </c>
      <c r="B29" s="22"/>
      <c r="C29" s="22"/>
      <c r="D29" s="22"/>
      <c r="E29" s="22"/>
      <c r="F29" s="22"/>
      <c r="G29" s="22"/>
      <c r="H29" s="22"/>
      <c r="I29" s="22"/>
      <c r="J29" s="22"/>
      <c r="K29" s="22"/>
      <c r="L29" s="22"/>
      <c r="M29" s="22"/>
      <c r="N29" s="22"/>
    </row>
    <row r="30" spans="1:14" x14ac:dyDescent="0.25">
      <c r="A30" s="22"/>
      <c r="B30" s="22"/>
      <c r="C30" s="22"/>
      <c r="D30" s="22"/>
      <c r="E30" s="22"/>
      <c r="F30" s="22"/>
      <c r="G30" s="22"/>
      <c r="H30" s="22"/>
      <c r="I30" s="22"/>
      <c r="J30" s="22"/>
      <c r="K30" s="22"/>
      <c r="L30" s="22"/>
      <c r="M30" s="22"/>
      <c r="N30" s="22"/>
    </row>
    <row r="32" spans="1:14" x14ac:dyDescent="0.25">
      <c r="A32" t="s">
        <v>81</v>
      </c>
    </row>
    <row r="34" spans="1:3" x14ac:dyDescent="0.25">
      <c r="A34" t="s">
        <v>91</v>
      </c>
    </row>
    <row r="35" spans="1:3" x14ac:dyDescent="0.25">
      <c r="A35" s="2" t="s">
        <v>92</v>
      </c>
    </row>
    <row r="37" spans="1:3" x14ac:dyDescent="0.25">
      <c r="C37" s="8" t="str">
        <f>_xlfn.CONCAT(H15:I19,H21:I25)</f>
        <v>Hello My Name Is Sammir What Is Your Name ?</v>
      </c>
    </row>
    <row r="39" spans="1:3" hidden="1" x14ac:dyDescent="0.25">
      <c r="C39" s="8" t="str">
        <f>_xlfn.TEXTJOIN(" ",1,H15:H25)</f>
        <v>Hello My Name Is Sammir What Is Your Name ?</v>
      </c>
    </row>
  </sheetData>
  <mergeCells count="3">
    <mergeCell ref="A7:N8"/>
    <mergeCell ref="A10:N11"/>
    <mergeCell ref="A29:N30"/>
  </mergeCells>
  <hyperlinks>
    <hyperlink ref="B1" r:id="rId1" xr:uid="{EEAC5094-27D1-4C57-8989-4BC2C3C0B3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31E6-BFDD-4333-B6EC-5C380F8C71B0}">
  <sheetPr>
    <tabColor theme="8" tint="0.59999389629810485"/>
  </sheetPr>
  <dimension ref="A1:N26"/>
  <sheetViews>
    <sheetView workbookViewId="0">
      <selection activeCell="A28" sqref="A28"/>
    </sheetView>
  </sheetViews>
  <sheetFormatPr defaultRowHeight="15" x14ac:dyDescent="0.25"/>
  <cols>
    <col min="1" max="1" width="26.42578125" bestFit="1" customWidth="1"/>
  </cols>
  <sheetData>
    <row r="1" spans="1:8" x14ac:dyDescent="0.25">
      <c r="A1" s="3" t="s">
        <v>0</v>
      </c>
      <c r="B1" s="4" t="s">
        <v>5</v>
      </c>
    </row>
    <row r="3" spans="1:8" x14ac:dyDescent="0.25">
      <c r="A3" s="3" t="s">
        <v>18</v>
      </c>
      <c r="B3" t="s">
        <v>83</v>
      </c>
    </row>
    <row r="5" spans="1:8" x14ac:dyDescent="0.25">
      <c r="A5" s="1" t="s">
        <v>1</v>
      </c>
    </row>
    <row r="7" spans="1:8" x14ac:dyDescent="0.25">
      <c r="A7" t="s">
        <v>84</v>
      </c>
    </row>
    <row r="9" spans="1:8" x14ac:dyDescent="0.25">
      <c r="A9" t="s">
        <v>85</v>
      </c>
    </row>
    <row r="11" spans="1:8" x14ac:dyDescent="0.25">
      <c r="A11" t="s">
        <v>86</v>
      </c>
    </row>
    <row r="13" spans="1:8" x14ac:dyDescent="0.25">
      <c r="A13" s="1" t="s">
        <v>2</v>
      </c>
    </row>
    <row r="15" spans="1:8" x14ac:dyDescent="0.25">
      <c r="A15" t="s">
        <v>77</v>
      </c>
      <c r="H15" t="s">
        <v>69</v>
      </c>
    </row>
    <row r="17" spans="1:14" x14ac:dyDescent="0.25">
      <c r="A17" t="s">
        <v>93</v>
      </c>
      <c r="H17" t="s">
        <v>70</v>
      </c>
    </row>
    <row r="19" spans="1:14" x14ac:dyDescent="0.25">
      <c r="A19" t="s">
        <v>95</v>
      </c>
      <c r="C19" s="8" t="str">
        <f>_xlfn.TEXTJOIN("|",,H15:H23)</f>
        <v>Hello|My|Name|Is|Sammir</v>
      </c>
      <c r="H19" t="s">
        <v>71</v>
      </c>
    </row>
    <row r="21" spans="1:14" x14ac:dyDescent="0.25">
      <c r="A21" t="s">
        <v>94</v>
      </c>
      <c r="H21" t="s">
        <v>72</v>
      </c>
    </row>
    <row r="23" spans="1:14" x14ac:dyDescent="0.25">
      <c r="A23" t="s">
        <v>55</v>
      </c>
      <c r="C23" s="8" t="str">
        <f>_xlfn.TEXTJOIN("|",0,H15:H23)</f>
        <v>Hello||My||Name||Is||Sammir</v>
      </c>
      <c r="H23" s="7" t="s">
        <v>78</v>
      </c>
    </row>
    <row r="25" spans="1:14" x14ac:dyDescent="0.25">
      <c r="A25" s="21" t="s">
        <v>96</v>
      </c>
      <c r="B25" s="21"/>
      <c r="C25" s="21"/>
      <c r="D25" s="21"/>
      <c r="E25" s="21"/>
      <c r="F25" s="21"/>
      <c r="G25" s="21"/>
      <c r="H25" s="21"/>
      <c r="I25" s="21"/>
      <c r="J25" s="21"/>
      <c r="K25" s="21"/>
      <c r="L25" s="21"/>
      <c r="M25" s="21"/>
      <c r="N25" s="21"/>
    </row>
    <row r="26" spans="1:14" x14ac:dyDescent="0.25">
      <c r="A26" s="21"/>
      <c r="B26" s="21"/>
      <c r="C26" s="21"/>
      <c r="D26" s="21"/>
      <c r="E26" s="21"/>
      <c r="F26" s="21"/>
      <c r="G26" s="21"/>
      <c r="H26" s="21"/>
      <c r="I26" s="21"/>
      <c r="J26" s="21"/>
      <c r="K26" s="21"/>
      <c r="L26" s="21"/>
      <c r="M26" s="21"/>
      <c r="N26" s="21"/>
    </row>
  </sheetData>
  <mergeCells count="1">
    <mergeCell ref="A25:N26"/>
  </mergeCells>
  <hyperlinks>
    <hyperlink ref="B1" r:id="rId1" xr:uid="{52B6E490-8F7E-4DE4-AE5B-73BE2B30B70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0CFC2-C56C-43D7-A17D-A1325FEAA5B0}">
  <sheetPr>
    <tabColor theme="8" tint="0.59999389629810485"/>
  </sheetPr>
  <dimension ref="A1:N33"/>
  <sheetViews>
    <sheetView workbookViewId="0">
      <selection activeCell="I20" sqref="I20"/>
    </sheetView>
  </sheetViews>
  <sheetFormatPr defaultRowHeight="15" x14ac:dyDescent="0.25"/>
  <cols>
    <col min="1" max="1" width="26.42578125" bestFit="1" customWidth="1"/>
    <col min="6" max="6" width="9.42578125" customWidth="1"/>
    <col min="8" max="8" width="11.28515625" bestFit="1" customWidth="1"/>
    <col min="9" max="9" width="21.5703125" bestFit="1" customWidth="1"/>
  </cols>
  <sheetData>
    <row r="1" spans="1:14" x14ac:dyDescent="0.25">
      <c r="A1" s="3" t="s">
        <v>0</v>
      </c>
      <c r="B1" s="4" t="s">
        <v>6</v>
      </c>
    </row>
    <row r="2" spans="1:14" x14ac:dyDescent="0.25">
      <c r="A2" s="3"/>
      <c r="B2" s="4" t="s">
        <v>7</v>
      </c>
    </row>
    <row r="4" spans="1:14" x14ac:dyDescent="0.25">
      <c r="A4" s="2" t="s">
        <v>18</v>
      </c>
      <c r="B4" t="s">
        <v>97</v>
      </c>
    </row>
    <row r="6" spans="1:14" x14ac:dyDescent="0.25">
      <c r="A6" s="1" t="s">
        <v>1</v>
      </c>
    </row>
    <row r="8" spans="1:14" x14ac:dyDescent="0.25">
      <c r="A8" t="s">
        <v>98</v>
      </c>
    </row>
    <row r="10" spans="1:14" x14ac:dyDescent="0.25">
      <c r="A10" s="21" t="s">
        <v>99</v>
      </c>
      <c r="B10" s="21"/>
      <c r="C10" s="21"/>
      <c r="D10" s="21"/>
      <c r="E10" s="21"/>
      <c r="F10" s="21"/>
      <c r="G10" s="21"/>
      <c r="H10" s="21"/>
      <c r="I10" s="21"/>
      <c r="J10" s="21"/>
      <c r="K10" s="21"/>
      <c r="L10" s="21"/>
      <c r="M10" s="21"/>
      <c r="N10" s="21"/>
    </row>
    <row r="11" spans="1:14" x14ac:dyDescent="0.25">
      <c r="A11" s="21"/>
      <c r="B11" s="21"/>
      <c r="C11" s="21"/>
      <c r="D11" s="21"/>
      <c r="E11" s="21"/>
      <c r="F11" s="21"/>
      <c r="G11" s="21"/>
      <c r="H11" s="21"/>
      <c r="I11" s="21"/>
      <c r="J11" s="21"/>
      <c r="K11" s="21"/>
      <c r="L11" s="21"/>
      <c r="M11" s="21"/>
      <c r="N11" s="21"/>
    </row>
    <row r="13" spans="1:14" x14ac:dyDescent="0.25">
      <c r="A13" s="1" t="s">
        <v>2</v>
      </c>
    </row>
    <row r="15" spans="1:14" x14ac:dyDescent="0.25">
      <c r="A15" t="s">
        <v>101</v>
      </c>
      <c r="E15" t="s">
        <v>29</v>
      </c>
      <c r="F15" t="s">
        <v>30</v>
      </c>
      <c r="G15" t="s">
        <v>100</v>
      </c>
      <c r="I15" s="11" t="s">
        <v>36</v>
      </c>
    </row>
    <row r="16" spans="1:14" x14ac:dyDescent="0.25">
      <c r="E16">
        <v>500</v>
      </c>
      <c r="F16">
        <v>400</v>
      </c>
      <c r="G16">
        <f>E16-F16</f>
        <v>100</v>
      </c>
      <c r="I16" s="8" t="b">
        <f>_xlfn.ISFORMULA(G16)</f>
        <v>1</v>
      </c>
    </row>
    <row r="17" spans="1:14" x14ac:dyDescent="0.25">
      <c r="E17">
        <v>600</v>
      </c>
      <c r="F17">
        <v>600</v>
      </c>
      <c r="G17">
        <v>0</v>
      </c>
      <c r="I17" s="8" t="b">
        <f t="shared" ref="I17:I19" si="0">_xlfn.ISFORMULA(G17)</f>
        <v>0</v>
      </c>
    </row>
    <row r="18" spans="1:14" x14ac:dyDescent="0.25">
      <c r="E18">
        <v>400</v>
      </c>
      <c r="F18">
        <v>300</v>
      </c>
      <c r="G18">
        <f>F18-E18</f>
        <v>-100</v>
      </c>
      <c r="I18" s="8" t="b">
        <f t="shared" si="0"/>
        <v>1</v>
      </c>
    </row>
    <row r="19" spans="1:14" x14ac:dyDescent="0.25">
      <c r="E19">
        <v>500</v>
      </c>
      <c r="F19">
        <v>700</v>
      </c>
      <c r="G19">
        <f>E19-F19</f>
        <v>-200</v>
      </c>
      <c r="I19" s="8" t="b">
        <f t="shared" si="0"/>
        <v>1</v>
      </c>
    </row>
    <row r="21" spans="1:14" x14ac:dyDescent="0.25">
      <c r="A21" t="s">
        <v>102</v>
      </c>
      <c r="E21" t="s">
        <v>29</v>
      </c>
      <c r="F21" t="s">
        <v>30</v>
      </c>
      <c r="G21" t="s">
        <v>100</v>
      </c>
      <c r="I21" s="11" t="s">
        <v>104</v>
      </c>
    </row>
    <row r="22" spans="1:14" x14ac:dyDescent="0.25">
      <c r="E22">
        <v>500</v>
      </c>
      <c r="F22">
        <v>400</v>
      </c>
      <c r="G22">
        <f>E22-F22</f>
        <v>100</v>
      </c>
      <c r="I22" s="8" t="str">
        <f ca="1">_xlfn.FORMULATEXT(G22)</f>
        <v>=E22-F22</v>
      </c>
    </row>
    <row r="23" spans="1:14" x14ac:dyDescent="0.25">
      <c r="E23">
        <v>600</v>
      </c>
      <c r="F23">
        <v>600</v>
      </c>
      <c r="G23">
        <v>0</v>
      </c>
      <c r="I23" s="8" t="e">
        <f t="shared" ref="I23:I25" ca="1" si="1">_xlfn.FORMULATEXT(G23)</f>
        <v>#N/A</v>
      </c>
      <c r="J23" s="23" t="s">
        <v>103</v>
      </c>
      <c r="K23" s="23"/>
      <c r="L23" s="23"/>
      <c r="M23" s="23"/>
      <c r="N23" s="23"/>
    </row>
    <row r="24" spans="1:14" x14ac:dyDescent="0.25">
      <c r="E24">
        <v>400</v>
      </c>
      <c r="F24">
        <v>300</v>
      </c>
      <c r="G24">
        <f>F24-E24</f>
        <v>-100</v>
      </c>
      <c r="I24" s="8" t="str">
        <f t="shared" ca="1" si="1"/>
        <v>=F24-E24</v>
      </c>
      <c r="J24" s="23"/>
      <c r="K24" s="23"/>
      <c r="L24" s="23"/>
      <c r="M24" s="23"/>
      <c r="N24" s="23"/>
    </row>
    <row r="25" spans="1:14" x14ac:dyDescent="0.25">
      <c r="E25">
        <v>500</v>
      </c>
      <c r="F25">
        <v>700</v>
      </c>
      <c r="G25">
        <f>E25-F25</f>
        <v>-200</v>
      </c>
      <c r="I25" s="8" t="str">
        <f t="shared" ca="1" si="1"/>
        <v>=E25-F25</v>
      </c>
    </row>
    <row r="27" spans="1:14" x14ac:dyDescent="0.25">
      <c r="A27" t="s">
        <v>105</v>
      </c>
    </row>
    <row r="29" spans="1:14" x14ac:dyDescent="0.25">
      <c r="A29" t="s">
        <v>106</v>
      </c>
      <c r="F29" t="s">
        <v>29</v>
      </c>
      <c r="G29" t="s">
        <v>30</v>
      </c>
      <c r="H29" t="s">
        <v>100</v>
      </c>
      <c r="I29" t="s">
        <v>107</v>
      </c>
    </row>
    <row r="30" spans="1:14" x14ac:dyDescent="0.25">
      <c r="F30">
        <v>500</v>
      </c>
      <c r="G30">
        <v>400</v>
      </c>
      <c r="H30">
        <f>Table2[[#This Row],[Budget]]-Table2[[#This Row],[Actual]]</f>
        <v>100</v>
      </c>
      <c r="I30" s="8" t="str">
        <f ca="1">_xlfn.FORMULATEXT(Table2[[#This Row],[Variance]])</f>
        <v>=[@Budget]-[@Actual]</v>
      </c>
    </row>
    <row r="31" spans="1:14" x14ac:dyDescent="0.25">
      <c r="F31">
        <v>600</v>
      </c>
      <c r="G31">
        <v>600</v>
      </c>
      <c r="H31">
        <v>0</v>
      </c>
      <c r="I31" s="8" t="e">
        <f ca="1">_xlfn.FORMULATEXT(Table2[[#This Row],[Variance]])</f>
        <v>#N/A</v>
      </c>
    </row>
    <row r="32" spans="1:14" x14ac:dyDescent="0.25">
      <c r="F32">
        <v>400</v>
      </c>
      <c r="G32">
        <v>300</v>
      </c>
      <c r="H32">
        <f>Table2[[#This Row],[Actual]]-Table2[[#This Row],[Budget]]</f>
        <v>-100</v>
      </c>
      <c r="I32" s="8" t="str">
        <f ca="1">_xlfn.FORMULATEXT(Table2[[#This Row],[Variance]])</f>
        <v>=[@Actual]-[@Budget]</v>
      </c>
    </row>
    <row r="33" spans="6:9" x14ac:dyDescent="0.25">
      <c r="F33">
        <v>500</v>
      </c>
      <c r="G33">
        <v>700</v>
      </c>
      <c r="H33">
        <f>Table2[[#This Row],[Budget]]-Table2[[#This Row],[Actual]]</f>
        <v>-200</v>
      </c>
      <c r="I33" s="8" t="str">
        <f ca="1">_xlfn.FORMULATEXT(Table2[[#This Row],[Variance]])</f>
        <v>=[@Budget]-[@Actual]</v>
      </c>
    </row>
  </sheetData>
  <mergeCells count="2">
    <mergeCell ref="A10:N11"/>
    <mergeCell ref="J23:N24"/>
  </mergeCells>
  <hyperlinks>
    <hyperlink ref="B1" r:id="rId1" xr:uid="{4A6EE1E2-2977-43CC-A8C8-53D780AA5753}"/>
    <hyperlink ref="B2" r:id="rId2" xr:uid="{AEF3BC3E-51D0-454C-9324-F9209174CD52}"/>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5B12-9A71-48AF-98C2-0D8A423B34EE}">
  <sheetPr>
    <tabColor theme="8" tint="0.59999389629810485"/>
  </sheetPr>
  <dimension ref="A1:N34"/>
  <sheetViews>
    <sheetView workbookViewId="0">
      <selection activeCell="D21" sqref="D21"/>
    </sheetView>
  </sheetViews>
  <sheetFormatPr defaultRowHeight="15" x14ac:dyDescent="0.25"/>
  <cols>
    <col min="1" max="1" width="26.42578125" bestFit="1" customWidth="1"/>
    <col min="6" max="6" width="12.5703125" bestFit="1" customWidth="1"/>
    <col min="7" max="7" width="16.42578125" bestFit="1" customWidth="1"/>
    <col min="8" max="8" width="8.140625" bestFit="1" customWidth="1"/>
  </cols>
  <sheetData>
    <row r="1" spans="1:14" x14ac:dyDescent="0.25">
      <c r="A1" s="3" t="s">
        <v>0</v>
      </c>
      <c r="B1" s="4" t="s">
        <v>8</v>
      </c>
    </row>
    <row r="2" spans="1:14" x14ac:dyDescent="0.25">
      <c r="B2" s="4" t="s">
        <v>9</v>
      </c>
    </row>
    <row r="4" spans="1:14" x14ac:dyDescent="0.25">
      <c r="A4" s="3" t="s">
        <v>18</v>
      </c>
      <c r="B4" t="s">
        <v>83</v>
      </c>
    </row>
    <row r="6" spans="1:14" x14ac:dyDescent="0.25">
      <c r="A6" s="1" t="s">
        <v>1</v>
      </c>
    </row>
    <row r="8" spans="1:14" x14ac:dyDescent="0.25">
      <c r="A8" s="21" t="s">
        <v>108</v>
      </c>
      <c r="B8" s="21"/>
      <c r="C8" s="21"/>
      <c r="D8" s="21"/>
      <c r="E8" s="21"/>
      <c r="F8" s="21"/>
      <c r="G8" s="21"/>
      <c r="H8" s="21"/>
      <c r="I8" s="21"/>
      <c r="J8" s="21"/>
      <c r="K8" s="21"/>
      <c r="L8" s="21"/>
      <c r="M8" s="21"/>
      <c r="N8" s="21"/>
    </row>
    <row r="9" spans="1:14" x14ac:dyDescent="0.25">
      <c r="A9" s="21"/>
      <c r="B9" s="21"/>
      <c r="C9" s="21"/>
      <c r="D9" s="21"/>
      <c r="E9" s="21"/>
      <c r="F9" s="21"/>
      <c r="G9" s="21"/>
      <c r="H9" s="21"/>
      <c r="I9" s="21"/>
      <c r="J9" s="21"/>
      <c r="K9" s="21"/>
      <c r="L9" s="21"/>
      <c r="M9" s="21"/>
      <c r="N9" s="21"/>
    </row>
    <row r="11" spans="1:14" x14ac:dyDescent="0.25">
      <c r="A11" s="1" t="s">
        <v>2</v>
      </c>
    </row>
    <row r="13" spans="1:14" x14ac:dyDescent="0.25">
      <c r="A13" t="s">
        <v>111</v>
      </c>
      <c r="D13" s="13">
        <v>44228</v>
      </c>
      <c r="F13" t="s">
        <v>109</v>
      </c>
      <c r="G13" t="s">
        <v>115</v>
      </c>
      <c r="H13" t="s">
        <v>110</v>
      </c>
    </row>
    <row r="14" spans="1:14" x14ac:dyDescent="0.25">
      <c r="F14" s="12">
        <v>44197</v>
      </c>
      <c r="G14">
        <v>916310</v>
      </c>
      <c r="H14">
        <v>500</v>
      </c>
    </row>
    <row r="15" spans="1:14" x14ac:dyDescent="0.25">
      <c r="A15" t="s">
        <v>36</v>
      </c>
      <c r="D15" s="8">
        <f>_xlfn.MINIFS(H14:H22,F14:F22,D13)</f>
        <v>300</v>
      </c>
      <c r="F15" s="12">
        <v>44228</v>
      </c>
      <c r="G15">
        <v>916310</v>
      </c>
      <c r="H15">
        <v>600</v>
      </c>
    </row>
    <row r="16" spans="1:14" x14ac:dyDescent="0.25">
      <c r="F16" s="12">
        <v>44256</v>
      </c>
      <c r="G16">
        <v>916310</v>
      </c>
      <c r="H16">
        <v>700</v>
      </c>
    </row>
    <row r="17" spans="1:8" x14ac:dyDescent="0.25">
      <c r="A17" t="s">
        <v>112</v>
      </c>
      <c r="D17" s="13">
        <v>44228</v>
      </c>
      <c r="F17" s="12">
        <v>44197</v>
      </c>
      <c r="G17">
        <v>912401</v>
      </c>
      <c r="H17">
        <v>1000</v>
      </c>
    </row>
    <row r="18" spans="1:8" x14ac:dyDescent="0.25">
      <c r="F18" s="12">
        <v>44228</v>
      </c>
      <c r="G18">
        <v>912401</v>
      </c>
      <c r="H18">
        <v>800</v>
      </c>
    </row>
    <row r="19" spans="1:8" x14ac:dyDescent="0.25">
      <c r="A19" t="s">
        <v>55</v>
      </c>
      <c r="D19" s="8">
        <f>_xlfn.MAXIFS(H14:H22,F14:F22,D17)</f>
        <v>800</v>
      </c>
      <c r="F19" s="12">
        <v>44256</v>
      </c>
      <c r="G19">
        <v>912401</v>
      </c>
      <c r="H19">
        <v>200</v>
      </c>
    </row>
    <row r="20" spans="1:8" x14ac:dyDescent="0.25">
      <c r="F20" s="12">
        <v>44197</v>
      </c>
      <c r="G20">
        <v>917605</v>
      </c>
      <c r="H20">
        <v>600</v>
      </c>
    </row>
    <row r="21" spans="1:8" x14ac:dyDescent="0.25">
      <c r="A21" t="s">
        <v>113</v>
      </c>
      <c r="D21" s="14">
        <v>916310</v>
      </c>
      <c r="F21" s="12">
        <v>44228</v>
      </c>
      <c r="G21">
        <v>917605</v>
      </c>
      <c r="H21">
        <v>300</v>
      </c>
    </row>
    <row r="22" spans="1:8" x14ac:dyDescent="0.25">
      <c r="F22" s="12">
        <v>44256</v>
      </c>
      <c r="G22">
        <v>917605</v>
      </c>
      <c r="H22">
        <v>400</v>
      </c>
    </row>
    <row r="23" spans="1:8" x14ac:dyDescent="0.25">
      <c r="A23" t="s">
        <v>60</v>
      </c>
      <c r="D23" s="8">
        <f>_xlfn.MINIFS(H14:H22,G14:G22,D21)</f>
        <v>500</v>
      </c>
    </row>
    <row r="25" spans="1:8" x14ac:dyDescent="0.25">
      <c r="A25" t="s">
        <v>114</v>
      </c>
      <c r="D25" s="14">
        <v>916310</v>
      </c>
    </row>
    <row r="27" spans="1:8" x14ac:dyDescent="0.25">
      <c r="A27" t="s">
        <v>62</v>
      </c>
      <c r="D27" s="8">
        <f>_xlfn.MAXIFS(H14:H22,G14:G22,D25)</f>
        <v>700</v>
      </c>
    </row>
    <row r="29" spans="1:8" x14ac:dyDescent="0.25">
      <c r="A29" t="s">
        <v>117</v>
      </c>
      <c r="C29" s="13">
        <v>44256</v>
      </c>
      <c r="D29" s="24" t="s">
        <v>116</v>
      </c>
      <c r="E29" s="24"/>
      <c r="F29" s="7">
        <v>917605</v>
      </c>
    </row>
    <row r="31" spans="1:8" x14ac:dyDescent="0.25">
      <c r="A31" t="s">
        <v>118</v>
      </c>
      <c r="C31" s="8">
        <f>_xlfn.MAXIFS(H14:H22,F14:F22,"&lt;"&amp;C29,G14:G22,F29)</f>
        <v>600</v>
      </c>
    </row>
    <row r="33" spans="1:14" x14ac:dyDescent="0.25">
      <c r="A33" t="s">
        <v>119</v>
      </c>
      <c r="J33" s="8" t="e">
        <f>_xlfn.MINIFS(H14:H22,G14:G16,916310)</f>
        <v>#VALUE!</v>
      </c>
      <c r="K33" s="23" t="s">
        <v>120</v>
      </c>
      <c r="L33" s="23"/>
      <c r="M33" s="23"/>
      <c r="N33" s="23"/>
    </row>
    <row r="34" spans="1:14" x14ac:dyDescent="0.25">
      <c r="K34" s="23"/>
      <c r="L34" s="23"/>
      <c r="M34" s="23"/>
      <c r="N34" s="23"/>
    </row>
  </sheetData>
  <mergeCells count="3">
    <mergeCell ref="A8:N9"/>
    <mergeCell ref="D29:E29"/>
    <mergeCell ref="K33:N34"/>
  </mergeCells>
  <hyperlinks>
    <hyperlink ref="B1" r:id="rId1" xr:uid="{D131627D-BD9A-47D4-A926-087CBCF22C70}"/>
    <hyperlink ref="B2" r:id="rId2" xr:uid="{0B64C86B-F2F2-4664-9E7D-8A15C53F0C7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43DC-4326-4993-BCB5-5F892C413515}">
  <sheetPr>
    <tabColor theme="5" tint="-0.249977111117893"/>
  </sheetPr>
  <dimension ref="A1:I53"/>
  <sheetViews>
    <sheetView workbookViewId="0">
      <selection activeCell="D9" sqref="D9"/>
    </sheetView>
  </sheetViews>
  <sheetFormatPr defaultRowHeight="15" x14ac:dyDescent="0.25"/>
  <sheetData>
    <row r="1" spans="1:2" x14ac:dyDescent="0.25">
      <c r="A1" s="1" t="s">
        <v>373</v>
      </c>
    </row>
    <row r="3" spans="1:2" x14ac:dyDescent="0.25">
      <c r="A3" t="s">
        <v>361</v>
      </c>
    </row>
    <row r="5" spans="1:2" x14ac:dyDescent="0.25">
      <c r="A5" t="s">
        <v>362</v>
      </c>
    </row>
    <row r="7" spans="1:2" x14ac:dyDescent="0.25">
      <c r="A7" t="s">
        <v>363</v>
      </c>
    </row>
    <row r="9" spans="1:2" x14ac:dyDescent="0.25">
      <c r="A9" s="1" t="s">
        <v>364</v>
      </c>
    </row>
    <row r="11" spans="1:2" x14ac:dyDescent="0.25">
      <c r="A11" t="s">
        <v>365</v>
      </c>
    </row>
    <row r="13" spans="1:2" x14ac:dyDescent="0.25">
      <c r="A13">
        <v>1</v>
      </c>
      <c r="B13">
        <f>A13*2</f>
        <v>2</v>
      </c>
    </row>
    <row r="14" spans="1:2" x14ac:dyDescent="0.25">
      <c r="A14">
        <v>2</v>
      </c>
      <c r="B14">
        <f t="shared" ref="B14:B20" si="0">A14*2</f>
        <v>4</v>
      </c>
    </row>
    <row r="15" spans="1:2" x14ac:dyDescent="0.25">
      <c r="A15">
        <v>3</v>
      </c>
      <c r="B15">
        <f t="shared" si="0"/>
        <v>6</v>
      </c>
    </row>
    <row r="16" spans="1:2" x14ac:dyDescent="0.25">
      <c r="A16">
        <v>4</v>
      </c>
      <c r="B16">
        <f t="shared" si="0"/>
        <v>8</v>
      </c>
    </row>
    <row r="17" spans="1:6" x14ac:dyDescent="0.25">
      <c r="A17">
        <v>5</v>
      </c>
      <c r="B17">
        <f t="shared" si="0"/>
        <v>10</v>
      </c>
    </row>
    <row r="18" spans="1:6" x14ac:dyDescent="0.25">
      <c r="A18">
        <v>6</v>
      </c>
      <c r="B18">
        <f t="shared" si="0"/>
        <v>12</v>
      </c>
    </row>
    <row r="19" spans="1:6" x14ac:dyDescent="0.25">
      <c r="A19">
        <v>7</v>
      </c>
      <c r="B19">
        <f t="shared" si="0"/>
        <v>14</v>
      </c>
    </row>
    <row r="20" spans="1:6" x14ac:dyDescent="0.25">
      <c r="A20">
        <v>8</v>
      </c>
      <c r="B20">
        <f t="shared" si="0"/>
        <v>16</v>
      </c>
    </row>
    <row r="22" spans="1:6" x14ac:dyDescent="0.25">
      <c r="A22" t="s">
        <v>366</v>
      </c>
    </row>
    <row r="24" spans="1:6" x14ac:dyDescent="0.25">
      <c r="A24">
        <v>1</v>
      </c>
      <c r="B24" cm="1">
        <f t="array" ref="B24:B31">A24:A31*2</f>
        <v>2</v>
      </c>
      <c r="D24" cm="1">
        <f t="array" ref="D24:F27">_xlfn.SEQUENCE(4,3,1,1)</f>
        <v>1</v>
      </c>
      <c r="E24">
        <v>2</v>
      </c>
      <c r="F24">
        <v>3</v>
      </c>
    </row>
    <row r="25" spans="1:6" x14ac:dyDescent="0.25">
      <c r="A25">
        <v>2</v>
      </c>
      <c r="B25">
        <v>4</v>
      </c>
      <c r="D25">
        <v>4</v>
      </c>
      <c r="E25">
        <v>5</v>
      </c>
      <c r="F25">
        <v>6</v>
      </c>
    </row>
    <row r="26" spans="1:6" x14ac:dyDescent="0.25">
      <c r="A26">
        <v>3</v>
      </c>
      <c r="B26">
        <v>6</v>
      </c>
      <c r="D26">
        <v>7</v>
      </c>
      <c r="E26">
        <v>8</v>
      </c>
      <c r="F26">
        <v>9</v>
      </c>
    </row>
    <row r="27" spans="1:6" x14ac:dyDescent="0.25">
      <c r="A27">
        <v>4</v>
      </c>
      <c r="B27">
        <v>8</v>
      </c>
      <c r="D27">
        <v>10</v>
      </c>
      <c r="E27">
        <v>11</v>
      </c>
      <c r="F27">
        <v>12</v>
      </c>
    </row>
    <row r="28" spans="1:6" x14ac:dyDescent="0.25">
      <c r="A28">
        <v>5</v>
      </c>
      <c r="B28">
        <v>10</v>
      </c>
    </row>
    <row r="29" spans="1:6" x14ac:dyDescent="0.25">
      <c r="A29">
        <v>6</v>
      </c>
      <c r="B29">
        <v>12</v>
      </c>
    </row>
    <row r="30" spans="1:6" x14ac:dyDescent="0.25">
      <c r="A30">
        <v>7</v>
      </c>
      <c r="B30">
        <v>14</v>
      </c>
    </row>
    <row r="31" spans="1:6" x14ac:dyDescent="0.25">
      <c r="A31">
        <v>8</v>
      </c>
      <c r="B31">
        <v>16</v>
      </c>
    </row>
    <row r="33" spans="1:9" x14ac:dyDescent="0.25">
      <c r="A33" t="s">
        <v>370</v>
      </c>
    </row>
    <row r="35" spans="1:9" x14ac:dyDescent="0.25">
      <c r="A35" t="s">
        <v>367</v>
      </c>
    </row>
    <row r="36" spans="1:9" x14ac:dyDescent="0.25">
      <c r="A36" t="s">
        <v>371</v>
      </c>
    </row>
    <row r="38" spans="1:9" x14ac:dyDescent="0.25">
      <c r="A38" cm="1">
        <f t="array" ref="A38:A45">_xlfn.ANCHORARRAY(B24)</f>
        <v>2</v>
      </c>
      <c r="C38" cm="1">
        <f t="array" ref="C38:C45">_xlfn.ANCHORARRAY(A38)*5</f>
        <v>10</v>
      </c>
      <c r="E38" cm="1">
        <f t="array" ref="E38:E45">_xlfn.ANCHORARRAY(C38)-_xlfn.ANCHORARRAY(A38)</f>
        <v>8</v>
      </c>
      <c r="G38" cm="1">
        <f t="array" ref="G38:I41">_xlfn.ANCHORARRAY(D24)-5</f>
        <v>-4</v>
      </c>
      <c r="H38">
        <v>-3</v>
      </c>
      <c r="I38">
        <v>-2</v>
      </c>
    </row>
    <row r="39" spans="1:9" x14ac:dyDescent="0.25">
      <c r="A39">
        <v>4</v>
      </c>
      <c r="C39">
        <v>20</v>
      </c>
      <c r="E39">
        <v>16</v>
      </c>
      <c r="G39">
        <v>-1</v>
      </c>
      <c r="H39">
        <v>0</v>
      </c>
      <c r="I39">
        <v>1</v>
      </c>
    </row>
    <row r="40" spans="1:9" x14ac:dyDescent="0.25">
      <c r="A40">
        <v>6</v>
      </c>
      <c r="C40">
        <v>30</v>
      </c>
      <c r="E40">
        <v>24</v>
      </c>
      <c r="G40">
        <v>2</v>
      </c>
      <c r="H40">
        <v>3</v>
      </c>
      <c r="I40">
        <v>4</v>
      </c>
    </row>
    <row r="41" spans="1:9" x14ac:dyDescent="0.25">
      <c r="A41">
        <v>8</v>
      </c>
      <c r="C41">
        <v>40</v>
      </c>
      <c r="E41">
        <v>32</v>
      </c>
      <c r="G41">
        <v>5</v>
      </c>
      <c r="H41">
        <v>6</v>
      </c>
      <c r="I41">
        <v>7</v>
      </c>
    </row>
    <row r="42" spans="1:9" x14ac:dyDescent="0.25">
      <c r="A42">
        <v>10</v>
      </c>
      <c r="C42">
        <v>50</v>
      </c>
      <c r="E42">
        <v>40</v>
      </c>
    </row>
    <row r="43" spans="1:9" x14ac:dyDescent="0.25">
      <c r="A43">
        <v>12</v>
      </c>
      <c r="C43">
        <v>60</v>
      </c>
      <c r="E43">
        <v>48</v>
      </c>
    </row>
    <row r="44" spans="1:9" x14ac:dyDescent="0.25">
      <c r="A44">
        <v>14</v>
      </c>
      <c r="C44">
        <v>70</v>
      </c>
      <c r="E44">
        <v>56</v>
      </c>
    </row>
    <row r="45" spans="1:9" x14ac:dyDescent="0.25">
      <c r="A45">
        <v>16</v>
      </c>
      <c r="C45">
        <v>80</v>
      </c>
      <c r="E45">
        <v>64</v>
      </c>
    </row>
    <row r="47" spans="1:9" x14ac:dyDescent="0.25">
      <c r="A47" t="s">
        <v>368</v>
      </c>
    </row>
    <row r="48" spans="1:9" x14ac:dyDescent="0.25">
      <c r="A48" t="s">
        <v>372</v>
      </c>
    </row>
    <row r="50" spans="1:5" x14ac:dyDescent="0.25">
      <c r="A50" t="e" cm="1" vm="1">
        <f t="array" aca="1" ref="A50" ca="1">_xlfn.ANCHORARRAY(A38)</f>
        <v>#VALUE!</v>
      </c>
      <c r="C50" t="e" cm="1" vm="2">
        <f t="array" aca="1" ref="C50" ca="1">_xlfn.ANCHORARRAY(G38)</f>
        <v>#VALUE!</v>
      </c>
    </row>
    <row r="52" spans="1:5" x14ac:dyDescent="0.25">
      <c r="E52" t="s">
        <v>369</v>
      </c>
    </row>
    <row r="53" spans="1:5" x14ac:dyDescent="0.25">
      <c r="A53" t="s">
        <v>369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91CC-C4CD-4228-9201-87649419C528}">
  <sheetPr>
    <tabColor theme="5" tint="0.59999389629810485"/>
  </sheetPr>
  <dimension ref="A1:AD154"/>
  <sheetViews>
    <sheetView workbookViewId="0">
      <pane xSplit="5" ySplit="15" topLeftCell="F16" activePane="bottomRight" state="frozen"/>
      <selection pane="topRight" activeCell="F1" sqref="F1"/>
      <selection pane="bottomLeft" activeCell="A16" sqref="A16"/>
      <selection pane="bottomRight" activeCell="A17" sqref="A17"/>
    </sheetView>
  </sheetViews>
  <sheetFormatPr defaultRowHeight="15" x14ac:dyDescent="0.25"/>
  <cols>
    <col min="1" max="1" width="26.42578125" bestFit="1" customWidth="1"/>
    <col min="2" max="2" width="47.7109375" customWidth="1"/>
    <col min="3" max="3" width="55.5703125" bestFit="1" customWidth="1"/>
    <col min="7" max="7" width="12.28515625" bestFit="1" customWidth="1"/>
    <col min="8" max="8" width="57" bestFit="1" customWidth="1"/>
    <col min="9" max="9" width="47.85546875" bestFit="1" customWidth="1"/>
    <col min="10" max="10" width="7.28515625" bestFit="1" customWidth="1"/>
    <col min="11" max="11" width="6.5703125" bestFit="1" customWidth="1"/>
    <col min="13" max="13" width="52.5703125" bestFit="1" customWidth="1"/>
    <col min="14" max="14" width="14.7109375" bestFit="1" customWidth="1"/>
    <col min="16" max="16" width="14.7109375" bestFit="1" customWidth="1"/>
    <col min="17" max="17" width="59.140625" bestFit="1" customWidth="1"/>
    <col min="19" max="19" width="25.140625" bestFit="1" customWidth="1"/>
    <col min="23" max="23" width="40.85546875" bestFit="1" customWidth="1"/>
    <col min="28" max="28" width="14.7109375" bestFit="1" customWidth="1"/>
    <col min="29" max="29" width="33.42578125" bestFit="1" customWidth="1"/>
    <col min="30" max="30" width="6.5703125" bestFit="1" customWidth="1"/>
  </cols>
  <sheetData>
    <row r="1" spans="1:29" x14ac:dyDescent="0.25">
      <c r="A1" s="3" t="s">
        <v>0</v>
      </c>
      <c r="B1" s="4" t="s">
        <v>10</v>
      </c>
    </row>
    <row r="3" spans="1:29" x14ac:dyDescent="0.25">
      <c r="A3" s="3" t="s">
        <v>18</v>
      </c>
      <c r="B3" t="s">
        <v>17</v>
      </c>
    </row>
    <row r="5" spans="1:29" x14ac:dyDescent="0.25">
      <c r="A5" s="1" t="s">
        <v>1</v>
      </c>
    </row>
    <row r="7" spans="1:29" x14ac:dyDescent="0.25">
      <c r="A7" t="s">
        <v>122</v>
      </c>
    </row>
    <row r="9" spans="1:29" x14ac:dyDescent="0.25">
      <c r="A9" t="s">
        <v>123</v>
      </c>
    </row>
    <row r="11" spans="1:29" x14ac:dyDescent="0.25">
      <c r="A11" t="s">
        <v>124</v>
      </c>
    </row>
    <row r="13" spans="1:29" x14ac:dyDescent="0.25">
      <c r="A13" t="s">
        <v>125</v>
      </c>
      <c r="Q13" t="s">
        <v>300</v>
      </c>
    </row>
    <row r="14" spans="1:29" x14ac:dyDescent="0.25">
      <c r="M14" t="s">
        <v>297</v>
      </c>
      <c r="N14" s="7" t="s">
        <v>167</v>
      </c>
      <c r="Q14" t="s">
        <v>298</v>
      </c>
    </row>
    <row r="15" spans="1:29" x14ac:dyDescent="0.25">
      <c r="A15" s="1" t="s">
        <v>2</v>
      </c>
      <c r="H15" t="s">
        <v>291</v>
      </c>
      <c r="I15" s="7" t="s">
        <v>151</v>
      </c>
      <c r="M15" t="s">
        <v>292</v>
      </c>
      <c r="N15" s="7" t="s">
        <v>168</v>
      </c>
      <c r="P15" t="s">
        <v>299</v>
      </c>
      <c r="Q15" s="7" t="s">
        <v>167</v>
      </c>
      <c r="S15" t="s">
        <v>301</v>
      </c>
      <c r="T15" s="7">
        <v>500</v>
      </c>
      <c r="U15" s="7">
        <v>600</v>
      </c>
      <c r="W15" t="s">
        <v>302</v>
      </c>
      <c r="X15" s="7">
        <v>-3000</v>
      </c>
      <c r="AC15" t="s">
        <v>374</v>
      </c>
    </row>
    <row r="17" spans="1:30" x14ac:dyDescent="0.25">
      <c r="A17" t="s">
        <v>26</v>
      </c>
      <c r="B17" t="s">
        <v>27</v>
      </c>
      <c r="C17" t="s">
        <v>28</v>
      </c>
      <c r="D17" t="s">
        <v>29</v>
      </c>
      <c r="E17" t="s">
        <v>30</v>
      </c>
      <c r="G17" s="15" t="s">
        <v>26</v>
      </c>
      <c r="H17" s="16" t="s">
        <v>27</v>
      </c>
      <c r="I17" s="17" t="s">
        <v>28</v>
      </c>
      <c r="J17" s="16" t="s">
        <v>29</v>
      </c>
      <c r="K17" s="17" t="s">
        <v>30</v>
      </c>
      <c r="M17" s="17" t="s">
        <v>28</v>
      </c>
      <c r="P17" s="16" t="s">
        <v>26</v>
      </c>
      <c r="Q17" s="17" t="s">
        <v>28</v>
      </c>
      <c r="S17" s="16" t="s">
        <v>28</v>
      </c>
      <c r="T17" s="16" t="s">
        <v>29</v>
      </c>
      <c r="U17" s="17" t="s">
        <v>30</v>
      </c>
      <c r="W17" s="16" t="s">
        <v>28</v>
      </c>
      <c r="X17" s="16" t="s">
        <v>29</v>
      </c>
      <c r="Y17" s="17" t="s">
        <v>30</v>
      </c>
      <c r="Z17" s="18" t="s">
        <v>100</v>
      </c>
      <c r="AB17" s="16" t="s">
        <v>26</v>
      </c>
      <c r="AC17" s="16" t="s">
        <v>28</v>
      </c>
      <c r="AD17" s="17" t="s">
        <v>30</v>
      </c>
    </row>
    <row r="18" spans="1:30" x14ac:dyDescent="0.25">
      <c r="A18" t="s">
        <v>126</v>
      </c>
      <c r="B18" t="s">
        <v>127</v>
      </c>
      <c r="C18" t="s">
        <v>128</v>
      </c>
      <c r="D18" s="19">
        <v>4305</v>
      </c>
      <c r="E18" s="19">
        <v>3956</v>
      </c>
      <c r="G18" t="str" cm="1">
        <f t="array" ref="G18:K42">_xlfn._xlws.FILTER(tblFilterCCs[],tblFilterCCs[Division]=I15,"Nothing Found")</f>
        <v>COMMUNITY</v>
      </c>
      <c r="H18" t="str">
        <v>COMMUNITY MANAGEMENT</v>
      </c>
      <c r="I18" t="str">
        <v>912103 Youth Forum</v>
      </c>
      <c r="J18">
        <v>1452</v>
      </c>
      <c r="K18">
        <v>2562</v>
      </c>
      <c r="M18" t="str" cm="1">
        <f t="array" ref="M18:M22">_xlfn._xlws.FILTER(tblFilterCCs[Cost Centre],tblFilterCCs[Directorate]=N15,"Nothing Found")</f>
        <v>913204 Critical Care</v>
      </c>
      <c r="P18" t="str" cm="1">
        <f t="array" ref="P18:Q76">_xlfn._xlws.FILTER(_xlfn._xlws.FILTER(tblFilterCCs[],tblFilterCCs[Division]=Q15,"Nothing Found"),{1,0,1,0,0},"Nothing Found")</f>
        <v>SURGICAL CARE</v>
      </c>
      <c r="Q18" t="str">
        <v>912407 Audiology</v>
      </c>
      <c r="S18" t="str" cm="1">
        <f t="array" ref="S18:U19">_xlfn._xlws.FILTER(tblFilterCCs[[Cost Centre]:[Actual]],(tblFilterCCs[Budget]&gt;=T15)*(tblFilterCCs[Budget]&lt;=U15),"Nothing Found")</f>
        <v>912201 Accident &amp; Emergency</v>
      </c>
      <c r="T18">
        <v>509</v>
      </c>
      <c r="U18">
        <v>3932</v>
      </c>
      <c r="W18" t="str" cm="1">
        <f t="array" ref="W18:Y26">_xlfn._xlws.FILTER(tblFilterCCs[[Cost Centre]:[Actual]],((tblFilterCCs[Budget]-tblFilterCCs[Actual])&lt;X15),"Nothing Found")</f>
        <v>911313 Ward 3c</v>
      </c>
      <c r="X18">
        <v>1600</v>
      </c>
      <c r="Y18">
        <v>4615</v>
      </c>
      <c r="Z18" cm="1">
        <f t="array" ref="Z18:Z26">_xlfn._xlws.FILTER(_xlfn.ANCHORARRAY(W18),{0,1,0},"Nothing Found")-_xlfn._xlws.FILTER(_xlfn.ANCHORARRAY(W18),{0,0,1},"Nothing Found")</f>
        <v>-3015</v>
      </c>
      <c r="AB18" t="str" cm="1">
        <f t="array" ref="AB18:AB26">_xlfn._xlws.FILTER(_xlfn._xlws.FILTER(tblFilterCCs[],tblFilterCCs[#Headers]=AB17),(tblFilterCCs[Budget]-tblFilterCCs[Actual])&lt;$X$15,"Nothing Found")</f>
        <v>MEDICINE</v>
      </c>
      <c r="AC18" t="str" cm="1">
        <f t="array" ref="AC18:AC26">_xlfn._xlws.FILTER(_xlfn._xlws.FILTER(tblFilterCCs[],tblFilterCCs[#Headers]=AC17),(tblFilterCCs[Budget]-tblFilterCCs[Actual])&lt;$X$15,"Nothing Found")</f>
        <v>911313 Ward 3c</v>
      </c>
      <c r="AD18" cm="1">
        <f t="array" ref="AD18:AD26">_xlfn._xlws.FILTER(_xlfn._xlws.FILTER(tblFilterCCs[],tblFilterCCs[#Headers]=AD17),(tblFilterCCs[Budget]-tblFilterCCs[Actual])&lt;$X$15,"Nothing Found")</f>
        <v>4615</v>
      </c>
    </row>
    <row r="19" spans="1:30" x14ac:dyDescent="0.25">
      <c r="A19" t="s">
        <v>126</v>
      </c>
      <c r="B19" t="s">
        <v>127</v>
      </c>
      <c r="C19" t="s">
        <v>129</v>
      </c>
      <c r="D19" s="19">
        <v>4785</v>
      </c>
      <c r="E19" s="19">
        <v>3142</v>
      </c>
      <c r="G19" t="str">
        <v>COMMUNITY</v>
      </c>
      <c r="H19" t="str">
        <v>CAMHS AND TIER 4 IN-PATIENT SERVICES</v>
      </c>
      <c r="I19" t="str">
        <v>912303 South Sefton Camhs Team</v>
      </c>
      <c r="J19">
        <v>801</v>
      </c>
      <c r="K19">
        <v>694</v>
      </c>
      <c r="M19" t="str">
        <v>913207 Ecmo Service</v>
      </c>
      <c r="P19" t="str">
        <v>SURGICAL CARE</v>
      </c>
      <c r="Q19" t="str">
        <v>913201 Burns Unit</v>
      </c>
      <c r="S19" t="str">
        <v>914204 Neurosurgery</v>
      </c>
      <c r="T19">
        <v>597</v>
      </c>
      <c r="U19">
        <v>1468</v>
      </c>
      <c r="W19" t="str">
        <v>912201 Accident &amp; Emergency</v>
      </c>
      <c r="X19">
        <v>509</v>
      </c>
      <c r="Y19">
        <v>3932</v>
      </c>
      <c r="Z19">
        <v>-3423</v>
      </c>
      <c r="AB19" t="str">
        <v>MEDICINE</v>
      </c>
      <c r="AC19" t="str">
        <v>912201 Accident &amp; Emergency</v>
      </c>
      <c r="AD19">
        <v>3932</v>
      </c>
    </row>
    <row r="20" spans="1:30" x14ac:dyDescent="0.25">
      <c r="A20" t="s">
        <v>126</v>
      </c>
      <c r="B20" t="s">
        <v>127</v>
      </c>
      <c r="C20" t="s">
        <v>130</v>
      </c>
      <c r="D20" s="19">
        <v>280</v>
      </c>
      <c r="E20" s="19">
        <v>378</v>
      </c>
      <c r="G20" t="str">
        <v>COMMUNITY</v>
      </c>
      <c r="H20" t="str">
        <v>CAMHS AND TIER 4 IN-PATIENT SERVICES</v>
      </c>
      <c r="I20" t="str">
        <v>912306 North Liverpool Camhs</v>
      </c>
      <c r="J20">
        <v>2948</v>
      </c>
      <c r="K20">
        <v>3358</v>
      </c>
      <c r="M20" t="str">
        <v>913208 Critical Care Ward</v>
      </c>
      <c r="P20" t="str">
        <v>SURGICAL CARE</v>
      </c>
      <c r="Q20" t="str">
        <v>913204 Critical Care</v>
      </c>
      <c r="W20" t="str">
        <v>912404 Homecare Nursing Team</v>
      </c>
      <c r="X20">
        <v>417</v>
      </c>
      <c r="Y20">
        <v>4746</v>
      </c>
      <c r="Z20">
        <v>-4329</v>
      </c>
      <c r="AB20" t="str">
        <v>COMMUNITY</v>
      </c>
      <c r="AC20" t="str">
        <v>912404 Homecare Nursing Team</v>
      </c>
      <c r="AD20">
        <v>4746</v>
      </c>
    </row>
    <row r="21" spans="1:30" x14ac:dyDescent="0.25">
      <c r="A21" t="s">
        <v>126</v>
      </c>
      <c r="B21" t="s">
        <v>131</v>
      </c>
      <c r="C21" t="s">
        <v>132</v>
      </c>
      <c r="D21" s="19">
        <v>4331</v>
      </c>
      <c r="E21" s="19">
        <v>2741</v>
      </c>
      <c r="G21" t="str">
        <v>COMMUNITY</v>
      </c>
      <c r="H21" t="str">
        <v>CAMHS AND TIER 4 IN-PATIENT SERVICES</v>
      </c>
      <c r="I21" t="str">
        <v>912308 Camhs Med Staff Tier 3</v>
      </c>
      <c r="J21">
        <v>2334</v>
      </c>
      <c r="K21">
        <v>1188</v>
      </c>
      <c r="M21" t="str">
        <v>913209 Critical Care Income</v>
      </c>
      <c r="P21" t="str">
        <v>SURGICAL CARE</v>
      </c>
      <c r="Q21" t="str">
        <v>913206 Perfusionists</v>
      </c>
      <c r="W21" t="str">
        <v>913209 Critical Care Income</v>
      </c>
      <c r="X21">
        <v>162</v>
      </c>
      <c r="Y21">
        <v>4338</v>
      </c>
      <c r="Z21">
        <v>-4176</v>
      </c>
      <c r="AB21" t="str">
        <v>SURGICAL CARE</v>
      </c>
      <c r="AC21" t="str">
        <v>913209 Critical Care Income</v>
      </c>
      <c r="AD21">
        <v>4338</v>
      </c>
    </row>
    <row r="22" spans="1:30" x14ac:dyDescent="0.25">
      <c r="A22" t="s">
        <v>126</v>
      </c>
      <c r="B22" t="s">
        <v>131</v>
      </c>
      <c r="C22" t="s">
        <v>133</v>
      </c>
      <c r="D22" s="19">
        <v>2356</v>
      </c>
      <c r="E22" s="19">
        <v>4499</v>
      </c>
      <c r="G22" t="str">
        <v>COMMUNITY</v>
      </c>
      <c r="H22" t="str">
        <v>CAMHS AND TIER 4 IN-PATIENT SERVICES</v>
      </c>
      <c r="I22" t="str">
        <v>912309 3tc Sefton</v>
      </c>
      <c r="J22">
        <v>932</v>
      </c>
      <c r="K22">
        <v>3705</v>
      </c>
      <c r="M22" t="str">
        <v>913210 High Dependancy Unit (Hdu)</v>
      </c>
      <c r="P22" t="str">
        <v>SURGICAL CARE</v>
      </c>
      <c r="Q22" t="str">
        <v>913207 Ecmo Service</v>
      </c>
      <c r="W22" t="str">
        <v>913301 Ward 1c Neonatal</v>
      </c>
      <c r="X22">
        <v>339</v>
      </c>
      <c r="Y22">
        <v>4033</v>
      </c>
      <c r="Z22">
        <v>-3694</v>
      </c>
      <c r="AB22" t="str">
        <v>SURGICAL CARE</v>
      </c>
      <c r="AC22" t="str">
        <v>913301 Ward 1c Neonatal</v>
      </c>
      <c r="AD22">
        <v>4033</v>
      </c>
    </row>
    <row r="23" spans="1:30" x14ac:dyDescent="0.25">
      <c r="A23" t="s">
        <v>126</v>
      </c>
      <c r="B23" t="s">
        <v>131</v>
      </c>
      <c r="C23" t="s">
        <v>134</v>
      </c>
      <c r="D23" s="19">
        <v>489</v>
      </c>
      <c r="E23" s="19">
        <v>1670</v>
      </c>
      <c r="G23" t="str">
        <v>COMMUNITY</v>
      </c>
      <c r="H23" t="str">
        <v>CAMHS AND TIER 4 IN-PATIENT SERVICES</v>
      </c>
      <c r="I23" t="str">
        <v>912310 Dewi Jones Unit</v>
      </c>
      <c r="J23">
        <v>3111</v>
      </c>
      <c r="K23">
        <v>4143</v>
      </c>
      <c r="P23" t="str">
        <v>SURGICAL CARE</v>
      </c>
      <c r="Q23" t="str">
        <v>913208 Critical Care Ward</v>
      </c>
      <c r="W23" t="str">
        <v>914310 Ent</v>
      </c>
      <c r="X23">
        <v>157</v>
      </c>
      <c r="Y23">
        <v>3669</v>
      </c>
      <c r="Z23">
        <v>-3512</v>
      </c>
      <c r="AB23" t="str">
        <v>SURGICAL CARE</v>
      </c>
      <c r="AC23" t="str">
        <v>914310 Ent</v>
      </c>
      <c r="AD23">
        <v>3669</v>
      </c>
    </row>
    <row r="24" spans="1:30" x14ac:dyDescent="0.25">
      <c r="A24" t="s">
        <v>126</v>
      </c>
      <c r="B24" t="s">
        <v>135</v>
      </c>
      <c r="C24" t="s">
        <v>136</v>
      </c>
      <c r="D24" s="19">
        <v>2798</v>
      </c>
      <c r="E24" s="19">
        <v>4346</v>
      </c>
      <c r="G24" t="str">
        <v>COMMUNITY</v>
      </c>
      <c r="H24" t="str">
        <v>CAMHS AND TIER 4 IN-PATIENT SERVICES</v>
      </c>
      <c r="I24" t="str">
        <v>912325 Crisis Care</v>
      </c>
      <c r="J24">
        <v>4957</v>
      </c>
      <c r="K24">
        <v>3955</v>
      </c>
      <c r="P24" t="str">
        <v>SURGICAL CARE</v>
      </c>
      <c r="Q24" t="str">
        <v>913209 Critical Care Income</v>
      </c>
      <c r="W24" t="str">
        <v>915403 Anaesthetics</v>
      </c>
      <c r="X24">
        <v>487</v>
      </c>
      <c r="Y24">
        <v>3972</v>
      </c>
      <c r="Z24">
        <v>-3485</v>
      </c>
      <c r="AB24" t="str">
        <v>SURGICAL CARE</v>
      </c>
      <c r="AC24" t="str">
        <v>915403 Anaesthetics</v>
      </c>
      <c r="AD24">
        <v>3972</v>
      </c>
    </row>
    <row r="25" spans="1:30" x14ac:dyDescent="0.25">
      <c r="A25" t="s">
        <v>126</v>
      </c>
      <c r="B25" t="s">
        <v>135</v>
      </c>
      <c r="C25" t="s">
        <v>137</v>
      </c>
      <c r="D25" s="19">
        <v>3812</v>
      </c>
      <c r="E25" s="19">
        <v>885</v>
      </c>
      <c r="G25" t="str">
        <v>COMMUNITY</v>
      </c>
      <c r="H25" t="str">
        <v>CAMHS AND TIER 4 IN-PATIENT SERVICES</v>
      </c>
      <c r="I25" t="str">
        <v>912326 Fresh Camhs Liverpool</v>
      </c>
      <c r="J25">
        <v>2751</v>
      </c>
      <c r="K25">
        <v>1453</v>
      </c>
      <c r="P25" t="str">
        <v>SURGICAL CARE</v>
      </c>
      <c r="Q25" t="str">
        <v>913210 High Dependancy Unit (Hdu)</v>
      </c>
      <c r="W25" t="str">
        <v>916402 Pharmacy</v>
      </c>
      <c r="X25">
        <v>1120</v>
      </c>
      <c r="Y25">
        <v>4871</v>
      </c>
      <c r="Z25">
        <v>-3751</v>
      </c>
      <c r="AB25" t="str">
        <v>MEDICINE</v>
      </c>
      <c r="AC25" t="str">
        <v>916402 Pharmacy</v>
      </c>
      <c r="AD25">
        <v>4871</v>
      </c>
    </row>
    <row r="26" spans="1:30" x14ac:dyDescent="0.25">
      <c r="A26" t="s">
        <v>126</v>
      </c>
      <c r="B26" t="s">
        <v>131</v>
      </c>
      <c r="C26" t="s">
        <v>138</v>
      </c>
      <c r="D26" s="19">
        <v>2752</v>
      </c>
      <c r="E26" s="19">
        <v>1020</v>
      </c>
      <c r="G26" t="str">
        <v>COMMUNITY</v>
      </c>
      <c r="H26" t="str">
        <v>CAMHS AND TIER 4 IN-PATIENT SERVICES</v>
      </c>
      <c r="I26" t="str">
        <v>912327 Sefton Tier 3</v>
      </c>
      <c r="J26">
        <v>4959</v>
      </c>
      <c r="K26">
        <v>779</v>
      </c>
      <c r="P26" t="str">
        <v>SURGICAL CARE</v>
      </c>
      <c r="Q26" t="str">
        <v>913301 Ward 1c Neonatal</v>
      </c>
      <c r="W26" t="str">
        <v>916403 Aseptic Unit</v>
      </c>
      <c r="X26">
        <v>324</v>
      </c>
      <c r="Y26">
        <v>4365</v>
      </c>
      <c r="Z26">
        <v>-4041</v>
      </c>
      <c r="AB26" t="str">
        <v>MEDICINE</v>
      </c>
      <c r="AC26" t="str">
        <v>916403 Aseptic Unit</v>
      </c>
      <c r="AD26">
        <v>4365</v>
      </c>
    </row>
    <row r="27" spans="1:30" x14ac:dyDescent="0.25">
      <c r="A27" t="s">
        <v>126</v>
      </c>
      <c r="B27" t="s">
        <v>131</v>
      </c>
      <c r="C27" t="s">
        <v>139</v>
      </c>
      <c r="D27" s="19">
        <v>4471</v>
      </c>
      <c r="E27" s="19">
        <v>2189</v>
      </c>
      <c r="G27" t="str">
        <v>COMMUNITY</v>
      </c>
      <c r="H27" t="str">
        <v>CAMHS AND TIER 4 IN-PATIENT SERVICES</v>
      </c>
      <c r="I27" t="str">
        <v>912330 Eating Disorder Service</v>
      </c>
      <c r="J27">
        <v>4127</v>
      </c>
      <c r="K27">
        <v>4190</v>
      </c>
      <c r="P27" t="str">
        <v>SURGICAL CARE</v>
      </c>
      <c r="Q27" t="str">
        <v>913302 Ecg</v>
      </c>
    </row>
    <row r="28" spans="1:30" x14ac:dyDescent="0.25">
      <c r="A28" t="s">
        <v>126</v>
      </c>
      <c r="B28" t="s">
        <v>131</v>
      </c>
      <c r="C28" t="s">
        <v>140</v>
      </c>
      <c r="D28" s="19">
        <v>3595</v>
      </c>
      <c r="E28" s="19">
        <v>3583</v>
      </c>
      <c r="G28" t="str">
        <v>COMMUNITY</v>
      </c>
      <c r="H28" t="str">
        <v>CAMHS AND TIER 4 IN-PATIENT SERVICES</v>
      </c>
      <c r="I28" t="str">
        <v>912332 Sefton MHST</v>
      </c>
      <c r="J28">
        <v>3801</v>
      </c>
      <c r="K28">
        <v>4496</v>
      </c>
      <c r="P28" t="str">
        <v>SURGICAL CARE</v>
      </c>
      <c r="Q28" t="str">
        <v>913304 Cardiac Surgery</v>
      </c>
    </row>
    <row r="29" spans="1:30" x14ac:dyDescent="0.25">
      <c r="A29" t="s">
        <v>126</v>
      </c>
      <c r="B29" t="s">
        <v>131</v>
      </c>
      <c r="C29" t="s">
        <v>141</v>
      </c>
      <c r="D29" s="19">
        <v>1321</v>
      </c>
      <c r="E29" s="19">
        <v>620</v>
      </c>
      <c r="G29" t="str">
        <v>COMMUNITY</v>
      </c>
      <c r="H29" t="str">
        <v>NEURODEVELOPMENTAL PAEDIATRICS &amp; STATUTORY SERVICES</v>
      </c>
      <c r="I29" t="str">
        <v>912402 Community Paediatrics</v>
      </c>
      <c r="J29">
        <v>1698</v>
      </c>
      <c r="K29">
        <v>1659</v>
      </c>
      <c r="P29" t="str">
        <v>SURGICAL CARE</v>
      </c>
      <c r="Q29" t="str">
        <v>913305 Cardiology</v>
      </c>
    </row>
    <row r="30" spans="1:30" x14ac:dyDescent="0.25">
      <c r="A30" t="s">
        <v>126</v>
      </c>
      <c r="B30" t="s">
        <v>131</v>
      </c>
      <c r="C30" t="s">
        <v>142</v>
      </c>
      <c r="D30" s="19">
        <v>1600</v>
      </c>
      <c r="E30" s="19">
        <v>4615</v>
      </c>
      <c r="G30" t="str">
        <v>COMMUNITY</v>
      </c>
      <c r="H30" t="str">
        <v>NEURODEVELOPMENTAL PAEDIATRICS &amp; STATUTORY SERVICES</v>
      </c>
      <c r="I30" t="str">
        <v>912403 Rainbow Centre</v>
      </c>
      <c r="J30">
        <v>2388</v>
      </c>
      <c r="K30">
        <v>1613</v>
      </c>
      <c r="P30" t="str">
        <v>SURGICAL CARE</v>
      </c>
      <c r="Q30" t="str">
        <v>913307 Ward 1c</v>
      </c>
    </row>
    <row r="31" spans="1:30" x14ac:dyDescent="0.25">
      <c r="A31" t="s">
        <v>126</v>
      </c>
      <c r="B31" t="s">
        <v>131</v>
      </c>
      <c r="C31" t="s">
        <v>143</v>
      </c>
      <c r="D31" s="19">
        <v>2909</v>
      </c>
      <c r="E31" s="19">
        <v>1393</v>
      </c>
      <c r="G31" t="str">
        <v>COMMUNITY</v>
      </c>
      <c r="H31" t="str">
        <v>SPECIALIST COMMUNITY SERVICES</v>
      </c>
      <c r="I31" t="str">
        <v>912404 Homecare Nursing Team</v>
      </c>
      <c r="J31">
        <v>417</v>
      </c>
      <c r="K31">
        <v>4746</v>
      </c>
      <c r="P31" t="str">
        <v>SURGICAL CARE</v>
      </c>
      <c r="Q31" t="str">
        <v>914203 Neurosurgery Ward</v>
      </c>
    </row>
    <row r="32" spans="1:30" x14ac:dyDescent="0.25">
      <c r="A32" t="s">
        <v>126</v>
      </c>
      <c r="B32" t="s">
        <v>131</v>
      </c>
      <c r="C32" t="s">
        <v>144</v>
      </c>
      <c r="D32" s="19">
        <v>3395</v>
      </c>
      <c r="E32" s="19">
        <v>3303</v>
      </c>
      <c r="G32" t="str">
        <v>COMMUNITY</v>
      </c>
      <c r="H32" t="str">
        <v>SPECIALIST COMMUNITY SERVICES</v>
      </c>
      <c r="I32" t="str">
        <v>912406 Children'S Community Nursing Team</v>
      </c>
      <c r="J32">
        <v>4019</v>
      </c>
      <c r="K32">
        <v>2079</v>
      </c>
      <c r="P32" t="str">
        <v>SURGICAL CARE</v>
      </c>
      <c r="Q32" t="str">
        <v>914204 Neurosurgery</v>
      </c>
    </row>
    <row r="33" spans="1:17" x14ac:dyDescent="0.25">
      <c r="A33" t="s">
        <v>126</v>
      </c>
      <c r="B33" t="s">
        <v>135</v>
      </c>
      <c r="C33" t="s">
        <v>145</v>
      </c>
      <c r="D33" s="19">
        <v>3748</v>
      </c>
      <c r="E33" s="19">
        <v>1525</v>
      </c>
      <c r="G33" t="str">
        <v>COMMUNITY</v>
      </c>
      <c r="H33" t="str">
        <v>NEURODEVELOPMENTAL PAEDIATRICS &amp; STATUTORY SERVICES</v>
      </c>
      <c r="I33" t="str">
        <v>912411 Social Work Support</v>
      </c>
      <c r="J33">
        <v>1875</v>
      </c>
      <c r="K33">
        <v>1584</v>
      </c>
      <c r="P33" t="str">
        <v>SURGICAL CARE</v>
      </c>
      <c r="Q33" t="str">
        <v>914206 Craniofacial</v>
      </c>
    </row>
    <row r="34" spans="1:17" x14ac:dyDescent="0.25">
      <c r="A34" t="s">
        <v>126</v>
      </c>
      <c r="B34" t="s">
        <v>135</v>
      </c>
      <c r="C34" t="s">
        <v>146</v>
      </c>
      <c r="D34" s="19">
        <v>1274</v>
      </c>
      <c r="E34" s="19">
        <v>2557</v>
      </c>
      <c r="G34" t="str">
        <v>COMMUNITY</v>
      </c>
      <c r="H34" t="str">
        <v>NEURODEVELOPMENTAL PAEDIATRICS &amp; STATUTORY SERVICES</v>
      </c>
      <c r="I34" t="str">
        <v>912412 Neurodevelopmental Paediatrics - Asd</v>
      </c>
      <c r="J34">
        <v>3982</v>
      </c>
      <c r="K34">
        <v>448</v>
      </c>
      <c r="P34" t="str">
        <v>SURGICAL CARE</v>
      </c>
      <c r="Q34" t="str">
        <v>914209 Major Trauma</v>
      </c>
    </row>
    <row r="35" spans="1:17" x14ac:dyDescent="0.25">
      <c r="A35" t="s">
        <v>126</v>
      </c>
      <c r="B35" t="s">
        <v>127</v>
      </c>
      <c r="C35" t="s">
        <v>147</v>
      </c>
      <c r="D35" s="19">
        <v>1257</v>
      </c>
      <c r="E35" s="19">
        <v>2310</v>
      </c>
      <c r="G35" t="str">
        <v>COMMUNITY</v>
      </c>
      <c r="H35" t="str">
        <v>SPECIALIST COMMUNITY SERVICES</v>
      </c>
      <c r="I35" t="str">
        <v>912413 Complex Discharge</v>
      </c>
      <c r="J35">
        <v>2197</v>
      </c>
      <c r="K35">
        <v>4276</v>
      </c>
      <c r="P35" t="str">
        <v>SURGICAL CARE</v>
      </c>
      <c r="Q35" t="str">
        <v>914210 Ward 4a</v>
      </c>
    </row>
    <row r="36" spans="1:17" x14ac:dyDescent="0.25">
      <c r="A36" t="s">
        <v>126</v>
      </c>
      <c r="B36" t="s">
        <v>131</v>
      </c>
      <c r="C36" t="s">
        <v>148</v>
      </c>
      <c r="D36" s="19">
        <v>4364</v>
      </c>
      <c r="E36" s="19">
        <v>2351</v>
      </c>
      <c r="G36" t="str">
        <v>COMMUNITY</v>
      </c>
      <c r="H36" t="str">
        <v>SPECIALIST COMMUNITY SERVICES</v>
      </c>
      <c r="I36" t="str">
        <v>912414 Community Dietetics Sefton</v>
      </c>
      <c r="J36">
        <v>2239</v>
      </c>
      <c r="K36">
        <v>2021</v>
      </c>
      <c r="P36" t="str">
        <v>SURGICAL CARE</v>
      </c>
      <c r="Q36" t="str">
        <v>914302 Optometrists</v>
      </c>
    </row>
    <row r="37" spans="1:17" x14ac:dyDescent="0.25">
      <c r="A37" t="s">
        <v>126</v>
      </c>
      <c r="B37" t="s">
        <v>131</v>
      </c>
      <c r="C37" t="s">
        <v>149</v>
      </c>
      <c r="D37" s="19">
        <v>2095</v>
      </c>
      <c r="E37" s="19">
        <v>3296</v>
      </c>
      <c r="G37" t="str">
        <v>COMMUNITY</v>
      </c>
      <c r="H37" t="str">
        <v>SPECIALIST COMMUNITY SERVICES</v>
      </c>
      <c r="I37" t="str">
        <v>912415 Community Services Single Point Of Referral</v>
      </c>
      <c r="J37">
        <v>4695</v>
      </c>
      <c r="K37">
        <v>2350</v>
      </c>
      <c r="P37" t="str">
        <v>SURGICAL CARE</v>
      </c>
      <c r="Q37" t="str">
        <v>914303 Optical Services</v>
      </c>
    </row>
    <row r="38" spans="1:17" x14ac:dyDescent="0.25">
      <c r="A38" t="s">
        <v>126</v>
      </c>
      <c r="B38" t="s">
        <v>135</v>
      </c>
      <c r="C38" t="s">
        <v>150</v>
      </c>
      <c r="D38" s="19">
        <v>2352</v>
      </c>
      <c r="E38" s="19">
        <v>3927</v>
      </c>
      <c r="G38" t="str">
        <v>COMMUNITY</v>
      </c>
      <c r="H38" t="str">
        <v>NEURODEVELOPMENTAL PAEDIATRICS &amp; STATUTORY SERVICES</v>
      </c>
      <c r="I38" t="str">
        <v>912416 Learning Disability</v>
      </c>
      <c r="J38">
        <v>4284</v>
      </c>
      <c r="K38">
        <v>4664</v>
      </c>
      <c r="P38" t="str">
        <v>SURGICAL CARE</v>
      </c>
      <c r="Q38" t="str">
        <v>914304 Ophthalmology</v>
      </c>
    </row>
    <row r="39" spans="1:17" x14ac:dyDescent="0.25">
      <c r="A39" t="s">
        <v>151</v>
      </c>
      <c r="B39" t="s">
        <v>152</v>
      </c>
      <c r="C39" t="s">
        <v>153</v>
      </c>
      <c r="D39" s="19">
        <v>1452</v>
      </c>
      <c r="E39" s="19">
        <v>2562</v>
      </c>
      <c r="G39" t="str">
        <v>COMMUNITY</v>
      </c>
      <c r="H39" t="str">
        <v>OUTPATIENTS</v>
      </c>
      <c r="I39" t="str">
        <v>914311 Outpatients Level 1</v>
      </c>
      <c r="J39">
        <v>3859</v>
      </c>
      <c r="K39">
        <v>4610</v>
      </c>
      <c r="P39" t="str">
        <v>SURGICAL CARE</v>
      </c>
      <c r="Q39" t="str">
        <v>914306 Dentistry</v>
      </c>
    </row>
    <row r="40" spans="1:17" x14ac:dyDescent="0.25">
      <c r="A40" t="s">
        <v>126</v>
      </c>
      <c r="B40" t="s">
        <v>154</v>
      </c>
      <c r="C40" t="s">
        <v>155</v>
      </c>
      <c r="D40" s="19">
        <v>509</v>
      </c>
      <c r="E40" s="19">
        <v>3932</v>
      </c>
      <c r="G40" t="str">
        <v>COMMUNITY</v>
      </c>
      <c r="H40" t="str">
        <v>OUTPATIENTS</v>
      </c>
      <c r="I40" t="str">
        <v>915203 Outpatients Ground Floor</v>
      </c>
      <c r="J40">
        <v>2612</v>
      </c>
      <c r="K40">
        <v>561</v>
      </c>
      <c r="P40" t="str">
        <v>SURGICAL CARE</v>
      </c>
      <c r="Q40" t="str">
        <v>914308 Orthodontics</v>
      </c>
    </row>
    <row r="41" spans="1:17" x14ac:dyDescent="0.25">
      <c r="A41" t="s">
        <v>126</v>
      </c>
      <c r="B41" t="s">
        <v>131</v>
      </c>
      <c r="C41" t="s">
        <v>156</v>
      </c>
      <c r="D41" s="19">
        <v>2709</v>
      </c>
      <c r="E41" s="19">
        <v>232</v>
      </c>
      <c r="G41" t="str">
        <v>COMMUNITY</v>
      </c>
      <c r="H41" t="str">
        <v>OUTPATIENTS</v>
      </c>
      <c r="I41" t="str">
        <v>916503 Outpatients Level 2</v>
      </c>
      <c r="J41">
        <v>2825</v>
      </c>
      <c r="K41">
        <v>4228</v>
      </c>
      <c r="P41" t="str">
        <v>SURGICAL CARE</v>
      </c>
      <c r="Q41" t="str">
        <v>914309 Maxillofacial</v>
      </c>
    </row>
    <row r="42" spans="1:17" x14ac:dyDescent="0.25">
      <c r="A42" t="s">
        <v>126</v>
      </c>
      <c r="B42" t="s">
        <v>154</v>
      </c>
      <c r="C42" t="s">
        <v>157</v>
      </c>
      <c r="D42" s="19">
        <v>2051</v>
      </c>
      <c r="E42" s="19">
        <v>3731</v>
      </c>
      <c r="G42" t="str">
        <v>COMMUNITY</v>
      </c>
      <c r="H42" t="str">
        <v>OUTPATIENTS</v>
      </c>
      <c r="I42" t="str">
        <v>916526 Clinic Reception</v>
      </c>
      <c r="J42">
        <v>2232</v>
      </c>
      <c r="K42">
        <v>1988</v>
      </c>
      <c r="P42" t="str">
        <v>SURGICAL CARE</v>
      </c>
      <c r="Q42" t="str">
        <v>914310 Ent</v>
      </c>
    </row>
    <row r="43" spans="1:17" x14ac:dyDescent="0.25">
      <c r="A43" t="s">
        <v>126</v>
      </c>
      <c r="B43" t="s">
        <v>154</v>
      </c>
      <c r="C43" t="s">
        <v>158</v>
      </c>
      <c r="D43" s="19">
        <v>3517</v>
      </c>
      <c r="E43" s="19">
        <v>4957</v>
      </c>
      <c r="P43" t="str">
        <v>SURGICAL CARE</v>
      </c>
      <c r="Q43" t="str">
        <v>914312 Cleft Lip &amp; Palate</v>
      </c>
    </row>
    <row r="44" spans="1:17" x14ac:dyDescent="0.25">
      <c r="A44" t="s">
        <v>126</v>
      </c>
      <c r="B44" t="s">
        <v>154</v>
      </c>
      <c r="C44" t="s">
        <v>159</v>
      </c>
      <c r="D44" s="19">
        <v>793</v>
      </c>
      <c r="E44" s="19">
        <v>3580</v>
      </c>
      <c r="P44" t="str">
        <v>SURGICAL CARE</v>
      </c>
      <c r="Q44" t="str">
        <v>915204 Orthopaedics</v>
      </c>
    </row>
    <row r="45" spans="1:17" x14ac:dyDescent="0.25">
      <c r="A45" t="s">
        <v>151</v>
      </c>
      <c r="B45" t="s">
        <v>160</v>
      </c>
      <c r="C45" t="s">
        <v>161</v>
      </c>
      <c r="D45" s="19">
        <v>801</v>
      </c>
      <c r="E45" s="19">
        <v>694</v>
      </c>
      <c r="P45" t="str">
        <v>SURGICAL CARE</v>
      </c>
      <c r="Q45" t="str">
        <v>915206 Gait Laboratory</v>
      </c>
    </row>
    <row r="46" spans="1:17" x14ac:dyDescent="0.25">
      <c r="A46" t="s">
        <v>126</v>
      </c>
      <c r="B46" t="s">
        <v>131</v>
      </c>
      <c r="C46" t="s">
        <v>162</v>
      </c>
      <c r="D46" s="19">
        <v>4723</v>
      </c>
      <c r="E46" s="19">
        <v>2425</v>
      </c>
      <c r="P46" t="str">
        <v>SURGICAL CARE</v>
      </c>
      <c r="Q46" t="str">
        <v>915207 Plastic Surgery</v>
      </c>
    </row>
    <row r="47" spans="1:17" x14ac:dyDescent="0.25">
      <c r="A47" t="s">
        <v>151</v>
      </c>
      <c r="B47" t="s">
        <v>160</v>
      </c>
      <c r="C47" t="s">
        <v>163</v>
      </c>
      <c r="D47" s="19">
        <v>2948</v>
      </c>
      <c r="E47" s="19">
        <v>3358</v>
      </c>
      <c r="P47" t="str">
        <v>SURGICAL CARE</v>
      </c>
      <c r="Q47" t="str">
        <v>915210 Spinal Surgery</v>
      </c>
    </row>
    <row r="48" spans="1:17" x14ac:dyDescent="0.25">
      <c r="A48" t="s">
        <v>151</v>
      </c>
      <c r="B48" t="s">
        <v>160</v>
      </c>
      <c r="C48" t="s">
        <v>164</v>
      </c>
      <c r="D48" s="19">
        <v>2334</v>
      </c>
      <c r="E48" s="19">
        <v>1188</v>
      </c>
      <c r="P48" t="str">
        <v>SURGICAL CARE</v>
      </c>
      <c r="Q48" t="str">
        <v>915304 General Surgery</v>
      </c>
    </row>
    <row r="49" spans="1:17" x14ac:dyDescent="0.25">
      <c r="A49" t="s">
        <v>151</v>
      </c>
      <c r="B49" t="s">
        <v>160</v>
      </c>
      <c r="C49" t="s">
        <v>165</v>
      </c>
      <c r="D49" s="19">
        <v>932</v>
      </c>
      <c r="E49" s="19">
        <v>3705</v>
      </c>
      <c r="P49" t="str">
        <v>SURGICAL CARE</v>
      </c>
      <c r="Q49" t="str">
        <v>915305 Urology</v>
      </c>
    </row>
    <row r="50" spans="1:17" x14ac:dyDescent="0.25">
      <c r="A50" t="s">
        <v>151</v>
      </c>
      <c r="B50" t="s">
        <v>160</v>
      </c>
      <c r="C50" t="s">
        <v>166</v>
      </c>
      <c r="D50" s="19">
        <v>3111</v>
      </c>
      <c r="E50" s="19">
        <v>4143</v>
      </c>
      <c r="P50" t="str">
        <v>SURGICAL CARE</v>
      </c>
      <c r="Q50" t="str">
        <v>915306 Gynaecology</v>
      </c>
    </row>
    <row r="51" spans="1:17" x14ac:dyDescent="0.25">
      <c r="A51" t="s">
        <v>151</v>
      </c>
      <c r="B51" t="s">
        <v>160</v>
      </c>
      <c r="C51" t="s">
        <v>170</v>
      </c>
      <c r="D51" s="19">
        <v>4957</v>
      </c>
      <c r="E51" s="19">
        <v>3955</v>
      </c>
      <c r="P51" t="str">
        <v>SURGICAL CARE</v>
      </c>
      <c r="Q51" t="str">
        <v>915307 Neonatal Surgery</v>
      </c>
    </row>
    <row r="52" spans="1:17" x14ac:dyDescent="0.25">
      <c r="A52" t="s">
        <v>151</v>
      </c>
      <c r="B52" t="s">
        <v>160</v>
      </c>
      <c r="C52" t="s">
        <v>171</v>
      </c>
      <c r="D52" s="19">
        <v>2751</v>
      </c>
      <c r="E52" s="19">
        <v>1453</v>
      </c>
      <c r="P52" t="str">
        <v>SURGICAL CARE</v>
      </c>
      <c r="Q52" t="str">
        <v>915309 Ward 3a</v>
      </c>
    </row>
    <row r="53" spans="1:17" x14ac:dyDescent="0.25">
      <c r="A53" t="s">
        <v>151</v>
      </c>
      <c r="B53" t="s">
        <v>160</v>
      </c>
      <c r="C53" t="s">
        <v>172</v>
      </c>
      <c r="D53" s="19">
        <v>4959</v>
      </c>
      <c r="E53" s="19">
        <v>779</v>
      </c>
      <c r="P53" t="str">
        <v>SURGICAL CARE</v>
      </c>
      <c r="Q53" t="str">
        <v>915403 Anaesthetics</v>
      </c>
    </row>
    <row r="54" spans="1:17" x14ac:dyDescent="0.25">
      <c r="A54" t="s">
        <v>151</v>
      </c>
      <c r="B54" t="s">
        <v>160</v>
      </c>
      <c r="C54" t="s">
        <v>173</v>
      </c>
      <c r="D54" s="19">
        <v>4127</v>
      </c>
      <c r="E54" s="19">
        <v>4190</v>
      </c>
      <c r="P54" t="str">
        <v>SURGICAL CARE</v>
      </c>
      <c r="Q54" t="str">
        <v>915405 Cardiothoracic Surgery</v>
      </c>
    </row>
    <row r="55" spans="1:17" x14ac:dyDescent="0.25">
      <c r="A55" t="s">
        <v>151</v>
      </c>
      <c r="B55" t="s">
        <v>160</v>
      </c>
      <c r="C55" t="s">
        <v>174</v>
      </c>
      <c r="D55" s="19">
        <v>3801</v>
      </c>
      <c r="E55" s="19">
        <v>4496</v>
      </c>
      <c r="P55" t="str">
        <v>SURGICAL CARE</v>
      </c>
      <c r="Q55" t="str">
        <v>915406 Neurosurgery Theatre</v>
      </c>
    </row>
    <row r="56" spans="1:17" x14ac:dyDescent="0.25">
      <c r="A56" t="s">
        <v>151</v>
      </c>
      <c r="B56" t="s">
        <v>175</v>
      </c>
      <c r="C56" t="s">
        <v>176</v>
      </c>
      <c r="D56" s="19">
        <v>1698</v>
      </c>
      <c r="E56" s="19">
        <v>1659</v>
      </c>
      <c r="P56" t="str">
        <v>SURGICAL CARE</v>
      </c>
      <c r="Q56" t="str">
        <v>915407 Burns &amp; Plastics Theatre</v>
      </c>
    </row>
    <row r="57" spans="1:17" x14ac:dyDescent="0.25">
      <c r="A57" t="s">
        <v>151</v>
      </c>
      <c r="B57" t="s">
        <v>175</v>
      </c>
      <c r="C57" t="s">
        <v>177</v>
      </c>
      <c r="D57" s="19">
        <v>2388</v>
      </c>
      <c r="E57" s="19">
        <v>1613</v>
      </c>
      <c r="P57" t="str">
        <v>SURGICAL CARE</v>
      </c>
      <c r="Q57" t="str">
        <v>915408 Trauma &amp; Orthopaedics</v>
      </c>
    </row>
    <row r="58" spans="1:17" x14ac:dyDescent="0.25">
      <c r="A58" t="s">
        <v>151</v>
      </c>
      <c r="B58" t="s">
        <v>169</v>
      </c>
      <c r="C58" t="s">
        <v>178</v>
      </c>
      <c r="D58" s="19">
        <v>417</v>
      </c>
      <c r="E58" s="19">
        <v>4746</v>
      </c>
      <c r="P58" t="str">
        <v>SURGICAL CARE</v>
      </c>
      <c r="Q58" t="str">
        <v>915410 Anaesthetic &amp; Recovery</v>
      </c>
    </row>
    <row r="59" spans="1:17" x14ac:dyDescent="0.25">
      <c r="A59" t="s">
        <v>151</v>
      </c>
      <c r="B59" t="s">
        <v>169</v>
      </c>
      <c r="C59" t="s">
        <v>179</v>
      </c>
      <c r="D59" s="19">
        <v>4019</v>
      </c>
      <c r="E59" s="19">
        <v>2079</v>
      </c>
      <c r="P59" t="str">
        <v>SURGICAL CARE</v>
      </c>
      <c r="Q59" t="str">
        <v>915411 Catheterisation Theatre</v>
      </c>
    </row>
    <row r="60" spans="1:17" x14ac:dyDescent="0.25">
      <c r="A60" t="s">
        <v>167</v>
      </c>
      <c r="B60" t="s">
        <v>180</v>
      </c>
      <c r="C60" t="s">
        <v>181</v>
      </c>
      <c r="D60" s="19">
        <v>3392</v>
      </c>
      <c r="E60" s="19">
        <v>2365</v>
      </c>
      <c r="P60" t="str">
        <v>SURGICAL CARE</v>
      </c>
      <c r="Q60" t="str">
        <v>915412 Oral &amp; Surgery &amp; Dentistry</v>
      </c>
    </row>
    <row r="61" spans="1:17" x14ac:dyDescent="0.25">
      <c r="A61" t="s">
        <v>151</v>
      </c>
      <c r="B61" t="s">
        <v>175</v>
      </c>
      <c r="C61" t="s">
        <v>182</v>
      </c>
      <c r="D61" s="19">
        <v>1875</v>
      </c>
      <c r="E61" s="19">
        <v>1584</v>
      </c>
      <c r="P61" t="str">
        <v>SURGICAL CARE</v>
      </c>
      <c r="Q61" t="str">
        <v>915414 Urology Theatre</v>
      </c>
    </row>
    <row r="62" spans="1:17" x14ac:dyDescent="0.25">
      <c r="A62" t="s">
        <v>151</v>
      </c>
      <c r="B62" t="s">
        <v>175</v>
      </c>
      <c r="C62" t="s">
        <v>183</v>
      </c>
      <c r="D62" s="19">
        <v>3982</v>
      </c>
      <c r="E62" s="19">
        <v>448</v>
      </c>
      <c r="P62" t="str">
        <v>SURGICAL CARE</v>
      </c>
      <c r="Q62" t="str">
        <v>915415 Ent Theatre</v>
      </c>
    </row>
    <row r="63" spans="1:17" x14ac:dyDescent="0.25">
      <c r="A63" t="s">
        <v>151</v>
      </c>
      <c r="B63" t="s">
        <v>169</v>
      </c>
      <c r="C63" t="s">
        <v>184</v>
      </c>
      <c r="D63" s="19">
        <v>2197</v>
      </c>
      <c r="E63" s="19">
        <v>4276</v>
      </c>
      <c r="P63" t="str">
        <v>SURGICAL CARE</v>
      </c>
      <c r="Q63" t="str">
        <v>915416 Paediatric Surgery Theatre</v>
      </c>
    </row>
    <row r="64" spans="1:17" x14ac:dyDescent="0.25">
      <c r="A64" t="s">
        <v>151</v>
      </c>
      <c r="B64" t="s">
        <v>169</v>
      </c>
      <c r="C64" t="s">
        <v>185</v>
      </c>
      <c r="D64" s="19">
        <v>2239</v>
      </c>
      <c r="E64" s="19">
        <v>2021</v>
      </c>
      <c r="P64" t="str">
        <v>SURGICAL CARE</v>
      </c>
      <c r="Q64" t="str">
        <v>915418 Surgical Daycase</v>
      </c>
    </row>
    <row r="65" spans="1:17" x14ac:dyDescent="0.25">
      <c r="A65" t="s">
        <v>151</v>
      </c>
      <c r="B65" t="s">
        <v>169</v>
      </c>
      <c r="C65" t="s">
        <v>186</v>
      </c>
      <c r="D65" s="19">
        <v>4695</v>
      </c>
      <c r="E65" s="19">
        <v>2350</v>
      </c>
      <c r="P65" t="str">
        <v>SURGICAL CARE</v>
      </c>
      <c r="Q65" t="str">
        <v>915419 Pre Assessment</v>
      </c>
    </row>
    <row r="66" spans="1:17" x14ac:dyDescent="0.25">
      <c r="A66" t="s">
        <v>151</v>
      </c>
      <c r="B66" t="s">
        <v>175</v>
      </c>
      <c r="C66" t="s">
        <v>187</v>
      </c>
      <c r="D66" s="19">
        <v>4284</v>
      </c>
      <c r="E66" s="19">
        <v>4664</v>
      </c>
      <c r="P66" t="str">
        <v>SURGICAL CARE</v>
      </c>
      <c r="Q66" t="str">
        <v>915420 Theatres - Emergency</v>
      </c>
    </row>
    <row r="67" spans="1:17" x14ac:dyDescent="0.25">
      <c r="A67" t="s">
        <v>167</v>
      </c>
      <c r="B67" t="s">
        <v>188</v>
      </c>
      <c r="C67" t="s">
        <v>189</v>
      </c>
      <c r="D67" s="19">
        <v>702</v>
      </c>
      <c r="E67" s="19">
        <v>3594</v>
      </c>
      <c r="P67" t="str">
        <v>SURGICAL CARE</v>
      </c>
      <c r="Q67" t="str">
        <v>915421 Theatres - Day Case</v>
      </c>
    </row>
    <row r="68" spans="1:17" x14ac:dyDescent="0.25">
      <c r="A68" t="s">
        <v>167</v>
      </c>
      <c r="B68" t="s">
        <v>168</v>
      </c>
      <c r="C68" t="s">
        <v>190</v>
      </c>
      <c r="D68" s="19">
        <v>647</v>
      </c>
      <c r="E68" s="19">
        <v>2946</v>
      </c>
      <c r="P68" t="str">
        <v>SURGICAL CARE</v>
      </c>
      <c r="Q68" t="str">
        <v>915422 Theatres - Recovery</v>
      </c>
    </row>
    <row r="69" spans="1:17" x14ac:dyDescent="0.25">
      <c r="A69" t="s">
        <v>167</v>
      </c>
      <c r="B69" t="s">
        <v>192</v>
      </c>
      <c r="C69" t="s">
        <v>193</v>
      </c>
      <c r="D69" s="19">
        <v>4678</v>
      </c>
      <c r="E69" s="19">
        <v>4856</v>
      </c>
      <c r="P69" t="str">
        <v>SURGICAL CARE</v>
      </c>
      <c r="Q69" t="str">
        <v>915423 Theatres - Anaesthetics</v>
      </c>
    </row>
    <row r="70" spans="1:17" x14ac:dyDescent="0.25">
      <c r="A70" t="s">
        <v>167</v>
      </c>
      <c r="B70" t="s">
        <v>168</v>
      </c>
      <c r="C70" t="s">
        <v>194</v>
      </c>
      <c r="D70" s="19">
        <v>3359</v>
      </c>
      <c r="E70" s="19">
        <v>277</v>
      </c>
      <c r="P70" t="str">
        <v>SURGICAL CARE</v>
      </c>
      <c r="Q70" t="str">
        <v>915424 Theatres - Inpatient Scrub</v>
      </c>
    </row>
    <row r="71" spans="1:17" x14ac:dyDescent="0.25">
      <c r="A71" t="s">
        <v>167</v>
      </c>
      <c r="B71" t="s">
        <v>168</v>
      </c>
      <c r="C71" t="s">
        <v>195</v>
      </c>
      <c r="D71" s="19">
        <v>3715</v>
      </c>
      <c r="E71" s="19">
        <v>3624</v>
      </c>
      <c r="P71" t="str">
        <v>SURGICAL CARE</v>
      </c>
      <c r="Q71" t="str">
        <v>915426 Theatres - General Surgery</v>
      </c>
    </row>
    <row r="72" spans="1:17" x14ac:dyDescent="0.25">
      <c r="A72" t="s">
        <v>167</v>
      </c>
      <c r="B72" t="s">
        <v>168</v>
      </c>
      <c r="C72" t="s">
        <v>196</v>
      </c>
      <c r="D72" s="19">
        <v>162</v>
      </c>
      <c r="E72" s="19">
        <v>4338</v>
      </c>
      <c r="P72" t="str">
        <v>SURGICAL CARE</v>
      </c>
      <c r="Q72" t="str">
        <v>915427 Admissions</v>
      </c>
    </row>
    <row r="73" spans="1:17" x14ac:dyDescent="0.25">
      <c r="A73" t="s">
        <v>167</v>
      </c>
      <c r="B73" t="s">
        <v>168</v>
      </c>
      <c r="C73" t="s">
        <v>197</v>
      </c>
      <c r="D73" s="19">
        <v>1110</v>
      </c>
      <c r="E73" s="19">
        <v>1608</v>
      </c>
      <c r="P73" t="str">
        <v>SURGICAL CARE</v>
      </c>
      <c r="Q73" t="str">
        <v>916205 Medical Illustration</v>
      </c>
    </row>
    <row r="74" spans="1:17" x14ac:dyDescent="0.25">
      <c r="A74" t="s">
        <v>167</v>
      </c>
      <c r="B74" t="s">
        <v>192</v>
      </c>
      <c r="C74" t="s">
        <v>198</v>
      </c>
      <c r="D74" s="19">
        <v>339</v>
      </c>
      <c r="E74" s="19">
        <v>4033</v>
      </c>
      <c r="P74" t="str">
        <v>SURGICAL CARE</v>
      </c>
      <c r="Q74" t="str">
        <v>916516 Orthotics Department</v>
      </c>
    </row>
    <row r="75" spans="1:17" x14ac:dyDescent="0.25">
      <c r="A75" t="s">
        <v>167</v>
      </c>
      <c r="B75" t="s">
        <v>192</v>
      </c>
      <c r="C75" t="s">
        <v>199</v>
      </c>
      <c r="D75" s="19">
        <v>3319</v>
      </c>
      <c r="E75" s="19">
        <v>4698</v>
      </c>
      <c r="P75" t="str">
        <v>SURGICAL CARE</v>
      </c>
      <c r="Q75" t="str">
        <v>916518 Medical Engineering</v>
      </c>
    </row>
    <row r="76" spans="1:17" x14ac:dyDescent="0.25">
      <c r="A76" t="s">
        <v>167</v>
      </c>
      <c r="B76" t="s">
        <v>192</v>
      </c>
      <c r="C76" t="s">
        <v>200</v>
      </c>
      <c r="D76" s="19">
        <v>2504</v>
      </c>
      <c r="E76" s="19">
        <v>3154</v>
      </c>
      <c r="P76" t="str">
        <v>SURGICAL CARE</v>
      </c>
      <c r="Q76" t="str">
        <v>916522 Surgical Admissions Lounge</v>
      </c>
    </row>
    <row r="77" spans="1:17" x14ac:dyDescent="0.25">
      <c r="A77" t="s">
        <v>167</v>
      </c>
      <c r="B77" t="s">
        <v>192</v>
      </c>
      <c r="C77" t="s">
        <v>201</v>
      </c>
      <c r="D77" s="19">
        <v>4477</v>
      </c>
      <c r="E77" s="19">
        <v>2319</v>
      </c>
    </row>
    <row r="78" spans="1:17" x14ac:dyDescent="0.25">
      <c r="A78" t="s">
        <v>167</v>
      </c>
      <c r="B78" t="s">
        <v>192</v>
      </c>
      <c r="C78" t="s">
        <v>202</v>
      </c>
      <c r="D78" s="19">
        <v>4585</v>
      </c>
      <c r="E78" s="19">
        <v>3551</v>
      </c>
    </row>
    <row r="79" spans="1:17" x14ac:dyDescent="0.25">
      <c r="A79" t="s">
        <v>126</v>
      </c>
      <c r="B79" t="s">
        <v>135</v>
      </c>
      <c r="C79" t="s">
        <v>205</v>
      </c>
      <c r="D79" s="19">
        <v>219</v>
      </c>
      <c r="E79" s="19">
        <v>2231</v>
      </c>
    </row>
    <row r="80" spans="1:17" x14ac:dyDescent="0.25">
      <c r="A80" t="s">
        <v>126</v>
      </c>
      <c r="B80" t="s">
        <v>135</v>
      </c>
      <c r="C80" t="s">
        <v>206</v>
      </c>
      <c r="D80" s="19">
        <v>1550</v>
      </c>
      <c r="E80" s="19">
        <v>528</v>
      </c>
    </row>
    <row r="81" spans="1:5" x14ac:dyDescent="0.25">
      <c r="A81" t="s">
        <v>167</v>
      </c>
      <c r="B81" t="s">
        <v>207</v>
      </c>
      <c r="C81" t="s">
        <v>208</v>
      </c>
      <c r="D81" s="19">
        <v>1310</v>
      </c>
      <c r="E81" s="19">
        <v>2147</v>
      </c>
    </row>
    <row r="82" spans="1:5" x14ac:dyDescent="0.25">
      <c r="A82" t="s">
        <v>167</v>
      </c>
      <c r="B82" t="s">
        <v>209</v>
      </c>
      <c r="C82" t="s">
        <v>210</v>
      </c>
      <c r="D82" s="19">
        <v>597</v>
      </c>
      <c r="E82" s="19">
        <v>1468</v>
      </c>
    </row>
    <row r="83" spans="1:5" x14ac:dyDescent="0.25">
      <c r="A83" t="s">
        <v>167</v>
      </c>
      <c r="B83" t="s">
        <v>209</v>
      </c>
      <c r="C83" t="s">
        <v>211</v>
      </c>
      <c r="D83" s="19">
        <v>267</v>
      </c>
      <c r="E83" s="19">
        <v>2686</v>
      </c>
    </row>
    <row r="84" spans="1:5" x14ac:dyDescent="0.25">
      <c r="A84" t="s">
        <v>126</v>
      </c>
      <c r="B84" t="s">
        <v>135</v>
      </c>
      <c r="C84" t="s">
        <v>212</v>
      </c>
      <c r="D84" s="19">
        <v>2381</v>
      </c>
      <c r="E84" s="19">
        <v>4080</v>
      </c>
    </row>
    <row r="85" spans="1:5" x14ac:dyDescent="0.25">
      <c r="A85" t="s">
        <v>167</v>
      </c>
      <c r="B85" t="s">
        <v>204</v>
      </c>
      <c r="C85" t="s">
        <v>213</v>
      </c>
      <c r="D85" s="19">
        <v>4640</v>
      </c>
      <c r="E85" s="19">
        <v>1082</v>
      </c>
    </row>
    <row r="86" spans="1:5" x14ac:dyDescent="0.25">
      <c r="A86" t="s">
        <v>167</v>
      </c>
      <c r="B86" t="s">
        <v>207</v>
      </c>
      <c r="C86" t="s">
        <v>214</v>
      </c>
      <c r="D86" s="19">
        <v>1968</v>
      </c>
      <c r="E86" s="19">
        <v>218</v>
      </c>
    </row>
    <row r="87" spans="1:5" x14ac:dyDescent="0.25">
      <c r="A87" t="s">
        <v>126</v>
      </c>
      <c r="B87" t="s">
        <v>135</v>
      </c>
      <c r="C87" t="s">
        <v>215</v>
      </c>
      <c r="D87" s="19">
        <v>678</v>
      </c>
      <c r="E87" s="19">
        <v>3662</v>
      </c>
    </row>
    <row r="88" spans="1:5" x14ac:dyDescent="0.25">
      <c r="A88" t="s">
        <v>167</v>
      </c>
      <c r="B88" t="s">
        <v>216</v>
      </c>
      <c r="C88" t="s">
        <v>217</v>
      </c>
      <c r="D88" s="19">
        <v>3613</v>
      </c>
      <c r="E88" s="19">
        <v>3359</v>
      </c>
    </row>
    <row r="89" spans="1:5" x14ac:dyDescent="0.25">
      <c r="A89" t="s">
        <v>167</v>
      </c>
      <c r="B89" t="s">
        <v>216</v>
      </c>
      <c r="C89" t="s">
        <v>218</v>
      </c>
      <c r="D89" s="19">
        <v>4643</v>
      </c>
      <c r="E89" s="19">
        <v>2418</v>
      </c>
    </row>
    <row r="90" spans="1:5" x14ac:dyDescent="0.25">
      <c r="A90" t="s">
        <v>167</v>
      </c>
      <c r="B90" t="s">
        <v>216</v>
      </c>
      <c r="C90" t="s">
        <v>219</v>
      </c>
      <c r="D90" s="19">
        <v>3466</v>
      </c>
      <c r="E90" s="19">
        <v>2613</v>
      </c>
    </row>
    <row r="91" spans="1:5" x14ac:dyDescent="0.25">
      <c r="A91" t="s">
        <v>167</v>
      </c>
      <c r="B91" t="s">
        <v>220</v>
      </c>
      <c r="C91" t="s">
        <v>221</v>
      </c>
      <c r="D91" s="19">
        <v>4518</v>
      </c>
      <c r="E91" s="19">
        <v>4591</v>
      </c>
    </row>
    <row r="92" spans="1:5" x14ac:dyDescent="0.25">
      <c r="A92" t="s">
        <v>167</v>
      </c>
      <c r="B92" t="s">
        <v>220</v>
      </c>
      <c r="C92" t="s">
        <v>222</v>
      </c>
      <c r="D92" s="19">
        <v>2295</v>
      </c>
      <c r="E92" s="19">
        <v>2061</v>
      </c>
    </row>
    <row r="93" spans="1:5" x14ac:dyDescent="0.25">
      <c r="A93" t="s">
        <v>167</v>
      </c>
      <c r="B93" t="s">
        <v>220</v>
      </c>
      <c r="C93" t="s">
        <v>223</v>
      </c>
      <c r="D93" s="19">
        <v>4077</v>
      </c>
      <c r="E93" s="19">
        <v>2944</v>
      </c>
    </row>
    <row r="94" spans="1:5" x14ac:dyDescent="0.25">
      <c r="A94" t="s">
        <v>167</v>
      </c>
      <c r="B94" t="s">
        <v>180</v>
      </c>
      <c r="C94" t="s">
        <v>224</v>
      </c>
      <c r="D94" s="19">
        <v>157</v>
      </c>
      <c r="E94" s="19">
        <v>3669</v>
      </c>
    </row>
    <row r="95" spans="1:5" x14ac:dyDescent="0.25">
      <c r="A95" t="s">
        <v>151</v>
      </c>
      <c r="B95" t="s">
        <v>191</v>
      </c>
      <c r="C95" t="s">
        <v>225</v>
      </c>
      <c r="D95" s="19">
        <v>3859</v>
      </c>
      <c r="E95" s="19">
        <v>4610</v>
      </c>
    </row>
    <row r="96" spans="1:5" x14ac:dyDescent="0.25">
      <c r="A96" t="s">
        <v>167</v>
      </c>
      <c r="B96" t="s">
        <v>220</v>
      </c>
      <c r="C96" t="s">
        <v>226</v>
      </c>
      <c r="D96" s="19">
        <v>3392</v>
      </c>
      <c r="E96" s="19">
        <v>456</v>
      </c>
    </row>
    <row r="97" spans="1:5" x14ac:dyDescent="0.25">
      <c r="A97" t="s">
        <v>151</v>
      </c>
      <c r="B97" t="s">
        <v>191</v>
      </c>
      <c r="C97" t="s">
        <v>227</v>
      </c>
      <c r="D97" s="19">
        <v>2612</v>
      </c>
      <c r="E97" s="19">
        <v>561</v>
      </c>
    </row>
    <row r="98" spans="1:5" x14ac:dyDescent="0.25">
      <c r="A98" t="s">
        <v>167</v>
      </c>
      <c r="B98" t="s">
        <v>207</v>
      </c>
      <c r="C98" t="s">
        <v>228</v>
      </c>
      <c r="D98" s="19">
        <v>2013</v>
      </c>
      <c r="E98" s="19">
        <v>2613</v>
      </c>
    </row>
    <row r="99" spans="1:5" x14ac:dyDescent="0.25">
      <c r="A99" t="s">
        <v>167</v>
      </c>
      <c r="B99" t="s">
        <v>207</v>
      </c>
      <c r="C99" t="s">
        <v>229</v>
      </c>
      <c r="D99" s="19">
        <v>1614</v>
      </c>
      <c r="E99" s="19">
        <v>2144</v>
      </c>
    </row>
    <row r="100" spans="1:5" x14ac:dyDescent="0.25">
      <c r="A100" t="s">
        <v>167</v>
      </c>
      <c r="B100" t="s">
        <v>188</v>
      </c>
      <c r="C100" t="s">
        <v>230</v>
      </c>
      <c r="D100" s="19">
        <v>404</v>
      </c>
      <c r="E100" s="19">
        <v>574</v>
      </c>
    </row>
    <row r="101" spans="1:5" x14ac:dyDescent="0.25">
      <c r="A101" t="s">
        <v>167</v>
      </c>
      <c r="B101" t="s">
        <v>207</v>
      </c>
      <c r="C101" t="s">
        <v>231</v>
      </c>
      <c r="D101" s="19">
        <v>4142</v>
      </c>
      <c r="E101" s="19">
        <v>478</v>
      </c>
    </row>
    <row r="102" spans="1:5" x14ac:dyDescent="0.25">
      <c r="A102" t="s">
        <v>167</v>
      </c>
      <c r="B102" t="s">
        <v>203</v>
      </c>
      <c r="C102" t="s">
        <v>232</v>
      </c>
      <c r="D102" s="19">
        <v>4236</v>
      </c>
      <c r="E102" s="19">
        <v>210</v>
      </c>
    </row>
    <row r="103" spans="1:5" x14ac:dyDescent="0.25">
      <c r="A103" t="s">
        <v>167</v>
      </c>
      <c r="B103" t="s">
        <v>203</v>
      </c>
      <c r="C103" t="s">
        <v>233</v>
      </c>
      <c r="D103" s="19">
        <v>3039</v>
      </c>
      <c r="E103" s="19">
        <v>3739</v>
      </c>
    </row>
    <row r="104" spans="1:5" x14ac:dyDescent="0.25">
      <c r="A104" t="s">
        <v>167</v>
      </c>
      <c r="B104" t="s">
        <v>203</v>
      </c>
      <c r="C104" t="s">
        <v>234</v>
      </c>
      <c r="D104" s="19">
        <v>4177</v>
      </c>
      <c r="E104" s="19">
        <v>2771</v>
      </c>
    </row>
    <row r="105" spans="1:5" x14ac:dyDescent="0.25">
      <c r="A105" t="s">
        <v>167</v>
      </c>
      <c r="B105" t="s">
        <v>203</v>
      </c>
      <c r="C105" t="s">
        <v>235</v>
      </c>
      <c r="D105" s="19">
        <v>1831</v>
      </c>
      <c r="E105" s="19">
        <v>4632</v>
      </c>
    </row>
    <row r="106" spans="1:5" x14ac:dyDescent="0.25">
      <c r="A106" t="s">
        <v>167</v>
      </c>
      <c r="B106" t="s">
        <v>203</v>
      </c>
      <c r="C106" t="s">
        <v>236</v>
      </c>
      <c r="D106" s="19">
        <v>1730</v>
      </c>
      <c r="E106" s="19">
        <v>2369</v>
      </c>
    </row>
    <row r="107" spans="1:5" x14ac:dyDescent="0.25">
      <c r="A107" t="s">
        <v>167</v>
      </c>
      <c r="B107" t="s">
        <v>238</v>
      </c>
      <c r="C107" t="s">
        <v>239</v>
      </c>
      <c r="D107" s="19">
        <v>487</v>
      </c>
      <c r="E107" s="19">
        <v>3972</v>
      </c>
    </row>
    <row r="108" spans="1:5" x14ac:dyDescent="0.25">
      <c r="A108" t="s">
        <v>167</v>
      </c>
      <c r="B108" t="s">
        <v>237</v>
      </c>
      <c r="C108" t="s">
        <v>240</v>
      </c>
      <c r="D108" s="19">
        <v>2340</v>
      </c>
      <c r="E108" s="19">
        <v>3388</v>
      </c>
    </row>
    <row r="109" spans="1:5" x14ac:dyDescent="0.25">
      <c r="A109" t="s">
        <v>167</v>
      </c>
      <c r="B109" t="s">
        <v>237</v>
      </c>
      <c r="C109" t="s">
        <v>241</v>
      </c>
      <c r="D109" s="19">
        <v>264</v>
      </c>
      <c r="E109" s="19">
        <v>3263</v>
      </c>
    </row>
    <row r="110" spans="1:5" x14ac:dyDescent="0.25">
      <c r="A110" t="s">
        <v>167</v>
      </c>
      <c r="B110" t="s">
        <v>237</v>
      </c>
      <c r="C110" t="s">
        <v>242</v>
      </c>
      <c r="D110" s="19">
        <v>3132</v>
      </c>
      <c r="E110" s="19">
        <v>1440</v>
      </c>
    </row>
    <row r="111" spans="1:5" x14ac:dyDescent="0.25">
      <c r="A111" t="s">
        <v>167</v>
      </c>
      <c r="B111" t="s">
        <v>237</v>
      </c>
      <c r="C111" t="s">
        <v>243</v>
      </c>
      <c r="D111" s="19">
        <v>1775</v>
      </c>
      <c r="E111" s="19">
        <v>3917</v>
      </c>
    </row>
    <row r="112" spans="1:5" x14ac:dyDescent="0.25">
      <c r="A112" t="s">
        <v>167</v>
      </c>
      <c r="B112" t="s">
        <v>237</v>
      </c>
      <c r="C112" t="s">
        <v>244</v>
      </c>
      <c r="D112" s="19">
        <v>3520</v>
      </c>
      <c r="E112" s="19">
        <v>1507</v>
      </c>
    </row>
    <row r="113" spans="1:5" x14ac:dyDescent="0.25">
      <c r="A113" t="s">
        <v>167</v>
      </c>
      <c r="B113" t="s">
        <v>237</v>
      </c>
      <c r="C113" t="s">
        <v>245</v>
      </c>
      <c r="D113" s="19">
        <v>4285</v>
      </c>
      <c r="E113" s="19">
        <v>4831</v>
      </c>
    </row>
    <row r="114" spans="1:5" x14ac:dyDescent="0.25">
      <c r="A114" t="s">
        <v>167</v>
      </c>
      <c r="B114" t="s">
        <v>237</v>
      </c>
      <c r="C114" t="s">
        <v>246</v>
      </c>
      <c r="D114" s="19">
        <v>2931</v>
      </c>
      <c r="E114" s="19">
        <v>118</v>
      </c>
    </row>
    <row r="115" spans="1:5" x14ac:dyDescent="0.25">
      <c r="A115" t="s">
        <v>167</v>
      </c>
      <c r="B115" t="s">
        <v>237</v>
      </c>
      <c r="C115" t="s">
        <v>247</v>
      </c>
      <c r="D115" s="19">
        <v>4935</v>
      </c>
      <c r="E115" s="19">
        <v>3356</v>
      </c>
    </row>
    <row r="116" spans="1:5" x14ac:dyDescent="0.25">
      <c r="A116" t="s">
        <v>167</v>
      </c>
      <c r="B116" t="s">
        <v>237</v>
      </c>
      <c r="C116" t="s">
        <v>248</v>
      </c>
      <c r="D116" s="19">
        <v>130</v>
      </c>
      <c r="E116" s="19">
        <v>167</v>
      </c>
    </row>
    <row r="117" spans="1:5" x14ac:dyDescent="0.25">
      <c r="A117" t="s">
        <v>167</v>
      </c>
      <c r="B117" t="s">
        <v>237</v>
      </c>
      <c r="C117" t="s">
        <v>249</v>
      </c>
      <c r="D117" s="19">
        <v>1470</v>
      </c>
      <c r="E117" s="19">
        <v>2937</v>
      </c>
    </row>
    <row r="118" spans="1:5" x14ac:dyDescent="0.25">
      <c r="A118" t="s">
        <v>167</v>
      </c>
      <c r="B118" t="s">
        <v>237</v>
      </c>
      <c r="C118" t="s">
        <v>250</v>
      </c>
      <c r="D118" s="19">
        <v>949</v>
      </c>
      <c r="E118" s="19">
        <v>739</v>
      </c>
    </row>
    <row r="119" spans="1:5" x14ac:dyDescent="0.25">
      <c r="A119" t="s">
        <v>167</v>
      </c>
      <c r="B119" t="s">
        <v>238</v>
      </c>
      <c r="C119" t="s">
        <v>251</v>
      </c>
      <c r="D119" s="19">
        <v>129</v>
      </c>
      <c r="E119" s="19">
        <v>2851</v>
      </c>
    </row>
    <row r="120" spans="1:5" x14ac:dyDescent="0.25">
      <c r="A120" t="s">
        <v>167</v>
      </c>
      <c r="B120" t="s">
        <v>237</v>
      </c>
      <c r="C120" t="s">
        <v>252</v>
      </c>
      <c r="D120" s="19">
        <v>4966</v>
      </c>
      <c r="E120" s="19">
        <v>4304</v>
      </c>
    </row>
    <row r="121" spans="1:5" x14ac:dyDescent="0.25">
      <c r="A121" t="s">
        <v>167</v>
      </c>
      <c r="B121" t="s">
        <v>237</v>
      </c>
      <c r="C121" t="s">
        <v>253</v>
      </c>
      <c r="D121" s="19">
        <v>4666</v>
      </c>
      <c r="E121" s="19">
        <v>4670</v>
      </c>
    </row>
    <row r="122" spans="1:5" x14ac:dyDescent="0.25">
      <c r="A122" t="s">
        <v>167</v>
      </c>
      <c r="B122" t="s">
        <v>237</v>
      </c>
      <c r="C122" t="s">
        <v>254</v>
      </c>
      <c r="D122" s="19">
        <v>4488</v>
      </c>
      <c r="E122" s="19">
        <v>1823</v>
      </c>
    </row>
    <row r="123" spans="1:5" x14ac:dyDescent="0.25">
      <c r="A123" t="s">
        <v>167</v>
      </c>
      <c r="B123" t="s">
        <v>237</v>
      </c>
      <c r="C123" t="s">
        <v>255</v>
      </c>
      <c r="D123" s="19">
        <v>3662</v>
      </c>
      <c r="E123" s="19">
        <v>3414</v>
      </c>
    </row>
    <row r="124" spans="1:5" x14ac:dyDescent="0.25">
      <c r="A124" t="s">
        <v>167</v>
      </c>
      <c r="B124" t="s">
        <v>237</v>
      </c>
      <c r="C124" t="s">
        <v>256</v>
      </c>
      <c r="D124" s="19">
        <v>1705</v>
      </c>
      <c r="E124" s="19">
        <v>2261</v>
      </c>
    </row>
    <row r="125" spans="1:5" x14ac:dyDescent="0.25">
      <c r="A125" t="s">
        <v>167</v>
      </c>
      <c r="B125" t="s">
        <v>237</v>
      </c>
      <c r="C125" t="s">
        <v>257</v>
      </c>
      <c r="D125" s="19">
        <v>242</v>
      </c>
      <c r="E125" s="19">
        <v>1316</v>
      </c>
    </row>
    <row r="126" spans="1:5" x14ac:dyDescent="0.25">
      <c r="A126" t="s">
        <v>167</v>
      </c>
      <c r="B126" t="s">
        <v>203</v>
      </c>
      <c r="C126" t="s">
        <v>258</v>
      </c>
      <c r="D126" s="19">
        <v>3582</v>
      </c>
      <c r="E126" s="19">
        <v>3320</v>
      </c>
    </row>
    <row r="127" spans="1:5" x14ac:dyDescent="0.25">
      <c r="A127" t="s">
        <v>126</v>
      </c>
      <c r="B127" t="s">
        <v>259</v>
      </c>
      <c r="C127" t="s">
        <v>260</v>
      </c>
      <c r="D127" s="19">
        <v>4442</v>
      </c>
      <c r="E127" s="19">
        <v>2671</v>
      </c>
    </row>
    <row r="128" spans="1:5" x14ac:dyDescent="0.25">
      <c r="A128" t="s">
        <v>126</v>
      </c>
      <c r="B128" t="s">
        <v>259</v>
      </c>
      <c r="C128" t="s">
        <v>261</v>
      </c>
      <c r="D128" s="19">
        <v>4488</v>
      </c>
      <c r="E128" s="19">
        <v>1651</v>
      </c>
    </row>
    <row r="129" spans="1:5" x14ac:dyDescent="0.25">
      <c r="A129" t="s">
        <v>126</v>
      </c>
      <c r="B129" t="s">
        <v>259</v>
      </c>
      <c r="C129" t="s">
        <v>262</v>
      </c>
      <c r="D129" s="19">
        <v>4124</v>
      </c>
      <c r="E129" s="19">
        <v>177</v>
      </c>
    </row>
    <row r="130" spans="1:5" x14ac:dyDescent="0.25">
      <c r="A130" t="s">
        <v>167</v>
      </c>
      <c r="B130" t="s">
        <v>188</v>
      </c>
      <c r="C130" t="s">
        <v>263</v>
      </c>
      <c r="D130" s="19">
        <v>2187</v>
      </c>
      <c r="E130" s="19">
        <v>1214</v>
      </c>
    </row>
    <row r="131" spans="1:5" x14ac:dyDescent="0.25">
      <c r="A131" t="s">
        <v>126</v>
      </c>
      <c r="B131" t="s">
        <v>259</v>
      </c>
      <c r="C131" t="s">
        <v>264</v>
      </c>
      <c r="D131" s="19">
        <v>2972</v>
      </c>
      <c r="E131" s="19">
        <v>4105</v>
      </c>
    </row>
    <row r="132" spans="1:5" x14ac:dyDescent="0.25">
      <c r="A132" t="s">
        <v>126</v>
      </c>
      <c r="B132" t="s">
        <v>265</v>
      </c>
      <c r="C132" t="s">
        <v>266</v>
      </c>
      <c r="D132" s="19">
        <v>1192</v>
      </c>
      <c r="E132" s="19">
        <v>3257</v>
      </c>
    </row>
    <row r="133" spans="1:5" x14ac:dyDescent="0.25">
      <c r="A133" t="s">
        <v>126</v>
      </c>
      <c r="B133" t="s">
        <v>265</v>
      </c>
      <c r="C133" t="s">
        <v>267</v>
      </c>
      <c r="D133" s="19">
        <v>1783</v>
      </c>
      <c r="E133" s="19">
        <v>1524</v>
      </c>
    </row>
    <row r="134" spans="1:5" x14ac:dyDescent="0.25">
      <c r="A134" t="s">
        <v>126</v>
      </c>
      <c r="B134" t="s">
        <v>265</v>
      </c>
      <c r="C134" t="s">
        <v>268</v>
      </c>
      <c r="D134" s="19">
        <v>1528</v>
      </c>
      <c r="E134" s="19">
        <v>3449</v>
      </c>
    </row>
    <row r="135" spans="1:5" x14ac:dyDescent="0.25">
      <c r="A135" t="s">
        <v>126</v>
      </c>
      <c r="B135" t="s">
        <v>265</v>
      </c>
      <c r="C135" t="s">
        <v>269</v>
      </c>
      <c r="D135" s="19">
        <v>3243</v>
      </c>
      <c r="E135" s="19">
        <v>4209</v>
      </c>
    </row>
    <row r="136" spans="1:5" x14ac:dyDescent="0.25">
      <c r="A136" t="s">
        <v>126</v>
      </c>
      <c r="B136" t="s">
        <v>265</v>
      </c>
      <c r="C136" t="s">
        <v>270</v>
      </c>
      <c r="D136" s="19">
        <v>195</v>
      </c>
      <c r="E136" s="19">
        <v>2525</v>
      </c>
    </row>
    <row r="137" spans="1:5" x14ac:dyDescent="0.25">
      <c r="A137" t="s">
        <v>126</v>
      </c>
      <c r="B137" t="s">
        <v>265</v>
      </c>
      <c r="C137" t="s">
        <v>271</v>
      </c>
      <c r="D137" s="19">
        <v>2014</v>
      </c>
      <c r="E137" s="19">
        <v>4588</v>
      </c>
    </row>
    <row r="138" spans="1:5" x14ac:dyDescent="0.25">
      <c r="A138" t="s">
        <v>126</v>
      </c>
      <c r="B138" t="s">
        <v>265</v>
      </c>
      <c r="C138" t="s">
        <v>272</v>
      </c>
      <c r="D138" s="19">
        <v>4683</v>
      </c>
      <c r="E138" s="19">
        <v>686</v>
      </c>
    </row>
    <row r="139" spans="1:5" x14ac:dyDescent="0.25">
      <c r="A139" t="s">
        <v>126</v>
      </c>
      <c r="B139" t="s">
        <v>265</v>
      </c>
      <c r="C139" t="s">
        <v>273</v>
      </c>
      <c r="D139" s="19">
        <v>3901</v>
      </c>
      <c r="E139" s="19">
        <v>4141</v>
      </c>
    </row>
    <row r="140" spans="1:5" x14ac:dyDescent="0.25">
      <c r="A140" t="s">
        <v>126</v>
      </c>
      <c r="B140" t="s">
        <v>265</v>
      </c>
      <c r="C140" t="s">
        <v>274</v>
      </c>
      <c r="D140" s="19">
        <v>917</v>
      </c>
      <c r="E140" s="19">
        <v>2174</v>
      </c>
    </row>
    <row r="141" spans="1:5" x14ac:dyDescent="0.25">
      <c r="A141" t="s">
        <v>126</v>
      </c>
      <c r="B141" t="s">
        <v>275</v>
      </c>
      <c r="C141" t="s">
        <v>276</v>
      </c>
      <c r="D141" s="19">
        <v>1120</v>
      </c>
      <c r="E141" s="19">
        <v>4871</v>
      </c>
    </row>
    <row r="142" spans="1:5" x14ac:dyDescent="0.25">
      <c r="A142" t="s">
        <v>126</v>
      </c>
      <c r="B142" t="s">
        <v>275</v>
      </c>
      <c r="C142" t="s">
        <v>277</v>
      </c>
      <c r="D142" s="19">
        <v>324</v>
      </c>
      <c r="E142" s="19">
        <v>4365</v>
      </c>
    </row>
    <row r="143" spans="1:5" x14ac:dyDescent="0.25">
      <c r="A143" t="s">
        <v>151</v>
      </c>
      <c r="B143" t="s">
        <v>191</v>
      </c>
      <c r="C143" t="s">
        <v>278</v>
      </c>
      <c r="D143" s="19">
        <v>2825</v>
      </c>
      <c r="E143" s="19">
        <v>4228</v>
      </c>
    </row>
    <row r="144" spans="1:5" x14ac:dyDescent="0.25">
      <c r="A144" t="s">
        <v>126</v>
      </c>
      <c r="B144" t="s">
        <v>154</v>
      </c>
      <c r="C144" t="s">
        <v>279</v>
      </c>
      <c r="D144" s="19">
        <v>1666</v>
      </c>
      <c r="E144" s="19">
        <v>4260</v>
      </c>
    </row>
    <row r="145" spans="1:5" x14ac:dyDescent="0.25">
      <c r="A145" t="s">
        <v>126</v>
      </c>
      <c r="B145" t="s">
        <v>131</v>
      </c>
      <c r="C145" t="s">
        <v>280</v>
      </c>
      <c r="D145" s="19">
        <v>3981</v>
      </c>
      <c r="E145" s="19">
        <v>3409</v>
      </c>
    </row>
    <row r="146" spans="1:5" x14ac:dyDescent="0.25">
      <c r="A146" t="s">
        <v>126</v>
      </c>
      <c r="B146" t="s">
        <v>135</v>
      </c>
      <c r="C146" t="s">
        <v>281</v>
      </c>
      <c r="D146" s="19">
        <v>2358</v>
      </c>
      <c r="E146" s="19">
        <v>3554</v>
      </c>
    </row>
    <row r="147" spans="1:5" x14ac:dyDescent="0.25">
      <c r="A147" t="s">
        <v>126</v>
      </c>
      <c r="B147" t="s">
        <v>135</v>
      </c>
      <c r="C147" t="s">
        <v>282</v>
      </c>
      <c r="D147" s="19">
        <v>4750</v>
      </c>
      <c r="E147" s="19">
        <v>3606</v>
      </c>
    </row>
    <row r="148" spans="1:5" x14ac:dyDescent="0.25">
      <c r="A148" t="s">
        <v>126</v>
      </c>
      <c r="B148" t="s">
        <v>135</v>
      </c>
      <c r="C148" t="s">
        <v>283</v>
      </c>
      <c r="D148" s="19">
        <v>640</v>
      </c>
      <c r="E148" s="19">
        <v>1375</v>
      </c>
    </row>
    <row r="149" spans="1:5" x14ac:dyDescent="0.25">
      <c r="A149" t="s">
        <v>126</v>
      </c>
      <c r="B149" t="s">
        <v>135</v>
      </c>
      <c r="C149" t="s">
        <v>284</v>
      </c>
      <c r="D149" s="19">
        <v>4801</v>
      </c>
      <c r="E149" s="19">
        <v>2946</v>
      </c>
    </row>
    <row r="150" spans="1:5" x14ac:dyDescent="0.25">
      <c r="A150" t="s">
        <v>167</v>
      </c>
      <c r="B150" t="s">
        <v>207</v>
      </c>
      <c r="C150" t="s">
        <v>285</v>
      </c>
      <c r="D150" s="19">
        <v>4703</v>
      </c>
      <c r="E150" s="19">
        <v>4460</v>
      </c>
    </row>
    <row r="151" spans="1:5" x14ac:dyDescent="0.25">
      <c r="A151" t="s">
        <v>167</v>
      </c>
      <c r="B151" t="s">
        <v>286</v>
      </c>
      <c r="C151" t="s">
        <v>287</v>
      </c>
      <c r="D151" s="19">
        <v>3130</v>
      </c>
      <c r="E151" s="19">
        <v>3612</v>
      </c>
    </row>
    <row r="152" spans="1:5" x14ac:dyDescent="0.25">
      <c r="A152" t="s">
        <v>167</v>
      </c>
      <c r="B152" t="s">
        <v>237</v>
      </c>
      <c r="C152" t="s">
        <v>288</v>
      </c>
      <c r="D152" s="19">
        <v>4028</v>
      </c>
      <c r="E152" s="19">
        <v>2052</v>
      </c>
    </row>
    <row r="153" spans="1:5" x14ac:dyDescent="0.25">
      <c r="A153" t="s">
        <v>151</v>
      </c>
      <c r="B153" t="s">
        <v>191</v>
      </c>
      <c r="C153" t="s">
        <v>289</v>
      </c>
      <c r="D153" s="19">
        <v>2232</v>
      </c>
      <c r="E153" s="19">
        <v>1988</v>
      </c>
    </row>
    <row r="154" spans="1:5" x14ac:dyDescent="0.25">
      <c r="A154" t="s">
        <v>126</v>
      </c>
      <c r="B154" t="s">
        <v>127</v>
      </c>
      <c r="C154" t="s">
        <v>290</v>
      </c>
      <c r="D154" s="19">
        <v>3364</v>
      </c>
      <c r="E154" s="19">
        <v>3314</v>
      </c>
    </row>
  </sheetData>
  <dataValidations count="2">
    <dataValidation type="list" allowBlank="1" showInputMessage="1" showErrorMessage="1" sqref="N15" xr:uid="{1312167C-F65C-4A67-9C81-2491E763E193}">
      <formula1>Filter_DivisionDirectorateDropDown</formula1>
    </dataValidation>
    <dataValidation type="list" allowBlank="1" showInputMessage="1" showErrorMessage="1" sqref="I15 N14 Q15" xr:uid="{1BEC1F97-15FA-4B05-B2B5-3D81947DDB0D}">
      <formula1>Filter_DivisionDropDown</formula1>
    </dataValidation>
  </dataValidations>
  <hyperlinks>
    <hyperlink ref="B1" r:id="rId1" xr:uid="{93CAD08F-FC42-48B5-97B4-580A876B44E9}"/>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BF467-81E8-4AC3-9272-9DC98E201A29}">
  <sheetPr>
    <tabColor theme="5" tint="0.59999389629810485"/>
  </sheetPr>
  <dimension ref="A1:Q155"/>
  <sheetViews>
    <sheetView workbookViewId="0">
      <pane xSplit="5" ySplit="16" topLeftCell="F17" activePane="bottomRight" state="frozen"/>
      <selection pane="topRight" activeCell="F1" sqref="F1"/>
      <selection pane="bottomLeft" activeCell="A19" sqref="A19"/>
      <selection pane="bottomRight" activeCell="A16" sqref="A16"/>
    </sheetView>
  </sheetViews>
  <sheetFormatPr defaultRowHeight="15" x14ac:dyDescent="0.25"/>
  <cols>
    <col min="1" max="1" width="26.42578125" bestFit="1" customWidth="1"/>
    <col min="2" max="2" width="47.85546875" customWidth="1"/>
    <col min="3" max="3" width="47.85546875" bestFit="1" customWidth="1"/>
    <col min="4" max="4" width="9.5703125" bestFit="1" customWidth="1"/>
    <col min="5" max="5" width="8.85546875" bestFit="1" customWidth="1"/>
    <col min="7" max="7" width="25.5703125" bestFit="1" customWidth="1"/>
    <col min="8" max="8" width="57" bestFit="1" customWidth="1"/>
    <col min="9" max="9" width="47.85546875" bestFit="1" customWidth="1"/>
    <col min="10" max="10" width="7.28515625" bestFit="1" customWidth="1"/>
    <col min="11" max="11" width="6.5703125" bestFit="1" customWidth="1"/>
    <col min="13" max="13" width="14.7109375" bestFit="1" customWidth="1"/>
    <col min="14" max="14" width="57" bestFit="1" customWidth="1"/>
    <col min="15" max="15" width="47.85546875" bestFit="1" customWidth="1"/>
    <col min="16" max="16" width="11.28515625" bestFit="1" customWidth="1"/>
    <col min="17" max="17" width="6.5703125" bestFit="1" customWidth="1"/>
  </cols>
  <sheetData>
    <row r="1" spans="1:16" x14ac:dyDescent="0.25">
      <c r="A1" s="3" t="s">
        <v>0</v>
      </c>
      <c r="B1" s="4" t="s">
        <v>11</v>
      </c>
    </row>
    <row r="2" spans="1:16" x14ac:dyDescent="0.25">
      <c r="B2" s="4" t="s">
        <v>12</v>
      </c>
    </row>
    <row r="4" spans="1:16" x14ac:dyDescent="0.25">
      <c r="A4" s="3" t="s">
        <v>18</v>
      </c>
      <c r="B4" t="s">
        <v>17</v>
      </c>
    </row>
    <row r="6" spans="1:16" x14ac:dyDescent="0.25">
      <c r="A6" s="1" t="s">
        <v>1</v>
      </c>
    </row>
    <row r="8" spans="1:16" x14ac:dyDescent="0.25">
      <c r="A8" t="s">
        <v>303</v>
      </c>
    </row>
    <row r="10" spans="1:16" x14ac:dyDescent="0.25">
      <c r="A10" t="s">
        <v>304</v>
      </c>
    </row>
    <row r="12" spans="1:16" x14ac:dyDescent="0.25">
      <c r="A12" t="s">
        <v>305</v>
      </c>
    </row>
    <row r="14" spans="1:16" x14ac:dyDescent="0.25">
      <c r="A14" t="s">
        <v>306</v>
      </c>
    </row>
    <row r="16" spans="1:16" x14ac:dyDescent="0.25">
      <c r="A16" s="1" t="s">
        <v>2</v>
      </c>
      <c r="G16" t="s">
        <v>307</v>
      </c>
      <c r="H16" s="7" t="s">
        <v>26</v>
      </c>
      <c r="M16" t="s">
        <v>308</v>
      </c>
      <c r="N16" s="7" t="s">
        <v>26</v>
      </c>
      <c r="O16" t="s">
        <v>309</v>
      </c>
      <c r="P16" s="7" t="s">
        <v>28</v>
      </c>
    </row>
    <row r="18" spans="1:17" x14ac:dyDescent="0.25">
      <c r="A18" t="s">
        <v>26</v>
      </c>
      <c r="B18" t="s">
        <v>27</v>
      </c>
      <c r="C18" t="s">
        <v>28</v>
      </c>
      <c r="D18" t="s">
        <v>29</v>
      </c>
      <c r="E18" t="s">
        <v>30</v>
      </c>
      <c r="G18" s="15" t="s">
        <v>26</v>
      </c>
      <c r="H18" s="16" t="s">
        <v>27</v>
      </c>
      <c r="I18" s="16" t="s">
        <v>28</v>
      </c>
      <c r="J18" s="16" t="s">
        <v>29</v>
      </c>
      <c r="K18" s="17" t="s">
        <v>30</v>
      </c>
      <c r="M18" s="15" t="s">
        <v>26</v>
      </c>
      <c r="N18" s="16" t="s">
        <v>27</v>
      </c>
      <c r="O18" s="16" t="s">
        <v>28</v>
      </c>
      <c r="P18" s="16" t="s">
        <v>29</v>
      </c>
      <c r="Q18" s="17" t="s">
        <v>30</v>
      </c>
    </row>
    <row r="19" spans="1:17" x14ac:dyDescent="0.25">
      <c r="A19" t="s">
        <v>126</v>
      </c>
      <c r="B19" t="s">
        <v>127</v>
      </c>
      <c r="C19" t="s">
        <v>128</v>
      </c>
      <c r="D19" s="19">
        <v>4305</v>
      </c>
      <c r="E19" s="19">
        <v>3956</v>
      </c>
      <c r="G19" t="str" cm="1">
        <f t="array" ref="G19:K155">_xlfn._xlws.SORT(tblFilterCCs[],IFERROR(MATCH(H16,tblSortCCs[#Headers],0),1),1,0)</f>
        <v>COMMUNITY</v>
      </c>
      <c r="H19" t="str">
        <v>COMMUNITY MANAGEMENT</v>
      </c>
      <c r="I19" t="str">
        <v>912103 Youth Forum</v>
      </c>
      <c r="J19">
        <v>1452</v>
      </c>
      <c r="K19">
        <v>2562</v>
      </c>
      <c r="M19" t="str" cm="1">
        <f t="array" ref="M19:Q155">_xlfn.SORTBY(tblSortCCs[],INDEX(tblSortCCs[],0,IFERROR(MATCH(N16,tblSortCCs[#Headers],0),1)),1,INDEX(tblSortCCs[],0,IFERROR(MATCH(P16,tblSortCCs[#Headers],0),1)),1)</f>
        <v>COMMUNITY</v>
      </c>
      <c r="N19" t="str">
        <v>COMMUNITY MANAGEMENT</v>
      </c>
      <c r="O19" t="str">
        <v>912103 Youth Forum</v>
      </c>
      <c r="P19">
        <v>1452</v>
      </c>
      <c r="Q19">
        <v>2562</v>
      </c>
    </row>
    <row r="20" spans="1:17" x14ac:dyDescent="0.25">
      <c r="A20" t="s">
        <v>126</v>
      </c>
      <c r="B20" t="s">
        <v>127</v>
      </c>
      <c r="C20" t="s">
        <v>129</v>
      </c>
      <c r="D20" s="19">
        <v>4785</v>
      </c>
      <c r="E20" s="19">
        <v>3142</v>
      </c>
      <c r="G20" t="str">
        <v>COMMUNITY</v>
      </c>
      <c r="H20" t="str">
        <v>CAMHS AND TIER 4 IN-PATIENT SERVICES</v>
      </c>
      <c r="I20" t="str">
        <v>912303 South Sefton Camhs Team</v>
      </c>
      <c r="J20">
        <v>801</v>
      </c>
      <c r="K20">
        <v>694</v>
      </c>
      <c r="M20" t="str">
        <v>COMMUNITY</v>
      </c>
      <c r="N20" t="str">
        <v>CAMHS AND TIER 4 IN-PATIENT SERVICES</v>
      </c>
      <c r="O20" t="str">
        <v>912303 South Sefton Camhs Team</v>
      </c>
      <c r="P20">
        <v>801</v>
      </c>
      <c r="Q20">
        <v>694</v>
      </c>
    </row>
    <row r="21" spans="1:17" x14ac:dyDescent="0.25">
      <c r="A21" t="s">
        <v>126</v>
      </c>
      <c r="B21" t="s">
        <v>127</v>
      </c>
      <c r="C21" t="s">
        <v>130</v>
      </c>
      <c r="D21" s="19">
        <v>280</v>
      </c>
      <c r="E21" s="19">
        <v>378</v>
      </c>
      <c r="G21" t="str">
        <v>COMMUNITY</v>
      </c>
      <c r="H21" t="str">
        <v>CAMHS AND TIER 4 IN-PATIENT SERVICES</v>
      </c>
      <c r="I21" t="str">
        <v>912306 North Liverpool Camhs</v>
      </c>
      <c r="J21">
        <v>2948</v>
      </c>
      <c r="K21">
        <v>3358</v>
      </c>
      <c r="M21" t="str">
        <v>COMMUNITY</v>
      </c>
      <c r="N21" t="str">
        <v>CAMHS AND TIER 4 IN-PATIENT SERVICES</v>
      </c>
      <c r="O21" t="str">
        <v>912306 North Liverpool Camhs</v>
      </c>
      <c r="P21">
        <v>2948</v>
      </c>
      <c r="Q21">
        <v>3358</v>
      </c>
    </row>
    <row r="22" spans="1:17" x14ac:dyDescent="0.25">
      <c r="A22" t="s">
        <v>126</v>
      </c>
      <c r="B22" t="s">
        <v>131</v>
      </c>
      <c r="C22" t="s">
        <v>132</v>
      </c>
      <c r="D22" s="19">
        <v>4331</v>
      </c>
      <c r="E22" s="19">
        <v>2741</v>
      </c>
      <c r="G22" t="str">
        <v>COMMUNITY</v>
      </c>
      <c r="H22" t="str">
        <v>CAMHS AND TIER 4 IN-PATIENT SERVICES</v>
      </c>
      <c r="I22" t="str">
        <v>912308 Camhs Med Staff Tier 3</v>
      </c>
      <c r="J22">
        <v>2334</v>
      </c>
      <c r="K22">
        <v>1188</v>
      </c>
      <c r="M22" t="str">
        <v>COMMUNITY</v>
      </c>
      <c r="N22" t="str">
        <v>CAMHS AND TIER 4 IN-PATIENT SERVICES</v>
      </c>
      <c r="O22" t="str">
        <v>912308 Camhs Med Staff Tier 3</v>
      </c>
      <c r="P22">
        <v>2334</v>
      </c>
      <c r="Q22">
        <v>1188</v>
      </c>
    </row>
    <row r="23" spans="1:17" x14ac:dyDescent="0.25">
      <c r="A23" t="s">
        <v>126</v>
      </c>
      <c r="B23" t="s">
        <v>131</v>
      </c>
      <c r="C23" t="s">
        <v>133</v>
      </c>
      <c r="D23" s="19">
        <v>2356</v>
      </c>
      <c r="E23" s="19">
        <v>4499</v>
      </c>
      <c r="G23" t="str">
        <v>COMMUNITY</v>
      </c>
      <c r="H23" t="str">
        <v>CAMHS AND TIER 4 IN-PATIENT SERVICES</v>
      </c>
      <c r="I23" t="str">
        <v>912309 3tc Sefton</v>
      </c>
      <c r="J23">
        <v>932</v>
      </c>
      <c r="K23">
        <v>3705</v>
      </c>
      <c r="M23" t="str">
        <v>COMMUNITY</v>
      </c>
      <c r="N23" t="str">
        <v>CAMHS AND TIER 4 IN-PATIENT SERVICES</v>
      </c>
      <c r="O23" t="str">
        <v>912309 3tc Sefton</v>
      </c>
      <c r="P23">
        <v>932</v>
      </c>
      <c r="Q23">
        <v>3705</v>
      </c>
    </row>
    <row r="24" spans="1:17" x14ac:dyDescent="0.25">
      <c r="A24" t="s">
        <v>126</v>
      </c>
      <c r="B24" t="s">
        <v>131</v>
      </c>
      <c r="C24" t="s">
        <v>134</v>
      </c>
      <c r="D24" s="19">
        <v>489</v>
      </c>
      <c r="E24" s="19">
        <v>1670</v>
      </c>
      <c r="G24" t="str">
        <v>COMMUNITY</v>
      </c>
      <c r="H24" t="str">
        <v>CAMHS AND TIER 4 IN-PATIENT SERVICES</v>
      </c>
      <c r="I24" t="str">
        <v>912310 Dewi Jones Unit</v>
      </c>
      <c r="J24">
        <v>3111</v>
      </c>
      <c r="K24">
        <v>4143</v>
      </c>
      <c r="M24" t="str">
        <v>COMMUNITY</v>
      </c>
      <c r="N24" t="str">
        <v>CAMHS AND TIER 4 IN-PATIENT SERVICES</v>
      </c>
      <c r="O24" t="str">
        <v>912310 Dewi Jones Unit</v>
      </c>
      <c r="P24">
        <v>3111</v>
      </c>
      <c r="Q24">
        <v>4143</v>
      </c>
    </row>
    <row r="25" spans="1:17" x14ac:dyDescent="0.25">
      <c r="A25" t="s">
        <v>126</v>
      </c>
      <c r="B25" t="s">
        <v>135</v>
      </c>
      <c r="C25" t="s">
        <v>136</v>
      </c>
      <c r="D25" s="19">
        <v>2798</v>
      </c>
      <c r="E25" s="19">
        <v>4346</v>
      </c>
      <c r="G25" t="str">
        <v>COMMUNITY</v>
      </c>
      <c r="H25" t="str">
        <v>CAMHS AND TIER 4 IN-PATIENT SERVICES</v>
      </c>
      <c r="I25" t="str">
        <v>912325 Crisis Care</v>
      </c>
      <c r="J25">
        <v>4957</v>
      </c>
      <c r="K25">
        <v>3955</v>
      </c>
      <c r="M25" t="str">
        <v>COMMUNITY</v>
      </c>
      <c r="N25" t="str">
        <v>CAMHS AND TIER 4 IN-PATIENT SERVICES</v>
      </c>
      <c r="O25" t="str">
        <v>912325 Crisis Care</v>
      </c>
      <c r="P25">
        <v>4957</v>
      </c>
      <c r="Q25">
        <v>3955</v>
      </c>
    </row>
    <row r="26" spans="1:17" x14ac:dyDescent="0.25">
      <c r="A26" t="s">
        <v>126</v>
      </c>
      <c r="B26" t="s">
        <v>135</v>
      </c>
      <c r="C26" t="s">
        <v>137</v>
      </c>
      <c r="D26" s="19">
        <v>3812</v>
      </c>
      <c r="E26" s="19">
        <v>885</v>
      </c>
      <c r="G26" t="str">
        <v>COMMUNITY</v>
      </c>
      <c r="H26" t="str">
        <v>CAMHS AND TIER 4 IN-PATIENT SERVICES</v>
      </c>
      <c r="I26" t="str">
        <v>912326 Fresh Camhs Liverpool</v>
      </c>
      <c r="J26">
        <v>2751</v>
      </c>
      <c r="K26">
        <v>1453</v>
      </c>
      <c r="M26" t="str">
        <v>COMMUNITY</v>
      </c>
      <c r="N26" t="str">
        <v>CAMHS AND TIER 4 IN-PATIENT SERVICES</v>
      </c>
      <c r="O26" t="str">
        <v>912326 Fresh Camhs Liverpool</v>
      </c>
      <c r="P26">
        <v>2751</v>
      </c>
      <c r="Q26">
        <v>1453</v>
      </c>
    </row>
    <row r="27" spans="1:17" x14ac:dyDescent="0.25">
      <c r="A27" t="s">
        <v>126</v>
      </c>
      <c r="B27" t="s">
        <v>131</v>
      </c>
      <c r="C27" t="s">
        <v>138</v>
      </c>
      <c r="D27" s="19">
        <v>2752</v>
      </c>
      <c r="E27" s="19">
        <v>1020</v>
      </c>
      <c r="G27" t="str">
        <v>COMMUNITY</v>
      </c>
      <c r="H27" t="str">
        <v>CAMHS AND TIER 4 IN-PATIENT SERVICES</v>
      </c>
      <c r="I27" t="str">
        <v>912327 Sefton Tier 3</v>
      </c>
      <c r="J27">
        <v>4959</v>
      </c>
      <c r="K27">
        <v>779</v>
      </c>
      <c r="M27" t="str">
        <v>COMMUNITY</v>
      </c>
      <c r="N27" t="str">
        <v>CAMHS AND TIER 4 IN-PATIENT SERVICES</v>
      </c>
      <c r="O27" t="str">
        <v>912327 Sefton Tier 3</v>
      </c>
      <c r="P27">
        <v>4959</v>
      </c>
      <c r="Q27">
        <v>779</v>
      </c>
    </row>
    <row r="28" spans="1:17" x14ac:dyDescent="0.25">
      <c r="A28" t="s">
        <v>126</v>
      </c>
      <c r="B28" t="s">
        <v>131</v>
      </c>
      <c r="C28" t="s">
        <v>139</v>
      </c>
      <c r="D28" s="19">
        <v>4471</v>
      </c>
      <c r="E28" s="19">
        <v>2189</v>
      </c>
      <c r="G28" t="str">
        <v>COMMUNITY</v>
      </c>
      <c r="H28" t="str">
        <v>CAMHS AND TIER 4 IN-PATIENT SERVICES</v>
      </c>
      <c r="I28" t="str">
        <v>912330 Eating Disorder Service</v>
      </c>
      <c r="J28">
        <v>4127</v>
      </c>
      <c r="K28">
        <v>4190</v>
      </c>
      <c r="M28" t="str">
        <v>COMMUNITY</v>
      </c>
      <c r="N28" t="str">
        <v>CAMHS AND TIER 4 IN-PATIENT SERVICES</v>
      </c>
      <c r="O28" t="str">
        <v>912330 Eating Disorder Service</v>
      </c>
      <c r="P28">
        <v>4127</v>
      </c>
      <c r="Q28">
        <v>4190</v>
      </c>
    </row>
    <row r="29" spans="1:17" x14ac:dyDescent="0.25">
      <c r="A29" t="s">
        <v>126</v>
      </c>
      <c r="B29" t="s">
        <v>131</v>
      </c>
      <c r="C29" t="s">
        <v>140</v>
      </c>
      <c r="D29" s="19">
        <v>3595</v>
      </c>
      <c r="E29" s="19">
        <v>3583</v>
      </c>
      <c r="G29" t="str">
        <v>COMMUNITY</v>
      </c>
      <c r="H29" t="str">
        <v>CAMHS AND TIER 4 IN-PATIENT SERVICES</v>
      </c>
      <c r="I29" t="str">
        <v>912332 Sefton MHST</v>
      </c>
      <c r="J29">
        <v>3801</v>
      </c>
      <c r="K29">
        <v>4496</v>
      </c>
      <c r="M29" t="str">
        <v>COMMUNITY</v>
      </c>
      <c r="N29" t="str">
        <v>CAMHS AND TIER 4 IN-PATIENT SERVICES</v>
      </c>
      <c r="O29" t="str">
        <v>912332 Sefton MHST</v>
      </c>
      <c r="P29">
        <v>3801</v>
      </c>
      <c r="Q29">
        <v>4496</v>
      </c>
    </row>
    <row r="30" spans="1:17" x14ac:dyDescent="0.25">
      <c r="A30" t="s">
        <v>126</v>
      </c>
      <c r="B30" t="s">
        <v>131</v>
      </c>
      <c r="C30" t="s">
        <v>141</v>
      </c>
      <c r="D30" s="19">
        <v>1321</v>
      </c>
      <c r="E30" s="19">
        <v>620</v>
      </c>
      <c r="G30" t="str">
        <v>COMMUNITY</v>
      </c>
      <c r="H30" t="str">
        <v>NEURODEVELOPMENTAL PAEDIATRICS &amp; STATUTORY SERVICES</v>
      </c>
      <c r="I30" t="str">
        <v>912402 Community Paediatrics</v>
      </c>
      <c r="J30">
        <v>1698</v>
      </c>
      <c r="K30">
        <v>1659</v>
      </c>
      <c r="M30" t="str">
        <v>COMMUNITY</v>
      </c>
      <c r="N30" t="str">
        <v>NEURODEVELOPMENTAL PAEDIATRICS &amp; STATUTORY SERVICES</v>
      </c>
      <c r="O30" t="str">
        <v>912402 Community Paediatrics</v>
      </c>
      <c r="P30">
        <v>1698</v>
      </c>
      <c r="Q30">
        <v>1659</v>
      </c>
    </row>
    <row r="31" spans="1:17" x14ac:dyDescent="0.25">
      <c r="A31" t="s">
        <v>126</v>
      </c>
      <c r="B31" t="s">
        <v>131</v>
      </c>
      <c r="C31" t="s">
        <v>142</v>
      </c>
      <c r="D31" s="19">
        <v>1600</v>
      </c>
      <c r="E31" s="19">
        <v>4615</v>
      </c>
      <c r="G31" t="str">
        <v>COMMUNITY</v>
      </c>
      <c r="H31" t="str">
        <v>NEURODEVELOPMENTAL PAEDIATRICS &amp; STATUTORY SERVICES</v>
      </c>
      <c r="I31" t="str">
        <v>912403 Rainbow Centre</v>
      </c>
      <c r="J31">
        <v>2388</v>
      </c>
      <c r="K31">
        <v>1613</v>
      </c>
      <c r="M31" t="str">
        <v>COMMUNITY</v>
      </c>
      <c r="N31" t="str">
        <v>NEURODEVELOPMENTAL PAEDIATRICS &amp; STATUTORY SERVICES</v>
      </c>
      <c r="O31" t="str">
        <v>912403 Rainbow Centre</v>
      </c>
      <c r="P31">
        <v>2388</v>
      </c>
      <c r="Q31">
        <v>1613</v>
      </c>
    </row>
    <row r="32" spans="1:17" x14ac:dyDescent="0.25">
      <c r="A32" t="s">
        <v>126</v>
      </c>
      <c r="B32" t="s">
        <v>131</v>
      </c>
      <c r="C32" t="s">
        <v>143</v>
      </c>
      <c r="D32" s="19">
        <v>2909</v>
      </c>
      <c r="E32" s="19">
        <v>1393</v>
      </c>
      <c r="G32" t="str">
        <v>COMMUNITY</v>
      </c>
      <c r="H32" t="str">
        <v>SPECIALIST COMMUNITY SERVICES</v>
      </c>
      <c r="I32" t="str">
        <v>912404 Homecare Nursing Team</v>
      </c>
      <c r="J32">
        <v>417</v>
      </c>
      <c r="K32">
        <v>4746</v>
      </c>
      <c r="M32" t="str">
        <v>COMMUNITY</v>
      </c>
      <c r="N32" t="str">
        <v>SPECIALIST COMMUNITY SERVICES</v>
      </c>
      <c r="O32" t="str">
        <v>912404 Homecare Nursing Team</v>
      </c>
      <c r="P32">
        <v>417</v>
      </c>
      <c r="Q32">
        <v>4746</v>
      </c>
    </row>
    <row r="33" spans="1:17" x14ac:dyDescent="0.25">
      <c r="A33" t="s">
        <v>126</v>
      </c>
      <c r="B33" t="s">
        <v>131</v>
      </c>
      <c r="C33" t="s">
        <v>144</v>
      </c>
      <c r="D33" s="19">
        <v>3395</v>
      </c>
      <c r="E33" s="19">
        <v>3303</v>
      </c>
      <c r="G33" t="str">
        <v>COMMUNITY</v>
      </c>
      <c r="H33" t="str">
        <v>SPECIALIST COMMUNITY SERVICES</v>
      </c>
      <c r="I33" t="str">
        <v>912406 Children'S Community Nursing Team</v>
      </c>
      <c r="J33">
        <v>4019</v>
      </c>
      <c r="K33">
        <v>2079</v>
      </c>
      <c r="M33" t="str">
        <v>COMMUNITY</v>
      </c>
      <c r="N33" t="str">
        <v>SPECIALIST COMMUNITY SERVICES</v>
      </c>
      <c r="O33" t="str">
        <v>912406 Children'S Community Nursing Team</v>
      </c>
      <c r="P33">
        <v>4019</v>
      </c>
      <c r="Q33">
        <v>2079</v>
      </c>
    </row>
    <row r="34" spans="1:17" x14ac:dyDescent="0.25">
      <c r="A34" t="s">
        <v>126</v>
      </c>
      <c r="B34" t="s">
        <v>135</v>
      </c>
      <c r="C34" t="s">
        <v>145</v>
      </c>
      <c r="D34" s="19">
        <v>3748</v>
      </c>
      <c r="E34" s="19">
        <v>1525</v>
      </c>
      <c r="G34" t="str">
        <v>COMMUNITY</v>
      </c>
      <c r="H34" t="str">
        <v>NEURODEVELOPMENTAL PAEDIATRICS &amp; STATUTORY SERVICES</v>
      </c>
      <c r="I34" t="str">
        <v>912411 Social Work Support</v>
      </c>
      <c r="J34">
        <v>1875</v>
      </c>
      <c r="K34">
        <v>1584</v>
      </c>
      <c r="M34" t="str">
        <v>COMMUNITY</v>
      </c>
      <c r="N34" t="str">
        <v>NEURODEVELOPMENTAL PAEDIATRICS &amp; STATUTORY SERVICES</v>
      </c>
      <c r="O34" t="str">
        <v>912411 Social Work Support</v>
      </c>
      <c r="P34">
        <v>1875</v>
      </c>
      <c r="Q34">
        <v>1584</v>
      </c>
    </row>
    <row r="35" spans="1:17" x14ac:dyDescent="0.25">
      <c r="A35" t="s">
        <v>126</v>
      </c>
      <c r="B35" t="s">
        <v>135</v>
      </c>
      <c r="C35" t="s">
        <v>146</v>
      </c>
      <c r="D35" s="19">
        <v>1274</v>
      </c>
      <c r="E35" s="19">
        <v>2557</v>
      </c>
      <c r="G35" t="str">
        <v>COMMUNITY</v>
      </c>
      <c r="H35" t="str">
        <v>NEURODEVELOPMENTAL PAEDIATRICS &amp; STATUTORY SERVICES</v>
      </c>
      <c r="I35" t="str">
        <v>912412 Neurodevelopmental Paediatrics - Asd</v>
      </c>
      <c r="J35">
        <v>3982</v>
      </c>
      <c r="K35">
        <v>448</v>
      </c>
      <c r="M35" t="str">
        <v>COMMUNITY</v>
      </c>
      <c r="N35" t="str">
        <v>NEURODEVELOPMENTAL PAEDIATRICS &amp; STATUTORY SERVICES</v>
      </c>
      <c r="O35" t="str">
        <v>912412 Neurodevelopmental Paediatrics - Asd</v>
      </c>
      <c r="P35">
        <v>3982</v>
      </c>
      <c r="Q35">
        <v>448</v>
      </c>
    </row>
    <row r="36" spans="1:17" x14ac:dyDescent="0.25">
      <c r="A36" t="s">
        <v>126</v>
      </c>
      <c r="B36" t="s">
        <v>127</v>
      </c>
      <c r="C36" t="s">
        <v>147</v>
      </c>
      <c r="D36" s="19">
        <v>1257</v>
      </c>
      <c r="E36" s="19">
        <v>2310</v>
      </c>
      <c r="G36" t="str">
        <v>COMMUNITY</v>
      </c>
      <c r="H36" t="str">
        <v>SPECIALIST COMMUNITY SERVICES</v>
      </c>
      <c r="I36" t="str">
        <v>912413 Complex Discharge</v>
      </c>
      <c r="J36">
        <v>2197</v>
      </c>
      <c r="K36">
        <v>4276</v>
      </c>
      <c r="M36" t="str">
        <v>COMMUNITY</v>
      </c>
      <c r="N36" t="str">
        <v>SPECIALIST COMMUNITY SERVICES</v>
      </c>
      <c r="O36" t="str">
        <v>912413 Complex Discharge</v>
      </c>
      <c r="P36">
        <v>2197</v>
      </c>
      <c r="Q36">
        <v>4276</v>
      </c>
    </row>
    <row r="37" spans="1:17" x14ac:dyDescent="0.25">
      <c r="A37" t="s">
        <v>126</v>
      </c>
      <c r="B37" t="s">
        <v>131</v>
      </c>
      <c r="C37" t="s">
        <v>148</v>
      </c>
      <c r="D37" s="19">
        <v>4364</v>
      </c>
      <c r="E37" s="19">
        <v>2351</v>
      </c>
      <c r="G37" t="str">
        <v>COMMUNITY</v>
      </c>
      <c r="H37" t="str">
        <v>SPECIALIST COMMUNITY SERVICES</v>
      </c>
      <c r="I37" t="str">
        <v>912414 Community Dietetics Sefton</v>
      </c>
      <c r="J37">
        <v>2239</v>
      </c>
      <c r="K37">
        <v>2021</v>
      </c>
      <c r="M37" t="str">
        <v>COMMUNITY</v>
      </c>
      <c r="N37" t="str">
        <v>SPECIALIST COMMUNITY SERVICES</v>
      </c>
      <c r="O37" t="str">
        <v>912414 Community Dietetics Sefton</v>
      </c>
      <c r="P37">
        <v>2239</v>
      </c>
      <c r="Q37">
        <v>2021</v>
      </c>
    </row>
    <row r="38" spans="1:17" x14ac:dyDescent="0.25">
      <c r="A38" t="s">
        <v>126</v>
      </c>
      <c r="B38" t="s">
        <v>131</v>
      </c>
      <c r="C38" t="s">
        <v>149</v>
      </c>
      <c r="D38" s="19">
        <v>2095</v>
      </c>
      <c r="E38" s="19">
        <v>3296</v>
      </c>
      <c r="G38" t="str">
        <v>COMMUNITY</v>
      </c>
      <c r="H38" t="str">
        <v>SPECIALIST COMMUNITY SERVICES</v>
      </c>
      <c r="I38" t="str">
        <v>912415 Community Services Single Point Of Referral</v>
      </c>
      <c r="J38">
        <v>4695</v>
      </c>
      <c r="K38">
        <v>2350</v>
      </c>
      <c r="M38" t="str">
        <v>COMMUNITY</v>
      </c>
      <c r="N38" t="str">
        <v>SPECIALIST COMMUNITY SERVICES</v>
      </c>
      <c r="O38" t="str">
        <v>912415 Community Services Single Point Of Referral</v>
      </c>
      <c r="P38">
        <v>4695</v>
      </c>
      <c r="Q38">
        <v>2350</v>
      </c>
    </row>
    <row r="39" spans="1:17" x14ac:dyDescent="0.25">
      <c r="A39" t="s">
        <v>126</v>
      </c>
      <c r="B39" t="s">
        <v>135</v>
      </c>
      <c r="C39" t="s">
        <v>150</v>
      </c>
      <c r="D39" s="19">
        <v>2352</v>
      </c>
      <c r="E39" s="19">
        <v>3927</v>
      </c>
      <c r="G39" t="str">
        <v>COMMUNITY</v>
      </c>
      <c r="H39" t="str">
        <v>NEURODEVELOPMENTAL PAEDIATRICS &amp; STATUTORY SERVICES</v>
      </c>
      <c r="I39" t="str">
        <v>912416 Learning Disability</v>
      </c>
      <c r="J39">
        <v>4284</v>
      </c>
      <c r="K39">
        <v>4664</v>
      </c>
      <c r="M39" t="str">
        <v>COMMUNITY</v>
      </c>
      <c r="N39" t="str">
        <v>NEURODEVELOPMENTAL PAEDIATRICS &amp; STATUTORY SERVICES</v>
      </c>
      <c r="O39" t="str">
        <v>912416 Learning Disability</v>
      </c>
      <c r="P39">
        <v>4284</v>
      </c>
      <c r="Q39">
        <v>4664</v>
      </c>
    </row>
    <row r="40" spans="1:17" x14ac:dyDescent="0.25">
      <c r="A40" t="s">
        <v>151</v>
      </c>
      <c r="B40" t="s">
        <v>152</v>
      </c>
      <c r="C40" t="s">
        <v>153</v>
      </c>
      <c r="D40" s="19">
        <v>1452</v>
      </c>
      <c r="E40" s="19">
        <v>2562</v>
      </c>
      <c r="G40" t="str">
        <v>COMMUNITY</v>
      </c>
      <c r="H40" t="str">
        <v>OUTPATIENTS</v>
      </c>
      <c r="I40" t="str">
        <v>914311 Outpatients Level 1</v>
      </c>
      <c r="J40">
        <v>3859</v>
      </c>
      <c r="K40">
        <v>4610</v>
      </c>
      <c r="M40" t="str">
        <v>COMMUNITY</v>
      </c>
      <c r="N40" t="str">
        <v>OUTPATIENTS</v>
      </c>
      <c r="O40" t="str">
        <v>914311 Outpatients Level 1</v>
      </c>
      <c r="P40">
        <v>3859</v>
      </c>
      <c r="Q40">
        <v>4610</v>
      </c>
    </row>
    <row r="41" spans="1:17" x14ac:dyDescent="0.25">
      <c r="A41" t="s">
        <v>126</v>
      </c>
      <c r="B41" t="s">
        <v>154</v>
      </c>
      <c r="C41" t="s">
        <v>155</v>
      </c>
      <c r="D41" s="19">
        <v>509</v>
      </c>
      <c r="E41" s="19">
        <v>3932</v>
      </c>
      <c r="G41" t="str">
        <v>COMMUNITY</v>
      </c>
      <c r="H41" t="str">
        <v>OUTPATIENTS</v>
      </c>
      <c r="I41" t="str">
        <v>915203 Outpatients Ground Floor</v>
      </c>
      <c r="J41">
        <v>2612</v>
      </c>
      <c r="K41">
        <v>561</v>
      </c>
      <c r="M41" t="str">
        <v>COMMUNITY</v>
      </c>
      <c r="N41" t="str">
        <v>OUTPATIENTS</v>
      </c>
      <c r="O41" t="str">
        <v>915203 Outpatients Ground Floor</v>
      </c>
      <c r="P41">
        <v>2612</v>
      </c>
      <c r="Q41">
        <v>561</v>
      </c>
    </row>
    <row r="42" spans="1:17" x14ac:dyDescent="0.25">
      <c r="A42" t="s">
        <v>126</v>
      </c>
      <c r="B42" t="s">
        <v>131</v>
      </c>
      <c r="C42" t="s">
        <v>156</v>
      </c>
      <c r="D42" s="19">
        <v>2709</v>
      </c>
      <c r="E42" s="19">
        <v>232</v>
      </c>
      <c r="G42" t="str">
        <v>COMMUNITY</v>
      </c>
      <c r="H42" t="str">
        <v>OUTPATIENTS</v>
      </c>
      <c r="I42" t="str">
        <v>916503 Outpatients Level 2</v>
      </c>
      <c r="J42">
        <v>2825</v>
      </c>
      <c r="K42">
        <v>4228</v>
      </c>
      <c r="M42" t="str">
        <v>COMMUNITY</v>
      </c>
      <c r="N42" t="str">
        <v>OUTPATIENTS</v>
      </c>
      <c r="O42" t="str">
        <v>916503 Outpatients Level 2</v>
      </c>
      <c r="P42">
        <v>2825</v>
      </c>
      <c r="Q42">
        <v>4228</v>
      </c>
    </row>
    <row r="43" spans="1:17" x14ac:dyDescent="0.25">
      <c r="A43" t="s">
        <v>126</v>
      </c>
      <c r="B43" t="s">
        <v>154</v>
      </c>
      <c r="C43" t="s">
        <v>157</v>
      </c>
      <c r="D43" s="19">
        <v>2051</v>
      </c>
      <c r="E43" s="19">
        <v>3731</v>
      </c>
      <c r="G43" t="str">
        <v>COMMUNITY</v>
      </c>
      <c r="H43" t="str">
        <v>OUTPATIENTS</v>
      </c>
      <c r="I43" t="str">
        <v>916526 Clinic Reception</v>
      </c>
      <c r="J43">
        <v>2232</v>
      </c>
      <c r="K43">
        <v>1988</v>
      </c>
      <c r="M43" t="str">
        <v>COMMUNITY</v>
      </c>
      <c r="N43" t="str">
        <v>OUTPATIENTS</v>
      </c>
      <c r="O43" t="str">
        <v>916526 Clinic Reception</v>
      </c>
      <c r="P43">
        <v>2232</v>
      </c>
      <c r="Q43">
        <v>1988</v>
      </c>
    </row>
    <row r="44" spans="1:17" x14ac:dyDescent="0.25">
      <c r="A44" t="s">
        <v>126</v>
      </c>
      <c r="B44" t="s">
        <v>154</v>
      </c>
      <c r="C44" t="s">
        <v>158</v>
      </c>
      <c r="D44" s="19">
        <v>3517</v>
      </c>
      <c r="E44" s="19">
        <v>4957</v>
      </c>
      <c r="G44" t="str">
        <v>MEDICINE</v>
      </c>
      <c r="H44" t="str">
        <v>CANCER, PALLIATIVE &amp; END OF LIFE CARE GROUP</v>
      </c>
      <c r="I44" t="str">
        <v>911203 Palliative Care</v>
      </c>
      <c r="J44">
        <v>4305</v>
      </c>
      <c r="K44">
        <v>3956</v>
      </c>
      <c r="M44" t="str">
        <v>MEDICINE</v>
      </c>
      <c r="N44" t="str">
        <v>CANCER, PALLIATIVE &amp; END OF LIFE CARE GROUP</v>
      </c>
      <c r="O44" t="str">
        <v>911203 Palliative Care</v>
      </c>
      <c r="P44">
        <v>4305</v>
      </c>
      <c r="Q44">
        <v>3956</v>
      </c>
    </row>
    <row r="45" spans="1:17" x14ac:dyDescent="0.25">
      <c r="A45" t="s">
        <v>126</v>
      </c>
      <c r="B45" t="s">
        <v>154</v>
      </c>
      <c r="C45" t="s">
        <v>159</v>
      </c>
      <c r="D45" s="19">
        <v>793</v>
      </c>
      <c r="E45" s="19">
        <v>3580</v>
      </c>
      <c r="G45" t="str">
        <v>MEDICINE</v>
      </c>
      <c r="H45" t="str">
        <v>CANCER, PALLIATIVE &amp; END OF LIFE CARE GROUP</v>
      </c>
      <c r="I45" t="str">
        <v>911204 Haematology Specialty</v>
      </c>
      <c r="J45">
        <v>4785</v>
      </c>
      <c r="K45">
        <v>3142</v>
      </c>
      <c r="M45" t="str">
        <v>MEDICINE</v>
      </c>
      <c r="N45" t="str">
        <v>CANCER, PALLIATIVE &amp; END OF LIFE CARE GROUP</v>
      </c>
      <c r="O45" t="str">
        <v>911204 Haematology Specialty</v>
      </c>
      <c r="P45">
        <v>4785</v>
      </c>
      <c r="Q45">
        <v>3142</v>
      </c>
    </row>
    <row r="46" spans="1:17" x14ac:dyDescent="0.25">
      <c r="A46" t="s">
        <v>151</v>
      </c>
      <c r="B46" t="s">
        <v>160</v>
      </c>
      <c r="C46" t="s">
        <v>161</v>
      </c>
      <c r="D46" s="19">
        <v>801</v>
      </c>
      <c r="E46" s="19">
        <v>694</v>
      </c>
      <c r="G46" t="str">
        <v>MEDICINE</v>
      </c>
      <c r="H46" t="str">
        <v>CANCER, PALLIATIVE &amp; END OF LIFE CARE GROUP</v>
      </c>
      <c r="I46" t="str">
        <v>911208 Ward 3b Oncology</v>
      </c>
      <c r="J46">
        <v>280</v>
      </c>
      <c r="K46">
        <v>378</v>
      </c>
      <c r="M46" t="str">
        <v>MEDICINE</v>
      </c>
      <c r="N46" t="str">
        <v>CANCER, PALLIATIVE &amp; END OF LIFE CARE GROUP</v>
      </c>
      <c r="O46" t="str">
        <v>911208 Ward 3b Oncology</v>
      </c>
      <c r="P46">
        <v>280</v>
      </c>
      <c r="Q46">
        <v>378</v>
      </c>
    </row>
    <row r="47" spans="1:17" x14ac:dyDescent="0.25">
      <c r="A47" t="s">
        <v>126</v>
      </c>
      <c r="B47" t="s">
        <v>131</v>
      </c>
      <c r="C47" t="s">
        <v>162</v>
      </c>
      <c r="D47" s="19">
        <v>4723</v>
      </c>
      <c r="E47" s="19">
        <v>2425</v>
      </c>
      <c r="G47" t="str">
        <v>MEDICINE</v>
      </c>
      <c r="H47" t="str">
        <v>SPECIALIST CARE GROUP</v>
      </c>
      <c r="I47" t="str">
        <v>911304 Special Feeds Unit</v>
      </c>
      <c r="J47">
        <v>4331</v>
      </c>
      <c r="K47">
        <v>2741</v>
      </c>
      <c r="M47" t="str">
        <v>MEDICINE</v>
      </c>
      <c r="N47" t="str">
        <v>SPECIALIST CARE GROUP</v>
      </c>
      <c r="O47" t="str">
        <v>911304 Special Feeds Unit</v>
      </c>
      <c r="P47">
        <v>4331</v>
      </c>
      <c r="Q47">
        <v>2741</v>
      </c>
    </row>
    <row r="48" spans="1:17" x14ac:dyDescent="0.25">
      <c r="A48" t="s">
        <v>151</v>
      </c>
      <c r="B48" t="s">
        <v>160</v>
      </c>
      <c r="C48" t="s">
        <v>163</v>
      </c>
      <c r="D48" s="19">
        <v>2948</v>
      </c>
      <c r="E48" s="19">
        <v>3358</v>
      </c>
      <c r="G48" t="str">
        <v>MEDICINE</v>
      </c>
      <c r="H48" t="str">
        <v>SPECIALIST CARE GROUP</v>
      </c>
      <c r="I48" t="str">
        <v>911305 Home Dialysis</v>
      </c>
      <c r="J48">
        <v>2356</v>
      </c>
      <c r="K48">
        <v>4499</v>
      </c>
      <c r="M48" t="str">
        <v>MEDICINE</v>
      </c>
      <c r="N48" t="str">
        <v>SPECIALIST CARE GROUP</v>
      </c>
      <c r="O48" t="str">
        <v>911305 Home Dialysis</v>
      </c>
      <c r="P48">
        <v>2356</v>
      </c>
      <c r="Q48">
        <v>4499</v>
      </c>
    </row>
    <row r="49" spans="1:17" x14ac:dyDescent="0.25">
      <c r="A49" t="s">
        <v>151</v>
      </c>
      <c r="B49" t="s">
        <v>160</v>
      </c>
      <c r="C49" t="s">
        <v>164</v>
      </c>
      <c r="D49" s="19">
        <v>2334</v>
      </c>
      <c r="E49" s="19">
        <v>1188</v>
      </c>
      <c r="G49" t="str">
        <v>MEDICINE</v>
      </c>
      <c r="H49" t="str">
        <v>SPECIALIST CARE GROUP</v>
      </c>
      <c r="I49" t="str">
        <v>911306 Dieticians</v>
      </c>
      <c r="J49">
        <v>489</v>
      </c>
      <c r="K49">
        <v>1670</v>
      </c>
      <c r="M49" t="str">
        <v>MEDICINE</v>
      </c>
      <c r="N49" t="str">
        <v>SPECIALIST CARE GROUP</v>
      </c>
      <c r="O49" t="str">
        <v>911306 Dieticians</v>
      </c>
      <c r="P49">
        <v>489</v>
      </c>
      <c r="Q49">
        <v>1670</v>
      </c>
    </row>
    <row r="50" spans="1:17" x14ac:dyDescent="0.25">
      <c r="A50" t="s">
        <v>151</v>
      </c>
      <c r="B50" t="s">
        <v>160</v>
      </c>
      <c r="C50" t="s">
        <v>165</v>
      </c>
      <c r="D50" s="19">
        <v>932</v>
      </c>
      <c r="E50" s="19">
        <v>3705</v>
      </c>
      <c r="G50" t="str">
        <v>MEDICINE</v>
      </c>
      <c r="H50" t="str">
        <v>COMPLEX CARE GROUP</v>
      </c>
      <c r="I50" t="str">
        <v>911307 Gastroenterology</v>
      </c>
      <c r="J50">
        <v>2798</v>
      </c>
      <c r="K50">
        <v>4346</v>
      </c>
      <c r="M50" t="str">
        <v>MEDICINE</v>
      </c>
      <c r="N50" t="str">
        <v>COMPLEX CARE GROUP</v>
      </c>
      <c r="O50" t="str">
        <v>911307 Gastroenterology</v>
      </c>
      <c r="P50">
        <v>2798</v>
      </c>
      <c r="Q50">
        <v>4346</v>
      </c>
    </row>
    <row r="51" spans="1:17" x14ac:dyDescent="0.25">
      <c r="A51" t="s">
        <v>151</v>
      </c>
      <c r="B51" t="s">
        <v>160</v>
      </c>
      <c r="C51" t="s">
        <v>166</v>
      </c>
      <c r="D51" s="19">
        <v>3111</v>
      </c>
      <c r="E51" s="19">
        <v>4143</v>
      </c>
      <c r="G51" t="str">
        <v>MEDICINE</v>
      </c>
      <c r="H51" t="str">
        <v>COMPLEX CARE GROUP</v>
      </c>
      <c r="I51" t="str">
        <v>911308 Stoma Therapy</v>
      </c>
      <c r="J51">
        <v>3812</v>
      </c>
      <c r="K51">
        <v>885</v>
      </c>
      <c r="M51" t="str">
        <v>MEDICINE</v>
      </c>
      <c r="N51" t="str">
        <v>COMPLEX CARE GROUP</v>
      </c>
      <c r="O51" t="str">
        <v>911308 Stoma Therapy</v>
      </c>
      <c r="P51">
        <v>3812</v>
      </c>
      <c r="Q51">
        <v>885</v>
      </c>
    </row>
    <row r="52" spans="1:17" x14ac:dyDescent="0.25">
      <c r="A52" t="s">
        <v>151</v>
      </c>
      <c r="B52" t="s">
        <v>160</v>
      </c>
      <c r="C52" t="s">
        <v>170</v>
      </c>
      <c r="D52" s="19">
        <v>4957</v>
      </c>
      <c r="E52" s="19">
        <v>3955</v>
      </c>
      <c r="G52" t="str">
        <v>MEDICINE</v>
      </c>
      <c r="H52" t="str">
        <v>SPECIALIST CARE GROUP</v>
      </c>
      <c r="I52" t="str">
        <v>911309 Rheumatology</v>
      </c>
      <c r="J52">
        <v>2752</v>
      </c>
      <c r="K52">
        <v>1020</v>
      </c>
      <c r="M52" t="str">
        <v>MEDICINE</v>
      </c>
      <c r="N52" t="str">
        <v>SPECIALIST CARE GROUP</v>
      </c>
      <c r="O52" t="str">
        <v>911309 Rheumatology</v>
      </c>
      <c r="P52">
        <v>2752</v>
      </c>
      <c r="Q52">
        <v>1020</v>
      </c>
    </row>
    <row r="53" spans="1:17" x14ac:dyDescent="0.25">
      <c r="A53" t="s">
        <v>151</v>
      </c>
      <c r="B53" t="s">
        <v>160</v>
      </c>
      <c r="C53" t="s">
        <v>171</v>
      </c>
      <c r="D53" s="19">
        <v>2751</v>
      </c>
      <c r="E53" s="19">
        <v>1453</v>
      </c>
      <c r="G53" t="str">
        <v>MEDICINE</v>
      </c>
      <c r="H53" t="str">
        <v>SPECIALIST CARE GROUP</v>
      </c>
      <c r="I53" t="str">
        <v>911310 Endocrinology</v>
      </c>
      <c r="J53">
        <v>4471</v>
      </c>
      <c r="K53">
        <v>2189</v>
      </c>
      <c r="M53" t="str">
        <v>MEDICINE</v>
      </c>
      <c r="N53" t="str">
        <v>SPECIALIST CARE GROUP</v>
      </c>
      <c r="O53" t="str">
        <v>911310 Endocrinology</v>
      </c>
      <c r="P53">
        <v>4471</v>
      </c>
      <c r="Q53">
        <v>2189</v>
      </c>
    </row>
    <row r="54" spans="1:17" x14ac:dyDescent="0.25">
      <c r="A54" t="s">
        <v>151</v>
      </c>
      <c r="B54" t="s">
        <v>160</v>
      </c>
      <c r="C54" t="s">
        <v>172</v>
      </c>
      <c r="D54" s="19">
        <v>4959</v>
      </c>
      <c r="E54" s="19">
        <v>779</v>
      </c>
      <c r="G54" t="str">
        <v>MEDICINE</v>
      </c>
      <c r="H54" t="str">
        <v>SPECIALIST CARE GROUP</v>
      </c>
      <c r="I54" t="str">
        <v>911311 Nephrology</v>
      </c>
      <c r="J54">
        <v>3595</v>
      </c>
      <c r="K54">
        <v>3583</v>
      </c>
      <c r="M54" t="str">
        <v>MEDICINE</v>
      </c>
      <c r="N54" t="str">
        <v>SPECIALIST CARE GROUP</v>
      </c>
      <c r="O54" t="str">
        <v>911311 Nephrology</v>
      </c>
      <c r="P54">
        <v>3595</v>
      </c>
      <c r="Q54">
        <v>3583</v>
      </c>
    </row>
    <row r="55" spans="1:17" x14ac:dyDescent="0.25">
      <c r="A55" t="s">
        <v>151</v>
      </c>
      <c r="B55" t="s">
        <v>160</v>
      </c>
      <c r="C55" t="s">
        <v>173</v>
      </c>
      <c r="D55" s="19">
        <v>4127</v>
      </c>
      <c r="E55" s="19">
        <v>4190</v>
      </c>
      <c r="G55" t="str">
        <v>MEDICINE</v>
      </c>
      <c r="H55" t="str">
        <v>SPECIALIST CARE GROUP</v>
      </c>
      <c r="I55" t="str">
        <v>911312 Renal Unit</v>
      </c>
      <c r="J55">
        <v>1321</v>
      </c>
      <c r="K55">
        <v>620</v>
      </c>
      <c r="M55" t="str">
        <v>MEDICINE</v>
      </c>
      <c r="N55" t="str">
        <v>SPECIALIST CARE GROUP</v>
      </c>
      <c r="O55" t="str">
        <v>911312 Renal Unit</v>
      </c>
      <c r="P55">
        <v>1321</v>
      </c>
      <c r="Q55">
        <v>620</v>
      </c>
    </row>
    <row r="56" spans="1:17" x14ac:dyDescent="0.25">
      <c r="A56" t="s">
        <v>151</v>
      </c>
      <c r="B56" t="s">
        <v>160</v>
      </c>
      <c r="C56" t="s">
        <v>174</v>
      </c>
      <c r="D56" s="19">
        <v>3801</v>
      </c>
      <c r="E56" s="19">
        <v>4496</v>
      </c>
      <c r="G56" t="str">
        <v>MEDICINE</v>
      </c>
      <c r="H56" t="str">
        <v>SPECIALIST CARE GROUP</v>
      </c>
      <c r="I56" t="str">
        <v>911313 Ward 3c</v>
      </c>
      <c r="J56">
        <v>1600</v>
      </c>
      <c r="K56">
        <v>4615</v>
      </c>
      <c r="M56" t="str">
        <v>MEDICINE</v>
      </c>
      <c r="N56" t="str">
        <v>SPECIALIST CARE GROUP</v>
      </c>
      <c r="O56" t="str">
        <v>911313 Ward 3c</v>
      </c>
      <c r="P56">
        <v>1600</v>
      </c>
      <c r="Q56">
        <v>4615</v>
      </c>
    </row>
    <row r="57" spans="1:17" x14ac:dyDescent="0.25">
      <c r="A57" t="s">
        <v>151</v>
      </c>
      <c r="B57" t="s">
        <v>175</v>
      </c>
      <c r="C57" t="s">
        <v>176</v>
      </c>
      <c r="D57" s="19">
        <v>1698</v>
      </c>
      <c r="E57" s="19">
        <v>1659</v>
      </c>
      <c r="G57" t="str">
        <v>MEDICINE</v>
      </c>
      <c r="H57" t="str">
        <v>SPECIALIST CARE GROUP</v>
      </c>
      <c r="I57" t="str">
        <v>911314 Medical Daycase Unit</v>
      </c>
      <c r="J57">
        <v>2909</v>
      </c>
      <c r="K57">
        <v>1393</v>
      </c>
      <c r="M57" t="str">
        <v>MEDICINE</v>
      </c>
      <c r="N57" t="str">
        <v>SPECIALIST CARE GROUP</v>
      </c>
      <c r="O57" t="str">
        <v>911314 Medical Daycase Unit</v>
      </c>
      <c r="P57">
        <v>2909</v>
      </c>
      <c r="Q57">
        <v>1393</v>
      </c>
    </row>
    <row r="58" spans="1:17" x14ac:dyDescent="0.25">
      <c r="A58" t="s">
        <v>151</v>
      </c>
      <c r="B58" t="s">
        <v>175</v>
      </c>
      <c r="C58" t="s">
        <v>177</v>
      </c>
      <c r="D58" s="19">
        <v>2388</v>
      </c>
      <c r="E58" s="19">
        <v>1613</v>
      </c>
      <c r="G58" t="str">
        <v>MEDICINE</v>
      </c>
      <c r="H58" t="str">
        <v>SPECIALIST CARE GROUP</v>
      </c>
      <c r="I58" t="str">
        <v>911315 Specialist Medicine Care Group HQ</v>
      </c>
      <c r="J58">
        <v>3395</v>
      </c>
      <c r="K58">
        <v>3303</v>
      </c>
      <c r="M58" t="str">
        <v>MEDICINE</v>
      </c>
      <c r="N58" t="str">
        <v>SPECIALIST CARE GROUP</v>
      </c>
      <c r="O58" t="str">
        <v>911315 Specialist Medicine Care Group HQ</v>
      </c>
      <c r="P58">
        <v>3395</v>
      </c>
      <c r="Q58">
        <v>3303</v>
      </c>
    </row>
    <row r="59" spans="1:17" x14ac:dyDescent="0.25">
      <c r="A59" t="s">
        <v>151</v>
      </c>
      <c r="B59" t="s">
        <v>169</v>
      </c>
      <c r="C59" t="s">
        <v>178</v>
      </c>
      <c r="D59" s="19">
        <v>417</v>
      </c>
      <c r="E59" s="19">
        <v>4746</v>
      </c>
      <c r="G59" t="str">
        <v>MEDICINE</v>
      </c>
      <c r="H59" t="str">
        <v>COMPLEX CARE GROUP</v>
      </c>
      <c r="I59" t="str">
        <v>911402 Respiratory Unit</v>
      </c>
      <c r="J59">
        <v>3748</v>
      </c>
      <c r="K59">
        <v>1525</v>
      </c>
      <c r="M59" t="str">
        <v>MEDICINE</v>
      </c>
      <c r="N59" t="str">
        <v>COMPLEX CARE GROUP</v>
      </c>
      <c r="O59" t="str">
        <v>911402 Respiratory Unit</v>
      </c>
      <c r="P59">
        <v>3748</v>
      </c>
      <c r="Q59">
        <v>1525</v>
      </c>
    </row>
    <row r="60" spans="1:17" x14ac:dyDescent="0.25">
      <c r="A60" t="s">
        <v>151</v>
      </c>
      <c r="B60" t="s">
        <v>169</v>
      </c>
      <c r="C60" t="s">
        <v>179</v>
      </c>
      <c r="D60" s="19">
        <v>4019</v>
      </c>
      <c r="E60" s="19">
        <v>2079</v>
      </c>
      <c r="G60" t="str">
        <v>MEDICINE</v>
      </c>
      <c r="H60" t="str">
        <v>COMPLEX CARE GROUP</v>
      </c>
      <c r="I60" t="str">
        <v>911403 Cystic Home Patients</v>
      </c>
      <c r="J60">
        <v>1274</v>
      </c>
      <c r="K60">
        <v>2557</v>
      </c>
      <c r="M60" t="str">
        <v>MEDICINE</v>
      </c>
      <c r="N60" t="str">
        <v>COMPLEX CARE GROUP</v>
      </c>
      <c r="O60" t="str">
        <v>911403 Cystic Home Patients</v>
      </c>
      <c r="P60">
        <v>1274</v>
      </c>
      <c r="Q60">
        <v>2557</v>
      </c>
    </row>
    <row r="61" spans="1:17" x14ac:dyDescent="0.25">
      <c r="A61" t="s">
        <v>167</v>
      </c>
      <c r="B61" t="s">
        <v>180</v>
      </c>
      <c r="C61" t="s">
        <v>181</v>
      </c>
      <c r="D61" s="19">
        <v>3392</v>
      </c>
      <c r="E61" s="19">
        <v>2365</v>
      </c>
      <c r="G61" t="str">
        <v>MEDICINE</v>
      </c>
      <c r="H61" t="str">
        <v>CANCER, PALLIATIVE &amp; END OF LIFE CARE GROUP</v>
      </c>
      <c r="I61" t="str">
        <v>911404 Infectious Diseases &amp; Immunology</v>
      </c>
      <c r="J61">
        <v>1257</v>
      </c>
      <c r="K61">
        <v>2310</v>
      </c>
      <c r="M61" t="str">
        <v>MEDICINE</v>
      </c>
      <c r="N61" t="str">
        <v>CANCER, PALLIATIVE &amp; END OF LIFE CARE GROUP</v>
      </c>
      <c r="O61" t="str">
        <v>911404 Infectious Diseases &amp; Immunology</v>
      </c>
      <c r="P61">
        <v>1257</v>
      </c>
      <c r="Q61">
        <v>2310</v>
      </c>
    </row>
    <row r="62" spans="1:17" x14ac:dyDescent="0.25">
      <c r="A62" t="s">
        <v>151</v>
      </c>
      <c r="B62" t="s">
        <v>175</v>
      </c>
      <c r="C62" t="s">
        <v>182</v>
      </c>
      <c r="D62" s="19">
        <v>1875</v>
      </c>
      <c r="E62" s="19">
        <v>1584</v>
      </c>
      <c r="G62" t="str">
        <v>MEDICINE</v>
      </c>
      <c r="H62" t="str">
        <v>SPECIALIST CARE GROUP</v>
      </c>
      <c r="I62" t="str">
        <v>911405 Allergy</v>
      </c>
      <c r="J62">
        <v>4364</v>
      </c>
      <c r="K62">
        <v>2351</v>
      </c>
      <c r="M62" t="str">
        <v>MEDICINE</v>
      </c>
      <c r="N62" t="str">
        <v>SPECIALIST CARE GROUP</v>
      </c>
      <c r="O62" t="str">
        <v>911405 Allergy</v>
      </c>
      <c r="P62">
        <v>4364</v>
      </c>
      <c r="Q62">
        <v>2351</v>
      </c>
    </row>
    <row r="63" spans="1:17" x14ac:dyDescent="0.25">
      <c r="A63" t="s">
        <v>151</v>
      </c>
      <c r="B63" t="s">
        <v>175</v>
      </c>
      <c r="C63" t="s">
        <v>183</v>
      </c>
      <c r="D63" s="19">
        <v>3982</v>
      </c>
      <c r="E63" s="19">
        <v>448</v>
      </c>
      <c r="G63" t="str">
        <v>MEDICINE</v>
      </c>
      <c r="H63" t="str">
        <v>SPECIALIST CARE GROUP</v>
      </c>
      <c r="I63" t="str">
        <v>911406 Metabolic Diseases</v>
      </c>
      <c r="J63">
        <v>2095</v>
      </c>
      <c r="K63">
        <v>3296</v>
      </c>
      <c r="M63" t="str">
        <v>MEDICINE</v>
      </c>
      <c r="N63" t="str">
        <v>SPECIALIST CARE GROUP</v>
      </c>
      <c r="O63" t="str">
        <v>911406 Metabolic Diseases</v>
      </c>
      <c r="P63">
        <v>2095</v>
      </c>
      <c r="Q63">
        <v>3296</v>
      </c>
    </row>
    <row r="64" spans="1:17" x14ac:dyDescent="0.25">
      <c r="A64" t="s">
        <v>151</v>
      </c>
      <c r="B64" t="s">
        <v>169</v>
      </c>
      <c r="C64" t="s">
        <v>184</v>
      </c>
      <c r="D64" s="19">
        <v>2197</v>
      </c>
      <c r="E64" s="19">
        <v>4276</v>
      </c>
      <c r="G64" t="str">
        <v>MEDICINE</v>
      </c>
      <c r="H64" t="str">
        <v>COMPLEX CARE GROUP</v>
      </c>
      <c r="I64" t="str">
        <v>911407 Cystic Fibrosis Network</v>
      </c>
      <c r="J64">
        <v>2352</v>
      </c>
      <c r="K64">
        <v>3927</v>
      </c>
      <c r="M64" t="str">
        <v>MEDICINE</v>
      </c>
      <c r="N64" t="str">
        <v>COMPLEX CARE GROUP</v>
      </c>
      <c r="O64" t="str">
        <v>911407 Cystic Fibrosis Network</v>
      </c>
      <c r="P64">
        <v>2352</v>
      </c>
      <c r="Q64">
        <v>3927</v>
      </c>
    </row>
    <row r="65" spans="1:17" x14ac:dyDescent="0.25">
      <c r="A65" t="s">
        <v>151</v>
      </c>
      <c r="B65" t="s">
        <v>169</v>
      </c>
      <c r="C65" t="s">
        <v>185</v>
      </c>
      <c r="D65" s="19">
        <v>2239</v>
      </c>
      <c r="E65" s="19">
        <v>2021</v>
      </c>
      <c r="G65" t="str">
        <v>MEDICINE</v>
      </c>
      <c r="H65" t="str">
        <v>ACUTE CARE GROUP</v>
      </c>
      <c r="I65" t="str">
        <v>912201 Accident &amp; Emergency</v>
      </c>
      <c r="J65">
        <v>509</v>
      </c>
      <c r="K65">
        <v>3932</v>
      </c>
      <c r="M65" t="str">
        <v>MEDICINE</v>
      </c>
      <c r="N65" t="str">
        <v>ACUTE CARE GROUP</v>
      </c>
      <c r="O65" t="str">
        <v>912201 Accident &amp; Emergency</v>
      </c>
      <c r="P65">
        <v>509</v>
      </c>
      <c r="Q65">
        <v>3932</v>
      </c>
    </row>
    <row r="66" spans="1:17" x14ac:dyDescent="0.25">
      <c r="A66" t="s">
        <v>151</v>
      </c>
      <c r="B66" t="s">
        <v>169</v>
      </c>
      <c r="C66" t="s">
        <v>186</v>
      </c>
      <c r="D66" s="19">
        <v>4695</v>
      </c>
      <c r="E66" s="19">
        <v>2350</v>
      </c>
      <c r="G66" t="str">
        <v>MEDICINE</v>
      </c>
      <c r="H66" t="str">
        <v>SPECIALIST CARE GROUP</v>
      </c>
      <c r="I66" t="str">
        <v>912202 Dermatology</v>
      </c>
      <c r="J66">
        <v>2709</v>
      </c>
      <c r="K66">
        <v>232</v>
      </c>
      <c r="M66" t="str">
        <v>MEDICINE</v>
      </c>
      <c r="N66" t="str">
        <v>SPECIALIST CARE GROUP</v>
      </c>
      <c r="O66" t="str">
        <v>912202 Dermatology</v>
      </c>
      <c r="P66">
        <v>2709</v>
      </c>
      <c r="Q66">
        <v>232</v>
      </c>
    </row>
    <row r="67" spans="1:17" x14ac:dyDescent="0.25">
      <c r="A67" t="s">
        <v>151</v>
      </c>
      <c r="B67" t="s">
        <v>175</v>
      </c>
      <c r="C67" t="s">
        <v>187</v>
      </c>
      <c r="D67" s="19">
        <v>4284</v>
      </c>
      <c r="E67" s="19">
        <v>4664</v>
      </c>
      <c r="G67" t="str">
        <v>MEDICINE</v>
      </c>
      <c r="H67" t="str">
        <v>ACUTE CARE GROUP</v>
      </c>
      <c r="I67" t="str">
        <v>912203 Diabetes</v>
      </c>
      <c r="J67">
        <v>2051</v>
      </c>
      <c r="K67">
        <v>3731</v>
      </c>
      <c r="M67" t="str">
        <v>MEDICINE</v>
      </c>
      <c r="N67" t="str">
        <v>ACUTE CARE GROUP</v>
      </c>
      <c r="O67" t="str">
        <v>912203 Diabetes</v>
      </c>
      <c r="P67">
        <v>2051</v>
      </c>
      <c r="Q67">
        <v>3731</v>
      </c>
    </row>
    <row r="68" spans="1:17" x14ac:dyDescent="0.25">
      <c r="A68" t="s">
        <v>167</v>
      </c>
      <c r="B68" t="s">
        <v>188</v>
      </c>
      <c r="C68" t="s">
        <v>189</v>
      </c>
      <c r="D68" s="19">
        <v>702</v>
      </c>
      <c r="E68" s="19">
        <v>3594</v>
      </c>
      <c r="G68" t="str">
        <v>MEDICINE</v>
      </c>
      <c r="H68" t="str">
        <v>ACUTE CARE GROUP</v>
      </c>
      <c r="I68" t="str">
        <v>912204 General Paediatrics</v>
      </c>
      <c r="J68">
        <v>3517</v>
      </c>
      <c r="K68">
        <v>4957</v>
      </c>
      <c r="M68" t="str">
        <v>MEDICINE</v>
      </c>
      <c r="N68" t="str">
        <v>ACUTE CARE GROUP</v>
      </c>
      <c r="O68" t="str">
        <v>912204 General Paediatrics</v>
      </c>
      <c r="P68">
        <v>3517</v>
      </c>
      <c r="Q68">
        <v>4957</v>
      </c>
    </row>
    <row r="69" spans="1:17" x14ac:dyDescent="0.25">
      <c r="A69" t="s">
        <v>167</v>
      </c>
      <c r="B69" t="s">
        <v>168</v>
      </c>
      <c r="C69" t="s">
        <v>190</v>
      </c>
      <c r="D69" s="19">
        <v>647</v>
      </c>
      <c r="E69" s="19">
        <v>2946</v>
      </c>
      <c r="G69" t="str">
        <v>MEDICINE</v>
      </c>
      <c r="H69" t="str">
        <v>ACUTE CARE GROUP</v>
      </c>
      <c r="I69" t="str">
        <v>912207 Ward 4c</v>
      </c>
      <c r="J69">
        <v>793</v>
      </c>
      <c r="K69">
        <v>3580</v>
      </c>
      <c r="M69" t="str">
        <v>MEDICINE</v>
      </c>
      <c r="N69" t="str">
        <v>ACUTE CARE GROUP</v>
      </c>
      <c r="O69" t="str">
        <v>912207 Ward 4c</v>
      </c>
      <c r="P69">
        <v>793</v>
      </c>
      <c r="Q69">
        <v>3580</v>
      </c>
    </row>
    <row r="70" spans="1:17" x14ac:dyDescent="0.25">
      <c r="A70" t="s">
        <v>167</v>
      </c>
      <c r="B70" t="s">
        <v>192</v>
      </c>
      <c r="C70" t="s">
        <v>193</v>
      </c>
      <c r="D70" s="19">
        <v>4678</v>
      </c>
      <c r="E70" s="19">
        <v>4856</v>
      </c>
      <c r="G70" t="str">
        <v>MEDICINE</v>
      </c>
      <c r="H70" t="str">
        <v>SPECIALIST CARE GROUP</v>
      </c>
      <c r="I70" t="str">
        <v>912304 Psychological Services</v>
      </c>
      <c r="J70">
        <v>4723</v>
      </c>
      <c r="K70">
        <v>2425</v>
      </c>
      <c r="M70" t="str">
        <v>MEDICINE</v>
      </c>
      <c r="N70" t="str">
        <v>SPECIALIST CARE GROUP</v>
      </c>
      <c r="O70" t="str">
        <v>912304 Psychological Services</v>
      </c>
      <c r="P70">
        <v>4723</v>
      </c>
      <c r="Q70">
        <v>2425</v>
      </c>
    </row>
    <row r="71" spans="1:17" x14ac:dyDescent="0.25">
      <c r="A71" t="s">
        <v>167</v>
      </c>
      <c r="B71" t="s">
        <v>168</v>
      </c>
      <c r="C71" t="s">
        <v>194</v>
      </c>
      <c r="D71" s="19">
        <v>3359</v>
      </c>
      <c r="E71" s="19">
        <v>277</v>
      </c>
      <c r="G71" t="str">
        <v>MEDICINE</v>
      </c>
      <c r="H71" t="str">
        <v>COMPLEX CARE GROUP</v>
      </c>
      <c r="I71" t="str">
        <v>914201 Neuromedical Ward</v>
      </c>
      <c r="J71">
        <v>219</v>
      </c>
      <c r="K71">
        <v>2231</v>
      </c>
      <c r="M71" t="str">
        <v>MEDICINE</v>
      </c>
      <c r="N71" t="str">
        <v>COMPLEX CARE GROUP</v>
      </c>
      <c r="O71" t="str">
        <v>914201 Neuromedical Ward</v>
      </c>
      <c r="P71">
        <v>219</v>
      </c>
      <c r="Q71">
        <v>2231</v>
      </c>
    </row>
    <row r="72" spans="1:17" x14ac:dyDescent="0.25">
      <c r="A72" t="s">
        <v>167</v>
      </c>
      <c r="B72" t="s">
        <v>168</v>
      </c>
      <c r="C72" t="s">
        <v>195</v>
      </c>
      <c r="D72" s="19">
        <v>3715</v>
      </c>
      <c r="E72" s="19">
        <v>3624</v>
      </c>
      <c r="G72" t="str">
        <v>MEDICINE</v>
      </c>
      <c r="H72" t="str">
        <v>COMPLEX CARE GROUP</v>
      </c>
      <c r="I72" t="str">
        <v>914202 Neurology</v>
      </c>
      <c r="J72">
        <v>1550</v>
      </c>
      <c r="K72">
        <v>528</v>
      </c>
      <c r="M72" t="str">
        <v>MEDICINE</v>
      </c>
      <c r="N72" t="str">
        <v>COMPLEX CARE GROUP</v>
      </c>
      <c r="O72" t="str">
        <v>914202 Neurology</v>
      </c>
      <c r="P72">
        <v>1550</v>
      </c>
      <c r="Q72">
        <v>528</v>
      </c>
    </row>
    <row r="73" spans="1:17" x14ac:dyDescent="0.25">
      <c r="A73" t="s">
        <v>167</v>
      </c>
      <c r="B73" t="s">
        <v>168</v>
      </c>
      <c r="C73" t="s">
        <v>196</v>
      </c>
      <c r="D73" s="19">
        <v>162</v>
      </c>
      <c r="E73" s="19">
        <v>4338</v>
      </c>
      <c r="G73" t="str">
        <v>MEDICINE</v>
      </c>
      <c r="H73" t="str">
        <v>COMPLEX CARE GROUP</v>
      </c>
      <c r="I73" t="str">
        <v>914208 Eeg</v>
      </c>
      <c r="J73">
        <v>2381</v>
      </c>
      <c r="K73">
        <v>4080</v>
      </c>
      <c r="M73" t="str">
        <v>MEDICINE</v>
      </c>
      <c r="N73" t="str">
        <v>COMPLEX CARE GROUP</v>
      </c>
      <c r="O73" t="str">
        <v>914208 Eeg</v>
      </c>
      <c r="P73">
        <v>2381</v>
      </c>
      <c r="Q73">
        <v>4080</v>
      </c>
    </row>
    <row r="74" spans="1:17" x14ac:dyDescent="0.25">
      <c r="A74" t="s">
        <v>167</v>
      </c>
      <c r="B74" t="s">
        <v>168</v>
      </c>
      <c r="C74" t="s">
        <v>197</v>
      </c>
      <c r="D74" s="19">
        <v>1110</v>
      </c>
      <c r="E74" s="19">
        <v>1608</v>
      </c>
      <c r="G74" t="str">
        <v>MEDICINE</v>
      </c>
      <c r="H74" t="str">
        <v>COMPLEX CARE GROUP</v>
      </c>
      <c r="I74" t="str">
        <v>914211 Ward 4b</v>
      </c>
      <c r="J74">
        <v>678</v>
      </c>
      <c r="K74">
        <v>3662</v>
      </c>
      <c r="M74" t="str">
        <v>MEDICINE</v>
      </c>
      <c r="N74" t="str">
        <v>COMPLEX CARE GROUP</v>
      </c>
      <c r="O74" t="str">
        <v>914211 Ward 4b</v>
      </c>
      <c r="P74">
        <v>678</v>
      </c>
      <c r="Q74">
        <v>3662</v>
      </c>
    </row>
    <row r="75" spans="1:17" x14ac:dyDescent="0.25">
      <c r="A75" t="s">
        <v>167</v>
      </c>
      <c r="B75" t="s">
        <v>192</v>
      </c>
      <c r="C75" t="s">
        <v>198</v>
      </c>
      <c r="D75" s="19">
        <v>339</v>
      </c>
      <c r="E75" s="19">
        <v>4033</v>
      </c>
      <c r="G75" t="str">
        <v>MEDICINE</v>
      </c>
      <c r="H75" t="str">
        <v>RADIOLOGY CARE GROUP</v>
      </c>
      <c r="I75" t="str">
        <v>916202 Ultrasound</v>
      </c>
      <c r="J75">
        <v>4442</v>
      </c>
      <c r="K75">
        <v>2671</v>
      </c>
      <c r="M75" t="str">
        <v>MEDICINE</v>
      </c>
      <c r="N75" t="str">
        <v>RADIOLOGY CARE GROUP</v>
      </c>
      <c r="O75" t="str">
        <v>916202 Ultrasound</v>
      </c>
      <c r="P75">
        <v>4442</v>
      </c>
      <c r="Q75">
        <v>2671</v>
      </c>
    </row>
    <row r="76" spans="1:17" x14ac:dyDescent="0.25">
      <c r="A76" t="s">
        <v>167</v>
      </c>
      <c r="B76" t="s">
        <v>192</v>
      </c>
      <c r="C76" t="s">
        <v>199</v>
      </c>
      <c r="D76" s="19">
        <v>3319</v>
      </c>
      <c r="E76" s="19">
        <v>4698</v>
      </c>
      <c r="G76" t="str">
        <v>MEDICINE</v>
      </c>
      <c r="H76" t="str">
        <v>RADIOLOGY CARE GROUP</v>
      </c>
      <c r="I76" t="str">
        <v>916203 Radiology</v>
      </c>
      <c r="J76">
        <v>4488</v>
      </c>
      <c r="K76">
        <v>1651</v>
      </c>
      <c r="M76" t="str">
        <v>MEDICINE</v>
      </c>
      <c r="N76" t="str">
        <v>RADIOLOGY CARE GROUP</v>
      </c>
      <c r="O76" t="str">
        <v>916203 Radiology</v>
      </c>
      <c r="P76">
        <v>4488</v>
      </c>
      <c r="Q76">
        <v>1651</v>
      </c>
    </row>
    <row r="77" spans="1:17" x14ac:dyDescent="0.25">
      <c r="A77" t="s">
        <v>167</v>
      </c>
      <c r="B77" t="s">
        <v>192</v>
      </c>
      <c r="C77" t="s">
        <v>200</v>
      </c>
      <c r="D77" s="19">
        <v>2504</v>
      </c>
      <c r="E77" s="19">
        <v>3154</v>
      </c>
      <c r="G77" t="str">
        <v>MEDICINE</v>
      </c>
      <c r="H77" t="str">
        <v>RADIOLOGY CARE GROUP</v>
      </c>
      <c r="I77" t="str">
        <v>916204 Cross Sectional Imaging</v>
      </c>
      <c r="J77">
        <v>4124</v>
      </c>
      <c r="K77">
        <v>177</v>
      </c>
      <c r="M77" t="str">
        <v>MEDICINE</v>
      </c>
      <c r="N77" t="str">
        <v>RADIOLOGY CARE GROUP</v>
      </c>
      <c r="O77" t="str">
        <v>916204 Cross Sectional Imaging</v>
      </c>
      <c r="P77">
        <v>4124</v>
      </c>
      <c r="Q77">
        <v>177</v>
      </c>
    </row>
    <row r="78" spans="1:17" x14ac:dyDescent="0.25">
      <c r="A78" t="s">
        <v>167</v>
      </c>
      <c r="B78" t="s">
        <v>192</v>
      </c>
      <c r="C78" t="s">
        <v>201</v>
      </c>
      <c r="D78" s="19">
        <v>4477</v>
      </c>
      <c r="E78" s="19">
        <v>2319</v>
      </c>
      <c r="G78" t="str">
        <v>MEDICINE</v>
      </c>
      <c r="H78" t="str">
        <v>RADIOLOGY CARE GROUP</v>
      </c>
      <c r="I78" t="str">
        <v>916206 Gamma Camera</v>
      </c>
      <c r="J78">
        <v>2972</v>
      </c>
      <c r="K78">
        <v>4105</v>
      </c>
      <c r="M78" t="str">
        <v>MEDICINE</v>
      </c>
      <c r="N78" t="str">
        <v>RADIOLOGY CARE GROUP</v>
      </c>
      <c r="O78" t="str">
        <v>916206 Gamma Camera</v>
      </c>
      <c r="P78">
        <v>2972</v>
      </c>
      <c r="Q78">
        <v>4105</v>
      </c>
    </row>
    <row r="79" spans="1:17" x14ac:dyDescent="0.25">
      <c r="A79" t="s">
        <v>167</v>
      </c>
      <c r="B79" t="s">
        <v>192</v>
      </c>
      <c r="C79" t="s">
        <v>202</v>
      </c>
      <c r="D79" s="19">
        <v>4585</v>
      </c>
      <c r="E79" s="19">
        <v>3551</v>
      </c>
      <c r="G79" t="str">
        <v>MEDICINE</v>
      </c>
      <c r="H79" t="str">
        <v>PATHOLOGY CARE GROUP</v>
      </c>
      <c r="I79" t="str">
        <v>916302 Virology</v>
      </c>
      <c r="J79">
        <v>1192</v>
      </c>
      <c r="K79">
        <v>3257</v>
      </c>
      <c r="M79" t="str">
        <v>MEDICINE</v>
      </c>
      <c r="N79" t="str">
        <v>PATHOLOGY CARE GROUP</v>
      </c>
      <c r="O79" t="str">
        <v>916302 Virology</v>
      </c>
      <c r="P79">
        <v>1192</v>
      </c>
      <c r="Q79">
        <v>3257</v>
      </c>
    </row>
    <row r="80" spans="1:17" x14ac:dyDescent="0.25">
      <c r="A80" t="s">
        <v>126</v>
      </c>
      <c r="B80" t="s">
        <v>135</v>
      </c>
      <c r="C80" t="s">
        <v>205</v>
      </c>
      <c r="D80" s="19">
        <v>219</v>
      </c>
      <c r="E80" s="19">
        <v>2231</v>
      </c>
      <c r="G80" t="str">
        <v>MEDICINE</v>
      </c>
      <c r="H80" t="str">
        <v>PATHOLOGY CARE GROUP</v>
      </c>
      <c r="I80" t="str">
        <v>916303 Mortuary</v>
      </c>
      <c r="J80">
        <v>1783</v>
      </c>
      <c r="K80">
        <v>1524</v>
      </c>
      <c r="M80" t="str">
        <v>MEDICINE</v>
      </c>
      <c r="N80" t="str">
        <v>PATHOLOGY CARE GROUP</v>
      </c>
      <c r="O80" t="str">
        <v>916303 Mortuary</v>
      </c>
      <c r="P80">
        <v>1783</v>
      </c>
      <c r="Q80">
        <v>1524</v>
      </c>
    </row>
    <row r="81" spans="1:17" x14ac:dyDescent="0.25">
      <c r="A81" t="s">
        <v>126</v>
      </c>
      <c r="B81" t="s">
        <v>135</v>
      </c>
      <c r="C81" t="s">
        <v>206</v>
      </c>
      <c r="D81" s="19">
        <v>1550</v>
      </c>
      <c r="E81" s="19">
        <v>528</v>
      </c>
      <c r="G81" t="str">
        <v>MEDICINE</v>
      </c>
      <c r="H81" t="str">
        <v>PATHOLOGY CARE GROUP</v>
      </c>
      <c r="I81" t="str">
        <v>916304 Microbiology</v>
      </c>
      <c r="J81">
        <v>1528</v>
      </c>
      <c r="K81">
        <v>3449</v>
      </c>
      <c r="M81" t="str">
        <v>MEDICINE</v>
      </c>
      <c r="N81" t="str">
        <v>PATHOLOGY CARE GROUP</v>
      </c>
      <c r="O81" t="str">
        <v>916304 Microbiology</v>
      </c>
      <c r="P81">
        <v>1528</v>
      </c>
      <c r="Q81">
        <v>3449</v>
      </c>
    </row>
    <row r="82" spans="1:17" x14ac:dyDescent="0.25">
      <c r="A82" t="s">
        <v>167</v>
      </c>
      <c r="B82" t="s">
        <v>207</v>
      </c>
      <c r="C82" t="s">
        <v>208</v>
      </c>
      <c r="D82" s="19">
        <v>1310</v>
      </c>
      <c r="E82" s="19">
        <v>2147</v>
      </c>
      <c r="G82" t="str">
        <v>MEDICINE</v>
      </c>
      <c r="H82" t="str">
        <v>PATHOLOGY CARE GROUP</v>
      </c>
      <c r="I82" t="str">
        <v>916305 Immunology</v>
      </c>
      <c r="J82">
        <v>3243</v>
      </c>
      <c r="K82">
        <v>4209</v>
      </c>
      <c r="M82" t="str">
        <v>MEDICINE</v>
      </c>
      <c r="N82" t="str">
        <v>PATHOLOGY CARE GROUP</v>
      </c>
      <c r="O82" t="str">
        <v>916305 Immunology</v>
      </c>
      <c r="P82">
        <v>3243</v>
      </c>
      <c r="Q82">
        <v>4209</v>
      </c>
    </row>
    <row r="83" spans="1:17" x14ac:dyDescent="0.25">
      <c r="A83" t="s">
        <v>167</v>
      </c>
      <c r="B83" t="s">
        <v>209</v>
      </c>
      <c r="C83" t="s">
        <v>210</v>
      </c>
      <c r="D83" s="19">
        <v>597</v>
      </c>
      <c r="E83" s="19">
        <v>1468</v>
      </c>
      <c r="G83" t="str">
        <v>MEDICINE</v>
      </c>
      <c r="H83" t="str">
        <v>PATHOLOGY CARE GROUP</v>
      </c>
      <c r="I83" t="str">
        <v>916306 Histopathology</v>
      </c>
      <c r="J83">
        <v>195</v>
      </c>
      <c r="K83">
        <v>2525</v>
      </c>
      <c r="M83" t="str">
        <v>MEDICINE</v>
      </c>
      <c r="N83" t="str">
        <v>PATHOLOGY CARE GROUP</v>
      </c>
      <c r="O83" t="str">
        <v>916306 Histopathology</v>
      </c>
      <c r="P83">
        <v>195</v>
      </c>
      <c r="Q83">
        <v>2525</v>
      </c>
    </row>
    <row r="84" spans="1:17" x14ac:dyDescent="0.25">
      <c r="A84" t="s">
        <v>167</v>
      </c>
      <c r="B84" t="s">
        <v>209</v>
      </c>
      <c r="C84" t="s">
        <v>211</v>
      </c>
      <c r="D84" s="19">
        <v>267</v>
      </c>
      <c r="E84" s="19">
        <v>2686</v>
      </c>
      <c r="G84" t="str">
        <v>MEDICINE</v>
      </c>
      <c r="H84" t="str">
        <v>PATHOLOGY CARE GROUP</v>
      </c>
      <c r="I84" t="str">
        <v>916307 Haematology</v>
      </c>
      <c r="J84">
        <v>2014</v>
      </c>
      <c r="K84">
        <v>4588</v>
      </c>
      <c r="M84" t="str">
        <v>MEDICINE</v>
      </c>
      <c r="N84" t="str">
        <v>PATHOLOGY CARE GROUP</v>
      </c>
      <c r="O84" t="str">
        <v>916307 Haematology</v>
      </c>
      <c r="P84">
        <v>2014</v>
      </c>
      <c r="Q84">
        <v>4588</v>
      </c>
    </row>
    <row r="85" spans="1:17" x14ac:dyDescent="0.25">
      <c r="A85" t="s">
        <v>126</v>
      </c>
      <c r="B85" t="s">
        <v>135</v>
      </c>
      <c r="C85" t="s">
        <v>212</v>
      </c>
      <c r="D85" s="19">
        <v>2381</v>
      </c>
      <c r="E85" s="19">
        <v>4080</v>
      </c>
      <c r="G85" t="str">
        <v>MEDICINE</v>
      </c>
      <c r="H85" t="str">
        <v>PATHOLOGY CARE GROUP</v>
      </c>
      <c r="I85" t="str">
        <v>916308 General Pathology</v>
      </c>
      <c r="J85">
        <v>4683</v>
      </c>
      <c r="K85">
        <v>686</v>
      </c>
      <c r="M85" t="str">
        <v>MEDICINE</v>
      </c>
      <c r="N85" t="str">
        <v>PATHOLOGY CARE GROUP</v>
      </c>
      <c r="O85" t="str">
        <v>916308 General Pathology</v>
      </c>
      <c r="P85">
        <v>4683</v>
      </c>
      <c r="Q85">
        <v>686</v>
      </c>
    </row>
    <row r="86" spans="1:17" x14ac:dyDescent="0.25">
      <c r="A86" t="s">
        <v>167</v>
      </c>
      <c r="B86" t="s">
        <v>204</v>
      </c>
      <c r="C86" t="s">
        <v>213</v>
      </c>
      <c r="D86" s="19">
        <v>4640</v>
      </c>
      <c r="E86" s="19">
        <v>1082</v>
      </c>
      <c r="G86" t="str">
        <v>MEDICINE</v>
      </c>
      <c r="H86" t="str">
        <v>PATHOLOGY CARE GROUP</v>
      </c>
      <c r="I86" t="str">
        <v>916309 Blood Transfusion Services</v>
      </c>
      <c r="J86">
        <v>3901</v>
      </c>
      <c r="K86">
        <v>4141</v>
      </c>
      <c r="M86" t="str">
        <v>MEDICINE</v>
      </c>
      <c r="N86" t="str">
        <v>PATHOLOGY CARE GROUP</v>
      </c>
      <c r="O86" t="str">
        <v>916309 Blood Transfusion Services</v>
      </c>
      <c r="P86">
        <v>3901</v>
      </c>
      <c r="Q86">
        <v>4141</v>
      </c>
    </row>
    <row r="87" spans="1:17" x14ac:dyDescent="0.25">
      <c r="A87" t="s">
        <v>167</v>
      </c>
      <c r="B87" t="s">
        <v>207</v>
      </c>
      <c r="C87" t="s">
        <v>214</v>
      </c>
      <c r="D87" s="19">
        <v>1968</v>
      </c>
      <c r="E87" s="19">
        <v>218</v>
      </c>
      <c r="G87" t="str">
        <v>MEDICINE</v>
      </c>
      <c r="H87" t="str">
        <v>PATHOLOGY CARE GROUP</v>
      </c>
      <c r="I87" t="str">
        <v>916310 Biochemistry</v>
      </c>
      <c r="J87">
        <v>917</v>
      </c>
      <c r="K87">
        <v>2174</v>
      </c>
      <c r="M87" t="str">
        <v>MEDICINE</v>
      </c>
      <c r="N87" t="str">
        <v>PATHOLOGY CARE GROUP</v>
      </c>
      <c r="O87" t="str">
        <v>916310 Biochemistry</v>
      </c>
      <c r="P87">
        <v>917</v>
      </c>
      <c r="Q87">
        <v>2174</v>
      </c>
    </row>
    <row r="88" spans="1:17" x14ac:dyDescent="0.25">
      <c r="A88" t="s">
        <v>126</v>
      </c>
      <c r="B88" t="s">
        <v>135</v>
      </c>
      <c r="C88" t="s">
        <v>215</v>
      </c>
      <c r="D88" s="19">
        <v>678</v>
      </c>
      <c r="E88" s="19">
        <v>3662</v>
      </c>
      <c r="G88" t="str">
        <v>MEDICINE</v>
      </c>
      <c r="H88" t="str">
        <v>PHARMACY CARE GROUP</v>
      </c>
      <c r="I88" t="str">
        <v>916402 Pharmacy</v>
      </c>
      <c r="J88">
        <v>1120</v>
      </c>
      <c r="K88">
        <v>4871</v>
      </c>
      <c r="M88" t="str">
        <v>MEDICINE</v>
      </c>
      <c r="N88" t="str">
        <v>PHARMACY CARE GROUP</v>
      </c>
      <c r="O88" t="str">
        <v>916402 Pharmacy</v>
      </c>
      <c r="P88">
        <v>1120</v>
      </c>
      <c r="Q88">
        <v>4871</v>
      </c>
    </row>
    <row r="89" spans="1:17" x14ac:dyDescent="0.25">
      <c r="A89" t="s">
        <v>167</v>
      </c>
      <c r="B89" t="s">
        <v>216</v>
      </c>
      <c r="C89" t="s">
        <v>217</v>
      </c>
      <c r="D89" s="19">
        <v>3613</v>
      </c>
      <c r="E89" s="19">
        <v>3359</v>
      </c>
      <c r="G89" t="str">
        <v>MEDICINE</v>
      </c>
      <c r="H89" t="str">
        <v>PHARMACY CARE GROUP</v>
      </c>
      <c r="I89" t="str">
        <v>916403 Aseptic Unit</v>
      </c>
      <c r="J89">
        <v>324</v>
      </c>
      <c r="K89">
        <v>4365</v>
      </c>
      <c r="M89" t="str">
        <v>MEDICINE</v>
      </c>
      <c r="N89" t="str">
        <v>PHARMACY CARE GROUP</v>
      </c>
      <c r="O89" t="str">
        <v>916403 Aseptic Unit</v>
      </c>
      <c r="P89">
        <v>324</v>
      </c>
      <c r="Q89">
        <v>4365</v>
      </c>
    </row>
    <row r="90" spans="1:17" x14ac:dyDescent="0.25">
      <c r="A90" t="s">
        <v>167</v>
      </c>
      <c r="B90" t="s">
        <v>216</v>
      </c>
      <c r="C90" t="s">
        <v>218</v>
      </c>
      <c r="D90" s="19">
        <v>4643</v>
      </c>
      <c r="E90" s="19">
        <v>2418</v>
      </c>
      <c r="G90" t="str">
        <v>MEDICINE</v>
      </c>
      <c r="H90" t="str">
        <v>ACUTE CARE GROUP</v>
      </c>
      <c r="I90" t="str">
        <v>916505 Patient Flows</v>
      </c>
      <c r="J90">
        <v>1666</v>
      </c>
      <c r="K90">
        <v>4260</v>
      </c>
      <c r="M90" t="str">
        <v>MEDICINE</v>
      </c>
      <c r="N90" t="str">
        <v>ACUTE CARE GROUP</v>
      </c>
      <c r="O90" t="str">
        <v>916505 Patient Flows</v>
      </c>
      <c r="P90">
        <v>1666</v>
      </c>
      <c r="Q90">
        <v>4260</v>
      </c>
    </row>
    <row r="91" spans="1:17" x14ac:dyDescent="0.25">
      <c r="A91" t="s">
        <v>167</v>
      </c>
      <c r="B91" t="s">
        <v>216</v>
      </c>
      <c r="C91" t="s">
        <v>219</v>
      </c>
      <c r="D91" s="19">
        <v>3466</v>
      </c>
      <c r="E91" s="19">
        <v>2613</v>
      </c>
      <c r="G91" t="str">
        <v>MEDICINE</v>
      </c>
      <c r="H91" t="str">
        <v>SPECIALIST CARE GROUP</v>
      </c>
      <c r="I91" t="str">
        <v>916508 Speech Therapy</v>
      </c>
      <c r="J91">
        <v>3981</v>
      </c>
      <c r="K91">
        <v>3409</v>
      </c>
      <c r="M91" t="str">
        <v>MEDICINE</v>
      </c>
      <c r="N91" t="str">
        <v>SPECIALIST CARE GROUP</v>
      </c>
      <c r="O91" t="str">
        <v>916508 Speech Therapy</v>
      </c>
      <c r="P91">
        <v>3981</v>
      </c>
      <c r="Q91">
        <v>3409</v>
      </c>
    </row>
    <row r="92" spans="1:17" x14ac:dyDescent="0.25">
      <c r="A92" t="s">
        <v>167</v>
      </c>
      <c r="B92" t="s">
        <v>220</v>
      </c>
      <c r="C92" t="s">
        <v>221</v>
      </c>
      <c r="D92" s="19">
        <v>4518</v>
      </c>
      <c r="E92" s="19">
        <v>4591</v>
      </c>
      <c r="G92" t="str">
        <v>MEDICINE</v>
      </c>
      <c r="H92" t="str">
        <v>COMPLEX CARE GROUP</v>
      </c>
      <c r="I92" t="str">
        <v>916509 Physiotherapy Respiratory</v>
      </c>
      <c r="J92">
        <v>2358</v>
      </c>
      <c r="K92">
        <v>3554</v>
      </c>
      <c r="M92" t="str">
        <v>MEDICINE</v>
      </c>
      <c r="N92" t="str">
        <v>COMPLEX CARE GROUP</v>
      </c>
      <c r="O92" t="str">
        <v>916509 Physiotherapy Respiratory</v>
      </c>
      <c r="P92">
        <v>2358</v>
      </c>
      <c r="Q92">
        <v>3554</v>
      </c>
    </row>
    <row r="93" spans="1:17" x14ac:dyDescent="0.25">
      <c r="A93" t="s">
        <v>167</v>
      </c>
      <c r="B93" t="s">
        <v>220</v>
      </c>
      <c r="C93" t="s">
        <v>222</v>
      </c>
      <c r="D93" s="19">
        <v>2295</v>
      </c>
      <c r="E93" s="19">
        <v>2061</v>
      </c>
      <c r="G93" t="str">
        <v>MEDICINE</v>
      </c>
      <c r="H93" t="str">
        <v>COMPLEX CARE GROUP</v>
      </c>
      <c r="I93" t="str">
        <v>916510 Physiotherapy Orthopaedic</v>
      </c>
      <c r="J93">
        <v>4750</v>
      </c>
      <c r="K93">
        <v>3606</v>
      </c>
      <c r="M93" t="str">
        <v>MEDICINE</v>
      </c>
      <c r="N93" t="str">
        <v>COMPLEX CARE GROUP</v>
      </c>
      <c r="O93" t="str">
        <v>916510 Physiotherapy Orthopaedic</v>
      </c>
      <c r="P93">
        <v>4750</v>
      </c>
      <c r="Q93">
        <v>3606</v>
      </c>
    </row>
    <row r="94" spans="1:17" x14ac:dyDescent="0.25">
      <c r="A94" t="s">
        <v>167</v>
      </c>
      <c r="B94" t="s">
        <v>220</v>
      </c>
      <c r="C94" t="s">
        <v>223</v>
      </c>
      <c r="D94" s="19">
        <v>4077</v>
      </c>
      <c r="E94" s="19">
        <v>2944</v>
      </c>
      <c r="G94" t="str">
        <v>MEDICINE</v>
      </c>
      <c r="H94" t="str">
        <v>COMPLEX CARE GROUP</v>
      </c>
      <c r="I94" t="str">
        <v>916511 Physiotherapy Neurology</v>
      </c>
      <c r="J94">
        <v>640</v>
      </c>
      <c r="K94">
        <v>1375</v>
      </c>
      <c r="M94" t="str">
        <v>MEDICINE</v>
      </c>
      <c r="N94" t="str">
        <v>COMPLEX CARE GROUP</v>
      </c>
      <c r="O94" t="str">
        <v>916511 Physiotherapy Neurology</v>
      </c>
      <c r="P94">
        <v>640</v>
      </c>
      <c r="Q94">
        <v>1375</v>
      </c>
    </row>
    <row r="95" spans="1:17" x14ac:dyDescent="0.25">
      <c r="A95" t="s">
        <v>167</v>
      </c>
      <c r="B95" t="s">
        <v>180</v>
      </c>
      <c r="C95" t="s">
        <v>224</v>
      </c>
      <c r="D95" s="19">
        <v>157</v>
      </c>
      <c r="E95" s="19">
        <v>3669</v>
      </c>
      <c r="G95" t="str">
        <v>MEDICINE</v>
      </c>
      <c r="H95" t="str">
        <v>COMPLEX CARE GROUP</v>
      </c>
      <c r="I95" t="str">
        <v>916515 Occupational Therapy</v>
      </c>
      <c r="J95">
        <v>4801</v>
      </c>
      <c r="K95">
        <v>2946</v>
      </c>
      <c r="M95" t="str">
        <v>MEDICINE</v>
      </c>
      <c r="N95" t="str">
        <v>COMPLEX CARE GROUP</v>
      </c>
      <c r="O95" t="str">
        <v>916515 Occupational Therapy</v>
      </c>
      <c r="P95">
        <v>4801</v>
      </c>
      <c r="Q95">
        <v>2946</v>
      </c>
    </row>
    <row r="96" spans="1:17" x14ac:dyDescent="0.25">
      <c r="A96" t="s">
        <v>151</v>
      </c>
      <c r="B96" t="s">
        <v>191</v>
      </c>
      <c r="C96" t="s">
        <v>225</v>
      </c>
      <c r="D96" s="19">
        <v>3859</v>
      </c>
      <c r="E96" s="19">
        <v>4610</v>
      </c>
      <c r="G96" t="str">
        <v>MEDICINE</v>
      </c>
      <c r="H96" t="str">
        <v>CANCER, PALLIATIVE &amp; END OF LIFE CARE GROUP</v>
      </c>
      <c r="I96" t="str">
        <v>917412 Alder Centre</v>
      </c>
      <c r="J96">
        <v>3364</v>
      </c>
      <c r="K96">
        <v>3314</v>
      </c>
      <c r="M96" t="str">
        <v>MEDICINE</v>
      </c>
      <c r="N96" t="str">
        <v>CANCER, PALLIATIVE &amp; END OF LIFE CARE GROUP</v>
      </c>
      <c r="O96" t="str">
        <v>917412 Alder Centre</v>
      </c>
      <c r="P96">
        <v>3364</v>
      </c>
      <c r="Q96">
        <v>3314</v>
      </c>
    </row>
    <row r="97" spans="1:17" x14ac:dyDescent="0.25">
      <c r="A97" t="s">
        <v>167</v>
      </c>
      <c r="B97" t="s">
        <v>220</v>
      </c>
      <c r="C97" t="s">
        <v>226</v>
      </c>
      <c r="D97" s="19">
        <v>3392</v>
      </c>
      <c r="E97" s="19">
        <v>456</v>
      </c>
      <c r="G97" t="str">
        <v>SURGICAL CARE</v>
      </c>
      <c r="H97" t="str">
        <v>ENT &amp; AUDIOLOGY</v>
      </c>
      <c r="I97" t="str">
        <v>912407 Audiology</v>
      </c>
      <c r="J97">
        <v>3392</v>
      </c>
      <c r="K97">
        <v>2365</v>
      </c>
      <c r="M97" t="str">
        <v>SURGICAL CARE</v>
      </c>
      <c r="N97" t="str">
        <v>ENT &amp; AUDIOLOGY</v>
      </c>
      <c r="O97" t="str">
        <v>912407 Audiology</v>
      </c>
      <c r="P97">
        <v>3392</v>
      </c>
      <c r="Q97">
        <v>2365</v>
      </c>
    </row>
    <row r="98" spans="1:17" x14ac:dyDescent="0.25">
      <c r="A98" t="s">
        <v>151</v>
      </c>
      <c r="B98" t="s">
        <v>191</v>
      </c>
      <c r="C98" t="s">
        <v>227</v>
      </c>
      <c r="D98" s="19">
        <v>2612</v>
      </c>
      <c r="E98" s="19">
        <v>561</v>
      </c>
      <c r="G98" t="str">
        <v>SURGICAL CARE</v>
      </c>
      <c r="H98" t="str">
        <v>BURNS &amp; PLASTICS</v>
      </c>
      <c r="I98" t="str">
        <v>913201 Burns Unit</v>
      </c>
      <c r="J98">
        <v>702</v>
      </c>
      <c r="K98">
        <v>3594</v>
      </c>
      <c r="M98" t="str">
        <v>SURGICAL CARE</v>
      </c>
      <c r="N98" t="str">
        <v>BURNS &amp; PLASTICS</v>
      </c>
      <c r="O98" t="str">
        <v>913201 Burns Unit</v>
      </c>
      <c r="P98">
        <v>702</v>
      </c>
      <c r="Q98">
        <v>3594</v>
      </c>
    </row>
    <row r="99" spans="1:17" x14ac:dyDescent="0.25">
      <c r="A99" t="s">
        <v>167</v>
      </c>
      <c r="B99" t="s">
        <v>207</v>
      </c>
      <c r="C99" t="s">
        <v>228</v>
      </c>
      <c r="D99" s="19">
        <v>2013</v>
      </c>
      <c r="E99" s="19">
        <v>2613</v>
      </c>
      <c r="G99" t="str">
        <v>SURGICAL CARE</v>
      </c>
      <c r="H99" t="str">
        <v>CRITICAL CARE</v>
      </c>
      <c r="I99" t="str">
        <v>913204 Critical Care</v>
      </c>
      <c r="J99">
        <v>647</v>
      </c>
      <c r="K99">
        <v>2946</v>
      </c>
      <c r="M99" t="str">
        <v>SURGICAL CARE</v>
      </c>
      <c r="N99" t="str">
        <v>CRITICAL CARE</v>
      </c>
      <c r="O99" t="str">
        <v>913204 Critical Care</v>
      </c>
      <c r="P99">
        <v>647</v>
      </c>
      <c r="Q99">
        <v>2946</v>
      </c>
    </row>
    <row r="100" spans="1:17" x14ac:dyDescent="0.25">
      <c r="A100" t="s">
        <v>167</v>
      </c>
      <c r="B100" t="s">
        <v>207</v>
      </c>
      <c r="C100" t="s">
        <v>229</v>
      </c>
      <c r="D100" s="19">
        <v>1614</v>
      </c>
      <c r="E100" s="19">
        <v>2144</v>
      </c>
      <c r="G100" t="str">
        <v>SURGICAL CARE</v>
      </c>
      <c r="H100" t="str">
        <v>CARDIAC &amp; CARDIOLOGY</v>
      </c>
      <c r="I100" t="str">
        <v>913206 Perfusionists</v>
      </c>
      <c r="J100">
        <v>4678</v>
      </c>
      <c r="K100">
        <v>4856</v>
      </c>
      <c r="M100" t="str">
        <v>SURGICAL CARE</v>
      </c>
      <c r="N100" t="str">
        <v>CARDIAC &amp; CARDIOLOGY</v>
      </c>
      <c r="O100" t="str">
        <v>913206 Perfusionists</v>
      </c>
      <c r="P100">
        <v>4678</v>
      </c>
      <c r="Q100">
        <v>4856</v>
      </c>
    </row>
    <row r="101" spans="1:17" x14ac:dyDescent="0.25">
      <c r="A101" t="s">
        <v>167</v>
      </c>
      <c r="B101" t="s">
        <v>188</v>
      </c>
      <c r="C101" t="s">
        <v>230</v>
      </c>
      <c r="D101" s="19">
        <v>404</v>
      </c>
      <c r="E101" s="19">
        <v>574</v>
      </c>
      <c r="G101" t="str">
        <v>SURGICAL CARE</v>
      </c>
      <c r="H101" t="str">
        <v>CRITICAL CARE</v>
      </c>
      <c r="I101" t="str">
        <v>913207 Ecmo Service</v>
      </c>
      <c r="J101">
        <v>3359</v>
      </c>
      <c r="K101">
        <v>277</v>
      </c>
      <c r="M101" t="str">
        <v>SURGICAL CARE</v>
      </c>
      <c r="N101" t="str">
        <v>CRITICAL CARE</v>
      </c>
      <c r="O101" t="str">
        <v>913207 Ecmo Service</v>
      </c>
      <c r="P101">
        <v>3359</v>
      </c>
      <c r="Q101">
        <v>277</v>
      </c>
    </row>
    <row r="102" spans="1:17" x14ac:dyDescent="0.25">
      <c r="A102" t="s">
        <v>167</v>
      </c>
      <c r="B102" t="s">
        <v>207</v>
      </c>
      <c r="C102" t="s">
        <v>231</v>
      </c>
      <c r="D102" s="19">
        <v>4142</v>
      </c>
      <c r="E102" s="19">
        <v>478</v>
      </c>
      <c r="G102" t="str">
        <v>SURGICAL CARE</v>
      </c>
      <c r="H102" t="str">
        <v>CRITICAL CARE</v>
      </c>
      <c r="I102" t="str">
        <v>913208 Critical Care Ward</v>
      </c>
      <c r="J102">
        <v>3715</v>
      </c>
      <c r="K102">
        <v>3624</v>
      </c>
      <c r="M102" t="str">
        <v>SURGICAL CARE</v>
      </c>
      <c r="N102" t="str">
        <v>CRITICAL CARE</v>
      </c>
      <c r="O102" t="str">
        <v>913208 Critical Care Ward</v>
      </c>
      <c r="P102">
        <v>3715</v>
      </c>
      <c r="Q102">
        <v>3624</v>
      </c>
    </row>
    <row r="103" spans="1:17" x14ac:dyDescent="0.25">
      <c r="A103" t="s">
        <v>167</v>
      </c>
      <c r="B103" t="s">
        <v>203</v>
      </c>
      <c r="C103" t="s">
        <v>232</v>
      </c>
      <c r="D103" s="19">
        <v>4236</v>
      </c>
      <c r="E103" s="19">
        <v>210</v>
      </c>
      <c r="G103" t="str">
        <v>SURGICAL CARE</v>
      </c>
      <c r="H103" t="str">
        <v>CRITICAL CARE</v>
      </c>
      <c r="I103" t="str">
        <v>913209 Critical Care Income</v>
      </c>
      <c r="J103">
        <v>162</v>
      </c>
      <c r="K103">
        <v>4338</v>
      </c>
      <c r="M103" t="str">
        <v>SURGICAL CARE</v>
      </c>
      <c r="N103" t="str">
        <v>CRITICAL CARE</v>
      </c>
      <c r="O103" t="str">
        <v>913209 Critical Care Income</v>
      </c>
      <c r="P103">
        <v>162</v>
      </c>
      <c r="Q103">
        <v>4338</v>
      </c>
    </row>
    <row r="104" spans="1:17" x14ac:dyDescent="0.25">
      <c r="A104" t="s">
        <v>167</v>
      </c>
      <c r="B104" t="s">
        <v>203</v>
      </c>
      <c r="C104" t="s">
        <v>233</v>
      </c>
      <c r="D104" s="19">
        <v>3039</v>
      </c>
      <c r="E104" s="19">
        <v>3739</v>
      </c>
      <c r="G104" t="str">
        <v>SURGICAL CARE</v>
      </c>
      <c r="H104" t="str">
        <v>CRITICAL CARE</v>
      </c>
      <c r="I104" t="str">
        <v>913210 High Dependancy Unit (Hdu)</v>
      </c>
      <c r="J104">
        <v>1110</v>
      </c>
      <c r="K104">
        <v>1608</v>
      </c>
      <c r="M104" t="str">
        <v>SURGICAL CARE</v>
      </c>
      <c r="N104" t="str">
        <v>CRITICAL CARE</v>
      </c>
      <c r="O104" t="str">
        <v>913210 High Dependancy Unit (Hdu)</v>
      </c>
      <c r="P104">
        <v>1110</v>
      </c>
      <c r="Q104">
        <v>1608</v>
      </c>
    </row>
    <row r="105" spans="1:17" x14ac:dyDescent="0.25">
      <c r="A105" t="s">
        <v>167</v>
      </c>
      <c r="B105" t="s">
        <v>203</v>
      </c>
      <c r="C105" t="s">
        <v>234</v>
      </c>
      <c r="D105" s="19">
        <v>4177</v>
      </c>
      <c r="E105" s="19">
        <v>2771</v>
      </c>
      <c r="G105" t="str">
        <v>SURGICAL CARE</v>
      </c>
      <c r="H105" t="str">
        <v>CARDIAC &amp; CARDIOLOGY</v>
      </c>
      <c r="I105" t="str">
        <v>913301 Ward 1c Neonatal</v>
      </c>
      <c r="J105">
        <v>339</v>
      </c>
      <c r="K105">
        <v>4033</v>
      </c>
      <c r="M105" t="str">
        <v>SURGICAL CARE</v>
      </c>
      <c r="N105" t="str">
        <v>CARDIAC &amp; CARDIOLOGY</v>
      </c>
      <c r="O105" t="str">
        <v>913301 Ward 1c Neonatal</v>
      </c>
      <c r="P105">
        <v>339</v>
      </c>
      <c r="Q105">
        <v>4033</v>
      </c>
    </row>
    <row r="106" spans="1:17" x14ac:dyDescent="0.25">
      <c r="A106" t="s">
        <v>167</v>
      </c>
      <c r="B106" t="s">
        <v>203</v>
      </c>
      <c r="C106" t="s">
        <v>235</v>
      </c>
      <c r="D106" s="19">
        <v>1831</v>
      </c>
      <c r="E106" s="19">
        <v>4632</v>
      </c>
      <c r="G106" t="str">
        <v>SURGICAL CARE</v>
      </c>
      <c r="H106" t="str">
        <v>CARDIAC &amp; CARDIOLOGY</v>
      </c>
      <c r="I106" t="str">
        <v>913302 Ecg</v>
      </c>
      <c r="J106">
        <v>3319</v>
      </c>
      <c r="K106">
        <v>4698</v>
      </c>
      <c r="M106" t="str">
        <v>SURGICAL CARE</v>
      </c>
      <c r="N106" t="str">
        <v>CARDIAC &amp; CARDIOLOGY</v>
      </c>
      <c r="O106" t="str">
        <v>913302 Ecg</v>
      </c>
      <c r="P106">
        <v>3319</v>
      </c>
      <c r="Q106">
        <v>4698</v>
      </c>
    </row>
    <row r="107" spans="1:17" x14ac:dyDescent="0.25">
      <c r="A107" t="s">
        <v>167</v>
      </c>
      <c r="B107" t="s">
        <v>203</v>
      </c>
      <c r="C107" t="s">
        <v>236</v>
      </c>
      <c r="D107" s="19">
        <v>1730</v>
      </c>
      <c r="E107" s="19">
        <v>2369</v>
      </c>
      <c r="G107" t="str">
        <v>SURGICAL CARE</v>
      </c>
      <c r="H107" t="str">
        <v>CARDIAC &amp; CARDIOLOGY</v>
      </c>
      <c r="I107" t="str">
        <v>913304 Cardiac Surgery</v>
      </c>
      <c r="J107">
        <v>2504</v>
      </c>
      <c r="K107">
        <v>3154</v>
      </c>
      <c r="M107" t="str">
        <v>SURGICAL CARE</v>
      </c>
      <c r="N107" t="str">
        <v>CARDIAC &amp; CARDIOLOGY</v>
      </c>
      <c r="O107" t="str">
        <v>913304 Cardiac Surgery</v>
      </c>
      <c r="P107">
        <v>2504</v>
      </c>
      <c r="Q107">
        <v>3154</v>
      </c>
    </row>
    <row r="108" spans="1:17" x14ac:dyDescent="0.25">
      <c r="A108" t="s">
        <v>167</v>
      </c>
      <c r="B108" t="s">
        <v>238</v>
      </c>
      <c r="C108" t="s">
        <v>239</v>
      </c>
      <c r="D108" s="19">
        <v>487</v>
      </c>
      <c r="E108" s="19">
        <v>3972</v>
      </c>
      <c r="G108" t="str">
        <v>SURGICAL CARE</v>
      </c>
      <c r="H108" t="str">
        <v>CARDIAC &amp; CARDIOLOGY</v>
      </c>
      <c r="I108" t="str">
        <v>913305 Cardiology</v>
      </c>
      <c r="J108">
        <v>4477</v>
      </c>
      <c r="K108">
        <v>2319</v>
      </c>
      <c r="M108" t="str">
        <v>SURGICAL CARE</v>
      </c>
      <c r="N108" t="str">
        <v>CARDIAC &amp; CARDIOLOGY</v>
      </c>
      <c r="O108" t="str">
        <v>913305 Cardiology</v>
      </c>
      <c r="P108">
        <v>4477</v>
      </c>
      <c r="Q108">
        <v>2319</v>
      </c>
    </row>
    <row r="109" spans="1:17" x14ac:dyDescent="0.25">
      <c r="A109" t="s">
        <v>167</v>
      </c>
      <c r="B109" t="s">
        <v>237</v>
      </c>
      <c r="C109" t="s">
        <v>240</v>
      </c>
      <c r="D109" s="19">
        <v>2340</v>
      </c>
      <c r="E109" s="19">
        <v>3388</v>
      </c>
      <c r="G109" t="str">
        <v>SURGICAL CARE</v>
      </c>
      <c r="H109" t="str">
        <v>CARDIAC &amp; CARDIOLOGY</v>
      </c>
      <c r="I109" t="str">
        <v>913307 Ward 1c</v>
      </c>
      <c r="J109">
        <v>4585</v>
      </c>
      <c r="K109">
        <v>3551</v>
      </c>
      <c r="M109" t="str">
        <v>SURGICAL CARE</v>
      </c>
      <c r="N109" t="str">
        <v>CARDIAC &amp; CARDIOLOGY</v>
      </c>
      <c r="O109" t="str">
        <v>913307 Ward 1c</v>
      </c>
      <c r="P109">
        <v>4585</v>
      </c>
      <c r="Q109">
        <v>3551</v>
      </c>
    </row>
    <row r="110" spans="1:17" x14ac:dyDescent="0.25">
      <c r="A110" t="s">
        <v>167</v>
      </c>
      <c r="B110" t="s">
        <v>237</v>
      </c>
      <c r="C110" t="s">
        <v>241</v>
      </c>
      <c r="D110" s="19">
        <v>264</v>
      </c>
      <c r="E110" s="19">
        <v>3263</v>
      </c>
      <c r="G110" t="str">
        <v>SURGICAL CARE</v>
      </c>
      <c r="H110" t="str">
        <v>ORTHOPAEDICS &amp; SPINAL SURGERY</v>
      </c>
      <c r="I110" t="str">
        <v>914203 Neurosurgery Ward</v>
      </c>
      <c r="J110">
        <v>1310</v>
      </c>
      <c r="K110">
        <v>2147</v>
      </c>
      <c r="M110" t="str">
        <v>SURGICAL CARE</v>
      </c>
      <c r="N110" t="str">
        <v>ORTHOPAEDICS &amp; SPINAL SURGERY</v>
      </c>
      <c r="O110" t="str">
        <v>914203 Neurosurgery Ward</v>
      </c>
      <c r="P110">
        <v>1310</v>
      </c>
      <c r="Q110">
        <v>2147</v>
      </c>
    </row>
    <row r="111" spans="1:17" x14ac:dyDescent="0.25">
      <c r="A111" t="s">
        <v>167</v>
      </c>
      <c r="B111" t="s">
        <v>237</v>
      </c>
      <c r="C111" t="s">
        <v>242</v>
      </c>
      <c r="D111" s="19">
        <v>3132</v>
      </c>
      <c r="E111" s="19">
        <v>1440</v>
      </c>
      <c r="G111" t="str">
        <v>SURGICAL CARE</v>
      </c>
      <c r="H111" t="str">
        <v>NEUROSURGERY &amp; CRANIOFACIAL</v>
      </c>
      <c r="I111" t="str">
        <v>914204 Neurosurgery</v>
      </c>
      <c r="J111">
        <v>597</v>
      </c>
      <c r="K111">
        <v>1468</v>
      </c>
      <c r="M111" t="str">
        <v>SURGICAL CARE</v>
      </c>
      <c r="N111" t="str">
        <v>NEUROSURGERY &amp; CRANIOFACIAL</v>
      </c>
      <c r="O111" t="str">
        <v>914204 Neurosurgery</v>
      </c>
      <c r="P111">
        <v>597</v>
      </c>
      <c r="Q111">
        <v>1468</v>
      </c>
    </row>
    <row r="112" spans="1:17" x14ac:dyDescent="0.25">
      <c r="A112" t="s">
        <v>167</v>
      </c>
      <c r="B112" t="s">
        <v>237</v>
      </c>
      <c r="C112" t="s">
        <v>243</v>
      </c>
      <c r="D112" s="19">
        <v>1775</v>
      </c>
      <c r="E112" s="19">
        <v>3917</v>
      </c>
      <c r="G112" t="str">
        <v>SURGICAL CARE</v>
      </c>
      <c r="H112" t="str">
        <v>NEUROSURGERY &amp; CRANIOFACIAL</v>
      </c>
      <c r="I112" t="str">
        <v>914206 Craniofacial</v>
      </c>
      <c r="J112">
        <v>267</v>
      </c>
      <c r="K112">
        <v>2686</v>
      </c>
      <c r="M112" t="str">
        <v>SURGICAL CARE</v>
      </c>
      <c r="N112" t="str">
        <v>NEUROSURGERY &amp; CRANIOFACIAL</v>
      </c>
      <c r="O112" t="str">
        <v>914206 Craniofacial</v>
      </c>
      <c r="P112">
        <v>267</v>
      </c>
      <c r="Q112">
        <v>2686</v>
      </c>
    </row>
    <row r="113" spans="1:17" x14ac:dyDescent="0.25">
      <c r="A113" t="s">
        <v>167</v>
      </c>
      <c r="B113" t="s">
        <v>237</v>
      </c>
      <c r="C113" t="s">
        <v>244</v>
      </c>
      <c r="D113" s="19">
        <v>3520</v>
      </c>
      <c r="E113" s="19">
        <v>1507</v>
      </c>
      <c r="G113" t="str">
        <v>SURGICAL CARE</v>
      </c>
      <c r="H113" t="str">
        <v>SURGERY MANAGEMENT</v>
      </c>
      <c r="I113" t="str">
        <v>914209 Major Trauma</v>
      </c>
      <c r="J113">
        <v>4640</v>
      </c>
      <c r="K113">
        <v>1082</v>
      </c>
      <c r="M113" t="str">
        <v>SURGICAL CARE</v>
      </c>
      <c r="N113" t="str">
        <v>SURGERY MANAGEMENT</v>
      </c>
      <c r="O113" t="str">
        <v>914209 Major Trauma</v>
      </c>
      <c r="P113">
        <v>4640</v>
      </c>
      <c r="Q113">
        <v>1082</v>
      </c>
    </row>
    <row r="114" spans="1:17" x14ac:dyDescent="0.25">
      <c r="A114" t="s">
        <v>167</v>
      </c>
      <c r="B114" t="s">
        <v>237</v>
      </c>
      <c r="C114" t="s">
        <v>245</v>
      </c>
      <c r="D114" s="19">
        <v>4285</v>
      </c>
      <c r="E114" s="19">
        <v>4831</v>
      </c>
      <c r="G114" t="str">
        <v>SURGICAL CARE</v>
      </c>
      <c r="H114" t="str">
        <v>ORTHOPAEDICS &amp; SPINAL SURGERY</v>
      </c>
      <c r="I114" t="str">
        <v>914210 Ward 4a</v>
      </c>
      <c r="J114">
        <v>1968</v>
      </c>
      <c r="K114">
        <v>218</v>
      </c>
      <c r="M114" t="str">
        <v>SURGICAL CARE</v>
      </c>
      <c r="N114" t="str">
        <v>ORTHOPAEDICS &amp; SPINAL SURGERY</v>
      </c>
      <c r="O114" t="str">
        <v>914210 Ward 4a</v>
      </c>
      <c r="P114">
        <v>1968</v>
      </c>
      <c r="Q114">
        <v>218</v>
      </c>
    </row>
    <row r="115" spans="1:17" x14ac:dyDescent="0.25">
      <c r="A115" t="s">
        <v>167</v>
      </c>
      <c r="B115" t="s">
        <v>237</v>
      </c>
      <c r="C115" t="s">
        <v>246</v>
      </c>
      <c r="D115" s="19">
        <v>2931</v>
      </c>
      <c r="E115" s="19">
        <v>118</v>
      </c>
      <c r="G115" t="str">
        <v>SURGICAL CARE</v>
      </c>
      <c r="H115" t="str">
        <v>OPHTHALMOLOGY</v>
      </c>
      <c r="I115" t="str">
        <v>914302 Optometrists</v>
      </c>
      <c r="J115">
        <v>3613</v>
      </c>
      <c r="K115">
        <v>3359</v>
      </c>
      <c r="M115" t="str">
        <v>SURGICAL CARE</v>
      </c>
      <c r="N115" t="str">
        <v>OPHTHALMOLOGY</v>
      </c>
      <c r="O115" t="str">
        <v>914302 Optometrists</v>
      </c>
      <c r="P115">
        <v>3613</v>
      </c>
      <c r="Q115">
        <v>3359</v>
      </c>
    </row>
    <row r="116" spans="1:17" x14ac:dyDescent="0.25">
      <c r="A116" t="s">
        <v>167</v>
      </c>
      <c r="B116" t="s">
        <v>237</v>
      </c>
      <c r="C116" t="s">
        <v>247</v>
      </c>
      <c r="D116" s="19">
        <v>4935</v>
      </c>
      <c r="E116" s="19">
        <v>3356</v>
      </c>
      <c r="G116" t="str">
        <v>SURGICAL CARE</v>
      </c>
      <c r="H116" t="str">
        <v>OPHTHALMOLOGY</v>
      </c>
      <c r="I116" t="str">
        <v>914303 Optical Services</v>
      </c>
      <c r="J116">
        <v>4643</v>
      </c>
      <c r="K116">
        <v>2418</v>
      </c>
      <c r="M116" t="str">
        <v>SURGICAL CARE</v>
      </c>
      <c r="N116" t="str">
        <v>OPHTHALMOLOGY</v>
      </c>
      <c r="O116" t="str">
        <v>914303 Optical Services</v>
      </c>
      <c r="P116">
        <v>4643</v>
      </c>
      <c r="Q116">
        <v>2418</v>
      </c>
    </row>
    <row r="117" spans="1:17" x14ac:dyDescent="0.25">
      <c r="A117" t="s">
        <v>167</v>
      </c>
      <c r="B117" t="s">
        <v>237</v>
      </c>
      <c r="C117" t="s">
        <v>248</v>
      </c>
      <c r="D117" s="19">
        <v>130</v>
      </c>
      <c r="E117" s="19">
        <v>167</v>
      </c>
      <c r="G117" t="str">
        <v>SURGICAL CARE</v>
      </c>
      <c r="H117" t="str">
        <v>OPHTHALMOLOGY</v>
      </c>
      <c r="I117" t="str">
        <v>914304 Ophthalmology</v>
      </c>
      <c r="J117">
        <v>3466</v>
      </c>
      <c r="K117">
        <v>2613</v>
      </c>
      <c r="M117" t="str">
        <v>SURGICAL CARE</v>
      </c>
      <c r="N117" t="str">
        <v>OPHTHALMOLOGY</v>
      </c>
      <c r="O117" t="str">
        <v>914304 Ophthalmology</v>
      </c>
      <c r="P117">
        <v>3466</v>
      </c>
      <c r="Q117">
        <v>2613</v>
      </c>
    </row>
    <row r="118" spans="1:17" x14ac:dyDescent="0.25">
      <c r="A118" t="s">
        <v>167</v>
      </c>
      <c r="B118" t="s">
        <v>237</v>
      </c>
      <c r="C118" t="s">
        <v>249</v>
      </c>
      <c r="D118" s="19">
        <v>1470</v>
      </c>
      <c r="E118" s="19">
        <v>2937</v>
      </c>
      <c r="G118" t="str">
        <v>SURGICAL CARE</v>
      </c>
      <c r="H118" t="str">
        <v>CLEFT DENTAL &amp; ORAL</v>
      </c>
      <c r="I118" t="str">
        <v>914306 Dentistry</v>
      </c>
      <c r="J118">
        <v>4518</v>
      </c>
      <c r="K118">
        <v>4591</v>
      </c>
      <c r="M118" t="str">
        <v>SURGICAL CARE</v>
      </c>
      <c r="N118" t="str">
        <v>CLEFT DENTAL &amp; ORAL</v>
      </c>
      <c r="O118" t="str">
        <v>914306 Dentistry</v>
      </c>
      <c r="P118">
        <v>4518</v>
      </c>
      <c r="Q118">
        <v>4591</v>
      </c>
    </row>
    <row r="119" spans="1:17" x14ac:dyDescent="0.25">
      <c r="A119" t="s">
        <v>167</v>
      </c>
      <c r="B119" t="s">
        <v>237</v>
      </c>
      <c r="C119" t="s">
        <v>250</v>
      </c>
      <c r="D119" s="19">
        <v>949</v>
      </c>
      <c r="E119" s="19">
        <v>739</v>
      </c>
      <c r="G119" t="str">
        <v>SURGICAL CARE</v>
      </c>
      <c r="H119" t="str">
        <v>CLEFT DENTAL &amp; ORAL</v>
      </c>
      <c r="I119" t="str">
        <v>914308 Orthodontics</v>
      </c>
      <c r="J119">
        <v>2295</v>
      </c>
      <c r="K119">
        <v>2061</v>
      </c>
      <c r="M119" t="str">
        <v>SURGICAL CARE</v>
      </c>
      <c r="N119" t="str">
        <v>CLEFT DENTAL &amp; ORAL</v>
      </c>
      <c r="O119" t="str">
        <v>914308 Orthodontics</v>
      </c>
      <c r="P119">
        <v>2295</v>
      </c>
      <c r="Q119">
        <v>2061</v>
      </c>
    </row>
    <row r="120" spans="1:17" x14ac:dyDescent="0.25">
      <c r="A120" t="s">
        <v>167</v>
      </c>
      <c r="B120" t="s">
        <v>238</v>
      </c>
      <c r="C120" t="s">
        <v>251</v>
      </c>
      <c r="D120" s="19">
        <v>129</v>
      </c>
      <c r="E120" s="19">
        <v>2851</v>
      </c>
      <c r="G120" t="str">
        <v>SURGICAL CARE</v>
      </c>
      <c r="H120" t="str">
        <v>CLEFT DENTAL &amp; ORAL</v>
      </c>
      <c r="I120" t="str">
        <v>914309 Maxillofacial</v>
      </c>
      <c r="J120">
        <v>4077</v>
      </c>
      <c r="K120">
        <v>2944</v>
      </c>
      <c r="M120" t="str">
        <v>SURGICAL CARE</v>
      </c>
      <c r="N120" t="str">
        <v>CLEFT DENTAL &amp; ORAL</v>
      </c>
      <c r="O120" t="str">
        <v>914309 Maxillofacial</v>
      </c>
      <c r="P120">
        <v>4077</v>
      </c>
      <c r="Q120">
        <v>2944</v>
      </c>
    </row>
    <row r="121" spans="1:17" x14ac:dyDescent="0.25">
      <c r="A121" t="s">
        <v>167</v>
      </c>
      <c r="B121" t="s">
        <v>237</v>
      </c>
      <c r="C121" t="s">
        <v>252</v>
      </c>
      <c r="D121" s="19">
        <v>4966</v>
      </c>
      <c r="E121" s="19">
        <v>4304</v>
      </c>
      <c r="G121" t="str">
        <v>SURGICAL CARE</v>
      </c>
      <c r="H121" t="str">
        <v>ENT &amp; AUDIOLOGY</v>
      </c>
      <c r="I121" t="str">
        <v>914310 Ent</v>
      </c>
      <c r="J121">
        <v>157</v>
      </c>
      <c r="K121">
        <v>3669</v>
      </c>
      <c r="M121" t="str">
        <v>SURGICAL CARE</v>
      </c>
      <c r="N121" t="str">
        <v>ENT &amp; AUDIOLOGY</v>
      </c>
      <c r="O121" t="str">
        <v>914310 Ent</v>
      </c>
      <c r="P121">
        <v>157</v>
      </c>
      <c r="Q121">
        <v>3669</v>
      </c>
    </row>
    <row r="122" spans="1:17" x14ac:dyDescent="0.25">
      <c r="A122" t="s">
        <v>167</v>
      </c>
      <c r="B122" t="s">
        <v>237</v>
      </c>
      <c r="C122" t="s">
        <v>253</v>
      </c>
      <c r="D122" s="19">
        <v>4666</v>
      </c>
      <c r="E122" s="19">
        <v>4670</v>
      </c>
      <c r="G122" t="str">
        <v>SURGICAL CARE</v>
      </c>
      <c r="H122" t="str">
        <v>CLEFT DENTAL &amp; ORAL</v>
      </c>
      <c r="I122" t="str">
        <v>914312 Cleft Lip &amp; Palate</v>
      </c>
      <c r="J122">
        <v>3392</v>
      </c>
      <c r="K122">
        <v>456</v>
      </c>
      <c r="M122" t="str">
        <v>SURGICAL CARE</v>
      </c>
      <c r="N122" t="str">
        <v>CLEFT DENTAL &amp; ORAL</v>
      </c>
      <c r="O122" t="str">
        <v>914312 Cleft Lip &amp; Palate</v>
      </c>
      <c r="P122">
        <v>3392</v>
      </c>
      <c r="Q122">
        <v>456</v>
      </c>
    </row>
    <row r="123" spans="1:17" x14ac:dyDescent="0.25">
      <c r="A123" t="s">
        <v>167</v>
      </c>
      <c r="B123" t="s">
        <v>237</v>
      </c>
      <c r="C123" t="s">
        <v>254</v>
      </c>
      <c r="D123" s="19">
        <v>4488</v>
      </c>
      <c r="E123" s="19">
        <v>1823</v>
      </c>
      <c r="G123" t="str">
        <v>SURGICAL CARE</v>
      </c>
      <c r="H123" t="str">
        <v>ORTHOPAEDICS &amp; SPINAL SURGERY</v>
      </c>
      <c r="I123" t="str">
        <v>915204 Orthopaedics</v>
      </c>
      <c r="J123">
        <v>2013</v>
      </c>
      <c r="K123">
        <v>2613</v>
      </c>
      <c r="M123" t="str">
        <v>SURGICAL CARE</v>
      </c>
      <c r="N123" t="str">
        <v>ORTHOPAEDICS &amp; SPINAL SURGERY</v>
      </c>
      <c r="O123" t="str">
        <v>915204 Orthopaedics</v>
      </c>
      <c r="P123">
        <v>2013</v>
      </c>
      <c r="Q123">
        <v>2613</v>
      </c>
    </row>
    <row r="124" spans="1:17" x14ac:dyDescent="0.25">
      <c r="A124" t="s">
        <v>167</v>
      </c>
      <c r="B124" t="s">
        <v>237</v>
      </c>
      <c r="C124" t="s">
        <v>255</v>
      </c>
      <c r="D124" s="19">
        <v>3662</v>
      </c>
      <c r="E124" s="19">
        <v>3414</v>
      </c>
      <c r="G124" t="str">
        <v>SURGICAL CARE</v>
      </c>
      <c r="H124" t="str">
        <v>ORTHOPAEDICS &amp; SPINAL SURGERY</v>
      </c>
      <c r="I124" t="str">
        <v>915206 Gait Laboratory</v>
      </c>
      <c r="J124">
        <v>1614</v>
      </c>
      <c r="K124">
        <v>2144</v>
      </c>
      <c r="M124" t="str">
        <v>SURGICAL CARE</v>
      </c>
      <c r="N124" t="str">
        <v>ORTHOPAEDICS &amp; SPINAL SURGERY</v>
      </c>
      <c r="O124" t="str">
        <v>915206 Gait Laboratory</v>
      </c>
      <c r="P124">
        <v>1614</v>
      </c>
      <c r="Q124">
        <v>2144</v>
      </c>
    </row>
    <row r="125" spans="1:17" x14ac:dyDescent="0.25">
      <c r="A125" t="s">
        <v>167</v>
      </c>
      <c r="B125" t="s">
        <v>237</v>
      </c>
      <c r="C125" t="s">
        <v>256</v>
      </c>
      <c r="D125" s="19">
        <v>1705</v>
      </c>
      <c r="E125" s="19">
        <v>2261</v>
      </c>
      <c r="G125" t="str">
        <v>SURGICAL CARE</v>
      </c>
      <c r="H125" t="str">
        <v>BURNS &amp; PLASTICS</v>
      </c>
      <c r="I125" t="str">
        <v>915207 Plastic Surgery</v>
      </c>
      <c r="J125">
        <v>404</v>
      </c>
      <c r="K125">
        <v>574</v>
      </c>
      <c r="M125" t="str">
        <v>SURGICAL CARE</v>
      </c>
      <c r="N125" t="str">
        <v>BURNS &amp; PLASTICS</v>
      </c>
      <c r="O125" t="str">
        <v>915207 Plastic Surgery</v>
      </c>
      <c r="P125">
        <v>404</v>
      </c>
      <c r="Q125">
        <v>574</v>
      </c>
    </row>
    <row r="126" spans="1:17" x14ac:dyDescent="0.25">
      <c r="A126" t="s">
        <v>167</v>
      </c>
      <c r="B126" t="s">
        <v>237</v>
      </c>
      <c r="C126" t="s">
        <v>257</v>
      </c>
      <c r="D126" s="19">
        <v>242</v>
      </c>
      <c r="E126" s="19">
        <v>1316</v>
      </c>
      <c r="G126" t="str">
        <v>SURGICAL CARE</v>
      </c>
      <c r="H126" t="str">
        <v>ORTHOPAEDICS &amp; SPINAL SURGERY</v>
      </c>
      <c r="I126" t="str">
        <v>915210 Spinal Surgery</v>
      </c>
      <c r="J126">
        <v>4142</v>
      </c>
      <c r="K126">
        <v>478</v>
      </c>
      <c r="M126" t="str">
        <v>SURGICAL CARE</v>
      </c>
      <c r="N126" t="str">
        <v>ORTHOPAEDICS &amp; SPINAL SURGERY</v>
      </c>
      <c r="O126" t="str">
        <v>915210 Spinal Surgery</v>
      </c>
      <c r="P126">
        <v>4142</v>
      </c>
      <c r="Q126">
        <v>478</v>
      </c>
    </row>
    <row r="127" spans="1:17" x14ac:dyDescent="0.25">
      <c r="A127" t="s">
        <v>167</v>
      </c>
      <c r="B127" t="s">
        <v>203</v>
      </c>
      <c r="C127" t="s">
        <v>258</v>
      </c>
      <c r="D127" s="19">
        <v>3582</v>
      </c>
      <c r="E127" s="19">
        <v>3320</v>
      </c>
      <c r="G127" t="str">
        <v>SURGICAL CARE</v>
      </c>
      <c r="H127" t="str">
        <v>PAEDIATRIC SURGERY &amp; UROLOGY</v>
      </c>
      <c r="I127" t="str">
        <v>915304 General Surgery</v>
      </c>
      <c r="J127">
        <v>4236</v>
      </c>
      <c r="K127">
        <v>210</v>
      </c>
      <c r="M127" t="str">
        <v>SURGICAL CARE</v>
      </c>
      <c r="N127" t="str">
        <v>PAEDIATRIC SURGERY &amp; UROLOGY</v>
      </c>
      <c r="O127" t="str">
        <v>915304 General Surgery</v>
      </c>
      <c r="P127">
        <v>4236</v>
      </c>
      <c r="Q127">
        <v>210</v>
      </c>
    </row>
    <row r="128" spans="1:17" x14ac:dyDescent="0.25">
      <c r="A128" t="s">
        <v>126</v>
      </c>
      <c r="B128" t="s">
        <v>259</v>
      </c>
      <c r="C128" t="s">
        <v>260</v>
      </c>
      <c r="D128" s="19">
        <v>4442</v>
      </c>
      <c r="E128" s="19">
        <v>2671</v>
      </c>
      <c r="G128" t="str">
        <v>SURGICAL CARE</v>
      </c>
      <c r="H128" t="str">
        <v>PAEDIATRIC SURGERY &amp; UROLOGY</v>
      </c>
      <c r="I128" t="str">
        <v>915305 Urology</v>
      </c>
      <c r="J128">
        <v>3039</v>
      </c>
      <c r="K128">
        <v>3739</v>
      </c>
      <c r="M128" t="str">
        <v>SURGICAL CARE</v>
      </c>
      <c r="N128" t="str">
        <v>PAEDIATRIC SURGERY &amp; UROLOGY</v>
      </c>
      <c r="O128" t="str">
        <v>915305 Urology</v>
      </c>
      <c r="P128">
        <v>3039</v>
      </c>
      <c r="Q128">
        <v>3739</v>
      </c>
    </row>
    <row r="129" spans="1:17" x14ac:dyDescent="0.25">
      <c r="A129" t="s">
        <v>126</v>
      </c>
      <c r="B129" t="s">
        <v>259</v>
      </c>
      <c r="C129" t="s">
        <v>261</v>
      </c>
      <c r="D129" s="19">
        <v>4488</v>
      </c>
      <c r="E129" s="19">
        <v>1651</v>
      </c>
      <c r="G129" t="str">
        <v>SURGICAL CARE</v>
      </c>
      <c r="H129" t="str">
        <v>PAEDIATRIC SURGERY &amp; UROLOGY</v>
      </c>
      <c r="I129" t="str">
        <v>915306 Gynaecology</v>
      </c>
      <c r="J129">
        <v>4177</v>
      </c>
      <c r="K129">
        <v>2771</v>
      </c>
      <c r="M129" t="str">
        <v>SURGICAL CARE</v>
      </c>
      <c r="N129" t="str">
        <v>PAEDIATRIC SURGERY &amp; UROLOGY</v>
      </c>
      <c r="O129" t="str">
        <v>915306 Gynaecology</v>
      </c>
      <c r="P129">
        <v>4177</v>
      </c>
      <c r="Q129">
        <v>2771</v>
      </c>
    </row>
    <row r="130" spans="1:17" x14ac:dyDescent="0.25">
      <c r="A130" t="s">
        <v>126</v>
      </c>
      <c r="B130" t="s">
        <v>259</v>
      </c>
      <c r="C130" t="s">
        <v>262</v>
      </c>
      <c r="D130" s="19">
        <v>4124</v>
      </c>
      <c r="E130" s="19">
        <v>177</v>
      </c>
      <c r="G130" t="str">
        <v>SURGICAL CARE</v>
      </c>
      <c r="H130" t="str">
        <v>PAEDIATRIC SURGERY &amp; UROLOGY</v>
      </c>
      <c r="I130" t="str">
        <v>915307 Neonatal Surgery</v>
      </c>
      <c r="J130">
        <v>1831</v>
      </c>
      <c r="K130">
        <v>4632</v>
      </c>
      <c r="M130" t="str">
        <v>SURGICAL CARE</v>
      </c>
      <c r="N130" t="str">
        <v>PAEDIATRIC SURGERY &amp; UROLOGY</v>
      </c>
      <c r="O130" t="str">
        <v>915307 Neonatal Surgery</v>
      </c>
      <c r="P130">
        <v>1831</v>
      </c>
      <c r="Q130">
        <v>4632</v>
      </c>
    </row>
    <row r="131" spans="1:17" x14ac:dyDescent="0.25">
      <c r="A131" t="s">
        <v>167</v>
      </c>
      <c r="B131" t="s">
        <v>188</v>
      </c>
      <c r="C131" t="s">
        <v>263</v>
      </c>
      <c r="D131" s="19">
        <v>2187</v>
      </c>
      <c r="E131" s="19">
        <v>1214</v>
      </c>
      <c r="G131" t="str">
        <v>SURGICAL CARE</v>
      </c>
      <c r="H131" t="str">
        <v>PAEDIATRIC SURGERY &amp; UROLOGY</v>
      </c>
      <c r="I131" t="str">
        <v>915309 Ward 3a</v>
      </c>
      <c r="J131">
        <v>1730</v>
      </c>
      <c r="K131">
        <v>2369</v>
      </c>
      <c r="M131" t="str">
        <v>SURGICAL CARE</v>
      </c>
      <c r="N131" t="str">
        <v>PAEDIATRIC SURGERY &amp; UROLOGY</v>
      </c>
      <c r="O131" t="str">
        <v>915309 Ward 3a</v>
      </c>
      <c r="P131">
        <v>1730</v>
      </c>
      <c r="Q131">
        <v>2369</v>
      </c>
    </row>
    <row r="132" spans="1:17" x14ac:dyDescent="0.25">
      <c r="A132" t="s">
        <v>126</v>
      </c>
      <c r="B132" t="s">
        <v>259</v>
      </c>
      <c r="C132" t="s">
        <v>264</v>
      </c>
      <c r="D132" s="19">
        <v>2972</v>
      </c>
      <c r="E132" s="19">
        <v>4105</v>
      </c>
      <c r="G132" t="str">
        <v>SURGICAL CARE</v>
      </c>
      <c r="H132" t="str">
        <v>ANAESTHESIA</v>
      </c>
      <c r="I132" t="str">
        <v>915403 Anaesthetics</v>
      </c>
      <c r="J132">
        <v>487</v>
      </c>
      <c r="K132">
        <v>3972</v>
      </c>
      <c r="M132" t="str">
        <v>SURGICAL CARE</v>
      </c>
      <c r="N132" t="str">
        <v>ANAESTHESIA</v>
      </c>
      <c r="O132" t="str">
        <v>915403 Anaesthetics</v>
      </c>
      <c r="P132">
        <v>487</v>
      </c>
      <c r="Q132">
        <v>3972</v>
      </c>
    </row>
    <row r="133" spans="1:17" x14ac:dyDescent="0.25">
      <c r="A133" t="s">
        <v>126</v>
      </c>
      <c r="B133" t="s">
        <v>265</v>
      </c>
      <c r="C133" t="s">
        <v>266</v>
      </c>
      <c r="D133" s="19">
        <v>1192</v>
      </c>
      <c r="E133" s="19">
        <v>3257</v>
      </c>
      <c r="G133" t="str">
        <v>SURGICAL CARE</v>
      </c>
      <c r="H133" t="str">
        <v>THEATRES</v>
      </c>
      <c r="I133" t="str">
        <v>915405 Cardiothoracic Surgery</v>
      </c>
      <c r="J133">
        <v>2340</v>
      </c>
      <c r="K133">
        <v>3388</v>
      </c>
      <c r="M133" t="str">
        <v>SURGICAL CARE</v>
      </c>
      <c r="N133" t="str">
        <v>THEATRES</v>
      </c>
      <c r="O133" t="str">
        <v>915405 Cardiothoracic Surgery</v>
      </c>
      <c r="P133">
        <v>2340</v>
      </c>
      <c r="Q133">
        <v>3388</v>
      </c>
    </row>
    <row r="134" spans="1:17" x14ac:dyDescent="0.25">
      <c r="A134" t="s">
        <v>126</v>
      </c>
      <c r="B134" t="s">
        <v>265</v>
      </c>
      <c r="C134" t="s">
        <v>267</v>
      </c>
      <c r="D134" s="19">
        <v>1783</v>
      </c>
      <c r="E134" s="19">
        <v>1524</v>
      </c>
      <c r="G134" t="str">
        <v>SURGICAL CARE</v>
      </c>
      <c r="H134" t="str">
        <v>THEATRES</v>
      </c>
      <c r="I134" t="str">
        <v>915406 Neurosurgery Theatre</v>
      </c>
      <c r="J134">
        <v>264</v>
      </c>
      <c r="K134">
        <v>3263</v>
      </c>
      <c r="M134" t="str">
        <v>SURGICAL CARE</v>
      </c>
      <c r="N134" t="str">
        <v>THEATRES</v>
      </c>
      <c r="O134" t="str">
        <v>915406 Neurosurgery Theatre</v>
      </c>
      <c r="P134">
        <v>264</v>
      </c>
      <c r="Q134">
        <v>3263</v>
      </c>
    </row>
    <row r="135" spans="1:17" x14ac:dyDescent="0.25">
      <c r="A135" t="s">
        <v>126</v>
      </c>
      <c r="B135" t="s">
        <v>265</v>
      </c>
      <c r="C135" t="s">
        <v>268</v>
      </c>
      <c r="D135" s="19">
        <v>1528</v>
      </c>
      <c r="E135" s="19">
        <v>3449</v>
      </c>
      <c r="G135" t="str">
        <v>SURGICAL CARE</v>
      </c>
      <c r="H135" t="str">
        <v>THEATRES</v>
      </c>
      <c r="I135" t="str">
        <v>915407 Burns &amp; Plastics Theatre</v>
      </c>
      <c r="J135">
        <v>3132</v>
      </c>
      <c r="K135">
        <v>1440</v>
      </c>
      <c r="M135" t="str">
        <v>SURGICAL CARE</v>
      </c>
      <c r="N135" t="str">
        <v>THEATRES</v>
      </c>
      <c r="O135" t="str">
        <v>915407 Burns &amp; Plastics Theatre</v>
      </c>
      <c r="P135">
        <v>3132</v>
      </c>
      <c r="Q135">
        <v>1440</v>
      </c>
    </row>
    <row r="136" spans="1:17" x14ac:dyDescent="0.25">
      <c r="A136" t="s">
        <v>126</v>
      </c>
      <c r="B136" t="s">
        <v>265</v>
      </c>
      <c r="C136" t="s">
        <v>269</v>
      </c>
      <c r="D136" s="19">
        <v>3243</v>
      </c>
      <c r="E136" s="19">
        <v>4209</v>
      </c>
      <c r="G136" t="str">
        <v>SURGICAL CARE</v>
      </c>
      <c r="H136" t="str">
        <v>THEATRES</v>
      </c>
      <c r="I136" t="str">
        <v>915408 Trauma &amp; Orthopaedics</v>
      </c>
      <c r="J136">
        <v>1775</v>
      </c>
      <c r="K136">
        <v>3917</v>
      </c>
      <c r="M136" t="str">
        <v>SURGICAL CARE</v>
      </c>
      <c r="N136" t="str">
        <v>THEATRES</v>
      </c>
      <c r="O136" t="str">
        <v>915408 Trauma &amp; Orthopaedics</v>
      </c>
      <c r="P136">
        <v>1775</v>
      </c>
      <c r="Q136">
        <v>3917</v>
      </c>
    </row>
    <row r="137" spans="1:17" x14ac:dyDescent="0.25">
      <c r="A137" t="s">
        <v>126</v>
      </c>
      <c r="B137" t="s">
        <v>265</v>
      </c>
      <c r="C137" t="s">
        <v>270</v>
      </c>
      <c r="D137" s="19">
        <v>195</v>
      </c>
      <c r="E137" s="19">
        <v>2525</v>
      </c>
      <c r="G137" t="str">
        <v>SURGICAL CARE</v>
      </c>
      <c r="H137" t="str">
        <v>THEATRES</v>
      </c>
      <c r="I137" t="str">
        <v>915410 Anaesthetic &amp; Recovery</v>
      </c>
      <c r="J137">
        <v>3520</v>
      </c>
      <c r="K137">
        <v>1507</v>
      </c>
      <c r="M137" t="str">
        <v>SURGICAL CARE</v>
      </c>
      <c r="N137" t="str">
        <v>THEATRES</v>
      </c>
      <c r="O137" t="str">
        <v>915410 Anaesthetic &amp; Recovery</v>
      </c>
      <c r="P137">
        <v>3520</v>
      </c>
      <c r="Q137">
        <v>1507</v>
      </c>
    </row>
    <row r="138" spans="1:17" x14ac:dyDescent="0.25">
      <c r="A138" t="s">
        <v>126</v>
      </c>
      <c r="B138" t="s">
        <v>265</v>
      </c>
      <c r="C138" t="s">
        <v>271</v>
      </c>
      <c r="D138" s="19">
        <v>2014</v>
      </c>
      <c r="E138" s="19">
        <v>4588</v>
      </c>
      <c r="G138" t="str">
        <v>SURGICAL CARE</v>
      </c>
      <c r="H138" t="str">
        <v>THEATRES</v>
      </c>
      <c r="I138" t="str">
        <v>915411 Catheterisation Theatre</v>
      </c>
      <c r="J138">
        <v>4285</v>
      </c>
      <c r="K138">
        <v>4831</v>
      </c>
      <c r="M138" t="str">
        <v>SURGICAL CARE</v>
      </c>
      <c r="N138" t="str">
        <v>THEATRES</v>
      </c>
      <c r="O138" t="str">
        <v>915411 Catheterisation Theatre</v>
      </c>
      <c r="P138">
        <v>4285</v>
      </c>
      <c r="Q138">
        <v>4831</v>
      </c>
    </row>
    <row r="139" spans="1:17" x14ac:dyDescent="0.25">
      <c r="A139" t="s">
        <v>126</v>
      </c>
      <c r="B139" t="s">
        <v>265</v>
      </c>
      <c r="C139" t="s">
        <v>272</v>
      </c>
      <c r="D139" s="19">
        <v>4683</v>
      </c>
      <c r="E139" s="19">
        <v>686</v>
      </c>
      <c r="G139" t="str">
        <v>SURGICAL CARE</v>
      </c>
      <c r="H139" t="str">
        <v>THEATRES</v>
      </c>
      <c r="I139" t="str">
        <v>915412 Oral &amp; Surgery &amp; Dentistry</v>
      </c>
      <c r="J139">
        <v>2931</v>
      </c>
      <c r="K139">
        <v>118</v>
      </c>
      <c r="M139" t="str">
        <v>SURGICAL CARE</v>
      </c>
      <c r="N139" t="str">
        <v>THEATRES</v>
      </c>
      <c r="O139" t="str">
        <v>915412 Oral &amp; Surgery &amp; Dentistry</v>
      </c>
      <c r="P139">
        <v>2931</v>
      </c>
      <c r="Q139">
        <v>118</v>
      </c>
    </row>
    <row r="140" spans="1:17" x14ac:dyDescent="0.25">
      <c r="A140" t="s">
        <v>126</v>
      </c>
      <c r="B140" t="s">
        <v>265</v>
      </c>
      <c r="C140" t="s">
        <v>273</v>
      </c>
      <c r="D140" s="19">
        <v>3901</v>
      </c>
      <c r="E140" s="19">
        <v>4141</v>
      </c>
      <c r="G140" t="str">
        <v>SURGICAL CARE</v>
      </c>
      <c r="H140" t="str">
        <v>THEATRES</v>
      </c>
      <c r="I140" t="str">
        <v>915414 Urology Theatre</v>
      </c>
      <c r="J140">
        <v>4935</v>
      </c>
      <c r="K140">
        <v>3356</v>
      </c>
      <c r="M140" t="str">
        <v>SURGICAL CARE</v>
      </c>
      <c r="N140" t="str">
        <v>THEATRES</v>
      </c>
      <c r="O140" t="str">
        <v>915414 Urology Theatre</v>
      </c>
      <c r="P140">
        <v>4935</v>
      </c>
      <c r="Q140">
        <v>3356</v>
      </c>
    </row>
    <row r="141" spans="1:17" x14ac:dyDescent="0.25">
      <c r="A141" t="s">
        <v>126</v>
      </c>
      <c r="B141" t="s">
        <v>265</v>
      </c>
      <c r="C141" t="s">
        <v>274</v>
      </c>
      <c r="D141" s="19">
        <v>917</v>
      </c>
      <c r="E141" s="19">
        <v>2174</v>
      </c>
      <c r="G141" t="str">
        <v>SURGICAL CARE</v>
      </c>
      <c r="H141" t="str">
        <v>THEATRES</v>
      </c>
      <c r="I141" t="str">
        <v>915415 Ent Theatre</v>
      </c>
      <c r="J141">
        <v>130</v>
      </c>
      <c r="K141">
        <v>167</v>
      </c>
      <c r="M141" t="str">
        <v>SURGICAL CARE</v>
      </c>
      <c r="N141" t="str">
        <v>THEATRES</v>
      </c>
      <c r="O141" t="str">
        <v>915415 Ent Theatre</v>
      </c>
      <c r="P141">
        <v>130</v>
      </c>
      <c r="Q141">
        <v>167</v>
      </c>
    </row>
    <row r="142" spans="1:17" x14ac:dyDescent="0.25">
      <c r="A142" t="s">
        <v>126</v>
      </c>
      <c r="B142" t="s">
        <v>275</v>
      </c>
      <c r="C142" t="s">
        <v>276</v>
      </c>
      <c r="D142" s="19">
        <v>1120</v>
      </c>
      <c r="E142" s="19">
        <v>4871</v>
      </c>
      <c r="G142" t="str">
        <v>SURGICAL CARE</v>
      </c>
      <c r="H142" t="str">
        <v>THEATRES</v>
      </c>
      <c r="I142" t="str">
        <v>915416 Paediatric Surgery Theatre</v>
      </c>
      <c r="J142">
        <v>1470</v>
      </c>
      <c r="K142">
        <v>2937</v>
      </c>
      <c r="M142" t="str">
        <v>SURGICAL CARE</v>
      </c>
      <c r="N142" t="str">
        <v>THEATRES</v>
      </c>
      <c r="O142" t="str">
        <v>915416 Paediatric Surgery Theatre</v>
      </c>
      <c r="P142">
        <v>1470</v>
      </c>
      <c r="Q142">
        <v>2937</v>
      </c>
    </row>
    <row r="143" spans="1:17" x14ac:dyDescent="0.25">
      <c r="A143" t="s">
        <v>126</v>
      </c>
      <c r="B143" t="s">
        <v>275</v>
      </c>
      <c r="C143" t="s">
        <v>277</v>
      </c>
      <c r="D143" s="19">
        <v>324</v>
      </c>
      <c r="E143" s="19">
        <v>4365</v>
      </c>
      <c r="G143" t="str">
        <v>SURGICAL CARE</v>
      </c>
      <c r="H143" t="str">
        <v>THEATRES</v>
      </c>
      <c r="I143" t="str">
        <v>915418 Surgical Daycase</v>
      </c>
      <c r="J143">
        <v>949</v>
      </c>
      <c r="K143">
        <v>739</v>
      </c>
      <c r="M143" t="str">
        <v>SURGICAL CARE</v>
      </c>
      <c r="N143" t="str">
        <v>THEATRES</v>
      </c>
      <c r="O143" t="str">
        <v>915418 Surgical Daycase</v>
      </c>
      <c r="P143">
        <v>949</v>
      </c>
      <c r="Q143">
        <v>739</v>
      </c>
    </row>
    <row r="144" spans="1:17" x14ac:dyDescent="0.25">
      <c r="A144" t="s">
        <v>151</v>
      </c>
      <c r="B144" t="s">
        <v>191</v>
      </c>
      <c r="C144" t="s">
        <v>278</v>
      </c>
      <c r="D144" s="19">
        <v>2825</v>
      </c>
      <c r="E144" s="19">
        <v>4228</v>
      </c>
      <c r="G144" t="str">
        <v>SURGICAL CARE</v>
      </c>
      <c r="H144" t="str">
        <v>ANAESTHESIA</v>
      </c>
      <c r="I144" t="str">
        <v>915419 Pre Assessment</v>
      </c>
      <c r="J144">
        <v>129</v>
      </c>
      <c r="K144">
        <v>2851</v>
      </c>
      <c r="M144" t="str">
        <v>SURGICAL CARE</v>
      </c>
      <c r="N144" t="str">
        <v>ANAESTHESIA</v>
      </c>
      <c r="O144" t="str">
        <v>915419 Pre Assessment</v>
      </c>
      <c r="P144">
        <v>129</v>
      </c>
      <c r="Q144">
        <v>2851</v>
      </c>
    </row>
    <row r="145" spans="1:17" x14ac:dyDescent="0.25">
      <c r="A145" t="s">
        <v>126</v>
      </c>
      <c r="B145" t="s">
        <v>154</v>
      </c>
      <c r="C145" t="s">
        <v>279</v>
      </c>
      <c r="D145" s="19">
        <v>1666</v>
      </c>
      <c r="E145" s="19">
        <v>4260</v>
      </c>
      <c r="G145" t="str">
        <v>SURGICAL CARE</v>
      </c>
      <c r="H145" t="str">
        <v>THEATRES</v>
      </c>
      <c r="I145" t="str">
        <v>915420 Theatres - Emergency</v>
      </c>
      <c r="J145">
        <v>4966</v>
      </c>
      <c r="K145">
        <v>4304</v>
      </c>
      <c r="M145" t="str">
        <v>SURGICAL CARE</v>
      </c>
      <c r="N145" t="str">
        <v>THEATRES</v>
      </c>
      <c r="O145" t="str">
        <v>915420 Theatres - Emergency</v>
      </c>
      <c r="P145">
        <v>4966</v>
      </c>
      <c r="Q145">
        <v>4304</v>
      </c>
    </row>
    <row r="146" spans="1:17" x14ac:dyDescent="0.25">
      <c r="A146" t="s">
        <v>126</v>
      </c>
      <c r="B146" t="s">
        <v>131</v>
      </c>
      <c r="C146" t="s">
        <v>280</v>
      </c>
      <c r="D146" s="19">
        <v>3981</v>
      </c>
      <c r="E146" s="19">
        <v>3409</v>
      </c>
      <c r="G146" t="str">
        <v>SURGICAL CARE</v>
      </c>
      <c r="H146" t="str">
        <v>THEATRES</v>
      </c>
      <c r="I146" t="str">
        <v>915421 Theatres - Day Case</v>
      </c>
      <c r="J146">
        <v>4666</v>
      </c>
      <c r="K146">
        <v>4670</v>
      </c>
      <c r="M146" t="str">
        <v>SURGICAL CARE</v>
      </c>
      <c r="N146" t="str">
        <v>THEATRES</v>
      </c>
      <c r="O146" t="str">
        <v>915421 Theatres - Day Case</v>
      </c>
      <c r="P146">
        <v>4666</v>
      </c>
      <c r="Q146">
        <v>4670</v>
      </c>
    </row>
    <row r="147" spans="1:17" x14ac:dyDescent="0.25">
      <c r="A147" t="s">
        <v>126</v>
      </c>
      <c r="B147" t="s">
        <v>135</v>
      </c>
      <c r="C147" t="s">
        <v>281</v>
      </c>
      <c r="D147" s="19">
        <v>2358</v>
      </c>
      <c r="E147" s="19">
        <v>3554</v>
      </c>
      <c r="G147" t="str">
        <v>SURGICAL CARE</v>
      </c>
      <c r="H147" t="str">
        <v>THEATRES</v>
      </c>
      <c r="I147" t="str">
        <v>915422 Theatres - Recovery</v>
      </c>
      <c r="J147">
        <v>4488</v>
      </c>
      <c r="K147">
        <v>1823</v>
      </c>
      <c r="M147" t="str">
        <v>SURGICAL CARE</v>
      </c>
      <c r="N147" t="str">
        <v>THEATRES</v>
      </c>
      <c r="O147" t="str">
        <v>915422 Theatres - Recovery</v>
      </c>
      <c r="P147">
        <v>4488</v>
      </c>
      <c r="Q147">
        <v>1823</v>
      </c>
    </row>
    <row r="148" spans="1:17" x14ac:dyDescent="0.25">
      <c r="A148" t="s">
        <v>126</v>
      </c>
      <c r="B148" t="s">
        <v>135</v>
      </c>
      <c r="C148" t="s">
        <v>282</v>
      </c>
      <c r="D148" s="19">
        <v>4750</v>
      </c>
      <c r="E148" s="19">
        <v>3606</v>
      </c>
      <c r="G148" t="str">
        <v>SURGICAL CARE</v>
      </c>
      <c r="H148" t="str">
        <v>THEATRES</v>
      </c>
      <c r="I148" t="str">
        <v>915423 Theatres - Anaesthetics</v>
      </c>
      <c r="J148">
        <v>3662</v>
      </c>
      <c r="K148">
        <v>3414</v>
      </c>
      <c r="M148" t="str">
        <v>SURGICAL CARE</v>
      </c>
      <c r="N148" t="str">
        <v>THEATRES</v>
      </c>
      <c r="O148" t="str">
        <v>915423 Theatres - Anaesthetics</v>
      </c>
      <c r="P148">
        <v>3662</v>
      </c>
      <c r="Q148">
        <v>3414</v>
      </c>
    </row>
    <row r="149" spans="1:17" x14ac:dyDescent="0.25">
      <c r="A149" t="s">
        <v>126</v>
      </c>
      <c r="B149" t="s">
        <v>135</v>
      </c>
      <c r="C149" t="s">
        <v>283</v>
      </c>
      <c r="D149" s="19">
        <v>640</v>
      </c>
      <c r="E149" s="19">
        <v>1375</v>
      </c>
      <c r="G149" t="str">
        <v>SURGICAL CARE</v>
      </c>
      <c r="H149" t="str">
        <v>THEATRES</v>
      </c>
      <c r="I149" t="str">
        <v>915424 Theatres - Inpatient Scrub</v>
      </c>
      <c r="J149">
        <v>1705</v>
      </c>
      <c r="K149">
        <v>2261</v>
      </c>
      <c r="M149" t="str">
        <v>SURGICAL CARE</v>
      </c>
      <c r="N149" t="str">
        <v>THEATRES</v>
      </c>
      <c r="O149" t="str">
        <v>915424 Theatres - Inpatient Scrub</v>
      </c>
      <c r="P149">
        <v>1705</v>
      </c>
      <c r="Q149">
        <v>2261</v>
      </c>
    </row>
    <row r="150" spans="1:17" x14ac:dyDescent="0.25">
      <c r="A150" t="s">
        <v>126</v>
      </c>
      <c r="B150" t="s">
        <v>135</v>
      </c>
      <c r="C150" t="s">
        <v>284</v>
      </c>
      <c r="D150" s="19">
        <v>4801</v>
      </c>
      <c r="E150" s="19">
        <v>2946</v>
      </c>
      <c r="G150" t="str">
        <v>SURGICAL CARE</v>
      </c>
      <c r="H150" t="str">
        <v>THEATRES</v>
      </c>
      <c r="I150" t="str">
        <v>915426 Theatres - General Surgery</v>
      </c>
      <c r="J150">
        <v>242</v>
      </c>
      <c r="K150">
        <v>1316</v>
      </c>
      <c r="M150" t="str">
        <v>SURGICAL CARE</v>
      </c>
      <c r="N150" t="str">
        <v>THEATRES</v>
      </c>
      <c r="O150" t="str">
        <v>915426 Theatres - General Surgery</v>
      </c>
      <c r="P150">
        <v>242</v>
      </c>
      <c r="Q150">
        <v>1316</v>
      </c>
    </row>
    <row r="151" spans="1:17" x14ac:dyDescent="0.25">
      <c r="A151" t="s">
        <v>167</v>
      </c>
      <c r="B151" t="s">
        <v>207</v>
      </c>
      <c r="C151" t="s">
        <v>285</v>
      </c>
      <c r="D151" s="19">
        <v>4703</v>
      </c>
      <c r="E151" s="19">
        <v>4460</v>
      </c>
      <c r="G151" t="str">
        <v>SURGICAL CARE</v>
      </c>
      <c r="H151" t="str">
        <v>PAEDIATRIC SURGERY &amp; UROLOGY</v>
      </c>
      <c r="I151" t="str">
        <v>915427 Admissions</v>
      </c>
      <c r="J151">
        <v>3582</v>
      </c>
      <c r="K151">
        <v>3320</v>
      </c>
      <c r="M151" t="str">
        <v>SURGICAL CARE</v>
      </c>
      <c r="N151" t="str">
        <v>PAEDIATRIC SURGERY &amp; UROLOGY</v>
      </c>
      <c r="O151" t="str">
        <v>915427 Admissions</v>
      </c>
      <c r="P151">
        <v>3582</v>
      </c>
      <c r="Q151">
        <v>3320</v>
      </c>
    </row>
    <row r="152" spans="1:17" x14ac:dyDescent="0.25">
      <c r="A152" t="s">
        <v>167</v>
      </c>
      <c r="B152" t="s">
        <v>286</v>
      </c>
      <c r="C152" t="s">
        <v>287</v>
      </c>
      <c r="D152" s="19">
        <v>3130</v>
      </c>
      <c r="E152" s="19">
        <v>3612</v>
      </c>
      <c r="G152" t="str">
        <v>SURGICAL CARE</v>
      </c>
      <c r="H152" t="str">
        <v>BURNS &amp; PLASTICS</v>
      </c>
      <c r="I152" t="str">
        <v>916205 Medical Illustration</v>
      </c>
      <c r="J152">
        <v>2187</v>
      </c>
      <c r="K152">
        <v>1214</v>
      </c>
      <c r="M152" t="str">
        <v>SURGICAL CARE</v>
      </c>
      <c r="N152" t="str">
        <v>BURNS &amp; PLASTICS</v>
      </c>
      <c r="O152" t="str">
        <v>916205 Medical Illustration</v>
      </c>
      <c r="P152">
        <v>2187</v>
      </c>
      <c r="Q152">
        <v>1214</v>
      </c>
    </row>
    <row r="153" spans="1:17" x14ac:dyDescent="0.25">
      <c r="A153" t="s">
        <v>167</v>
      </c>
      <c r="B153" t="s">
        <v>237</v>
      </c>
      <c r="C153" t="s">
        <v>288</v>
      </c>
      <c r="D153" s="19">
        <v>4028</v>
      </c>
      <c r="E153" s="19">
        <v>2052</v>
      </c>
      <c r="G153" t="str">
        <v>SURGICAL CARE</v>
      </c>
      <c r="H153" t="str">
        <v>ORTHOPAEDICS &amp; SPINAL SURGERY</v>
      </c>
      <c r="I153" t="str">
        <v>916516 Orthotics Department</v>
      </c>
      <c r="J153">
        <v>4703</v>
      </c>
      <c r="K153">
        <v>4460</v>
      </c>
      <c r="M153" t="str">
        <v>SURGICAL CARE</v>
      </c>
      <c r="N153" t="str">
        <v>ORTHOPAEDICS &amp; SPINAL SURGERY</v>
      </c>
      <c r="O153" t="str">
        <v>916516 Orthotics Department</v>
      </c>
      <c r="P153">
        <v>4703</v>
      </c>
      <c r="Q153">
        <v>4460</v>
      </c>
    </row>
    <row r="154" spans="1:17" x14ac:dyDescent="0.25">
      <c r="A154" t="s">
        <v>151</v>
      </c>
      <c r="B154" t="s">
        <v>191</v>
      </c>
      <c r="C154" t="s">
        <v>289</v>
      </c>
      <c r="D154" s="19">
        <v>2232</v>
      </c>
      <c r="E154" s="19">
        <v>1988</v>
      </c>
      <c r="G154" t="str">
        <v>SURGICAL CARE</v>
      </c>
      <c r="H154" t="str">
        <v>MEDICAL ENGINEERING</v>
      </c>
      <c r="I154" t="str">
        <v>916518 Medical Engineering</v>
      </c>
      <c r="J154">
        <v>3130</v>
      </c>
      <c r="K154">
        <v>3612</v>
      </c>
      <c r="M154" t="str">
        <v>SURGICAL CARE</v>
      </c>
      <c r="N154" t="str">
        <v>MEDICAL ENGINEERING</v>
      </c>
      <c r="O154" t="str">
        <v>916518 Medical Engineering</v>
      </c>
      <c r="P154">
        <v>3130</v>
      </c>
      <c r="Q154">
        <v>3612</v>
      </c>
    </row>
    <row r="155" spans="1:17" x14ac:dyDescent="0.25">
      <c r="A155" t="s">
        <v>126</v>
      </c>
      <c r="B155" t="s">
        <v>127</v>
      </c>
      <c r="C155" t="s">
        <v>290</v>
      </c>
      <c r="D155" s="19">
        <v>3364</v>
      </c>
      <c r="E155" s="19">
        <v>3314</v>
      </c>
      <c r="G155" t="str">
        <v>SURGICAL CARE</v>
      </c>
      <c r="H155" t="str">
        <v>THEATRES</v>
      </c>
      <c r="I155" t="str">
        <v>916522 Surgical Admissions Lounge</v>
      </c>
      <c r="J155">
        <v>4028</v>
      </c>
      <c r="K155">
        <v>2052</v>
      </c>
      <c r="M155" t="str">
        <v>SURGICAL CARE</v>
      </c>
      <c r="N155" t="str">
        <v>THEATRES</v>
      </c>
      <c r="O155" t="str">
        <v>916522 Surgical Admissions Lounge</v>
      </c>
      <c r="P155">
        <v>4028</v>
      </c>
      <c r="Q155">
        <v>2052</v>
      </c>
    </row>
  </sheetData>
  <dataValidations count="1">
    <dataValidation type="list" allowBlank="1" showInputMessage="1" showErrorMessage="1" sqref="H16 N16 P16" xr:uid="{EA19A0D9-7401-482A-97E9-C15AFCA9486D}">
      <formula1>Sort_ColumnDropDown</formula1>
    </dataValidation>
  </dataValidations>
  <hyperlinks>
    <hyperlink ref="B1" r:id="rId1" xr:uid="{C3217043-5DCF-49F3-A951-3767EE5A5C67}"/>
    <hyperlink ref="B2" r:id="rId2" xr:uid="{862759F2-0D67-4FD0-9FE9-FBB78FC863F5}"/>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22C02-FCDB-416E-A134-A99B4CD401DF}">
  <sheetPr>
    <tabColor theme="5" tint="0.59999389629810485"/>
  </sheetPr>
  <dimension ref="A1:Q152"/>
  <sheetViews>
    <sheetView workbookViewId="0">
      <pane xSplit="5" ySplit="13" topLeftCell="F14" activePane="bottomRight" state="frozen"/>
      <selection pane="topRight" activeCell="F1" sqref="F1"/>
      <selection pane="bottomLeft" activeCell="A14" sqref="A14"/>
      <selection pane="bottomRight" activeCell="A12" sqref="A12"/>
    </sheetView>
  </sheetViews>
  <sheetFormatPr defaultRowHeight="15" x14ac:dyDescent="0.25"/>
  <cols>
    <col min="1" max="1" width="26.42578125" bestFit="1" customWidth="1"/>
    <col min="2" max="2" width="47.85546875" customWidth="1"/>
    <col min="3" max="3" width="47.85546875" bestFit="1" customWidth="1"/>
    <col min="4" max="4" width="9.5703125" bestFit="1" customWidth="1"/>
    <col min="5" max="5" width="8.85546875" bestFit="1" customWidth="1"/>
    <col min="7" max="7" width="12.42578125" bestFit="1" customWidth="1"/>
    <col min="10" max="10" width="53.85546875" bestFit="1" customWidth="1"/>
    <col min="11" max="11" width="11.85546875" bestFit="1" customWidth="1"/>
    <col min="13" max="13" width="19" bestFit="1" customWidth="1"/>
    <col min="14" max="14" width="53.85546875" bestFit="1" customWidth="1"/>
    <col min="16" max="16" width="26.42578125" bestFit="1" customWidth="1"/>
    <col min="17" max="17" width="47.85546875" customWidth="1"/>
  </cols>
  <sheetData>
    <row r="1" spans="1:17" x14ac:dyDescent="0.25">
      <c r="A1" s="3" t="s">
        <v>0</v>
      </c>
      <c r="B1" s="4" t="s">
        <v>13</v>
      </c>
    </row>
    <row r="3" spans="1:17" x14ac:dyDescent="0.25">
      <c r="A3" s="3" t="s">
        <v>18</v>
      </c>
      <c r="B3" t="s">
        <v>17</v>
      </c>
    </row>
    <row r="5" spans="1:17" x14ac:dyDescent="0.25">
      <c r="A5" s="1" t="s">
        <v>1</v>
      </c>
    </row>
    <row r="7" spans="1:17" x14ac:dyDescent="0.25">
      <c r="A7" t="s">
        <v>310</v>
      </c>
    </row>
    <row r="9" spans="1:17" x14ac:dyDescent="0.25">
      <c r="A9" t="s">
        <v>311</v>
      </c>
    </row>
    <row r="11" spans="1:17" x14ac:dyDescent="0.25">
      <c r="A11" t="s">
        <v>312</v>
      </c>
    </row>
    <row r="13" spans="1:17" x14ac:dyDescent="0.25">
      <c r="A13" s="1" t="s">
        <v>2</v>
      </c>
      <c r="G13" t="s">
        <v>313</v>
      </c>
      <c r="H13" s="7" t="s">
        <v>26</v>
      </c>
      <c r="J13" t="s">
        <v>314</v>
      </c>
      <c r="K13" s="7" t="s">
        <v>151</v>
      </c>
      <c r="M13" t="s">
        <v>315</v>
      </c>
      <c r="P13" t="s">
        <v>316</v>
      </c>
    </row>
    <row r="15" spans="1:17" x14ac:dyDescent="0.25">
      <c r="A15" t="s">
        <v>26</v>
      </c>
      <c r="B15" t="s">
        <v>27</v>
      </c>
      <c r="C15" t="s">
        <v>28</v>
      </c>
      <c r="D15" t="s">
        <v>29</v>
      </c>
      <c r="E15" t="s">
        <v>30</v>
      </c>
      <c r="G15" s="16" t="str">
        <f>H13</f>
        <v>Division</v>
      </c>
      <c r="J15" t="str" cm="1">
        <f t="array" ref="J15:J19">_xlfn._xlws.SORT(_xlfn.UNIQUE(_xlfn._xlws.FILTER(tblFilterCCs[Directorate],tblFilterCCs[Division]=K13,"Nothing Found")))</f>
        <v>CAMHS AND TIER 4 IN-PATIENT SERVICES</v>
      </c>
      <c r="M15" s="15" t="s">
        <v>26</v>
      </c>
      <c r="N15" s="16" t="s">
        <v>27</v>
      </c>
      <c r="P15" s="15" t="s">
        <v>26</v>
      </c>
      <c r="Q15" s="16" t="s">
        <v>27</v>
      </c>
    </row>
    <row r="16" spans="1:17" x14ac:dyDescent="0.25">
      <c r="A16" t="s">
        <v>126</v>
      </c>
      <c r="B16" t="s">
        <v>127</v>
      </c>
      <c r="C16" t="s">
        <v>128</v>
      </c>
      <c r="D16" s="19">
        <v>4305</v>
      </c>
      <c r="E16" s="19">
        <v>3956</v>
      </c>
      <c r="G16" t="str" cm="1">
        <f t="array" ref="G16:G18">_xlfn.UNIQUE(INDEX(tblUniqueCCs[],0,IFERROR(MATCH(H13,tblUniqueCCs[#Headers],0),1)))</f>
        <v>MEDICINE</v>
      </c>
      <c r="J16" t="str">
        <v>COMMUNITY MANAGEMENT</v>
      </c>
      <c r="M16" t="str" cm="1">
        <f t="array" ref="M16:N40">_xlfn.UNIQUE(tblUniqueCCs[[Division]:[Directorate]])</f>
        <v>MEDICINE</v>
      </c>
      <c r="N16" t="str">
        <v>CANCER, PALLIATIVE &amp; END OF LIFE CARE GROUP</v>
      </c>
      <c r="P16" t="str" cm="1">
        <f t="array" ref="P16:Q18">_xlfn.UNIQUE(tblUniqueCCs[[Division]:[Directorate]],0,1)</f>
        <v>COMMUNITY</v>
      </c>
      <c r="Q16" t="str">
        <v>COMMUNITY MANAGEMENT</v>
      </c>
    </row>
    <row r="17" spans="1:17" x14ac:dyDescent="0.25">
      <c r="A17" t="s">
        <v>126</v>
      </c>
      <c r="B17" t="s">
        <v>127</v>
      </c>
      <c r="C17" t="s">
        <v>129</v>
      </c>
      <c r="D17" s="19">
        <v>4785</v>
      </c>
      <c r="E17" s="19">
        <v>3142</v>
      </c>
      <c r="G17" t="str">
        <v>COMMUNITY</v>
      </c>
      <c r="J17" t="str">
        <v>NEURODEVELOPMENTAL PAEDIATRICS &amp; STATUTORY SERVICES</v>
      </c>
      <c r="M17" t="str">
        <v>MEDICINE</v>
      </c>
      <c r="N17" t="str">
        <v>SPECIALIST CARE GROUP</v>
      </c>
      <c r="P17" t="str">
        <v>SURGICAL CARE</v>
      </c>
      <c r="Q17" t="str">
        <v>SURGERY MANAGEMENT</v>
      </c>
    </row>
    <row r="18" spans="1:17" x14ac:dyDescent="0.25">
      <c r="A18" t="s">
        <v>126</v>
      </c>
      <c r="B18" t="s">
        <v>127</v>
      </c>
      <c r="C18" t="s">
        <v>130</v>
      </c>
      <c r="D18" s="19">
        <v>280</v>
      </c>
      <c r="E18" s="19">
        <v>378</v>
      </c>
      <c r="G18" t="str">
        <v>SURGICAL CARE</v>
      </c>
      <c r="J18" t="str">
        <v>OUTPATIENTS</v>
      </c>
      <c r="M18" t="str">
        <v>MEDICINE</v>
      </c>
      <c r="N18" t="str">
        <v>COMPLEX CARE GROUP</v>
      </c>
      <c r="P18" t="str">
        <v>SURGICAL CARE</v>
      </c>
      <c r="Q18" t="str">
        <v>MEDICAL ENGINEERING</v>
      </c>
    </row>
    <row r="19" spans="1:17" x14ac:dyDescent="0.25">
      <c r="A19" t="s">
        <v>126</v>
      </c>
      <c r="B19" t="s">
        <v>131</v>
      </c>
      <c r="C19" t="s">
        <v>132</v>
      </c>
      <c r="D19" s="19">
        <v>4331</v>
      </c>
      <c r="E19" s="19">
        <v>2741</v>
      </c>
      <c r="J19" t="str">
        <v>SPECIALIST COMMUNITY SERVICES</v>
      </c>
      <c r="M19" t="str">
        <v>COMMUNITY</v>
      </c>
      <c r="N19" t="str">
        <v>COMMUNITY MANAGEMENT</v>
      </c>
    </row>
    <row r="20" spans="1:17" x14ac:dyDescent="0.25">
      <c r="A20" t="s">
        <v>126</v>
      </c>
      <c r="B20" t="s">
        <v>131</v>
      </c>
      <c r="C20" t="s">
        <v>133</v>
      </c>
      <c r="D20" s="19">
        <v>2356</v>
      </c>
      <c r="E20" s="19">
        <v>4499</v>
      </c>
      <c r="M20" t="str">
        <v>MEDICINE</v>
      </c>
      <c r="N20" t="str">
        <v>ACUTE CARE GROUP</v>
      </c>
    </row>
    <row r="21" spans="1:17" x14ac:dyDescent="0.25">
      <c r="A21" t="s">
        <v>126</v>
      </c>
      <c r="B21" t="s">
        <v>131</v>
      </c>
      <c r="C21" t="s">
        <v>134</v>
      </c>
      <c r="D21" s="19">
        <v>489</v>
      </c>
      <c r="E21" s="19">
        <v>1670</v>
      </c>
      <c r="M21" t="str">
        <v>COMMUNITY</v>
      </c>
      <c r="N21" t="str">
        <v>CAMHS AND TIER 4 IN-PATIENT SERVICES</v>
      </c>
    </row>
    <row r="22" spans="1:17" x14ac:dyDescent="0.25">
      <c r="A22" t="s">
        <v>126</v>
      </c>
      <c r="B22" t="s">
        <v>135</v>
      </c>
      <c r="C22" t="s">
        <v>136</v>
      </c>
      <c r="D22" s="19">
        <v>2798</v>
      </c>
      <c r="E22" s="19">
        <v>4346</v>
      </c>
      <c r="M22" t="str">
        <v>COMMUNITY</v>
      </c>
      <c r="N22" t="str">
        <v>NEURODEVELOPMENTAL PAEDIATRICS &amp; STATUTORY SERVICES</v>
      </c>
    </row>
    <row r="23" spans="1:17" x14ac:dyDescent="0.25">
      <c r="A23" t="s">
        <v>126</v>
      </c>
      <c r="B23" t="s">
        <v>135</v>
      </c>
      <c r="C23" t="s">
        <v>137</v>
      </c>
      <c r="D23" s="19">
        <v>3812</v>
      </c>
      <c r="E23" s="19">
        <v>885</v>
      </c>
      <c r="M23" t="str">
        <v>COMMUNITY</v>
      </c>
      <c r="N23" t="str">
        <v>SPECIALIST COMMUNITY SERVICES</v>
      </c>
    </row>
    <row r="24" spans="1:17" x14ac:dyDescent="0.25">
      <c r="A24" t="s">
        <v>126</v>
      </c>
      <c r="B24" t="s">
        <v>131</v>
      </c>
      <c r="C24" t="s">
        <v>138</v>
      </c>
      <c r="D24" s="19">
        <v>2752</v>
      </c>
      <c r="E24" s="19">
        <v>1020</v>
      </c>
      <c r="M24" t="str">
        <v>SURGICAL CARE</v>
      </c>
      <c r="N24" t="str">
        <v>ENT &amp; AUDIOLOGY</v>
      </c>
    </row>
    <row r="25" spans="1:17" x14ac:dyDescent="0.25">
      <c r="A25" t="s">
        <v>126</v>
      </c>
      <c r="B25" t="s">
        <v>131</v>
      </c>
      <c r="C25" t="s">
        <v>139</v>
      </c>
      <c r="D25" s="19">
        <v>4471</v>
      </c>
      <c r="E25" s="19">
        <v>2189</v>
      </c>
      <c r="M25" t="str">
        <v>SURGICAL CARE</v>
      </c>
      <c r="N25" t="str">
        <v>BURNS &amp; PLASTICS</v>
      </c>
    </row>
    <row r="26" spans="1:17" x14ac:dyDescent="0.25">
      <c r="A26" t="s">
        <v>126</v>
      </c>
      <c r="B26" t="s">
        <v>131</v>
      </c>
      <c r="C26" t="s">
        <v>140</v>
      </c>
      <c r="D26" s="19">
        <v>3595</v>
      </c>
      <c r="E26" s="19">
        <v>3583</v>
      </c>
      <c r="M26" t="str">
        <v>SURGICAL CARE</v>
      </c>
      <c r="N26" t="str">
        <v>CRITICAL CARE</v>
      </c>
    </row>
    <row r="27" spans="1:17" x14ac:dyDescent="0.25">
      <c r="A27" t="s">
        <v>126</v>
      </c>
      <c r="B27" t="s">
        <v>131</v>
      </c>
      <c r="C27" t="s">
        <v>141</v>
      </c>
      <c r="D27" s="19">
        <v>1321</v>
      </c>
      <c r="E27" s="19">
        <v>620</v>
      </c>
      <c r="M27" t="str">
        <v>SURGICAL CARE</v>
      </c>
      <c r="N27" t="str">
        <v>CARDIAC &amp; CARDIOLOGY</v>
      </c>
    </row>
    <row r="28" spans="1:17" x14ac:dyDescent="0.25">
      <c r="A28" t="s">
        <v>126</v>
      </c>
      <c r="B28" t="s">
        <v>131</v>
      </c>
      <c r="C28" t="s">
        <v>142</v>
      </c>
      <c r="D28" s="19">
        <v>1600</v>
      </c>
      <c r="E28" s="19">
        <v>4615</v>
      </c>
      <c r="M28" t="str">
        <v>SURGICAL CARE</v>
      </c>
      <c r="N28" t="str">
        <v>ORTHOPAEDICS &amp; SPINAL SURGERY</v>
      </c>
    </row>
    <row r="29" spans="1:17" x14ac:dyDescent="0.25">
      <c r="A29" t="s">
        <v>126</v>
      </c>
      <c r="B29" t="s">
        <v>131</v>
      </c>
      <c r="C29" t="s">
        <v>143</v>
      </c>
      <c r="D29" s="19">
        <v>2909</v>
      </c>
      <c r="E29" s="19">
        <v>1393</v>
      </c>
      <c r="M29" t="str">
        <v>SURGICAL CARE</v>
      </c>
      <c r="N29" t="str">
        <v>NEUROSURGERY &amp; CRANIOFACIAL</v>
      </c>
    </row>
    <row r="30" spans="1:17" x14ac:dyDescent="0.25">
      <c r="A30" t="s">
        <v>126</v>
      </c>
      <c r="B30" t="s">
        <v>131</v>
      </c>
      <c r="C30" t="s">
        <v>144</v>
      </c>
      <c r="D30" s="19">
        <v>3395</v>
      </c>
      <c r="E30" s="19">
        <v>3303</v>
      </c>
      <c r="M30" t="str">
        <v>SURGICAL CARE</v>
      </c>
      <c r="N30" t="str">
        <v>SURGERY MANAGEMENT</v>
      </c>
    </row>
    <row r="31" spans="1:17" x14ac:dyDescent="0.25">
      <c r="A31" t="s">
        <v>126</v>
      </c>
      <c r="B31" t="s">
        <v>135</v>
      </c>
      <c r="C31" t="s">
        <v>145</v>
      </c>
      <c r="D31" s="19">
        <v>3748</v>
      </c>
      <c r="E31" s="19">
        <v>1525</v>
      </c>
      <c r="M31" t="str">
        <v>SURGICAL CARE</v>
      </c>
      <c r="N31" t="str">
        <v>OPHTHALMOLOGY</v>
      </c>
    </row>
    <row r="32" spans="1:17" x14ac:dyDescent="0.25">
      <c r="A32" t="s">
        <v>126</v>
      </c>
      <c r="B32" t="s">
        <v>135</v>
      </c>
      <c r="C32" t="s">
        <v>146</v>
      </c>
      <c r="D32" s="19">
        <v>1274</v>
      </c>
      <c r="E32" s="19">
        <v>2557</v>
      </c>
      <c r="M32" t="str">
        <v>SURGICAL CARE</v>
      </c>
      <c r="N32" t="str">
        <v>CLEFT DENTAL &amp; ORAL</v>
      </c>
    </row>
    <row r="33" spans="1:14" x14ac:dyDescent="0.25">
      <c r="A33" t="s">
        <v>126</v>
      </c>
      <c r="B33" t="s">
        <v>127</v>
      </c>
      <c r="C33" t="s">
        <v>147</v>
      </c>
      <c r="D33" s="19">
        <v>1257</v>
      </c>
      <c r="E33" s="19">
        <v>2310</v>
      </c>
      <c r="M33" t="str">
        <v>COMMUNITY</v>
      </c>
      <c r="N33" t="str">
        <v>OUTPATIENTS</v>
      </c>
    </row>
    <row r="34" spans="1:14" x14ac:dyDescent="0.25">
      <c r="A34" t="s">
        <v>126</v>
      </c>
      <c r="B34" t="s">
        <v>131</v>
      </c>
      <c r="C34" t="s">
        <v>148</v>
      </c>
      <c r="D34" s="19">
        <v>4364</v>
      </c>
      <c r="E34" s="19">
        <v>2351</v>
      </c>
      <c r="M34" t="str">
        <v>SURGICAL CARE</v>
      </c>
      <c r="N34" t="str">
        <v>PAEDIATRIC SURGERY &amp; UROLOGY</v>
      </c>
    </row>
    <row r="35" spans="1:14" x14ac:dyDescent="0.25">
      <c r="A35" t="s">
        <v>126</v>
      </c>
      <c r="B35" t="s">
        <v>131</v>
      </c>
      <c r="C35" t="s">
        <v>149</v>
      </c>
      <c r="D35" s="19">
        <v>2095</v>
      </c>
      <c r="E35" s="19">
        <v>3296</v>
      </c>
      <c r="M35" t="str">
        <v>SURGICAL CARE</v>
      </c>
      <c r="N35" t="str">
        <v>ANAESTHESIA</v>
      </c>
    </row>
    <row r="36" spans="1:14" x14ac:dyDescent="0.25">
      <c r="A36" t="s">
        <v>126</v>
      </c>
      <c r="B36" t="s">
        <v>135</v>
      </c>
      <c r="C36" t="s">
        <v>150</v>
      </c>
      <c r="D36" s="19">
        <v>2352</v>
      </c>
      <c r="E36" s="19">
        <v>3927</v>
      </c>
      <c r="M36" t="str">
        <v>SURGICAL CARE</v>
      </c>
      <c r="N36" t="str">
        <v>THEATRES</v>
      </c>
    </row>
    <row r="37" spans="1:14" x14ac:dyDescent="0.25">
      <c r="A37" t="s">
        <v>151</v>
      </c>
      <c r="B37" t="s">
        <v>152</v>
      </c>
      <c r="C37" t="s">
        <v>153</v>
      </c>
      <c r="D37" s="19">
        <v>1452</v>
      </c>
      <c r="E37" s="19">
        <v>2562</v>
      </c>
      <c r="M37" t="str">
        <v>MEDICINE</v>
      </c>
      <c r="N37" t="str">
        <v>RADIOLOGY CARE GROUP</v>
      </c>
    </row>
    <row r="38" spans="1:14" x14ac:dyDescent="0.25">
      <c r="A38" t="s">
        <v>126</v>
      </c>
      <c r="B38" t="s">
        <v>154</v>
      </c>
      <c r="C38" t="s">
        <v>155</v>
      </c>
      <c r="D38" s="19">
        <v>509</v>
      </c>
      <c r="E38" s="19">
        <v>3932</v>
      </c>
      <c r="M38" t="str">
        <v>MEDICINE</v>
      </c>
      <c r="N38" t="str">
        <v>PATHOLOGY CARE GROUP</v>
      </c>
    </row>
    <row r="39" spans="1:14" x14ac:dyDescent="0.25">
      <c r="A39" t="s">
        <v>126</v>
      </c>
      <c r="B39" t="s">
        <v>131</v>
      </c>
      <c r="C39" t="s">
        <v>156</v>
      </c>
      <c r="D39" s="19">
        <v>2709</v>
      </c>
      <c r="E39" s="19">
        <v>232</v>
      </c>
      <c r="M39" t="str">
        <v>MEDICINE</v>
      </c>
      <c r="N39" t="str">
        <v>PHARMACY CARE GROUP</v>
      </c>
    </row>
    <row r="40" spans="1:14" x14ac:dyDescent="0.25">
      <c r="A40" t="s">
        <v>126</v>
      </c>
      <c r="B40" t="s">
        <v>154</v>
      </c>
      <c r="C40" t="s">
        <v>157</v>
      </c>
      <c r="D40" s="19">
        <v>2051</v>
      </c>
      <c r="E40" s="19">
        <v>3731</v>
      </c>
      <c r="M40" t="str">
        <v>SURGICAL CARE</v>
      </c>
      <c r="N40" t="str">
        <v>MEDICAL ENGINEERING</v>
      </c>
    </row>
    <row r="41" spans="1:14" x14ac:dyDescent="0.25">
      <c r="A41" t="s">
        <v>126</v>
      </c>
      <c r="B41" t="s">
        <v>154</v>
      </c>
      <c r="C41" t="s">
        <v>158</v>
      </c>
      <c r="D41" s="19">
        <v>3517</v>
      </c>
      <c r="E41" s="19">
        <v>4957</v>
      </c>
    </row>
    <row r="42" spans="1:14" x14ac:dyDescent="0.25">
      <c r="A42" t="s">
        <v>126</v>
      </c>
      <c r="B42" t="s">
        <v>154</v>
      </c>
      <c r="C42" t="s">
        <v>159</v>
      </c>
      <c r="D42" s="19">
        <v>793</v>
      </c>
      <c r="E42" s="19">
        <v>3580</v>
      </c>
    </row>
    <row r="43" spans="1:14" x14ac:dyDescent="0.25">
      <c r="A43" t="s">
        <v>151</v>
      </c>
      <c r="B43" t="s">
        <v>160</v>
      </c>
      <c r="C43" t="s">
        <v>161</v>
      </c>
      <c r="D43" s="19">
        <v>801</v>
      </c>
      <c r="E43" s="19">
        <v>694</v>
      </c>
    </row>
    <row r="44" spans="1:14" x14ac:dyDescent="0.25">
      <c r="A44" t="s">
        <v>126</v>
      </c>
      <c r="B44" t="s">
        <v>131</v>
      </c>
      <c r="C44" t="s">
        <v>162</v>
      </c>
      <c r="D44" s="19">
        <v>4723</v>
      </c>
      <c r="E44" s="19">
        <v>2425</v>
      </c>
    </row>
    <row r="45" spans="1:14" x14ac:dyDescent="0.25">
      <c r="A45" t="s">
        <v>151</v>
      </c>
      <c r="B45" t="s">
        <v>160</v>
      </c>
      <c r="C45" t="s">
        <v>163</v>
      </c>
      <c r="D45" s="19">
        <v>2948</v>
      </c>
      <c r="E45" s="19">
        <v>3358</v>
      </c>
    </row>
    <row r="46" spans="1:14" x14ac:dyDescent="0.25">
      <c r="A46" t="s">
        <v>151</v>
      </c>
      <c r="B46" t="s">
        <v>160</v>
      </c>
      <c r="C46" t="s">
        <v>164</v>
      </c>
      <c r="D46" s="19">
        <v>2334</v>
      </c>
      <c r="E46" s="19">
        <v>1188</v>
      </c>
    </row>
    <row r="47" spans="1:14" x14ac:dyDescent="0.25">
      <c r="A47" t="s">
        <v>151</v>
      </c>
      <c r="B47" t="s">
        <v>160</v>
      </c>
      <c r="C47" t="s">
        <v>165</v>
      </c>
      <c r="D47" s="19">
        <v>932</v>
      </c>
      <c r="E47" s="19">
        <v>3705</v>
      </c>
    </row>
    <row r="48" spans="1:14" x14ac:dyDescent="0.25">
      <c r="A48" t="s">
        <v>151</v>
      </c>
      <c r="B48" t="s">
        <v>160</v>
      </c>
      <c r="C48" t="s">
        <v>166</v>
      </c>
      <c r="D48" s="19">
        <v>3111</v>
      </c>
      <c r="E48" s="19">
        <v>4143</v>
      </c>
    </row>
    <row r="49" spans="1:5" x14ac:dyDescent="0.25">
      <c r="A49" t="s">
        <v>151</v>
      </c>
      <c r="B49" t="s">
        <v>160</v>
      </c>
      <c r="C49" t="s">
        <v>170</v>
      </c>
      <c r="D49" s="19">
        <v>4957</v>
      </c>
      <c r="E49" s="19">
        <v>3955</v>
      </c>
    </row>
    <row r="50" spans="1:5" x14ac:dyDescent="0.25">
      <c r="A50" t="s">
        <v>151</v>
      </c>
      <c r="B50" t="s">
        <v>160</v>
      </c>
      <c r="C50" t="s">
        <v>171</v>
      </c>
      <c r="D50" s="19">
        <v>2751</v>
      </c>
      <c r="E50" s="19">
        <v>1453</v>
      </c>
    </row>
    <row r="51" spans="1:5" x14ac:dyDescent="0.25">
      <c r="A51" t="s">
        <v>151</v>
      </c>
      <c r="B51" t="s">
        <v>160</v>
      </c>
      <c r="C51" t="s">
        <v>172</v>
      </c>
      <c r="D51" s="19">
        <v>4959</v>
      </c>
      <c r="E51" s="19">
        <v>779</v>
      </c>
    </row>
    <row r="52" spans="1:5" x14ac:dyDescent="0.25">
      <c r="A52" t="s">
        <v>151</v>
      </c>
      <c r="B52" t="s">
        <v>160</v>
      </c>
      <c r="C52" t="s">
        <v>173</v>
      </c>
      <c r="D52" s="19">
        <v>4127</v>
      </c>
      <c r="E52" s="19">
        <v>4190</v>
      </c>
    </row>
    <row r="53" spans="1:5" x14ac:dyDescent="0.25">
      <c r="A53" t="s">
        <v>151</v>
      </c>
      <c r="B53" t="s">
        <v>160</v>
      </c>
      <c r="C53" t="s">
        <v>174</v>
      </c>
      <c r="D53" s="19">
        <v>3801</v>
      </c>
      <c r="E53" s="19">
        <v>4496</v>
      </c>
    </row>
    <row r="54" spans="1:5" x14ac:dyDescent="0.25">
      <c r="A54" t="s">
        <v>151</v>
      </c>
      <c r="B54" t="s">
        <v>175</v>
      </c>
      <c r="C54" t="s">
        <v>176</v>
      </c>
      <c r="D54" s="19">
        <v>1698</v>
      </c>
      <c r="E54" s="19">
        <v>1659</v>
      </c>
    </row>
    <row r="55" spans="1:5" x14ac:dyDescent="0.25">
      <c r="A55" t="s">
        <v>151</v>
      </c>
      <c r="B55" t="s">
        <v>175</v>
      </c>
      <c r="C55" t="s">
        <v>177</v>
      </c>
      <c r="D55" s="19">
        <v>2388</v>
      </c>
      <c r="E55" s="19">
        <v>1613</v>
      </c>
    </row>
    <row r="56" spans="1:5" x14ac:dyDescent="0.25">
      <c r="A56" t="s">
        <v>151</v>
      </c>
      <c r="B56" t="s">
        <v>169</v>
      </c>
      <c r="C56" t="s">
        <v>178</v>
      </c>
      <c r="D56" s="19">
        <v>417</v>
      </c>
      <c r="E56" s="19">
        <v>4746</v>
      </c>
    </row>
    <row r="57" spans="1:5" x14ac:dyDescent="0.25">
      <c r="A57" t="s">
        <v>151</v>
      </c>
      <c r="B57" t="s">
        <v>169</v>
      </c>
      <c r="C57" t="s">
        <v>179</v>
      </c>
      <c r="D57" s="19">
        <v>4019</v>
      </c>
      <c r="E57" s="19">
        <v>2079</v>
      </c>
    </row>
    <row r="58" spans="1:5" x14ac:dyDescent="0.25">
      <c r="A58" t="s">
        <v>167</v>
      </c>
      <c r="B58" t="s">
        <v>180</v>
      </c>
      <c r="C58" t="s">
        <v>181</v>
      </c>
      <c r="D58" s="19">
        <v>3392</v>
      </c>
      <c r="E58" s="19">
        <v>2365</v>
      </c>
    </row>
    <row r="59" spans="1:5" x14ac:dyDescent="0.25">
      <c r="A59" t="s">
        <v>151</v>
      </c>
      <c r="B59" t="s">
        <v>175</v>
      </c>
      <c r="C59" t="s">
        <v>182</v>
      </c>
      <c r="D59" s="19">
        <v>1875</v>
      </c>
      <c r="E59" s="19">
        <v>1584</v>
      </c>
    </row>
    <row r="60" spans="1:5" x14ac:dyDescent="0.25">
      <c r="A60" t="s">
        <v>151</v>
      </c>
      <c r="B60" t="s">
        <v>175</v>
      </c>
      <c r="C60" t="s">
        <v>183</v>
      </c>
      <c r="D60" s="19">
        <v>3982</v>
      </c>
      <c r="E60" s="19">
        <v>448</v>
      </c>
    </row>
    <row r="61" spans="1:5" x14ac:dyDescent="0.25">
      <c r="A61" t="s">
        <v>151</v>
      </c>
      <c r="B61" t="s">
        <v>169</v>
      </c>
      <c r="C61" t="s">
        <v>184</v>
      </c>
      <c r="D61" s="19">
        <v>2197</v>
      </c>
      <c r="E61" s="19">
        <v>4276</v>
      </c>
    </row>
    <row r="62" spans="1:5" x14ac:dyDescent="0.25">
      <c r="A62" t="s">
        <v>151</v>
      </c>
      <c r="B62" t="s">
        <v>169</v>
      </c>
      <c r="C62" t="s">
        <v>185</v>
      </c>
      <c r="D62" s="19">
        <v>2239</v>
      </c>
      <c r="E62" s="19">
        <v>2021</v>
      </c>
    </row>
    <row r="63" spans="1:5" x14ac:dyDescent="0.25">
      <c r="A63" t="s">
        <v>151</v>
      </c>
      <c r="B63" t="s">
        <v>169</v>
      </c>
      <c r="C63" t="s">
        <v>186</v>
      </c>
      <c r="D63" s="19">
        <v>4695</v>
      </c>
      <c r="E63" s="19">
        <v>2350</v>
      </c>
    </row>
    <row r="64" spans="1:5" x14ac:dyDescent="0.25">
      <c r="A64" t="s">
        <v>151</v>
      </c>
      <c r="B64" t="s">
        <v>175</v>
      </c>
      <c r="C64" t="s">
        <v>187</v>
      </c>
      <c r="D64" s="19">
        <v>4284</v>
      </c>
      <c r="E64" s="19">
        <v>4664</v>
      </c>
    </row>
    <row r="65" spans="1:5" x14ac:dyDescent="0.25">
      <c r="A65" t="s">
        <v>167</v>
      </c>
      <c r="B65" t="s">
        <v>188</v>
      </c>
      <c r="C65" t="s">
        <v>189</v>
      </c>
      <c r="D65" s="19">
        <v>702</v>
      </c>
      <c r="E65" s="19">
        <v>3594</v>
      </c>
    </row>
    <row r="66" spans="1:5" x14ac:dyDescent="0.25">
      <c r="A66" t="s">
        <v>167</v>
      </c>
      <c r="B66" t="s">
        <v>168</v>
      </c>
      <c r="C66" t="s">
        <v>190</v>
      </c>
      <c r="D66" s="19">
        <v>647</v>
      </c>
      <c r="E66" s="19">
        <v>2946</v>
      </c>
    </row>
    <row r="67" spans="1:5" x14ac:dyDescent="0.25">
      <c r="A67" t="s">
        <v>167</v>
      </c>
      <c r="B67" t="s">
        <v>192</v>
      </c>
      <c r="C67" t="s">
        <v>193</v>
      </c>
      <c r="D67" s="19">
        <v>4678</v>
      </c>
      <c r="E67" s="19">
        <v>4856</v>
      </c>
    </row>
    <row r="68" spans="1:5" x14ac:dyDescent="0.25">
      <c r="A68" t="s">
        <v>167</v>
      </c>
      <c r="B68" t="s">
        <v>168</v>
      </c>
      <c r="C68" t="s">
        <v>194</v>
      </c>
      <c r="D68" s="19">
        <v>3359</v>
      </c>
      <c r="E68" s="19">
        <v>277</v>
      </c>
    </row>
    <row r="69" spans="1:5" x14ac:dyDescent="0.25">
      <c r="A69" t="s">
        <v>167</v>
      </c>
      <c r="B69" t="s">
        <v>168</v>
      </c>
      <c r="C69" t="s">
        <v>195</v>
      </c>
      <c r="D69" s="19">
        <v>3715</v>
      </c>
      <c r="E69" s="19">
        <v>3624</v>
      </c>
    </row>
    <row r="70" spans="1:5" x14ac:dyDescent="0.25">
      <c r="A70" t="s">
        <v>167</v>
      </c>
      <c r="B70" t="s">
        <v>168</v>
      </c>
      <c r="C70" t="s">
        <v>196</v>
      </c>
      <c r="D70" s="19">
        <v>162</v>
      </c>
      <c r="E70" s="19">
        <v>4338</v>
      </c>
    </row>
    <row r="71" spans="1:5" x14ac:dyDescent="0.25">
      <c r="A71" t="s">
        <v>167</v>
      </c>
      <c r="B71" t="s">
        <v>168</v>
      </c>
      <c r="C71" t="s">
        <v>197</v>
      </c>
      <c r="D71" s="19">
        <v>1110</v>
      </c>
      <c r="E71" s="19">
        <v>1608</v>
      </c>
    </row>
    <row r="72" spans="1:5" x14ac:dyDescent="0.25">
      <c r="A72" t="s">
        <v>167</v>
      </c>
      <c r="B72" t="s">
        <v>192</v>
      </c>
      <c r="C72" t="s">
        <v>198</v>
      </c>
      <c r="D72" s="19">
        <v>339</v>
      </c>
      <c r="E72" s="19">
        <v>4033</v>
      </c>
    </row>
    <row r="73" spans="1:5" x14ac:dyDescent="0.25">
      <c r="A73" t="s">
        <v>167</v>
      </c>
      <c r="B73" t="s">
        <v>192</v>
      </c>
      <c r="C73" t="s">
        <v>199</v>
      </c>
      <c r="D73" s="19">
        <v>3319</v>
      </c>
      <c r="E73" s="19">
        <v>4698</v>
      </c>
    </row>
    <row r="74" spans="1:5" x14ac:dyDescent="0.25">
      <c r="A74" t="s">
        <v>167</v>
      </c>
      <c r="B74" t="s">
        <v>192</v>
      </c>
      <c r="C74" t="s">
        <v>200</v>
      </c>
      <c r="D74" s="19">
        <v>2504</v>
      </c>
      <c r="E74" s="19">
        <v>3154</v>
      </c>
    </row>
    <row r="75" spans="1:5" x14ac:dyDescent="0.25">
      <c r="A75" t="s">
        <v>167</v>
      </c>
      <c r="B75" t="s">
        <v>192</v>
      </c>
      <c r="C75" t="s">
        <v>201</v>
      </c>
      <c r="D75" s="19">
        <v>4477</v>
      </c>
      <c r="E75" s="19">
        <v>2319</v>
      </c>
    </row>
    <row r="76" spans="1:5" x14ac:dyDescent="0.25">
      <c r="A76" t="s">
        <v>167</v>
      </c>
      <c r="B76" t="s">
        <v>192</v>
      </c>
      <c r="C76" t="s">
        <v>202</v>
      </c>
      <c r="D76" s="19">
        <v>4585</v>
      </c>
      <c r="E76" s="19">
        <v>3551</v>
      </c>
    </row>
    <row r="77" spans="1:5" x14ac:dyDescent="0.25">
      <c r="A77" t="s">
        <v>126</v>
      </c>
      <c r="B77" t="s">
        <v>135</v>
      </c>
      <c r="C77" t="s">
        <v>205</v>
      </c>
      <c r="D77" s="19">
        <v>219</v>
      </c>
      <c r="E77" s="19">
        <v>2231</v>
      </c>
    </row>
    <row r="78" spans="1:5" x14ac:dyDescent="0.25">
      <c r="A78" t="s">
        <v>126</v>
      </c>
      <c r="B78" t="s">
        <v>135</v>
      </c>
      <c r="C78" t="s">
        <v>206</v>
      </c>
      <c r="D78" s="19">
        <v>1550</v>
      </c>
      <c r="E78" s="19">
        <v>528</v>
      </c>
    </row>
    <row r="79" spans="1:5" x14ac:dyDescent="0.25">
      <c r="A79" t="s">
        <v>167</v>
      </c>
      <c r="B79" t="s">
        <v>207</v>
      </c>
      <c r="C79" t="s">
        <v>208</v>
      </c>
      <c r="D79" s="19">
        <v>1310</v>
      </c>
      <c r="E79" s="19">
        <v>2147</v>
      </c>
    </row>
    <row r="80" spans="1:5" x14ac:dyDescent="0.25">
      <c r="A80" t="s">
        <v>167</v>
      </c>
      <c r="B80" t="s">
        <v>209</v>
      </c>
      <c r="C80" t="s">
        <v>210</v>
      </c>
      <c r="D80" s="19">
        <v>597</v>
      </c>
      <c r="E80" s="19">
        <v>1468</v>
      </c>
    </row>
    <row r="81" spans="1:5" x14ac:dyDescent="0.25">
      <c r="A81" t="s">
        <v>167</v>
      </c>
      <c r="B81" t="s">
        <v>209</v>
      </c>
      <c r="C81" t="s">
        <v>211</v>
      </c>
      <c r="D81" s="19">
        <v>267</v>
      </c>
      <c r="E81" s="19">
        <v>2686</v>
      </c>
    </row>
    <row r="82" spans="1:5" x14ac:dyDescent="0.25">
      <c r="A82" t="s">
        <v>126</v>
      </c>
      <c r="B82" t="s">
        <v>135</v>
      </c>
      <c r="C82" t="s">
        <v>212</v>
      </c>
      <c r="D82" s="19">
        <v>2381</v>
      </c>
      <c r="E82" s="19">
        <v>4080</v>
      </c>
    </row>
    <row r="83" spans="1:5" x14ac:dyDescent="0.25">
      <c r="A83" t="s">
        <v>167</v>
      </c>
      <c r="B83" t="s">
        <v>204</v>
      </c>
      <c r="C83" t="s">
        <v>213</v>
      </c>
      <c r="D83" s="19">
        <v>4640</v>
      </c>
      <c r="E83" s="19">
        <v>1082</v>
      </c>
    </row>
    <row r="84" spans="1:5" x14ac:dyDescent="0.25">
      <c r="A84" t="s">
        <v>167</v>
      </c>
      <c r="B84" t="s">
        <v>207</v>
      </c>
      <c r="C84" t="s">
        <v>214</v>
      </c>
      <c r="D84" s="19">
        <v>1968</v>
      </c>
      <c r="E84" s="19">
        <v>218</v>
      </c>
    </row>
    <row r="85" spans="1:5" x14ac:dyDescent="0.25">
      <c r="A85" t="s">
        <v>126</v>
      </c>
      <c r="B85" t="s">
        <v>135</v>
      </c>
      <c r="C85" t="s">
        <v>215</v>
      </c>
      <c r="D85" s="19">
        <v>678</v>
      </c>
      <c r="E85" s="19">
        <v>3662</v>
      </c>
    </row>
    <row r="86" spans="1:5" x14ac:dyDescent="0.25">
      <c r="A86" t="s">
        <v>167</v>
      </c>
      <c r="B86" t="s">
        <v>216</v>
      </c>
      <c r="C86" t="s">
        <v>217</v>
      </c>
      <c r="D86" s="19">
        <v>3613</v>
      </c>
      <c r="E86" s="19">
        <v>3359</v>
      </c>
    </row>
    <row r="87" spans="1:5" x14ac:dyDescent="0.25">
      <c r="A87" t="s">
        <v>167</v>
      </c>
      <c r="B87" t="s">
        <v>216</v>
      </c>
      <c r="C87" t="s">
        <v>218</v>
      </c>
      <c r="D87" s="19">
        <v>4643</v>
      </c>
      <c r="E87" s="19">
        <v>2418</v>
      </c>
    </row>
    <row r="88" spans="1:5" x14ac:dyDescent="0.25">
      <c r="A88" t="s">
        <v>167</v>
      </c>
      <c r="B88" t="s">
        <v>216</v>
      </c>
      <c r="C88" t="s">
        <v>219</v>
      </c>
      <c r="D88" s="19">
        <v>3466</v>
      </c>
      <c r="E88" s="19">
        <v>2613</v>
      </c>
    </row>
    <row r="89" spans="1:5" x14ac:dyDescent="0.25">
      <c r="A89" t="s">
        <v>167</v>
      </c>
      <c r="B89" t="s">
        <v>220</v>
      </c>
      <c r="C89" t="s">
        <v>221</v>
      </c>
      <c r="D89" s="19">
        <v>4518</v>
      </c>
      <c r="E89" s="19">
        <v>4591</v>
      </c>
    </row>
    <row r="90" spans="1:5" x14ac:dyDescent="0.25">
      <c r="A90" t="s">
        <v>167</v>
      </c>
      <c r="B90" t="s">
        <v>220</v>
      </c>
      <c r="C90" t="s">
        <v>222</v>
      </c>
      <c r="D90" s="19">
        <v>2295</v>
      </c>
      <c r="E90" s="19">
        <v>2061</v>
      </c>
    </row>
    <row r="91" spans="1:5" x14ac:dyDescent="0.25">
      <c r="A91" t="s">
        <v>167</v>
      </c>
      <c r="B91" t="s">
        <v>220</v>
      </c>
      <c r="C91" t="s">
        <v>223</v>
      </c>
      <c r="D91" s="19">
        <v>4077</v>
      </c>
      <c r="E91" s="19">
        <v>2944</v>
      </c>
    </row>
    <row r="92" spans="1:5" x14ac:dyDescent="0.25">
      <c r="A92" t="s">
        <v>167</v>
      </c>
      <c r="B92" t="s">
        <v>180</v>
      </c>
      <c r="C92" t="s">
        <v>224</v>
      </c>
      <c r="D92" s="19">
        <v>157</v>
      </c>
      <c r="E92" s="19">
        <v>3669</v>
      </c>
    </row>
    <row r="93" spans="1:5" x14ac:dyDescent="0.25">
      <c r="A93" t="s">
        <v>151</v>
      </c>
      <c r="B93" t="s">
        <v>191</v>
      </c>
      <c r="C93" t="s">
        <v>225</v>
      </c>
      <c r="D93" s="19">
        <v>3859</v>
      </c>
      <c r="E93" s="19">
        <v>4610</v>
      </c>
    </row>
    <row r="94" spans="1:5" x14ac:dyDescent="0.25">
      <c r="A94" t="s">
        <v>167</v>
      </c>
      <c r="B94" t="s">
        <v>220</v>
      </c>
      <c r="C94" t="s">
        <v>226</v>
      </c>
      <c r="D94" s="19">
        <v>3392</v>
      </c>
      <c r="E94" s="19">
        <v>456</v>
      </c>
    </row>
    <row r="95" spans="1:5" x14ac:dyDescent="0.25">
      <c r="A95" t="s">
        <v>151</v>
      </c>
      <c r="B95" t="s">
        <v>191</v>
      </c>
      <c r="C95" t="s">
        <v>227</v>
      </c>
      <c r="D95" s="19">
        <v>2612</v>
      </c>
      <c r="E95" s="19">
        <v>561</v>
      </c>
    </row>
    <row r="96" spans="1:5" x14ac:dyDescent="0.25">
      <c r="A96" t="s">
        <v>167</v>
      </c>
      <c r="B96" t="s">
        <v>207</v>
      </c>
      <c r="C96" t="s">
        <v>228</v>
      </c>
      <c r="D96" s="19">
        <v>2013</v>
      </c>
      <c r="E96" s="19">
        <v>2613</v>
      </c>
    </row>
    <row r="97" spans="1:5" x14ac:dyDescent="0.25">
      <c r="A97" t="s">
        <v>167</v>
      </c>
      <c r="B97" t="s">
        <v>207</v>
      </c>
      <c r="C97" t="s">
        <v>229</v>
      </c>
      <c r="D97" s="19">
        <v>1614</v>
      </c>
      <c r="E97" s="19">
        <v>2144</v>
      </c>
    </row>
    <row r="98" spans="1:5" x14ac:dyDescent="0.25">
      <c r="A98" t="s">
        <v>167</v>
      </c>
      <c r="B98" t="s">
        <v>188</v>
      </c>
      <c r="C98" t="s">
        <v>230</v>
      </c>
      <c r="D98" s="19">
        <v>404</v>
      </c>
      <c r="E98" s="19">
        <v>574</v>
      </c>
    </row>
    <row r="99" spans="1:5" x14ac:dyDescent="0.25">
      <c r="A99" t="s">
        <v>167</v>
      </c>
      <c r="B99" t="s">
        <v>207</v>
      </c>
      <c r="C99" t="s">
        <v>231</v>
      </c>
      <c r="D99" s="19">
        <v>4142</v>
      </c>
      <c r="E99" s="19">
        <v>478</v>
      </c>
    </row>
    <row r="100" spans="1:5" x14ac:dyDescent="0.25">
      <c r="A100" t="s">
        <v>167</v>
      </c>
      <c r="B100" t="s">
        <v>203</v>
      </c>
      <c r="C100" t="s">
        <v>232</v>
      </c>
      <c r="D100" s="19">
        <v>4236</v>
      </c>
      <c r="E100" s="19">
        <v>210</v>
      </c>
    </row>
    <row r="101" spans="1:5" x14ac:dyDescent="0.25">
      <c r="A101" t="s">
        <v>167</v>
      </c>
      <c r="B101" t="s">
        <v>203</v>
      </c>
      <c r="C101" t="s">
        <v>233</v>
      </c>
      <c r="D101" s="19">
        <v>3039</v>
      </c>
      <c r="E101" s="19">
        <v>3739</v>
      </c>
    </row>
    <row r="102" spans="1:5" x14ac:dyDescent="0.25">
      <c r="A102" t="s">
        <v>167</v>
      </c>
      <c r="B102" t="s">
        <v>203</v>
      </c>
      <c r="C102" t="s">
        <v>234</v>
      </c>
      <c r="D102" s="19">
        <v>4177</v>
      </c>
      <c r="E102" s="19">
        <v>2771</v>
      </c>
    </row>
    <row r="103" spans="1:5" x14ac:dyDescent="0.25">
      <c r="A103" t="s">
        <v>167</v>
      </c>
      <c r="B103" t="s">
        <v>203</v>
      </c>
      <c r="C103" t="s">
        <v>235</v>
      </c>
      <c r="D103" s="19">
        <v>1831</v>
      </c>
      <c r="E103" s="19">
        <v>4632</v>
      </c>
    </row>
    <row r="104" spans="1:5" x14ac:dyDescent="0.25">
      <c r="A104" t="s">
        <v>167</v>
      </c>
      <c r="B104" t="s">
        <v>203</v>
      </c>
      <c r="C104" t="s">
        <v>236</v>
      </c>
      <c r="D104" s="19">
        <v>1730</v>
      </c>
      <c r="E104" s="19">
        <v>2369</v>
      </c>
    </row>
    <row r="105" spans="1:5" x14ac:dyDescent="0.25">
      <c r="A105" t="s">
        <v>167</v>
      </c>
      <c r="B105" t="s">
        <v>238</v>
      </c>
      <c r="C105" t="s">
        <v>239</v>
      </c>
      <c r="D105" s="19">
        <v>487</v>
      </c>
      <c r="E105" s="19">
        <v>3972</v>
      </c>
    </row>
    <row r="106" spans="1:5" x14ac:dyDescent="0.25">
      <c r="A106" t="s">
        <v>167</v>
      </c>
      <c r="B106" t="s">
        <v>237</v>
      </c>
      <c r="C106" t="s">
        <v>240</v>
      </c>
      <c r="D106" s="19">
        <v>2340</v>
      </c>
      <c r="E106" s="19">
        <v>3388</v>
      </c>
    </row>
    <row r="107" spans="1:5" x14ac:dyDescent="0.25">
      <c r="A107" t="s">
        <v>167</v>
      </c>
      <c r="B107" t="s">
        <v>237</v>
      </c>
      <c r="C107" t="s">
        <v>241</v>
      </c>
      <c r="D107" s="19">
        <v>264</v>
      </c>
      <c r="E107" s="19">
        <v>3263</v>
      </c>
    </row>
    <row r="108" spans="1:5" x14ac:dyDescent="0.25">
      <c r="A108" t="s">
        <v>167</v>
      </c>
      <c r="B108" t="s">
        <v>237</v>
      </c>
      <c r="C108" t="s">
        <v>242</v>
      </c>
      <c r="D108" s="19">
        <v>3132</v>
      </c>
      <c r="E108" s="19">
        <v>1440</v>
      </c>
    </row>
    <row r="109" spans="1:5" x14ac:dyDescent="0.25">
      <c r="A109" t="s">
        <v>167</v>
      </c>
      <c r="B109" t="s">
        <v>237</v>
      </c>
      <c r="C109" t="s">
        <v>243</v>
      </c>
      <c r="D109" s="19">
        <v>1775</v>
      </c>
      <c r="E109" s="19">
        <v>3917</v>
      </c>
    </row>
    <row r="110" spans="1:5" x14ac:dyDescent="0.25">
      <c r="A110" t="s">
        <v>167</v>
      </c>
      <c r="B110" t="s">
        <v>237</v>
      </c>
      <c r="C110" t="s">
        <v>244</v>
      </c>
      <c r="D110" s="19">
        <v>3520</v>
      </c>
      <c r="E110" s="19">
        <v>1507</v>
      </c>
    </row>
    <row r="111" spans="1:5" x14ac:dyDescent="0.25">
      <c r="A111" t="s">
        <v>167</v>
      </c>
      <c r="B111" t="s">
        <v>237</v>
      </c>
      <c r="C111" t="s">
        <v>245</v>
      </c>
      <c r="D111" s="19">
        <v>4285</v>
      </c>
      <c r="E111" s="19">
        <v>4831</v>
      </c>
    </row>
    <row r="112" spans="1:5" x14ac:dyDescent="0.25">
      <c r="A112" t="s">
        <v>167</v>
      </c>
      <c r="B112" t="s">
        <v>237</v>
      </c>
      <c r="C112" t="s">
        <v>246</v>
      </c>
      <c r="D112" s="19">
        <v>2931</v>
      </c>
      <c r="E112" s="19">
        <v>118</v>
      </c>
    </row>
    <row r="113" spans="1:5" x14ac:dyDescent="0.25">
      <c r="A113" t="s">
        <v>167</v>
      </c>
      <c r="B113" t="s">
        <v>237</v>
      </c>
      <c r="C113" t="s">
        <v>247</v>
      </c>
      <c r="D113" s="19">
        <v>4935</v>
      </c>
      <c r="E113" s="19">
        <v>3356</v>
      </c>
    </row>
    <row r="114" spans="1:5" x14ac:dyDescent="0.25">
      <c r="A114" t="s">
        <v>167</v>
      </c>
      <c r="B114" t="s">
        <v>237</v>
      </c>
      <c r="C114" t="s">
        <v>248</v>
      </c>
      <c r="D114" s="19">
        <v>130</v>
      </c>
      <c r="E114" s="19">
        <v>167</v>
      </c>
    </row>
    <row r="115" spans="1:5" x14ac:dyDescent="0.25">
      <c r="A115" t="s">
        <v>167</v>
      </c>
      <c r="B115" t="s">
        <v>237</v>
      </c>
      <c r="C115" t="s">
        <v>249</v>
      </c>
      <c r="D115" s="19">
        <v>1470</v>
      </c>
      <c r="E115" s="19">
        <v>2937</v>
      </c>
    </row>
    <row r="116" spans="1:5" x14ac:dyDescent="0.25">
      <c r="A116" t="s">
        <v>167</v>
      </c>
      <c r="B116" t="s">
        <v>237</v>
      </c>
      <c r="C116" t="s">
        <v>250</v>
      </c>
      <c r="D116" s="19">
        <v>949</v>
      </c>
      <c r="E116" s="19">
        <v>739</v>
      </c>
    </row>
    <row r="117" spans="1:5" x14ac:dyDescent="0.25">
      <c r="A117" t="s">
        <v>167</v>
      </c>
      <c r="B117" t="s">
        <v>238</v>
      </c>
      <c r="C117" t="s">
        <v>251</v>
      </c>
      <c r="D117" s="19">
        <v>129</v>
      </c>
      <c r="E117" s="19">
        <v>2851</v>
      </c>
    </row>
    <row r="118" spans="1:5" x14ac:dyDescent="0.25">
      <c r="A118" t="s">
        <v>167</v>
      </c>
      <c r="B118" t="s">
        <v>237</v>
      </c>
      <c r="C118" t="s">
        <v>252</v>
      </c>
      <c r="D118" s="19">
        <v>4966</v>
      </c>
      <c r="E118" s="19">
        <v>4304</v>
      </c>
    </row>
    <row r="119" spans="1:5" x14ac:dyDescent="0.25">
      <c r="A119" t="s">
        <v>167</v>
      </c>
      <c r="B119" t="s">
        <v>237</v>
      </c>
      <c r="C119" t="s">
        <v>253</v>
      </c>
      <c r="D119" s="19">
        <v>4666</v>
      </c>
      <c r="E119" s="19">
        <v>4670</v>
      </c>
    </row>
    <row r="120" spans="1:5" x14ac:dyDescent="0.25">
      <c r="A120" t="s">
        <v>167</v>
      </c>
      <c r="B120" t="s">
        <v>237</v>
      </c>
      <c r="C120" t="s">
        <v>254</v>
      </c>
      <c r="D120" s="19">
        <v>4488</v>
      </c>
      <c r="E120" s="19">
        <v>1823</v>
      </c>
    </row>
    <row r="121" spans="1:5" x14ac:dyDescent="0.25">
      <c r="A121" t="s">
        <v>167</v>
      </c>
      <c r="B121" t="s">
        <v>237</v>
      </c>
      <c r="C121" t="s">
        <v>255</v>
      </c>
      <c r="D121" s="19">
        <v>3662</v>
      </c>
      <c r="E121" s="19">
        <v>3414</v>
      </c>
    </row>
    <row r="122" spans="1:5" x14ac:dyDescent="0.25">
      <c r="A122" t="s">
        <v>167</v>
      </c>
      <c r="B122" t="s">
        <v>237</v>
      </c>
      <c r="C122" t="s">
        <v>256</v>
      </c>
      <c r="D122" s="19">
        <v>1705</v>
      </c>
      <c r="E122" s="19">
        <v>2261</v>
      </c>
    </row>
    <row r="123" spans="1:5" x14ac:dyDescent="0.25">
      <c r="A123" t="s">
        <v>167</v>
      </c>
      <c r="B123" t="s">
        <v>237</v>
      </c>
      <c r="C123" t="s">
        <v>257</v>
      </c>
      <c r="D123" s="19">
        <v>242</v>
      </c>
      <c r="E123" s="19">
        <v>1316</v>
      </c>
    </row>
    <row r="124" spans="1:5" x14ac:dyDescent="0.25">
      <c r="A124" t="s">
        <v>167</v>
      </c>
      <c r="B124" t="s">
        <v>203</v>
      </c>
      <c r="C124" t="s">
        <v>258</v>
      </c>
      <c r="D124" s="19">
        <v>3582</v>
      </c>
      <c r="E124" s="19">
        <v>3320</v>
      </c>
    </row>
    <row r="125" spans="1:5" x14ac:dyDescent="0.25">
      <c r="A125" t="s">
        <v>126</v>
      </c>
      <c r="B125" t="s">
        <v>259</v>
      </c>
      <c r="C125" t="s">
        <v>260</v>
      </c>
      <c r="D125" s="19">
        <v>4442</v>
      </c>
      <c r="E125" s="19">
        <v>2671</v>
      </c>
    </row>
    <row r="126" spans="1:5" x14ac:dyDescent="0.25">
      <c r="A126" t="s">
        <v>126</v>
      </c>
      <c r="B126" t="s">
        <v>259</v>
      </c>
      <c r="C126" t="s">
        <v>261</v>
      </c>
      <c r="D126" s="19">
        <v>4488</v>
      </c>
      <c r="E126" s="19">
        <v>1651</v>
      </c>
    </row>
    <row r="127" spans="1:5" x14ac:dyDescent="0.25">
      <c r="A127" t="s">
        <v>126</v>
      </c>
      <c r="B127" t="s">
        <v>259</v>
      </c>
      <c r="C127" t="s">
        <v>262</v>
      </c>
      <c r="D127" s="19">
        <v>4124</v>
      </c>
      <c r="E127" s="19">
        <v>177</v>
      </c>
    </row>
    <row r="128" spans="1:5" x14ac:dyDescent="0.25">
      <c r="A128" t="s">
        <v>167</v>
      </c>
      <c r="B128" t="s">
        <v>188</v>
      </c>
      <c r="C128" t="s">
        <v>263</v>
      </c>
      <c r="D128" s="19">
        <v>2187</v>
      </c>
      <c r="E128" s="19">
        <v>1214</v>
      </c>
    </row>
    <row r="129" spans="1:5" x14ac:dyDescent="0.25">
      <c r="A129" t="s">
        <v>126</v>
      </c>
      <c r="B129" t="s">
        <v>259</v>
      </c>
      <c r="C129" t="s">
        <v>264</v>
      </c>
      <c r="D129" s="19">
        <v>2972</v>
      </c>
      <c r="E129" s="19">
        <v>4105</v>
      </c>
    </row>
    <row r="130" spans="1:5" x14ac:dyDescent="0.25">
      <c r="A130" t="s">
        <v>126</v>
      </c>
      <c r="B130" t="s">
        <v>265</v>
      </c>
      <c r="C130" t="s">
        <v>266</v>
      </c>
      <c r="D130" s="19">
        <v>1192</v>
      </c>
      <c r="E130" s="19">
        <v>3257</v>
      </c>
    </row>
    <row r="131" spans="1:5" x14ac:dyDescent="0.25">
      <c r="A131" t="s">
        <v>126</v>
      </c>
      <c r="B131" t="s">
        <v>265</v>
      </c>
      <c r="C131" t="s">
        <v>267</v>
      </c>
      <c r="D131" s="19">
        <v>1783</v>
      </c>
      <c r="E131" s="19">
        <v>1524</v>
      </c>
    </row>
    <row r="132" spans="1:5" x14ac:dyDescent="0.25">
      <c r="A132" t="s">
        <v>126</v>
      </c>
      <c r="B132" t="s">
        <v>265</v>
      </c>
      <c r="C132" t="s">
        <v>268</v>
      </c>
      <c r="D132" s="19">
        <v>1528</v>
      </c>
      <c r="E132" s="19">
        <v>3449</v>
      </c>
    </row>
    <row r="133" spans="1:5" x14ac:dyDescent="0.25">
      <c r="A133" t="s">
        <v>126</v>
      </c>
      <c r="B133" t="s">
        <v>265</v>
      </c>
      <c r="C133" t="s">
        <v>269</v>
      </c>
      <c r="D133" s="19">
        <v>3243</v>
      </c>
      <c r="E133" s="19">
        <v>4209</v>
      </c>
    </row>
    <row r="134" spans="1:5" x14ac:dyDescent="0.25">
      <c r="A134" t="s">
        <v>126</v>
      </c>
      <c r="B134" t="s">
        <v>265</v>
      </c>
      <c r="C134" t="s">
        <v>270</v>
      </c>
      <c r="D134" s="19">
        <v>195</v>
      </c>
      <c r="E134" s="19">
        <v>2525</v>
      </c>
    </row>
    <row r="135" spans="1:5" x14ac:dyDescent="0.25">
      <c r="A135" t="s">
        <v>126</v>
      </c>
      <c r="B135" t="s">
        <v>265</v>
      </c>
      <c r="C135" t="s">
        <v>271</v>
      </c>
      <c r="D135" s="19">
        <v>2014</v>
      </c>
      <c r="E135" s="19">
        <v>4588</v>
      </c>
    </row>
    <row r="136" spans="1:5" x14ac:dyDescent="0.25">
      <c r="A136" t="s">
        <v>126</v>
      </c>
      <c r="B136" t="s">
        <v>265</v>
      </c>
      <c r="C136" t="s">
        <v>272</v>
      </c>
      <c r="D136" s="19">
        <v>4683</v>
      </c>
      <c r="E136" s="19">
        <v>686</v>
      </c>
    </row>
    <row r="137" spans="1:5" x14ac:dyDescent="0.25">
      <c r="A137" t="s">
        <v>126</v>
      </c>
      <c r="B137" t="s">
        <v>265</v>
      </c>
      <c r="C137" t="s">
        <v>273</v>
      </c>
      <c r="D137" s="19">
        <v>3901</v>
      </c>
      <c r="E137" s="19">
        <v>4141</v>
      </c>
    </row>
    <row r="138" spans="1:5" x14ac:dyDescent="0.25">
      <c r="A138" t="s">
        <v>126</v>
      </c>
      <c r="B138" t="s">
        <v>265</v>
      </c>
      <c r="C138" t="s">
        <v>274</v>
      </c>
      <c r="D138" s="19">
        <v>917</v>
      </c>
      <c r="E138" s="19">
        <v>2174</v>
      </c>
    </row>
    <row r="139" spans="1:5" x14ac:dyDescent="0.25">
      <c r="A139" t="s">
        <v>126</v>
      </c>
      <c r="B139" t="s">
        <v>275</v>
      </c>
      <c r="C139" t="s">
        <v>276</v>
      </c>
      <c r="D139" s="19">
        <v>1120</v>
      </c>
      <c r="E139" s="19">
        <v>4871</v>
      </c>
    </row>
    <row r="140" spans="1:5" x14ac:dyDescent="0.25">
      <c r="A140" t="s">
        <v>126</v>
      </c>
      <c r="B140" t="s">
        <v>275</v>
      </c>
      <c r="C140" t="s">
        <v>277</v>
      </c>
      <c r="D140" s="19">
        <v>324</v>
      </c>
      <c r="E140" s="19">
        <v>4365</v>
      </c>
    </row>
    <row r="141" spans="1:5" x14ac:dyDescent="0.25">
      <c r="A141" t="s">
        <v>151</v>
      </c>
      <c r="B141" t="s">
        <v>191</v>
      </c>
      <c r="C141" t="s">
        <v>278</v>
      </c>
      <c r="D141" s="19">
        <v>2825</v>
      </c>
      <c r="E141" s="19">
        <v>4228</v>
      </c>
    </row>
    <row r="142" spans="1:5" x14ac:dyDescent="0.25">
      <c r="A142" t="s">
        <v>126</v>
      </c>
      <c r="B142" t="s">
        <v>154</v>
      </c>
      <c r="C142" t="s">
        <v>279</v>
      </c>
      <c r="D142" s="19">
        <v>1666</v>
      </c>
      <c r="E142" s="19">
        <v>4260</v>
      </c>
    </row>
    <row r="143" spans="1:5" x14ac:dyDescent="0.25">
      <c r="A143" t="s">
        <v>126</v>
      </c>
      <c r="B143" t="s">
        <v>131</v>
      </c>
      <c r="C143" t="s">
        <v>280</v>
      </c>
      <c r="D143" s="19">
        <v>3981</v>
      </c>
      <c r="E143" s="19">
        <v>3409</v>
      </c>
    </row>
    <row r="144" spans="1:5" x14ac:dyDescent="0.25">
      <c r="A144" t="s">
        <v>126</v>
      </c>
      <c r="B144" t="s">
        <v>135</v>
      </c>
      <c r="C144" t="s">
        <v>281</v>
      </c>
      <c r="D144" s="19">
        <v>2358</v>
      </c>
      <c r="E144" s="19">
        <v>3554</v>
      </c>
    </row>
    <row r="145" spans="1:5" x14ac:dyDescent="0.25">
      <c r="A145" t="s">
        <v>126</v>
      </c>
      <c r="B145" t="s">
        <v>135</v>
      </c>
      <c r="C145" t="s">
        <v>282</v>
      </c>
      <c r="D145" s="19">
        <v>4750</v>
      </c>
      <c r="E145" s="19">
        <v>3606</v>
      </c>
    </row>
    <row r="146" spans="1:5" x14ac:dyDescent="0.25">
      <c r="A146" t="s">
        <v>126</v>
      </c>
      <c r="B146" t="s">
        <v>135</v>
      </c>
      <c r="C146" t="s">
        <v>283</v>
      </c>
      <c r="D146" s="19">
        <v>640</v>
      </c>
      <c r="E146" s="19">
        <v>1375</v>
      </c>
    </row>
    <row r="147" spans="1:5" x14ac:dyDescent="0.25">
      <c r="A147" t="s">
        <v>126</v>
      </c>
      <c r="B147" t="s">
        <v>135</v>
      </c>
      <c r="C147" t="s">
        <v>284</v>
      </c>
      <c r="D147" s="19">
        <v>4801</v>
      </c>
      <c r="E147" s="19">
        <v>2946</v>
      </c>
    </row>
    <row r="148" spans="1:5" x14ac:dyDescent="0.25">
      <c r="A148" t="s">
        <v>167</v>
      </c>
      <c r="B148" t="s">
        <v>207</v>
      </c>
      <c r="C148" t="s">
        <v>285</v>
      </c>
      <c r="D148" s="19">
        <v>4703</v>
      </c>
      <c r="E148" s="19">
        <v>4460</v>
      </c>
    </row>
    <row r="149" spans="1:5" x14ac:dyDescent="0.25">
      <c r="A149" t="s">
        <v>167</v>
      </c>
      <c r="B149" t="s">
        <v>286</v>
      </c>
      <c r="C149" t="s">
        <v>287</v>
      </c>
      <c r="D149" s="19">
        <v>3130</v>
      </c>
      <c r="E149" s="19">
        <v>3612</v>
      </c>
    </row>
    <row r="150" spans="1:5" x14ac:dyDescent="0.25">
      <c r="A150" t="s">
        <v>167</v>
      </c>
      <c r="B150" t="s">
        <v>237</v>
      </c>
      <c r="C150" t="s">
        <v>288</v>
      </c>
      <c r="D150" s="19">
        <v>4028</v>
      </c>
      <c r="E150" s="19">
        <v>2052</v>
      </c>
    </row>
    <row r="151" spans="1:5" x14ac:dyDescent="0.25">
      <c r="A151" t="s">
        <v>151</v>
      </c>
      <c r="B151" t="s">
        <v>191</v>
      </c>
      <c r="C151" t="s">
        <v>289</v>
      </c>
      <c r="D151" s="19">
        <v>2232</v>
      </c>
      <c r="E151" s="19">
        <v>1988</v>
      </c>
    </row>
    <row r="152" spans="1:5" x14ac:dyDescent="0.25">
      <c r="A152" t="s">
        <v>126</v>
      </c>
      <c r="B152" t="s">
        <v>127</v>
      </c>
      <c r="C152" t="s">
        <v>290</v>
      </c>
      <c r="D152" s="19">
        <v>3364</v>
      </c>
      <c r="E152" s="19">
        <v>3314</v>
      </c>
    </row>
  </sheetData>
  <dataValidations count="2">
    <dataValidation type="list" allowBlank="1" showInputMessage="1" showErrorMessage="1" sqref="H13" xr:uid="{88A86CF6-DB35-4CEF-BA77-EE6EB7CD22EC}">
      <formula1>Sort_ColumnDropDown</formula1>
    </dataValidation>
    <dataValidation type="list" allowBlank="1" showInputMessage="1" showErrorMessage="1" sqref="K13" xr:uid="{9B16F3FE-F400-41C4-A4B7-0430FE9B293A}">
      <formula1>Filter_DivisionDropDown</formula1>
    </dataValidation>
  </dataValidations>
  <hyperlinks>
    <hyperlink ref="B1" r:id="rId1" xr:uid="{03F57008-0D83-4770-A20A-A3448F25F39A}"/>
  </hyperlinks>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A7C37-8362-4269-B07F-C7BAD8EE2D7C}">
  <sheetPr>
    <tabColor theme="5" tint="0.59999389629810485"/>
  </sheetPr>
  <dimension ref="A1:I18"/>
  <sheetViews>
    <sheetView workbookViewId="0">
      <selection activeCell="B16" sqref="B16"/>
    </sheetView>
  </sheetViews>
  <sheetFormatPr defaultRowHeight="15" x14ac:dyDescent="0.25"/>
  <cols>
    <col min="1" max="1" width="26.42578125" bestFit="1" customWidth="1"/>
  </cols>
  <sheetData>
    <row r="1" spans="1:9" x14ac:dyDescent="0.25">
      <c r="A1" s="2" t="s">
        <v>0</v>
      </c>
      <c r="B1" s="4" t="s">
        <v>14</v>
      </c>
    </row>
    <row r="3" spans="1:9" x14ac:dyDescent="0.25">
      <c r="A3" s="3" t="s">
        <v>18</v>
      </c>
      <c r="B3" t="s">
        <v>17</v>
      </c>
    </row>
    <row r="5" spans="1:9" x14ac:dyDescent="0.25">
      <c r="A5" s="1" t="s">
        <v>1</v>
      </c>
    </row>
    <row r="7" spans="1:9" x14ac:dyDescent="0.25">
      <c r="A7" t="s">
        <v>317</v>
      </c>
    </row>
    <row r="9" spans="1:9" x14ac:dyDescent="0.25">
      <c r="A9" t="s">
        <v>318</v>
      </c>
    </row>
    <row r="11" spans="1:9" x14ac:dyDescent="0.25">
      <c r="A11" t="s">
        <v>319</v>
      </c>
    </row>
    <row r="13" spans="1:9" x14ac:dyDescent="0.25">
      <c r="A13" s="1" t="s">
        <v>2</v>
      </c>
    </row>
    <row r="15" spans="1:9" x14ac:dyDescent="0.25">
      <c r="A15" t="s">
        <v>320</v>
      </c>
      <c r="B15" s="7">
        <v>4</v>
      </c>
      <c r="D15" cm="1">
        <f t="array" ref="D15:I18">_xlfn.SEQUENCE(B15,B16,B17,B18)</f>
        <v>1</v>
      </c>
      <c r="E15">
        <v>3</v>
      </c>
      <c r="F15">
        <v>5</v>
      </c>
      <c r="G15">
        <v>7</v>
      </c>
      <c r="H15">
        <v>9</v>
      </c>
      <c r="I15">
        <v>11</v>
      </c>
    </row>
    <row r="16" spans="1:9" x14ac:dyDescent="0.25">
      <c r="A16" t="s">
        <v>321</v>
      </c>
      <c r="B16" s="7">
        <v>6</v>
      </c>
      <c r="D16">
        <v>13</v>
      </c>
      <c r="E16">
        <v>15</v>
      </c>
      <c r="F16">
        <v>17</v>
      </c>
      <c r="G16">
        <v>19</v>
      </c>
      <c r="H16">
        <v>21</v>
      </c>
      <c r="I16">
        <v>23</v>
      </c>
    </row>
    <row r="17" spans="1:9" x14ac:dyDescent="0.25">
      <c r="A17" t="s">
        <v>322</v>
      </c>
      <c r="B17" s="7">
        <v>1</v>
      </c>
      <c r="D17">
        <v>25</v>
      </c>
      <c r="E17">
        <v>27</v>
      </c>
      <c r="F17">
        <v>29</v>
      </c>
      <c r="G17">
        <v>31</v>
      </c>
      <c r="H17">
        <v>33</v>
      </c>
      <c r="I17">
        <v>35</v>
      </c>
    </row>
    <row r="18" spans="1:9" x14ac:dyDescent="0.25">
      <c r="A18" t="s">
        <v>323</v>
      </c>
      <c r="B18" s="7">
        <v>2</v>
      </c>
      <c r="D18">
        <v>37</v>
      </c>
      <c r="E18">
        <v>39</v>
      </c>
      <c r="F18">
        <v>41</v>
      </c>
      <c r="G18">
        <v>43</v>
      </c>
      <c r="H18">
        <v>45</v>
      </c>
      <c r="I18">
        <v>47</v>
      </c>
    </row>
  </sheetData>
  <hyperlinks>
    <hyperlink ref="B1" r:id="rId1" xr:uid="{DF55F21A-F222-4125-9509-845EF54ED901}"/>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8B33-012A-465A-8593-3D534DEEB3D8}">
  <sheetPr>
    <tabColor theme="5" tint="0.59999389629810485"/>
  </sheetPr>
  <dimension ref="A1:E30"/>
  <sheetViews>
    <sheetView workbookViewId="0">
      <selection activeCell="D12" sqref="D12"/>
    </sheetView>
  </sheetViews>
  <sheetFormatPr defaultRowHeight="15" x14ac:dyDescent="0.25"/>
  <cols>
    <col min="1" max="1" width="26.42578125" bestFit="1" customWidth="1"/>
  </cols>
  <sheetData>
    <row r="1" spans="1:5" x14ac:dyDescent="0.25">
      <c r="A1" s="2" t="s">
        <v>0</v>
      </c>
      <c r="B1" s="6" t="s">
        <v>24</v>
      </c>
    </row>
    <row r="3" spans="1:5" x14ac:dyDescent="0.25">
      <c r="A3" s="3" t="s">
        <v>18</v>
      </c>
      <c r="B3" t="s">
        <v>17</v>
      </c>
    </row>
    <row r="5" spans="1:5" x14ac:dyDescent="0.25">
      <c r="A5" s="1" t="s">
        <v>1</v>
      </c>
    </row>
    <row r="7" spans="1:5" x14ac:dyDescent="0.25">
      <c r="A7" t="s">
        <v>324</v>
      </c>
    </row>
    <row r="9" spans="1:5" x14ac:dyDescent="0.25">
      <c r="A9" s="1" t="s">
        <v>2</v>
      </c>
    </row>
    <row r="11" spans="1:5" x14ac:dyDescent="0.25">
      <c r="A11" t="s">
        <v>320</v>
      </c>
      <c r="B11" s="7">
        <v>20</v>
      </c>
      <c r="D11" cm="1">
        <f t="array" aca="1" ref="D11:E30" ca="1">_xlfn.RANDARRAY(B11,B12,B13,B14,IF(B15="Decimal",0,1))</f>
        <v>3213</v>
      </c>
      <c r="E11">
        <f ca="1"/>
        <v>4130</v>
      </c>
    </row>
    <row r="12" spans="1:5" x14ac:dyDescent="0.25">
      <c r="A12" t="s">
        <v>321</v>
      </c>
      <c r="B12" s="7">
        <v>2</v>
      </c>
      <c r="D12">
        <f ca="1"/>
        <v>165</v>
      </c>
      <c r="E12">
        <f ca="1"/>
        <v>4998</v>
      </c>
    </row>
    <row r="13" spans="1:5" x14ac:dyDescent="0.25">
      <c r="A13" t="s">
        <v>325</v>
      </c>
      <c r="B13" s="7">
        <v>100</v>
      </c>
      <c r="D13">
        <f ca="1"/>
        <v>2709</v>
      </c>
      <c r="E13">
        <f ca="1"/>
        <v>2908</v>
      </c>
    </row>
    <row r="14" spans="1:5" x14ac:dyDescent="0.25">
      <c r="A14" t="s">
        <v>326</v>
      </c>
      <c r="B14" s="7">
        <v>5000</v>
      </c>
      <c r="D14">
        <f ca="1"/>
        <v>3212</v>
      </c>
      <c r="E14">
        <f ca="1"/>
        <v>1917</v>
      </c>
    </row>
    <row r="15" spans="1:5" x14ac:dyDescent="0.25">
      <c r="A15" t="s">
        <v>327</v>
      </c>
      <c r="B15" s="7" t="s">
        <v>328</v>
      </c>
      <c r="D15">
        <f ca="1"/>
        <v>3933</v>
      </c>
      <c r="E15">
        <f ca="1"/>
        <v>197</v>
      </c>
    </row>
    <row r="16" spans="1:5" x14ac:dyDescent="0.25">
      <c r="D16">
        <f ca="1"/>
        <v>2863</v>
      </c>
      <c r="E16">
        <f ca="1"/>
        <v>138</v>
      </c>
    </row>
    <row r="17" spans="4:5" x14ac:dyDescent="0.25">
      <c r="D17">
        <f ca="1"/>
        <v>2756</v>
      </c>
      <c r="E17">
        <f ca="1"/>
        <v>119</v>
      </c>
    </row>
    <row r="18" spans="4:5" x14ac:dyDescent="0.25">
      <c r="D18">
        <f ca="1"/>
        <v>3100</v>
      </c>
      <c r="E18">
        <f ca="1"/>
        <v>2020</v>
      </c>
    </row>
    <row r="19" spans="4:5" x14ac:dyDescent="0.25">
      <c r="D19">
        <f ca="1"/>
        <v>2632</v>
      </c>
      <c r="E19">
        <f ca="1"/>
        <v>4289</v>
      </c>
    </row>
    <row r="20" spans="4:5" x14ac:dyDescent="0.25">
      <c r="D20">
        <f ca="1"/>
        <v>1739</v>
      </c>
      <c r="E20">
        <f ca="1"/>
        <v>4380</v>
      </c>
    </row>
    <row r="21" spans="4:5" x14ac:dyDescent="0.25">
      <c r="D21">
        <f ca="1"/>
        <v>3499</v>
      </c>
      <c r="E21">
        <f ca="1"/>
        <v>3218</v>
      </c>
    </row>
    <row r="22" spans="4:5" x14ac:dyDescent="0.25">
      <c r="D22">
        <f ca="1"/>
        <v>223</v>
      </c>
      <c r="E22">
        <f ca="1"/>
        <v>4500</v>
      </c>
    </row>
    <row r="23" spans="4:5" x14ac:dyDescent="0.25">
      <c r="D23">
        <f ca="1"/>
        <v>3932</v>
      </c>
      <c r="E23">
        <f ca="1"/>
        <v>2606</v>
      </c>
    </row>
    <row r="24" spans="4:5" x14ac:dyDescent="0.25">
      <c r="D24">
        <f ca="1"/>
        <v>1837</v>
      </c>
      <c r="E24">
        <f ca="1"/>
        <v>1758</v>
      </c>
    </row>
    <row r="25" spans="4:5" x14ac:dyDescent="0.25">
      <c r="D25">
        <f ca="1"/>
        <v>486</v>
      </c>
      <c r="E25">
        <f ca="1"/>
        <v>1357</v>
      </c>
    </row>
    <row r="26" spans="4:5" x14ac:dyDescent="0.25">
      <c r="D26">
        <f ca="1"/>
        <v>4752</v>
      </c>
      <c r="E26">
        <f ca="1"/>
        <v>1145</v>
      </c>
    </row>
    <row r="27" spans="4:5" x14ac:dyDescent="0.25">
      <c r="D27">
        <f ca="1"/>
        <v>496</v>
      </c>
      <c r="E27">
        <f ca="1"/>
        <v>925</v>
      </c>
    </row>
    <row r="28" spans="4:5" x14ac:dyDescent="0.25">
      <c r="D28">
        <f ca="1"/>
        <v>2284</v>
      </c>
      <c r="E28">
        <f ca="1"/>
        <v>1672</v>
      </c>
    </row>
    <row r="29" spans="4:5" x14ac:dyDescent="0.25">
      <c r="D29">
        <f ca="1"/>
        <v>1981</v>
      </c>
      <c r="E29">
        <f ca="1"/>
        <v>3591</v>
      </c>
    </row>
    <row r="30" spans="4:5" x14ac:dyDescent="0.25">
      <c r="D30">
        <f ca="1"/>
        <v>366</v>
      </c>
      <c r="E30">
        <f ca="1"/>
        <v>4843</v>
      </c>
    </row>
  </sheetData>
  <dataValidations count="1">
    <dataValidation type="list" allowBlank="1" showInputMessage="1" showErrorMessage="1" sqref="B15" xr:uid="{16DFE4D6-0BB4-4ED3-A008-FDC24857288D}">
      <formula1>"Integer,Decimal"</formula1>
    </dataValidation>
  </dataValidations>
  <hyperlinks>
    <hyperlink ref="B1" r:id="rId1" xr:uid="{E814EF2C-24F2-4283-998B-46F2FD990A17}"/>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28A58-CC73-4B4A-8794-873BC0021BDD}">
  <sheetPr>
    <tabColor theme="5" tint="0.59999389629810485"/>
  </sheetPr>
  <dimension ref="A1:H80"/>
  <sheetViews>
    <sheetView topLeftCell="A68" workbookViewId="0">
      <selection activeCell="A80" sqref="A80"/>
    </sheetView>
  </sheetViews>
  <sheetFormatPr defaultRowHeight="15" x14ac:dyDescent="0.25"/>
  <cols>
    <col min="1" max="1" width="62.85546875" customWidth="1"/>
    <col min="2" max="2" width="10.85546875" customWidth="1"/>
    <col min="3" max="3" width="11.5703125" customWidth="1"/>
    <col min="8" max="8" width="10" bestFit="1" customWidth="1"/>
  </cols>
  <sheetData>
    <row r="1" spans="1:2" x14ac:dyDescent="0.25">
      <c r="A1" s="2" t="s">
        <v>0</v>
      </c>
      <c r="B1" s="4" t="s">
        <v>15</v>
      </c>
    </row>
    <row r="2" spans="1:2" x14ac:dyDescent="0.25">
      <c r="B2" s="4" t="s">
        <v>16</v>
      </c>
    </row>
    <row r="3" spans="1:2" x14ac:dyDescent="0.25">
      <c r="A3" s="2" t="s">
        <v>335</v>
      </c>
      <c r="B3" s="4" t="s">
        <v>336</v>
      </c>
    </row>
    <row r="5" spans="1:2" x14ac:dyDescent="0.25">
      <c r="A5" s="3" t="s">
        <v>18</v>
      </c>
      <c r="B5" t="s">
        <v>97</v>
      </c>
    </row>
    <row r="7" spans="1:2" x14ac:dyDescent="0.25">
      <c r="A7" s="1" t="s">
        <v>1</v>
      </c>
    </row>
    <row r="9" spans="1:2" x14ac:dyDescent="0.25">
      <c r="A9" t="s">
        <v>329</v>
      </c>
    </row>
    <row r="11" spans="1:2" x14ac:dyDescent="0.25">
      <c r="A11" t="s">
        <v>332</v>
      </c>
    </row>
    <row r="13" spans="1:2" x14ac:dyDescent="0.25">
      <c r="A13" t="s">
        <v>333</v>
      </c>
    </row>
    <row r="14" spans="1:2" x14ac:dyDescent="0.25">
      <c r="A14" t="s">
        <v>334</v>
      </c>
    </row>
    <row r="16" spans="1:2" x14ac:dyDescent="0.25">
      <c r="A16" t="s">
        <v>330</v>
      </c>
    </row>
    <row r="18" spans="1:3" x14ac:dyDescent="0.25">
      <c r="A18" s="1" t="s">
        <v>2</v>
      </c>
    </row>
    <row r="20" spans="1:3" x14ac:dyDescent="0.25">
      <c r="A20" s="20" t="s">
        <v>331</v>
      </c>
    </row>
    <row r="22" spans="1:3" x14ac:dyDescent="0.25">
      <c r="A22" t="s">
        <v>337</v>
      </c>
    </row>
    <row r="24" spans="1:3" x14ac:dyDescent="0.25">
      <c r="A24" t="s">
        <v>338</v>
      </c>
    </row>
    <row r="26" spans="1:3" x14ac:dyDescent="0.25">
      <c r="A26" t="s">
        <v>346</v>
      </c>
    </row>
    <row r="28" spans="1:3" x14ac:dyDescent="0.25">
      <c r="A28" t="s">
        <v>339</v>
      </c>
      <c r="C28" t="s">
        <v>340</v>
      </c>
    </row>
    <row r="29" spans="1:3" x14ac:dyDescent="0.25">
      <c r="C29" t="s">
        <v>345</v>
      </c>
    </row>
    <row r="30" spans="1:3" x14ac:dyDescent="0.25">
      <c r="C30" t="s">
        <v>343</v>
      </c>
    </row>
    <row r="31" spans="1:3" x14ac:dyDescent="0.25">
      <c r="C31" t="s">
        <v>341</v>
      </c>
    </row>
    <row r="32" spans="1:3" x14ac:dyDescent="0.25">
      <c r="C32" t="s">
        <v>344</v>
      </c>
    </row>
    <row r="33" spans="1:3" x14ac:dyDescent="0.25">
      <c r="C33" t="s">
        <v>342</v>
      </c>
    </row>
    <row r="35" spans="1:3" x14ac:dyDescent="0.25">
      <c r="A35" t="s">
        <v>347</v>
      </c>
    </row>
    <row r="36" spans="1:3" x14ac:dyDescent="0.25">
      <c r="A36" t="s">
        <v>348</v>
      </c>
    </row>
    <row r="38" spans="1:3" x14ac:dyDescent="0.25">
      <c r="A38" t="s">
        <v>349</v>
      </c>
    </row>
    <row r="40" spans="1:3" x14ac:dyDescent="0.25">
      <c r="A40" t="s">
        <v>350</v>
      </c>
    </row>
    <row r="42" spans="1:3" x14ac:dyDescent="0.25">
      <c r="A42" t="str">
        <f>_xlfn.TEXTJOIN("",0,C28:C33)</f>
        <v>&lt;note&gt;&lt;to&gt;Value Makers&lt;/to&gt;&lt;from&gt;Sammir&lt;/from&gt;&lt;heading&gt;Reminder&lt;/heading&gt;&lt;body&gt;Don't forget to sign up for the Value Maker Conference!&lt;/body&gt;&lt;/note&gt;</v>
      </c>
    </row>
    <row r="44" spans="1:3" x14ac:dyDescent="0.25">
      <c r="A44" t="s">
        <v>351</v>
      </c>
    </row>
    <row r="46" spans="1:3" x14ac:dyDescent="0.25">
      <c r="A46" t="str" cm="1">
        <f t="array" ref="A46">_xlfn.FILTERXML(A42,"//body")</f>
        <v>Don't forget to sign up for the Value Maker Conference!</v>
      </c>
    </row>
    <row r="48" spans="1:3" x14ac:dyDescent="0.25">
      <c r="A48" t="s">
        <v>352</v>
      </c>
    </row>
    <row r="50" spans="1:2" x14ac:dyDescent="0.25">
      <c r="A50" s="20" t="s">
        <v>331</v>
      </c>
    </row>
    <row r="52" spans="1:2" x14ac:dyDescent="0.25">
      <c r="A52" t="s">
        <v>353</v>
      </c>
    </row>
    <row r="54" spans="1:2" x14ac:dyDescent="0.25">
      <c r="A54" t="str">
        <f>"&lt;a&gt;&lt;b&gt;"&amp;SUBSTITUTE(A50,"|","&lt;/b&gt;&lt;b&gt;")&amp;"&lt;/b&gt;&lt;/a&gt;"</f>
        <v>&lt;a&gt;&lt;b&gt;XN0501&lt;/b&gt;&lt;b&gt;MONTH01&lt;/b&gt;&lt;b&gt;265738271&lt;/b&gt;&lt;b&gt;17988282&lt;/b&gt;&lt;b&gt;28500&lt;/b&gt;&lt;b&gt;0.95&lt;/b&gt;&lt;b&gt;1.00&lt;/b&gt;&lt;b&gt;Staff Nurse&lt;/b&gt;&lt;/a&gt;</v>
      </c>
    </row>
    <row r="56" spans="1:2" x14ac:dyDescent="0.25">
      <c r="A56" t="s">
        <v>354</v>
      </c>
    </row>
    <row r="58" spans="1:2" x14ac:dyDescent="0.25">
      <c r="A58" t="s">
        <v>360</v>
      </c>
      <c r="B58" t="s">
        <v>359</v>
      </c>
    </row>
    <row r="59" spans="1:2" x14ac:dyDescent="0.25">
      <c r="A59" t="str" cm="1">
        <f t="array" ref="A59:A66">_xlfn.FILTERXML(A54,"//b")</f>
        <v>XN0501</v>
      </c>
      <c r="B59" cm="1">
        <f t="array" ref="B59:B66">_xlfn.SEQUENCE(ROWS(_xlfn.ANCHORARRAY(A59)),1,1,1)</f>
        <v>1</v>
      </c>
    </row>
    <row r="60" spans="1:2" x14ac:dyDescent="0.25">
      <c r="A60" t="str">
        <v>MONTH01</v>
      </c>
      <c r="B60">
        <v>2</v>
      </c>
    </row>
    <row r="61" spans="1:2" x14ac:dyDescent="0.25">
      <c r="A61">
        <v>265738271</v>
      </c>
      <c r="B61">
        <v>3</v>
      </c>
    </row>
    <row r="62" spans="1:2" x14ac:dyDescent="0.25">
      <c r="A62">
        <v>17988282</v>
      </c>
      <c r="B62">
        <v>4</v>
      </c>
    </row>
    <row r="63" spans="1:2" x14ac:dyDescent="0.25">
      <c r="A63">
        <v>28500</v>
      </c>
      <c r="B63">
        <v>5</v>
      </c>
    </row>
    <row r="64" spans="1:2" x14ac:dyDescent="0.25">
      <c r="A64">
        <v>0.95</v>
      </c>
      <c r="B64">
        <v>6</v>
      </c>
    </row>
    <row r="65" spans="1:8" x14ac:dyDescent="0.25">
      <c r="A65">
        <v>1</v>
      </c>
      <c r="B65">
        <v>7</v>
      </c>
    </row>
    <row r="66" spans="1:8" x14ac:dyDescent="0.25">
      <c r="A66" t="str">
        <v>Staff Nurse</v>
      </c>
      <c r="B66">
        <v>8</v>
      </c>
    </row>
    <row r="68" spans="1:8" x14ac:dyDescent="0.25">
      <c r="A68" t="s">
        <v>355</v>
      </c>
    </row>
    <row r="70" spans="1:8" x14ac:dyDescent="0.25">
      <c r="A70" t="str" cm="1">
        <f t="array" ref="A70:H70">TRANSPOSE(_xlfn.ANCHORARRAY(A59))</f>
        <v>XN0501</v>
      </c>
      <c r="B70" t="str">
        <v>MONTH01</v>
      </c>
      <c r="C70">
        <v>265738271</v>
      </c>
      <c r="D70">
        <v>17988282</v>
      </c>
      <c r="E70">
        <v>28500</v>
      </c>
      <c r="F70">
        <v>0.95</v>
      </c>
      <c r="G70">
        <v>1</v>
      </c>
      <c r="H70" t="str">
        <v>Staff Nurse</v>
      </c>
    </row>
    <row r="72" spans="1:8" x14ac:dyDescent="0.25">
      <c r="A72" t="s">
        <v>356</v>
      </c>
    </row>
    <row r="74" spans="1:8" x14ac:dyDescent="0.25">
      <c r="A74" t="s">
        <v>358</v>
      </c>
      <c r="B74" s="7">
        <v>1</v>
      </c>
    </row>
    <row r="76" spans="1:8" x14ac:dyDescent="0.25">
      <c r="A76" t="str" cm="1">
        <f t="array" ref="A76">_xlfn.FILTERXML(A54,"//b["&amp;B74&amp;"]")</f>
        <v>XN0501</v>
      </c>
    </row>
    <row r="78" spans="1:8" x14ac:dyDescent="0.25">
      <c r="A78" t="s">
        <v>357</v>
      </c>
    </row>
    <row r="79" spans="1:8" ht="15.75" thickBot="1" x14ac:dyDescent="0.3"/>
    <row r="80" spans="1:8" ht="15.75" thickBot="1" x14ac:dyDescent="0.3">
      <c r="A80" s="25" t="str" cm="1">
        <f t="array" ref="A80">_xlfn.FILTERXML("&lt;a&gt;&lt;b&gt;"&amp;SUBSTITUTE(A50,"|","&lt;/b&gt;&lt;b&gt;")&amp;"&lt;/b&gt;&lt;/a&gt;","//b["&amp;B74&amp;"]")</f>
        <v>XN0501</v>
      </c>
    </row>
  </sheetData>
  <hyperlinks>
    <hyperlink ref="B1" r:id="rId1" xr:uid="{A47E1520-57CC-4723-BCE9-EC1B0D611CFF}"/>
    <hyperlink ref="B2" r:id="rId2" xr:uid="{E8E395EF-0AF6-4485-8AE6-A2F3D922879E}"/>
    <hyperlink ref="B3" r:id="rId3" xr:uid="{2B72A6D7-A902-4AC8-A83E-9DAE7E9EBA52}"/>
  </hyperlinks>
  <pageMargins left="0.7" right="0.7" top="0.75" bottom="0.75" header="0.3" footer="0.3"/>
  <pageSetup paperSize="9" orientation="portrait" horizontalDpi="300" verticalDpi="300"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68B-A2CA-49CF-93F0-6BDC81C2A9E4}">
  <sheetPr>
    <tabColor rgb="FF7030A0"/>
  </sheetPr>
  <dimension ref="A1:C28"/>
  <sheetViews>
    <sheetView workbookViewId="0">
      <selection activeCell="C4" sqref="C4"/>
    </sheetView>
  </sheetViews>
  <sheetFormatPr defaultRowHeight="15" x14ac:dyDescent="0.25"/>
  <cols>
    <col min="1" max="1" width="16" bestFit="1" customWidth="1"/>
    <col min="2" max="2" width="57" bestFit="1" customWidth="1"/>
    <col min="3" max="3" width="32.28515625" bestFit="1" customWidth="1"/>
  </cols>
  <sheetData>
    <row r="1" spans="1:3" x14ac:dyDescent="0.25">
      <c r="A1" s="1" t="s">
        <v>293</v>
      </c>
    </row>
    <row r="3" spans="1:3" x14ac:dyDescent="0.25">
      <c r="A3" t="s">
        <v>294</v>
      </c>
      <c r="B3" t="s">
        <v>295</v>
      </c>
      <c r="C3" t="s">
        <v>296</v>
      </c>
    </row>
    <row r="4" spans="1:3" x14ac:dyDescent="0.25">
      <c r="A4" t="str" cm="1">
        <f t="array" ref="A4:A6">_xlfn._xlws.SORT(_xlfn.UNIQUE(tblFilterCCs[Division]))</f>
        <v>COMMUNITY</v>
      </c>
      <c r="B4" t="str" cm="1">
        <f t="array" ref="B4:B28">_xlfn._xlws.SORT(_xlfn.UNIQUE(tblFilterCCs[Directorate]))</f>
        <v>ACUTE CARE GROUP</v>
      </c>
      <c r="C4" t="str" cm="1">
        <f t="array" ref="C4:C16">_xlfn._xlws.SORT(_xlfn.UNIQUE(_xlfn._xlws.FILTER(tblFilterCCs[Directorate],tblFilterCCs[Division]=Filter_DivisionToDirectorate,"Nothing Found")))</f>
        <v>ANAESTHESIA</v>
      </c>
    </row>
    <row r="5" spans="1:3" x14ac:dyDescent="0.25">
      <c r="A5" t="str">
        <v>MEDICINE</v>
      </c>
      <c r="B5" t="str">
        <v>ANAESTHESIA</v>
      </c>
      <c r="C5" t="str">
        <v>BURNS &amp; PLASTICS</v>
      </c>
    </row>
    <row r="6" spans="1:3" x14ac:dyDescent="0.25">
      <c r="A6" t="str">
        <v>SURGICAL CARE</v>
      </c>
      <c r="B6" t="str">
        <v>BURNS &amp; PLASTICS</v>
      </c>
      <c r="C6" t="str">
        <v>CARDIAC &amp; CARDIOLOGY</v>
      </c>
    </row>
    <row r="7" spans="1:3" x14ac:dyDescent="0.25">
      <c r="B7" t="str">
        <v>CAMHS AND TIER 4 IN-PATIENT SERVICES</v>
      </c>
      <c r="C7" t="str">
        <v>CLEFT DENTAL &amp; ORAL</v>
      </c>
    </row>
    <row r="8" spans="1:3" x14ac:dyDescent="0.25">
      <c r="B8" t="str">
        <v>CANCER, PALLIATIVE &amp; END OF LIFE CARE GROUP</v>
      </c>
      <c r="C8" t="str">
        <v>CRITICAL CARE</v>
      </c>
    </row>
    <row r="9" spans="1:3" x14ac:dyDescent="0.25">
      <c r="B9" t="str">
        <v>CARDIAC &amp; CARDIOLOGY</v>
      </c>
      <c r="C9" t="str">
        <v>ENT &amp; AUDIOLOGY</v>
      </c>
    </row>
    <row r="10" spans="1:3" x14ac:dyDescent="0.25">
      <c r="B10" t="str">
        <v>CLEFT DENTAL &amp; ORAL</v>
      </c>
      <c r="C10" t="str">
        <v>MEDICAL ENGINEERING</v>
      </c>
    </row>
    <row r="11" spans="1:3" x14ac:dyDescent="0.25">
      <c r="B11" t="str">
        <v>COMMUNITY MANAGEMENT</v>
      </c>
      <c r="C11" t="str">
        <v>NEUROSURGERY &amp; CRANIOFACIAL</v>
      </c>
    </row>
    <row r="12" spans="1:3" x14ac:dyDescent="0.25">
      <c r="B12" t="str">
        <v>COMPLEX CARE GROUP</v>
      </c>
      <c r="C12" t="str">
        <v>OPHTHALMOLOGY</v>
      </c>
    </row>
    <row r="13" spans="1:3" x14ac:dyDescent="0.25">
      <c r="B13" t="str">
        <v>CRITICAL CARE</v>
      </c>
      <c r="C13" t="str">
        <v>ORTHOPAEDICS &amp; SPINAL SURGERY</v>
      </c>
    </row>
    <row r="14" spans="1:3" x14ac:dyDescent="0.25">
      <c r="B14" t="str">
        <v>ENT &amp; AUDIOLOGY</v>
      </c>
      <c r="C14" t="str">
        <v>PAEDIATRIC SURGERY &amp; UROLOGY</v>
      </c>
    </row>
    <row r="15" spans="1:3" x14ac:dyDescent="0.25">
      <c r="B15" t="str">
        <v>MEDICAL ENGINEERING</v>
      </c>
      <c r="C15" t="str">
        <v>SURGERY MANAGEMENT</v>
      </c>
    </row>
    <row r="16" spans="1:3" x14ac:dyDescent="0.25">
      <c r="B16" t="str">
        <v>NEURODEVELOPMENTAL PAEDIATRICS &amp; STATUTORY SERVICES</v>
      </c>
      <c r="C16" t="str">
        <v>THEATRES</v>
      </c>
    </row>
    <row r="17" spans="2:2" x14ac:dyDescent="0.25">
      <c r="B17" t="str">
        <v>NEUROSURGERY &amp; CRANIOFACIAL</v>
      </c>
    </row>
    <row r="18" spans="2:2" x14ac:dyDescent="0.25">
      <c r="B18" t="str">
        <v>OPHTHALMOLOGY</v>
      </c>
    </row>
    <row r="19" spans="2:2" x14ac:dyDescent="0.25">
      <c r="B19" t="str">
        <v>ORTHOPAEDICS &amp; SPINAL SURGERY</v>
      </c>
    </row>
    <row r="20" spans="2:2" x14ac:dyDescent="0.25">
      <c r="B20" t="str">
        <v>OUTPATIENTS</v>
      </c>
    </row>
    <row r="21" spans="2:2" x14ac:dyDescent="0.25">
      <c r="B21" t="str">
        <v>PAEDIATRIC SURGERY &amp; UROLOGY</v>
      </c>
    </row>
    <row r="22" spans="2:2" x14ac:dyDescent="0.25">
      <c r="B22" t="str">
        <v>PATHOLOGY CARE GROUP</v>
      </c>
    </row>
    <row r="23" spans="2:2" x14ac:dyDescent="0.25">
      <c r="B23" t="str">
        <v>PHARMACY CARE GROUP</v>
      </c>
    </row>
    <row r="24" spans="2:2" x14ac:dyDescent="0.25">
      <c r="B24" t="str">
        <v>RADIOLOGY CARE GROUP</v>
      </c>
    </row>
    <row r="25" spans="2:2" x14ac:dyDescent="0.25">
      <c r="B25" t="str">
        <v>SPECIALIST CARE GROUP</v>
      </c>
    </row>
    <row r="26" spans="2:2" x14ac:dyDescent="0.25">
      <c r="B26" t="str">
        <v>SPECIALIST COMMUNITY SERVICES</v>
      </c>
    </row>
    <row r="27" spans="2:2" x14ac:dyDescent="0.25">
      <c r="B27" t="str">
        <v>SURGERY MANAGEMENT</v>
      </c>
    </row>
    <row r="28" spans="2:2" x14ac:dyDescent="0.25">
      <c r="B28" t="str">
        <v>THEATRES</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791AEB00D7664ABB3C018CD9F34D3E" ma:contentTypeVersion="12" ma:contentTypeDescription="Create a new document." ma:contentTypeScope="" ma:versionID="a3fad89bf4ee98a7368efe7f72596772">
  <xsd:schema xmlns:xsd="http://www.w3.org/2001/XMLSchema" xmlns:xs="http://www.w3.org/2001/XMLSchema" xmlns:p="http://schemas.microsoft.com/office/2006/metadata/properties" xmlns:ns3="eec74b15-bf65-431c-bdcd-084a49d38ff2" xmlns:ns4="83ab0dc8-b23a-4b1a-af98-fe5f013e72f6" targetNamespace="http://schemas.microsoft.com/office/2006/metadata/properties" ma:root="true" ma:fieldsID="1213a9d5c8292fa295059a6fbecd0c6a" ns3:_="" ns4:_="">
    <xsd:import namespace="eec74b15-bf65-431c-bdcd-084a49d38ff2"/>
    <xsd:import namespace="83ab0dc8-b23a-4b1a-af98-fe5f013e72f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c74b15-bf65-431c-bdcd-084a49d38f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b0dc8-b23a-4b1a-af98-fe5f013e72f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EFF1F5-64FA-4350-93CC-28FB141CF5BB}">
  <ds:schemaRefs>
    <ds:schemaRef ds:uri="eec74b15-bf65-431c-bdcd-084a49d38ff2"/>
    <ds:schemaRef ds:uri="http://schemas.microsoft.com/office/2006/documentManagement/types"/>
    <ds:schemaRef ds:uri="http://www.w3.org/XML/1998/namespace"/>
    <ds:schemaRef ds:uri="http://purl.org/dc/dcmitype/"/>
    <ds:schemaRef ds:uri="http://schemas.microsoft.com/office/2006/metadata/properties"/>
    <ds:schemaRef ds:uri="http://purl.org/dc/elements/1.1/"/>
    <ds:schemaRef ds:uri="83ab0dc8-b23a-4b1a-af98-fe5f013e72f6"/>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F5F5E5AD-B0BF-44A2-8134-C2F61E5D6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c74b15-bf65-431c-bdcd-084a49d38ff2"/>
    <ds:schemaRef ds:uri="83ab0dc8-b23a-4b1a-af98-fe5f013e72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A0117C-45AB-4FEB-BE55-5A2E27C130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vt:i4>
      </vt:variant>
    </vt:vector>
  </HeadingPairs>
  <TitlesOfParts>
    <vt:vector size="19" baseType="lpstr">
      <vt:lpstr>GUIDE</vt:lpstr>
      <vt:lpstr>XLOOKUP</vt:lpstr>
      <vt:lpstr>CONCAT</vt:lpstr>
      <vt:lpstr>TEXTJOIN</vt:lpstr>
      <vt:lpstr>ISFORMULA &amp; FORMULATEXT</vt:lpstr>
      <vt:lpstr>MINIFS &amp; MAXIFS</vt:lpstr>
      <vt:lpstr>Array Formulas Intro</vt:lpstr>
      <vt:lpstr>FILTER</vt:lpstr>
      <vt:lpstr>SORT &amp; SORTBY</vt:lpstr>
      <vt:lpstr>UNIQUE</vt:lpstr>
      <vt:lpstr>SEQUENCE</vt:lpstr>
      <vt:lpstr>RANDARRAY</vt:lpstr>
      <vt:lpstr>TRANSPOSE &amp; FILTERXML</vt:lpstr>
      <vt:lpstr>Lookups</vt:lpstr>
      <vt:lpstr>Filter_Directorate</vt:lpstr>
      <vt:lpstr>Filter_Division</vt:lpstr>
      <vt:lpstr>Filter_DivisionSelectedColumns</vt:lpstr>
      <vt:lpstr>Filter_DivisionToDirectorate</vt:lpstr>
      <vt:lpstr>Sort_ColumnDropDown</vt:lpstr>
    </vt:vector>
  </TitlesOfParts>
  <Company>Alder Hey Children's NHS Foundation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Sammir Radha</dc:creator>
  <cp:lastModifiedBy>Sammir Radha</cp:lastModifiedBy>
  <dcterms:created xsi:type="dcterms:W3CDTF">2021-04-26T12:07:44Z</dcterms:created>
  <dcterms:modified xsi:type="dcterms:W3CDTF">2021-06-16T14:20:09Z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0x0101004E791AEB00D7664ABB3C018CD9F34D3E</vt:lpwstr>
  </property>
</Properties>
</file>