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en_skoroszyt"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1_{8BE8AD28-013A-45D5-90A1-50756AB9D66F}" xr6:coauthVersionLast="47" xr6:coauthVersionMax="47" xr10:uidLastSave="{00000000-0000-0000-0000-000000000000}"/>
  <bookViews>
    <workbookView xWindow="14400" yWindow="0" windowWidth="14400" windowHeight="17400" activeTab="8" xr2:uid="{00000000-000D-0000-FFFF-FFFF00000000}"/>
  </bookViews>
  <sheets>
    <sheet name="Properties" sheetId="10" r:id="rId1"/>
    <sheet name="proj2_copy" sheetId="1" r:id="rId2"/>
    <sheet name="Base" sheetId="3" r:id="rId3"/>
    <sheet name="proj3" sheetId="2" r:id="rId4"/>
    <sheet name="proj4" sheetId="4" r:id="rId5"/>
    <sheet name="Proj5" sheetId="5" r:id="rId6"/>
    <sheet name="proj8" sheetId="6" r:id="rId7"/>
    <sheet name="Base_pr8" sheetId="9" r:id="rId8"/>
    <sheet name="Pr9" sheetId="8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8" i="8" l="1"/>
  <c r="B39" i="8"/>
  <c r="B40" i="8" s="1"/>
  <c r="B36" i="8"/>
  <c r="B47" i="8"/>
  <c r="B44" i="8"/>
  <c r="E42" i="8"/>
  <c r="B17" i="8"/>
  <c r="L28" i="8"/>
  <c r="P32" i="8"/>
  <c r="P33" i="8"/>
  <c r="Q34" i="8" s="1"/>
  <c r="P31" i="8"/>
  <c r="B16" i="8"/>
  <c r="I26" i="8" s="1"/>
  <c r="B14" i="8"/>
  <c r="B13" i="8"/>
  <c r="B27" i="8"/>
  <c r="B35" i="8" s="1"/>
  <c r="Q7" i="6"/>
  <c r="M8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B10" i="8"/>
  <c r="R4" i="6"/>
  <c r="P4" i="6"/>
  <c r="H37" i="1"/>
  <c r="B31" i="8" s="1"/>
  <c r="B25" i="8"/>
  <c r="H9" i="1"/>
  <c r="B23" i="8"/>
  <c r="B11" i="8"/>
  <c r="B45" i="8" l="1"/>
  <c r="G38" i="8"/>
  <c r="Q32" i="8"/>
  <c r="G37" i="8"/>
  <c r="G39" i="8" s="1"/>
  <c r="A18" i="8" a="1"/>
  <c r="B28" i="8" s="1"/>
  <c r="B15" i="8"/>
  <c r="G26" i="8" s="1"/>
  <c r="I28" i="8" s="1"/>
  <c r="B12" i="8"/>
  <c r="G27" i="8" s="1"/>
  <c r="Q33" i="8"/>
  <c r="B37" i="8"/>
  <c r="B22" i="8"/>
  <c r="B5" i="8"/>
  <c r="G3" i="8" s="1"/>
  <c r="M45" i="6"/>
  <c r="M44" i="6"/>
  <c r="M43" i="6"/>
  <c r="M42" i="6"/>
  <c r="S41" i="6"/>
  <c r="P41" i="6"/>
  <c r="O41" i="6"/>
  <c r="M41" i="6"/>
  <c r="R41" i="6" s="1"/>
  <c r="M40" i="6"/>
  <c r="M39" i="6"/>
  <c r="P38" i="6"/>
  <c r="M38" i="6"/>
  <c r="M37" i="6"/>
  <c r="R36" i="6"/>
  <c r="O36" i="6"/>
  <c r="Q36" i="6"/>
  <c r="M36" i="6"/>
  <c r="M35" i="6"/>
  <c r="P34" i="6"/>
  <c r="M34" i="6"/>
  <c r="S34" i="6" s="1"/>
  <c r="O33" i="6"/>
  <c r="M33" i="6"/>
  <c r="C33" i="6"/>
  <c r="M32" i="6"/>
  <c r="R31" i="6"/>
  <c r="O31" i="6"/>
  <c r="M31" i="6"/>
  <c r="M30" i="6"/>
  <c r="C30" i="6"/>
  <c r="M29" i="6"/>
  <c r="C29" i="6"/>
  <c r="M28" i="6"/>
  <c r="M27" i="6"/>
  <c r="S26" i="6"/>
  <c r="P26" i="6"/>
  <c r="O26" i="6"/>
  <c r="M26" i="6"/>
  <c r="R26" i="6" s="1"/>
  <c r="M25" i="6"/>
  <c r="M24" i="6"/>
  <c r="P23" i="6"/>
  <c r="M23" i="6"/>
  <c r="M22" i="6"/>
  <c r="R21" i="6"/>
  <c r="O21" i="6"/>
  <c r="Q21" i="6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M14" i="6"/>
  <c r="R13" i="6"/>
  <c r="O13" i="6"/>
  <c r="Q13" i="6"/>
  <c r="M13" i="6"/>
  <c r="C13" i="6"/>
  <c r="P9" i="6" s="1"/>
  <c r="M12" i="6"/>
  <c r="C12" i="6"/>
  <c r="S11" i="6"/>
  <c r="P11" i="6"/>
  <c r="M11" i="6"/>
  <c r="Q10" i="6"/>
  <c r="M10" i="6"/>
  <c r="M9" i="6"/>
  <c r="S9" i="6" s="1"/>
  <c r="S8" i="6"/>
  <c r="P8" i="6"/>
  <c r="O8" i="6"/>
  <c r="R8" i="6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U3" i="1"/>
  <c r="Y3" i="1" s="1"/>
  <c r="C3" i="1"/>
  <c r="C2" i="1"/>
  <c r="A18" i="8" l="1"/>
  <c r="B20" i="8"/>
  <c r="G28" i="8"/>
  <c r="G2" i="8"/>
  <c r="G4" i="8"/>
  <c r="B53" i="2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S4" i="6"/>
  <c r="Q6" i="6"/>
  <c r="O11" i="6"/>
  <c r="R11" i="6" s="1"/>
  <c r="P14" i="6"/>
  <c r="S14" i="6" s="1"/>
  <c r="P17" i="6"/>
  <c r="S17" i="6" s="1"/>
  <c r="P22" i="6"/>
  <c r="S22" i="6" s="1"/>
  <c r="Q24" i="6"/>
  <c r="Q29" i="6"/>
  <c r="P32" i="6"/>
  <c r="S32" i="6" s="1"/>
  <c r="P37" i="6"/>
  <c r="S37" i="6" s="1"/>
  <c r="Q39" i="6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Q19" i="6"/>
  <c r="O24" i="6"/>
  <c r="R24" i="6" s="1"/>
  <c r="O29" i="6"/>
  <c r="R29" i="6" s="1"/>
  <c r="Q34" i="6"/>
  <c r="O39" i="6"/>
  <c r="R39" i="6" s="1"/>
  <c r="P44" i="6"/>
  <c r="F28" i="4"/>
  <c r="S29" i="4"/>
  <c r="R30" i="4"/>
  <c r="Q31" i="4"/>
  <c r="S32" i="4"/>
  <c r="O36" i="4"/>
  <c r="P6" i="6"/>
  <c r="S6" i="6" s="1"/>
  <c r="O19" i="6"/>
  <c r="R19" i="6" s="1"/>
  <c r="P24" i="6"/>
  <c r="S24" i="6" s="1"/>
  <c r="Q26" i="6"/>
  <c r="P29" i="6"/>
  <c r="S29" i="6" s="1"/>
  <c r="O34" i="6"/>
  <c r="P39" i="6"/>
  <c r="S39" i="6" s="1"/>
  <c r="Q44" i="6"/>
  <c r="N35" i="4"/>
  <c r="Q28" i="6"/>
  <c r="Q43" i="6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Q5" i="6"/>
  <c r="Q8" i="6"/>
  <c r="O10" i="6"/>
  <c r="R10" i="6" s="1"/>
  <c r="P13" i="6"/>
  <c r="S13" i="6" s="1"/>
  <c r="Q16" i="6"/>
  <c r="P21" i="6"/>
  <c r="S21" i="6" s="1"/>
  <c r="O28" i="6"/>
  <c r="R28" i="6" s="1"/>
  <c r="P31" i="6"/>
  <c r="S31" i="6" s="1"/>
  <c r="R34" i="6"/>
  <c r="P36" i="6"/>
  <c r="S36" i="6" s="1"/>
  <c r="Q38" i="6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O18" i="6"/>
  <c r="O23" i="6"/>
  <c r="P28" i="6"/>
  <c r="Q31" i="6"/>
  <c r="Q33" i="6"/>
  <c r="O38" i="6"/>
  <c r="R38" i="6" s="1"/>
  <c r="P43" i="6"/>
  <c r="S43" i="6" s="1"/>
  <c r="Q45" i="6"/>
  <c r="O45" i="6"/>
  <c r="R45" i="6" s="1"/>
  <c r="O33" i="4"/>
  <c r="Q34" i="4"/>
  <c r="O7" i="6"/>
  <c r="O12" i="6"/>
  <c r="R12" i="6" s="1"/>
  <c r="P15" i="6"/>
  <c r="Q18" i="6"/>
  <c r="Q20" i="6"/>
  <c r="Q23" i="6"/>
  <c r="O25" i="6"/>
  <c r="R25" i="6" s="1"/>
  <c r="Q30" i="6"/>
  <c r="P33" i="6"/>
  <c r="Q35" i="6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Q9" i="6"/>
  <c r="P12" i="6"/>
  <c r="S12" i="6" s="1"/>
  <c r="Q15" i="6"/>
  <c r="R18" i="6"/>
  <c r="O20" i="6"/>
  <c r="R23" i="6"/>
  <c r="P25" i="6"/>
  <c r="S25" i="6" s="1"/>
  <c r="Q27" i="6"/>
  <c r="O30" i="6"/>
  <c r="R30" i="6" s="1"/>
  <c r="O35" i="6"/>
  <c r="R35" i="6" s="1"/>
  <c r="P40" i="6"/>
  <c r="S40" i="6" s="1"/>
  <c r="Q42" i="6"/>
  <c r="N16" i="4"/>
  <c r="O29" i="4"/>
  <c r="N30" i="4"/>
  <c r="O32" i="4"/>
  <c r="Q4" i="6"/>
  <c r="O9" i="6"/>
  <c r="R9" i="6" s="1"/>
  <c r="Q12" i="6"/>
  <c r="Q14" i="6"/>
  <c r="Q17" i="6"/>
  <c r="P20" i="6"/>
  <c r="Q22" i="6"/>
  <c r="E8" i="8" s="1" a="1"/>
  <c r="Q25" i="6"/>
  <c r="O27" i="6"/>
  <c r="R27" i="6" s="1"/>
  <c r="P30" i="6"/>
  <c r="S30" i="6" s="1"/>
  <c r="Q32" i="6"/>
  <c r="R33" i="6"/>
  <c r="P35" i="6"/>
  <c r="S35" i="6" s="1"/>
  <c r="Q37" i="6"/>
  <c r="Q40" i="6"/>
  <c r="O42" i="6"/>
  <c r="R42" i="6" s="1"/>
  <c r="O6" i="4"/>
  <c r="N15" i="4"/>
  <c r="O16" i="4"/>
  <c r="F20" i="4"/>
  <c r="O30" i="4"/>
  <c r="N31" i="4"/>
  <c r="O4" i="6"/>
  <c r="Q11" i="6"/>
  <c r="O14" i="6"/>
  <c r="R14" i="6" s="1"/>
  <c r="O17" i="6"/>
  <c r="R17" i="6" s="1"/>
  <c r="O22" i="6"/>
  <c r="R22" i="6" s="1"/>
  <c r="P27" i="6"/>
  <c r="S27" i="6" s="1"/>
  <c r="O32" i="6"/>
  <c r="F8" i="8" l="1" a="1"/>
  <c r="F8" i="8" s="1"/>
  <c r="E8" i="8"/>
  <c r="W35" i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G9" i="8" l="1"/>
  <c r="H9" i="8" s="1"/>
  <c r="G10" i="8"/>
  <c r="H10" i="8" s="1"/>
  <c r="G8" i="8"/>
  <c r="H8" i="8" s="1"/>
  <c r="U26" i="4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nie jestem pewien, nie wiem skąd wziąć z_c nigdzie w projektach nie było liczone
	-Marek Polewski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<sst xmlns="http://schemas.openxmlformats.org/spreadsheetml/2006/main" count="428" uniqueCount="351">
  <si>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</si>
  <si>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</si>
  <si>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</si>
  <si>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</si>
  <si>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</si>
  <si>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</si>
  <si>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</si>
  <si>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</si>
  <si>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</si>
  <si>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</si>
  <si>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</si>
  <si>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</si>
  <si>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</si>
  <si>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</si>
  <si>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</si>
  <si>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</si>
  <si>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</si>
  <si>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</si>
  <si>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</si>
  <si>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</si>
  <si>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</si>
  <si>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</si>
  <si>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</si>
  <si>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</si>
  <si>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</si>
  <si>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</si>
  <si>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</si>
  <si>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</si>
  <si>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</si>
  <si>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</si>
  <si>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</si>
  <si>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</si>
  <si>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</si>
  <si>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</si>
  <si>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</si>
  <si>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</si>
  <si>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</si>
  <si>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</si>
  <si>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</si>
  <si>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</si>
  <si>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</si>
  <si>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</si>
  <si>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</si>
  <si>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</si>
  <si>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</si>
  <si>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</si>
  <si>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</si>
  <si>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</si>
  <si>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</si>
  <si>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</si>
  <si>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</si>
  <si>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</si>
  <si>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</si>
  <si>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</si>
  <si>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</si>
  <si>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</si>
  <si>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</si>
  <si>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</si>
  <si>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</si>
  <si>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</si>
  <si>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</si>
  <si>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</si>
  <si>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</si>
  <si>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</si>
  <si>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</si>
  <si>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</si>
  <si>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</si>
  <si>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</si>
  <si>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</si>
  <si>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</si>
  <si>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</si>
  <si>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</si>
  <si>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</si>
  <si>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</si>
  <si>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</si>
  <si>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</si>
  <si>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</si>
  <si>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</si>
  <si>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</si>
  <si>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</si>
  <si>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</si>
  <si>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</si>
  <si>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</si>
  <si>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</si>
  <si>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</si>
  <si>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</si>
  <si>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</si>
  <si>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</si>
  <si>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</si>
  <si>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</si>
  <si>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</si>
  <si>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</si>
  <si>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</si>
  <si>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</si>
  <si>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</si>
  <si>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</si>
  <si>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</si>
  <si>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</si>
  <si>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</si>
  <si>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</si>
  <si>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</si>
  <si>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</si>
  <si>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</si>
  <si>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</si>
  <si>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</si>
  <si>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</si>
  <si>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</si>
  <si>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</si>
  <si>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</si>
  <si>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</si>
  <si>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</si>
  <si>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</si>
  <si>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</si>
  <si>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</si>
  <si>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</si>
  <si>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</si>
  <si>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</si>
  <si>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</si>
  <si>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</si>
  <si>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</si>
  <si>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</si>
  <si>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</si>
  <si>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</si>
  <si>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</si>
  <si>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</si>
  <si>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</si>
  <si>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</si>
  <si>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</si>
  <si>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</si>
  <si>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</si>
  <si>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</si>
  <si>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</si>
  <si>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</si>
  <si>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</si>
  <si>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</si>
  <si>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</si>
  <si>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</si>
  <si>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</si>
  <si>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</si>
  <si>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</si>
  <si>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</si>
  <si>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</si>
  <si>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</si>
  <si>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</si>
  <si>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</si>
  <si>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</si>
  <si>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</si>
  <si>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</si>
  <si>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</si>
  <si>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</si>
  <si>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</si>
  <si>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</si>
  <si>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</si>
  <si>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</si>
  <si>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</si>
  <si>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</si>
  <si>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</si>
  <si>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</si>
  <si>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</si>
  <si>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</si>
  <si>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</si>
  <si>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</si>
  <si>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</si>
  <si>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</si>
  <si>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</si>
  <si>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</si>
  <si>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</si>
  <si>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</si>
  <si>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</si>
  <si>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</si>
  <si>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</si>
  <si>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</si>
  <si>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</si>
  <si>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</si>
  <si>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</si>
  <si>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</si>
  <si>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</si>
  <si>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</si>
  <si>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</si>
  <si>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</si>
  <si>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</si>
  <si>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</si>
  <si>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</si>
  <si>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</si>
  <si>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</si>
  <si>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</si>
  <si>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</si>
  <si>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</si>
  <si>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</si>
  <si>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</si>
  <si>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</si>
  <si>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</si>
  <si>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</si>
  <si>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</si>
  <si>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</si>
  <si>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</si>
  <si>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</si>
  <si>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</si>
  <si>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</si>
  <si>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</si>
  <si>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</si>
  <si>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</si>
  <si>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</si>
  <si>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</si>
  <si>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</si>
  <si>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</si>
  <si>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</si>
  <si>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</si>
  <si>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</si>
  <si>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</si>
  <si>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</si>
  <si>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</si>
  <si>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</si>
  <si>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</si>
  <si>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</si>
  <si>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</si>
  <si>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</si>
  <si>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</si>
  <si>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</si>
  <si>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</si>
  <si>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</si>
  <si>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</si>
  <si>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</si>
  <si>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</si>
  <si>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</si>
  <si>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</si>
  <si>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</si>
  <si>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</si>
  <si>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</si>
  <si>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</si>
  <si>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</si>
  <si>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</si>
  <si>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</si>
  <si>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</si>
  <si>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</si>
  <si>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</si>
  <si>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</si>
  <si>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</si>
  <si>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</si>
  <si>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</si>
  <si>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</si>
  <si>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</si>
  <si>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</si>
  <si>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</si>
  <si>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</si>
  <si>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</si>
  <si>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</si>
  <si>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</si>
  <si>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</si>
  <si>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</si>
  <si>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</si>
  <si>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</si>
  <si>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</si>
  <si>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</si>
  <si>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</si>
  <si>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</si>
  <si>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</si>
  <si>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</si>
  <si>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</si>
  <si>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</si>
  <si>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</si>
  <si>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</si>
  <si>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</si>
  <si>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</si>
  <si>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</si>
  <si>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</si>
  <si>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</si>
  <si>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</si>
  <si>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</si>
  <si>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</si>
  <si>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</si>
  <si>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</si>
  <si>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</si>
  <si>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</si>
  <si>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</si>
  <si>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</si>
  <si>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</si>
  <si>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</si>
  <si>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</si>
  <si>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</si>
  <si>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</si>
  <si>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</si>
  <si>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</si>
  <si>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</si>
  <si>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</si>
  <si>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</si>
  <si>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</si>
  <si>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</si>
  <si>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</si>
  <si>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</si>
  <si>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</si>
  <si>
    <t>bar_x_sa_h</t>
  </si>
  <si>
    <t>S_h</t>
  </si>
  <si>
    <t xml:space="preserve">S </t>
  </si>
  <si>
    <t>Dane</t>
  </si>
  <si>
    <t>Wyznaczanie Kappy</t>
  </si>
  <si>
    <t>Kappa1</t>
  </si>
  <si>
    <t>Kappa2</t>
  </si>
  <si>
    <t>Kappa3</t>
  </si>
  <si>
    <t>b_h</t>
  </si>
  <si>
    <t>s_h</t>
  </si>
  <si>
    <t>1/lambda_h</t>
  </si>
  <si>
    <t>c_h1</t>
  </si>
  <si>
    <t>c_h2</t>
  </si>
  <si>
    <t>Lambda_h</t>
  </si>
  <si>
    <t>a1</t>
  </si>
  <si>
    <t>a2</t>
  </si>
  <si>
    <t>SsH</t>
  </si>
  <si>
    <t>deps_dalpha</t>
  </si>
  <si>
    <t>Lambda</t>
  </si>
  <si>
    <t>xc</t>
  </si>
  <si>
    <t>Cmbu</t>
  </si>
  <si>
    <t>kappa</t>
  </si>
  <si>
    <t>azh [rad]</t>
  </si>
  <si>
    <t>azh [deg]</t>
  </si>
  <si>
    <t>Wyznaczanie azh - kąta zaklinowania płata</t>
  </si>
  <si>
    <t>&lt;- powierzchnia steru</t>
  </si>
  <si>
    <t>śr.c_h</t>
  </si>
  <si>
    <t>&lt;- wzór na środek cięzkości trapezu</t>
  </si>
  <si>
    <t>stosunek średniej cięciwy części steru przed osią obrotu do średniej cięciwy całego steru</t>
  </si>
  <si>
    <t>csh</t>
  </si>
  <si>
    <t>ch</t>
  </si>
  <si>
    <t>śr.c_sh</t>
  </si>
  <si>
    <t>c_sh1</t>
  </si>
  <si>
    <t>c_sh2</t>
  </si>
  <si>
    <t>csh/ch</t>
  </si>
  <si>
    <t>ckh</t>
  </si>
  <si>
    <t>ckh/csh</t>
  </si>
  <si>
    <t>Odczyty z tabelek (9.2) - b_3 inf</t>
  </si>
  <si>
    <t>śr</t>
  </si>
  <si>
    <t>b3_inf</t>
  </si>
  <si>
    <t>a1inf</t>
  </si>
  <si>
    <t>b1</t>
  </si>
  <si>
    <t>b1inf</t>
  </si>
  <si>
    <t>b2inf</t>
  </si>
  <si>
    <t>b2</t>
  </si>
  <si>
    <t>eta_sh</t>
  </si>
  <si>
    <t>k_kl</t>
  </si>
  <si>
    <t>b_kh</t>
  </si>
  <si>
    <t>S_kh</t>
  </si>
  <si>
    <t>śr.c_kh</t>
  </si>
  <si>
    <t>S0_kh</t>
  </si>
  <si>
    <t>Ssh/Sh</t>
  </si>
  <si>
    <t>Skh/Ssh</t>
  </si>
  <si>
    <t>b3</t>
  </si>
  <si>
    <t>przelicznik</t>
  </si>
  <si>
    <t>b3inf</t>
  </si>
  <si>
    <t>c</t>
  </si>
  <si>
    <t>cz(v)</t>
  </si>
  <si>
    <t>v</t>
  </si>
  <si>
    <t>eta_skh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</si>
</sst>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30">
    <font>
      <sz val="10"/>
      <color rgb="FF000000"/>
      <name val="Arial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sz val="9"/>
      <color rgb="FF000000"/>
      <name val="&quot;Google Sans Mono&quot;"/>
    </font>
    <font>
      <sz val="11"/>
      <color theme="1"/>
      <name val="Calibri"/>
      <family val="2"/>
      <charset val="238"/>
    </font>
    <font>
      <sz val="11"/>
      <color rgb="FFADBAC7"/>
      <name val="Consolas"/>
      <family val="3"/>
      <charset val="238"/>
    </font>
    <font>
      <sz val="11"/>
      <color rgb="FF1F1F1F"/>
      <name val="&quot;Google Sans&quot;"/>
    </font>
    <font>
      <b/>
      <sz val="10"/>
      <color theme="1"/>
      <name val="Arial"/>
      <family val="2"/>
      <charset val="238"/>
      <scheme val="minor"/>
    </font>
    <font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onsolas"/>
      <family val="3"/>
      <charset val="238"/>
    </font>
    <font>
      <u/>
      <sz val="10"/>
      <color rgb="FF0000FF"/>
      <name val="Arial"/>
      <family val="2"/>
      <charset val="238"/>
    </font>
    <font>
      <b/>
      <sz val="11"/>
      <color theme="1"/>
      <name val="Arial"/>
      <family val="2"/>
      <charset val="238"/>
    </font>
    <font>
      <sz val="12"/>
      <color rgb="FF198639"/>
      <name val="Monospace"/>
    </font>
    <font>
      <b/>
      <sz val="10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i/>
      <sz val="10"/>
      <color rgb="FF000000"/>
      <name val="Arial"/>
      <family val="2"/>
      <charset val="238"/>
    </font>
    <font>
      <b/>
      <sz val="17"/>
      <color theme="1"/>
      <name val="Arial"/>
      <family val="2"/>
      <charset val="238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  <font>
      <sz val="10"/>
      <color rgb="FF000000"/>
      <name val="Arial"/>
      <family val="2"/>
      <charset val="238"/>
      <scheme val="minor"/>
    </font>
    <font>
      <sz val="10"/>
      <name val="Arial"/>
      <family val="2"/>
      <charset val="238"/>
      <scheme val="minor"/>
    </font>
    <font>
      <b/>
      <sz val="10"/>
      <color rgb="FF000000"/>
      <name val="Arial"/>
      <family val="2"/>
      <charset val="238"/>
      <scheme val="minor"/>
    </font>
    <font>
      <sz val="10"/>
      <color theme="1"/>
      <name val="Arial"/>
      <family val="2"/>
      <charset val="238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26" fillId="0" borderId="0" xfId="0" applyFont="1"/>
    <xf numFmtId="0" fontId="3" fillId="0" borderId="8" xfId="0" applyFont="1" applyBorder="1"/>
    <xf numFmtId="2" fontId="3" fillId="0" borderId="8" xfId="0" applyNumberFormat="1" applyFont="1" applyBorder="1"/>
    <xf numFmtId="2" fontId="0" fillId="12" borderId="8" xfId="0" applyNumberFormat="1" applyFill="1" applyBorder="1"/>
    <xf numFmtId="166" fontId="0" fillId="0" borderId="0" xfId="0" applyNumberFormat="1"/>
    <xf numFmtId="166" fontId="27" fillId="0" borderId="0" xfId="0" applyNumberFormat="1" applyFont="1"/>
    <xf numFmtId="0" fontId="26" fillId="0" borderId="8" xfId="0" applyFont="1" applyBorder="1"/>
    <xf numFmtId="0" fontId="0" fillId="0" borderId="8" xfId="0" applyBorder="1"/>
    <xf numFmtId="2" fontId="0" fillId="0" borderId="8" xfId="0" applyNumberFormat="1" applyBorder="1"/>
    <xf numFmtId="166" fontId="0" fillId="0" borderId="8" xfId="0" applyNumberFormat="1" applyBorder="1"/>
    <xf numFmtId="166" fontId="26" fillId="0" borderId="0" xfId="0" applyNumberFormat="1" applyFont="1"/>
    <xf numFmtId="166" fontId="29" fillId="0" borderId="0" xfId="0" applyNumberFormat="1" applyFont="1" applyAlignment="1">
      <alignment horizontal="right"/>
    </xf>
    <xf numFmtId="0" fontId="26" fillId="12" borderId="0" xfId="0" applyFont="1" applyFill="1"/>
    <xf numFmtId="166" fontId="0" fillId="12" borderId="0" xfId="0" applyNumberFormat="1" applyFill="1"/>
    <xf numFmtId="0" fontId="0" fillId="12" borderId="0" xfId="0" applyFill="1" applyAlignment="1">
      <alignment horizontal="left"/>
    </xf>
    <xf numFmtId="0" fontId="26" fillId="12" borderId="0" xfId="0" applyFont="1" applyFill="1" applyAlignment="1">
      <alignment horizontal="right"/>
    </xf>
    <xf numFmtId="0" fontId="8" fillId="7" borderId="1" xfId="0" applyFont="1" applyFill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7" borderId="7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/>
    <xf numFmtId="0" fontId="3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28" fillId="13" borderId="8" xfId="0" applyFont="1" applyFill="1" applyBorder="1" applyAlignment="1">
      <alignment horizontal="center"/>
    </xf>
    <xf numFmtId="0" fontId="28" fillId="14" borderId="8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635000</xdr:colOff>
      <xdr:row>4</xdr:row>
      <xdr:rowOff>101600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78125" y="901700"/>
          <a:ext cx="381952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539750</xdr:colOff>
      <xdr:row>7</xdr:row>
      <xdr:rowOff>142875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82875" y="20288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5</xdr:row>
      <xdr:rowOff>133350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54200" y="11334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254000</xdr:colOff>
      <xdr:row>18</xdr:row>
      <xdr:rowOff>92075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79400" y="3654425"/>
          <a:ext cx="27241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73025</xdr:colOff>
      <xdr:row>21</xdr:row>
      <xdr:rowOff>92075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98125" y="4254500"/>
          <a:ext cx="4200525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390525</xdr:colOff>
      <xdr:row>24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15550" y="4933950"/>
          <a:ext cx="5362575" cy="5238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419893</xdr:colOff>
      <xdr:row>4</xdr:row>
      <xdr:rowOff>56752</xdr:rowOff>
    </xdr:from>
    <xdr:to>
      <xdr:col>15</xdr:col>
      <xdr:colOff>390943</xdr:colOff>
      <xdr:row>8</xdr:row>
      <xdr:rowOff>55254</xdr:rowOff>
    </xdr:to>
    <xdr:pic>
      <xdr:nvPicPr>
        <xdr:cNvPr id="2" name="Obraz 1" descr="Obraz zawierający Czcionka, tekst, biały, kaligrafia&#10;&#10;Opis wygenerowany automatycznie">
          <a:extLst>
            <a:ext uri="{FF2B5EF4-FFF2-40B4-BE49-F238E27FC236}">
              <a16:creationId xmlns:a16="http://schemas.microsoft.com/office/drawing/2014/main" id="{7094CF07-702E-D8BA-4F14-E6BAF581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21" y="699690"/>
          <a:ext cx="3000794" cy="641439"/>
        </a:xfrm>
        <a:prstGeom prst="rect">
          <a:avLst/>
        </a:prstGeom>
      </xdr:spPr>
    </xdr:pic>
    <xdr:clientData/>
  </xdr:twoCellAnchor>
  <xdr:twoCellAnchor editAs="oneCell">
    <xdr:from>
      <xdr:col>11</xdr:col>
      <xdr:colOff>15081</xdr:colOff>
      <xdr:row>8</xdr:row>
      <xdr:rowOff>125412</xdr:rowOff>
    </xdr:from>
    <xdr:to>
      <xdr:col>15</xdr:col>
      <xdr:colOff>142439</xdr:colOff>
      <xdr:row>13</xdr:row>
      <xdr:rowOff>106075</xdr:rowOff>
    </xdr:to>
    <xdr:pic>
      <xdr:nvPicPr>
        <xdr:cNvPr id="3" name="Obraz 2" descr="Obraz zawierający Czcionka, linia, numer, biały&#10;&#10;Opis wygenerowany automatycznie">
          <a:extLst>
            <a:ext uri="{FF2B5EF4-FFF2-40B4-BE49-F238E27FC236}">
              <a16:creationId xmlns:a16="http://schemas.microsoft.com/office/drawing/2014/main" id="{A7974F1A-C294-EFA5-921F-B3900EEB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7628" y="1411287"/>
          <a:ext cx="2556233" cy="784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115094</xdr:rowOff>
    </xdr:from>
    <xdr:to>
      <xdr:col>17</xdr:col>
      <xdr:colOff>216442</xdr:colOff>
      <xdr:row>19</xdr:row>
      <xdr:rowOff>189099</xdr:rowOff>
    </xdr:to>
    <xdr:pic>
      <xdr:nvPicPr>
        <xdr:cNvPr id="4" name="Obraz 3" descr="Obraz zawierający Czcionka, tekst, linia, biały&#10;&#10;Opis wygenerowany automatycznie">
          <a:extLst>
            <a:ext uri="{FF2B5EF4-FFF2-40B4-BE49-F238E27FC236}">
              <a16:creationId xmlns:a16="http://schemas.microsoft.com/office/drawing/2014/main" id="{D7A8A3FF-2FB7-1893-BCF9-E5FC1C44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0250" y="2353469"/>
          <a:ext cx="3889917" cy="865313"/>
        </a:xfrm>
        <a:prstGeom prst="rect">
          <a:avLst/>
        </a:prstGeom>
      </xdr:spPr>
    </xdr:pic>
    <xdr:clientData/>
  </xdr:twoCellAnchor>
  <xdr:twoCellAnchor editAs="oneCell">
    <xdr:from>
      <xdr:col>4</xdr:col>
      <xdr:colOff>388937</xdr:colOff>
      <xdr:row>28</xdr:row>
      <xdr:rowOff>121687</xdr:rowOff>
    </xdr:from>
    <xdr:to>
      <xdr:col>10</xdr:col>
      <xdr:colOff>296068</xdr:colOff>
      <xdr:row>34</xdr:row>
      <xdr:rowOff>144687</xdr:rowOff>
    </xdr:to>
    <xdr:pic>
      <xdr:nvPicPr>
        <xdr:cNvPr id="5" name="Obraz 4" descr="Obraz zawierający tekst, zrzut ekranu, Czcionka, linia&#10;&#10;Opis wygenerowany automatycznie">
          <a:extLst>
            <a:ext uri="{FF2B5EF4-FFF2-40B4-BE49-F238E27FC236}">
              <a16:creationId xmlns:a16="http://schemas.microsoft.com/office/drawing/2014/main" id="{232ED540-CFD7-76B0-7D2C-CF97BDE1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9125" y="3947562"/>
          <a:ext cx="3599656" cy="975501"/>
        </a:xfrm>
        <a:prstGeom prst="rect">
          <a:avLst/>
        </a:prstGeom>
      </xdr:spPr>
    </xdr:pic>
    <xdr:clientData/>
  </xdr:twoCellAnchor>
  <xdr:twoCellAnchor editAs="oneCell">
    <xdr:from>
      <xdr:col>11</xdr:col>
      <xdr:colOff>325437</xdr:colOff>
      <xdr:row>35</xdr:row>
      <xdr:rowOff>146843</xdr:rowOff>
    </xdr:from>
    <xdr:to>
      <xdr:col>13</xdr:col>
      <xdr:colOff>274801</xdr:colOff>
      <xdr:row>41</xdr:row>
      <xdr:rowOff>67589</xdr:rowOff>
    </xdr:to>
    <xdr:pic>
      <xdr:nvPicPr>
        <xdr:cNvPr id="6" name="Obraz 5" descr="Obraz zawierający Czcionka, tekst, linia, zrzut ekranu&#10;&#10;Opis wygenerowany automatycznie">
          <a:extLst>
            <a:ext uri="{FF2B5EF4-FFF2-40B4-BE49-F238E27FC236}">
              <a16:creationId xmlns:a16="http://schemas.microsoft.com/office/drawing/2014/main" id="{E03D2EA2-C608-34E0-D853-38EA85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9187" y="5091906"/>
          <a:ext cx="1171739" cy="866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8</xdr:col>
      <xdr:colOff>273434</xdr:colOff>
      <xdr:row>49</xdr:row>
      <xdr:rowOff>101702</xdr:rowOff>
    </xdr:to>
    <xdr:pic>
      <xdr:nvPicPr>
        <xdr:cNvPr id="7" name="Obraz 6" descr="Obraz zawierający tekst, Czcionka, linia, biały&#10;&#10;Opis wygenerowany automatycznie">
          <a:extLst>
            <a:ext uri="{FF2B5EF4-FFF2-40B4-BE49-F238E27FC236}">
              <a16:creationId xmlns:a16="http://schemas.microsoft.com/office/drawing/2014/main" id="{ACED6C21-D0C4-B8EA-38FE-1C43923C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0865" y="7253654"/>
          <a:ext cx="2735281" cy="7464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_m.sa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FAE-322E-4227-B7D5-16D9D30D119F}">
  <sheetPr codeName="Arkusz3"/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outlinePr summaryBelow="0" summaryRight="0"/>
  </sheetPr>
  <dimension ref="A1:AD1000"/>
  <sheetViews>
    <sheetView topLeftCell="I1" workbookViewId="0">
      <selection activeCell="H37" sqref="H37"/>
    </sheetView>
  </sheetViews>
  <sheetFormatPr defaultColWidth="12.5703125" defaultRowHeight="15.75" customHeight="1"/>
  <cols>
    <col min="2" max="2" width="17.5703125" customWidth="1"/>
    <col min="3" max="3" width="14.42578125" customWidth="1"/>
    <col min="26" max="26" width="12" customWidth="1"/>
  </cols>
  <sheetData>
    <row r="1" spans="1:30" ht="12.75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2.75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 ht="12.75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 ht="12.75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 ht="12.75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 ht="12.75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 ht="12.75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 ht="12.75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 ht="12.75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 ht="12.75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 ht="12.75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 ht="12.75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 ht="12.75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 ht="14.25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 ht="12.75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2.75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7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2.75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7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7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7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7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7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7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7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7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7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7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7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7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7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7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7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7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7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7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7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7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7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7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7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7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7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7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7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7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7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7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7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7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7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7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7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7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7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7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7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7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7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7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7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7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7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7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7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7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7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7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7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7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7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7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7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7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7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7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7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7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7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7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7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7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7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7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7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7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7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7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7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7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7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7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7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7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7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7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7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7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7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>
    <tabColor rgb="FF3D85C6"/>
    <outlinePr summaryBelow="0" summaryRight="0"/>
    <pageSetUpPr fitToPage="1"/>
  </sheetPr>
  <dimension ref="A1:V45"/>
  <sheetViews>
    <sheetView workbookViewId="0">
      <selection activeCell="E30" sqref="E30"/>
    </sheetView>
  </sheetViews>
  <sheetFormatPr defaultColWidth="12.5703125" defaultRowHeight="15.75" customHeight="1"/>
  <cols>
    <col min="1" max="1" width="5.85546875" customWidth="1"/>
    <col min="2" max="17" width="11" customWidth="1"/>
  </cols>
  <sheetData>
    <row r="1" spans="1:22" ht="15.75" customHeight="1">
      <c r="A1" s="23"/>
      <c r="B1" s="96" t="s">
        <v>164</v>
      </c>
      <c r="C1" s="97"/>
      <c r="D1" s="97"/>
      <c r="E1" s="97"/>
      <c r="F1" s="98"/>
      <c r="G1" s="96" t="s">
        <v>165</v>
      </c>
      <c r="H1" s="97"/>
      <c r="I1" s="97"/>
      <c r="J1" s="98"/>
      <c r="K1" s="96" t="s">
        <v>166</v>
      </c>
      <c r="L1" s="97"/>
      <c r="M1" s="97"/>
      <c r="N1" s="97"/>
      <c r="O1" s="97"/>
      <c r="P1" s="97"/>
      <c r="Q1" s="98"/>
      <c r="R1" s="99" t="s">
        <v>167</v>
      </c>
      <c r="S1" s="100"/>
      <c r="T1" s="100"/>
      <c r="U1" s="100"/>
      <c r="V1" s="100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7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7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7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7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7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7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7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7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7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4">
    <outlinePr summaryBelow="0" summaryRight="0"/>
  </sheetPr>
  <dimension ref="A1:J66"/>
  <sheetViews>
    <sheetView workbookViewId="0">
      <selection activeCell="A30" sqref="A30:B30"/>
    </sheetView>
  </sheetViews>
  <sheetFormatPr defaultColWidth="12.5703125" defaultRowHeight="15.75" customHeight="1"/>
  <cols>
    <col min="1" max="1" width="34" customWidth="1"/>
    <col min="2" max="2" width="25.5703125" customWidth="1"/>
    <col min="4" max="4" width="13.28515625" customWidth="1"/>
    <col min="5" max="5" width="6.5703125" customWidth="1"/>
    <col min="6" max="6" width="23.7109375" customWidth="1"/>
    <col min="7" max="7" width="20.85546875" customWidth="1"/>
    <col min="8" max="8" width="15" customWidth="1"/>
    <col min="10" max="10" width="7.710937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 ht="12.75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 ht="12.75">
      <c r="A8" s="103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102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102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102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 ht="12.75">
      <c r="A18" s="6" t="s">
        <v>100</v>
      </c>
      <c r="B18" s="6">
        <v>1.5</v>
      </c>
      <c r="E18" s="104" t="s">
        <v>101</v>
      </c>
      <c r="F18" s="97"/>
      <c r="G18" s="97"/>
      <c r="H18" s="97"/>
      <c r="I18" s="97"/>
      <c r="J18" s="98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 ht="25.5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 ht="57.75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 ht="12.75">
      <c r="A32" s="21" t="s">
        <v>133</v>
      </c>
      <c r="B32" s="6">
        <f>0.355/B18</f>
        <v>0.23666666666666666</v>
      </c>
      <c r="E32" s="105" t="s">
        <v>134</v>
      </c>
      <c r="F32" s="102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75">
      <c r="A37" s="37" t="s">
        <v>140</v>
      </c>
      <c r="B37" s="6">
        <f>1/B35*(B27+B33*(B31-B32))</f>
        <v>-0.10312152368291011</v>
      </c>
      <c r="E37" s="106" t="s">
        <v>141</v>
      </c>
      <c r="F37" s="102"/>
    </row>
    <row r="38" spans="1:6" ht="15">
      <c r="E38" s="6" t="s">
        <v>142</v>
      </c>
      <c r="F38" s="38"/>
    </row>
    <row r="39" spans="1:6" ht="12.75">
      <c r="A39" s="37" t="s">
        <v>143</v>
      </c>
      <c r="B39" s="6">
        <f>B40+B41+B37^2/(PI()*B43)</f>
        <v>1.291326318346722E-2</v>
      </c>
    </row>
    <row r="40" spans="1:6" ht="12.75">
      <c r="A40" s="6" t="s">
        <v>144</v>
      </c>
      <c r="B40" s="6">
        <v>6.0000000000000001E-3</v>
      </c>
    </row>
    <row r="41" spans="1:6" ht="12.75">
      <c r="A41" s="6" t="s">
        <v>145</v>
      </c>
      <c r="B41" s="6">
        <v>6.0000000000000001E-3</v>
      </c>
    </row>
    <row r="43" spans="1:6" ht="12.75">
      <c r="A43" s="6" t="s">
        <v>146</v>
      </c>
      <c r="B43" s="6">
        <f>B24^2/B25 * B44</f>
        <v>3.7064045454545447</v>
      </c>
    </row>
    <row r="44" spans="1:6" ht="12.75">
      <c r="A44" s="6" t="s">
        <v>147</v>
      </c>
      <c r="B44" s="6">
        <v>0.9</v>
      </c>
    </row>
    <row r="46" spans="1:6" ht="12.75">
      <c r="A46" s="36" t="s">
        <v>148</v>
      </c>
      <c r="B46" s="6">
        <v>1.0999999999999999E-2</v>
      </c>
    </row>
    <row r="48" spans="1:6" ht="12.75">
      <c r="A48" s="101" t="s">
        <v>149</v>
      </c>
      <c r="B48" s="102"/>
    </row>
    <row r="49" spans="1:3" ht="12.75">
      <c r="A49" s="6" t="s">
        <v>150</v>
      </c>
      <c r="B49" s="6">
        <f>C4</f>
        <v>0.15898000000000001</v>
      </c>
    </row>
    <row r="50" spans="1:3" ht="12.75">
      <c r="A50" s="6" t="s">
        <v>151</v>
      </c>
      <c r="B50" s="6">
        <f>9.3 * 9.81</f>
        <v>91.233000000000018</v>
      </c>
    </row>
    <row r="51" spans="1:3" ht="12.75">
      <c r="A51" s="6" t="s">
        <v>152</v>
      </c>
      <c r="B51" s="6">
        <v>1.2250000000000001</v>
      </c>
    </row>
    <row r="52" spans="1:3" ht="12.75">
      <c r="A52" s="6" t="s">
        <v>153</v>
      </c>
      <c r="B52" s="6">
        <f>B21</f>
        <v>54.444444444444443</v>
      </c>
    </row>
    <row r="53" spans="1:3" ht="25.5">
      <c r="A53" s="33" t="s">
        <v>154</v>
      </c>
      <c r="B53" s="6">
        <f>1/B49 * B50/(0.5* B51 * B52^2)</f>
        <v>0.31607942678280321</v>
      </c>
    </row>
    <row r="55" spans="1:3" ht="12.75">
      <c r="A55" s="101" t="s">
        <v>155</v>
      </c>
      <c r="B55" s="102"/>
    </row>
    <row r="56" spans="1:3" ht="12.75">
      <c r="A56" s="6" t="s">
        <v>150</v>
      </c>
      <c r="B56" s="6">
        <f>C3</f>
        <v>7.1641999999999997E-2</v>
      </c>
    </row>
    <row r="58" spans="1:3" ht="12.75">
      <c r="A58" s="101" t="s">
        <v>156</v>
      </c>
      <c r="B58" s="102"/>
    </row>
    <row r="59" spans="1:3" ht="12.75">
      <c r="A59" s="6" t="s">
        <v>157</v>
      </c>
      <c r="B59" s="6">
        <v>5.9999999999999995E-4</v>
      </c>
    </row>
    <row r="60" spans="1:3" ht="12.75">
      <c r="A60" s="6" t="s">
        <v>158</v>
      </c>
      <c r="B60" s="6">
        <v>0.2</v>
      </c>
    </row>
    <row r="61" spans="1:3" ht="12.75">
      <c r="A61" s="6" t="s">
        <v>159</v>
      </c>
      <c r="B61" s="6">
        <v>0.1</v>
      </c>
      <c r="C61" s="6" t="s">
        <v>68</v>
      </c>
    </row>
    <row r="62" spans="1:3" ht="12.75">
      <c r="A62" s="6" t="s">
        <v>160</v>
      </c>
      <c r="B62" s="6">
        <v>1.52</v>
      </c>
    </row>
    <row r="63" spans="1:3" ht="12.75">
      <c r="A63" s="6" t="s">
        <v>161</v>
      </c>
      <c r="B63" s="6">
        <f>B60*B61</f>
        <v>2.0000000000000004E-2</v>
      </c>
    </row>
    <row r="64" spans="1:3" ht="12.75">
      <c r="A64" s="6" t="s">
        <v>162</v>
      </c>
      <c r="B64" s="6">
        <f>B62*B63</f>
        <v>3.0400000000000007E-2</v>
      </c>
    </row>
    <row r="66" spans="1:2" ht="12.7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>
    <outlinePr summaryBelow="0" summaryRight="0"/>
  </sheetPr>
  <dimension ref="A1:U1000"/>
  <sheetViews>
    <sheetView workbookViewId="0">
      <selection activeCell="Q4" sqref="Q4"/>
    </sheetView>
  </sheetViews>
  <sheetFormatPr defaultColWidth="12.5703125" defaultRowHeight="15.75" customHeight="1"/>
  <cols>
    <col min="1" max="1" width="23.42578125" customWidth="1"/>
    <col min="2" max="2" width="7.28515625" customWidth="1"/>
    <col min="9" max="19" width="8.140625" customWidth="1"/>
  </cols>
  <sheetData>
    <row r="1" spans="1:19" ht="12.75">
      <c r="A1" s="21" t="s">
        <v>171</v>
      </c>
      <c r="B1" s="6">
        <v>600</v>
      </c>
      <c r="I1" s="110" t="s">
        <v>142</v>
      </c>
      <c r="J1" s="110" t="s">
        <v>14</v>
      </c>
      <c r="K1" s="110" t="s">
        <v>172</v>
      </c>
      <c r="L1" s="110" t="s">
        <v>173</v>
      </c>
      <c r="M1" s="110" t="s">
        <v>170</v>
      </c>
      <c r="N1" s="107" t="s">
        <v>174</v>
      </c>
      <c r="O1" s="102"/>
      <c r="P1" s="108" t="s">
        <v>175</v>
      </c>
      <c r="Q1" s="102"/>
      <c r="R1" s="108" t="s">
        <v>176</v>
      </c>
      <c r="S1" s="102"/>
    </row>
    <row r="2" spans="1:19" ht="12.75">
      <c r="A2" s="21" t="s">
        <v>177</v>
      </c>
      <c r="B2" s="6">
        <v>726</v>
      </c>
      <c r="I2" s="102"/>
      <c r="J2" s="102"/>
      <c r="K2" s="102"/>
      <c r="L2" s="102"/>
      <c r="M2" s="102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30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39.6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 ht="12.75">
      <c r="A9" s="101" t="s">
        <v>189</v>
      </c>
      <c r="B9" s="102"/>
      <c r="D9" s="101" t="s">
        <v>190</v>
      </c>
      <c r="E9" s="102"/>
      <c r="F9" s="102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 ht="12.75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109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102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 ht="12.75">
      <c r="B22" s="102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102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109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102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102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102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109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102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102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102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7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7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7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7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7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7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7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7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7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7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7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7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7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7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7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7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7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7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7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7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7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7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7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7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7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7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7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7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7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7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7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7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7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7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7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7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7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7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7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7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7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7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7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7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7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7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7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7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7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7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7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7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7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7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7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7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7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7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7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7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7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7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7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7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7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7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7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7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7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7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7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7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7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7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7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7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7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7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7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7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7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7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7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7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7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7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7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7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7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7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7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7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7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7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7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7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7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7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7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7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7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7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7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7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7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7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7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7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7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7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7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7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7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7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7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7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7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7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7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7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7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7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7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7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7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7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7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7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7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7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7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7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7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7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7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7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7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7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7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7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7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7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7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7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7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7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7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7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7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7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7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7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7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7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7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7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7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7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7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7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7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7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7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7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7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7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7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7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7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7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7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7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7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7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7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7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7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7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7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7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7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7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7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7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7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7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7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7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7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7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7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7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7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7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7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7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7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7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7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7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7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7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7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7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7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7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7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7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7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7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7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7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7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7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7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7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7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7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7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7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7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7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7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7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7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7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7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7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7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7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7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7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7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7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7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7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7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7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7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7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7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7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7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7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7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7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7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7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7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7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7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7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7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7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7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7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7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7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7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7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7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7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7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7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7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7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7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7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7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7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7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7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7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7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7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7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7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7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7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7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7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7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7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7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7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7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7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7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7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7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7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7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7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7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7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7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7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7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7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7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7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7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7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7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7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7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7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7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7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7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7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7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7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7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7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7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7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7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7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7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7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7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7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7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7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7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7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7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7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7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7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7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7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7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7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7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7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7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7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7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7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7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7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7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7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7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7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7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7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7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7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7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7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7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7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7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7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7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7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7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7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7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7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7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7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7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7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7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7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7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7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7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7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7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7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7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7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7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7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7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7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7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7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7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7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7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7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7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7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7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7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7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7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7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7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7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7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7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7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7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7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7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7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7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7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7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7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7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7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7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7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7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7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7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7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7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7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7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7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7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7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7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7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7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7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7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7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7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7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7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7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7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7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7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7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7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7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7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7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7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7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7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7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7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7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7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7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7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7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7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7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7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7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7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7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7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7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7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7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7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7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7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7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7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7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7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7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7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7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7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7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7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7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7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7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7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7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7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7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7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7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7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7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7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7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7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7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7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7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7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7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7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7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7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7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7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7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7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7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7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7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7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7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7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7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7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7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7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7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7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7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7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7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7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7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7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7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7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7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7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7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7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7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7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7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7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7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7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7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7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7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7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7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7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7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7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7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7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7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7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7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7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7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7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7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7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7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7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7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7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7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7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7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7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7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7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7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7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7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7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7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7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7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7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7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7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7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7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7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7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7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7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7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7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7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7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7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7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7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7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7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7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7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7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7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7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7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7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7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7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7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7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7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7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7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7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7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7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7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7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7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7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7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7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7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7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7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7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7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7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7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7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7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7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7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7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7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7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7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7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7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7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7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7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7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7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7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7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7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7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7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7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7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7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7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7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7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7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7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7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7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7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7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7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7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7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7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7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7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7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7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7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7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7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7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7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7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7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7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7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7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7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7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7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7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7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7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7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7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7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7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7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7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7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7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7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7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7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7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7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7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7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7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7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7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7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7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7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7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7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7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7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7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7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7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7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7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7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7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7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7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7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7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7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7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7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7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7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7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7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7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7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7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7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7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7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7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7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7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7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7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7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7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7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7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7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7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7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7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7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7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7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7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7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7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7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7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7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7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7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7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7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7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7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7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7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7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7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7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7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7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7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7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7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7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7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7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7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7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7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7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7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7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7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7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7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7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7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7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7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7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7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7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7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7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7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7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7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7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7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7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7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7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7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7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7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7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7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7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7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7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7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7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7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7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7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7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7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7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7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7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7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7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7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7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7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7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7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7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7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7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7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7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7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7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7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7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7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7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7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7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7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7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7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7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7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7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7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7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7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7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7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7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7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7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7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7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7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7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7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7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7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7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7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7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7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7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7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7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7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7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7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7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7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7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7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7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7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7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7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7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7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7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7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7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7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7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7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7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7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7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7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7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7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7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7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7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7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7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7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7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7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7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7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7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7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7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7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7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7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7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7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7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7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7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7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7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7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7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7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7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7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7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7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7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7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7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7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7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7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7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7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7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7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7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7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7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7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7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7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7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7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7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7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7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7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7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7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7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7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7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7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7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7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7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7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7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7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7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7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7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7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7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7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7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7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7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7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7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7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7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7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7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7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7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7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7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7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7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7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7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7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7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7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>
    <outlinePr summaryBelow="0" summaryRight="0"/>
  </sheetPr>
  <dimension ref="A1:L26"/>
  <sheetViews>
    <sheetView topLeftCell="C1" workbookViewId="0">
      <selection sqref="A1:D1"/>
    </sheetView>
  </sheetViews>
  <sheetFormatPr defaultColWidth="12.5703125" defaultRowHeight="15.75" customHeight="1"/>
  <cols>
    <col min="1" max="1" width="29.140625" customWidth="1"/>
    <col min="2" max="2" width="7.42578125" customWidth="1"/>
    <col min="3" max="3" width="9.42578125" customWidth="1"/>
    <col min="4" max="4" width="7.42578125" customWidth="1"/>
    <col min="6" max="6" width="9.140625" customWidth="1"/>
    <col min="7" max="7" width="12.42578125" customWidth="1"/>
    <col min="8" max="8" width="7.42578125" customWidth="1"/>
    <col min="10" max="10" width="15.7109375" customWidth="1"/>
    <col min="11" max="11" width="9" customWidth="1"/>
  </cols>
  <sheetData>
    <row r="1" spans="1:12" ht="15.75" customHeight="1">
      <c r="A1" s="111" t="s">
        <v>210</v>
      </c>
      <c r="B1" s="102"/>
      <c r="C1" s="102"/>
      <c r="D1" s="102"/>
    </row>
    <row r="2" spans="1:12" ht="12.75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 ht="12.75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 ht="12.75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 ht="12.75">
      <c r="A7" s="57" t="s">
        <v>227</v>
      </c>
      <c r="B7" s="57" t="s">
        <v>228</v>
      </c>
      <c r="C7" s="57">
        <v>1.2250000000000001</v>
      </c>
      <c r="D7" s="57" t="s">
        <v>229</v>
      </c>
      <c r="F7" s="105" t="s">
        <v>230</v>
      </c>
      <c r="G7" s="102"/>
      <c r="H7" s="102"/>
      <c r="I7" s="102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 ht="12.75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>
    <outlinePr summaryBelow="0" summaryRight="0"/>
  </sheetPr>
  <dimension ref="A1:S1001"/>
  <sheetViews>
    <sheetView workbookViewId="0">
      <selection activeCell="Q7" sqref="Q7"/>
    </sheetView>
  </sheetViews>
  <sheetFormatPr defaultColWidth="12.5703125" defaultRowHeight="15.75" customHeight="1"/>
  <cols>
    <col min="7" max="7" width="9.28515625" customWidth="1"/>
    <col min="8" max="8" width="5.42578125" customWidth="1"/>
    <col min="9" max="9" width="6.28515625" customWidth="1"/>
    <col min="10" max="19" width="8.5703125" customWidth="1"/>
  </cols>
  <sheetData>
    <row r="1" spans="1:19" ht="12.75">
      <c r="C1" s="66"/>
      <c r="H1" s="23"/>
      <c r="I1" s="112" t="s">
        <v>164</v>
      </c>
      <c r="J1" s="98"/>
      <c r="K1" s="113"/>
      <c r="L1" s="98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6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>$G$2 + J4*$C$17-(K4- L4*PI()/180*J4)*$C$13</f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7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7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7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7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7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7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7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7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7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7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7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7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7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7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7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7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7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7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7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7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7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7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7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7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7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7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7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7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7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7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7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7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7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7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7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7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7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7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7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7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7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7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7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7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7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7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7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7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7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7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7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7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7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7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7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7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7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7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7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7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7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7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7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7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7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7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7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7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7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7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7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7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7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7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7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7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7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7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7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7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7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7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7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7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7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7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7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7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7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7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7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7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7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7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7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7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7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7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7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7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7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7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7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7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7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7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7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7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7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7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7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7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7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7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7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7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7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7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7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7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7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7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7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7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7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7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7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7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7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7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7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7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7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7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7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7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7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7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7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7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7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7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7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7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7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7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7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7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7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7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7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7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7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7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7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7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7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7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7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7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7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7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7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7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7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7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7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7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7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7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7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7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7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7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7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7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7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7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7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7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7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7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7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7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7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7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7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7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7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7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7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7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7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7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7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7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7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7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7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7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7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7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7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7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7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7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7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7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7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7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7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7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7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7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7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7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7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7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7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7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7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7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7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7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7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7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7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7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7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7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7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7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7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7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7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7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7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7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7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7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7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7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7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7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7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7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7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7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7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7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7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7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7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7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7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7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7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7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7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7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7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7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7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7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7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7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7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7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7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7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7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7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7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7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7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7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7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7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7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7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7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7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7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7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7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7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7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7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7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7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7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7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7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7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7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7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7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7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7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7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7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7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7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7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7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7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7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7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7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7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7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7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7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7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7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7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7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7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7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7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7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7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7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7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7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7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7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7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7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7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7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7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7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7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7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7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7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7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7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7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7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7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7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7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7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7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7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7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7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7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7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7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7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7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7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7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7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7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7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7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7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7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7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7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7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7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7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7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7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7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7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7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7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7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7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7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7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7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7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7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7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7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7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7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7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7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7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7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7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7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7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7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7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7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7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7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7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7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7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7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7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7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7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7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7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7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7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7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7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7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7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7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7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7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7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7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7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7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7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7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7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7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7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7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7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7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7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7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7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7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7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7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7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7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7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7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7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7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7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7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7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7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7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7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7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7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7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7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7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7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7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7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7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7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7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7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7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7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7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7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7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7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7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7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7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7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7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7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7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7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7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7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7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7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7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7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7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7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7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7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7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7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7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7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7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7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7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7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7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7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7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7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7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7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7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7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7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7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7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7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7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7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7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7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7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7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7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7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7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7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7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7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7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7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7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7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7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7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7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7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7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7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7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7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7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7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7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7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7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7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7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7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7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7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7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7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7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7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7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7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7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7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7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7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7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7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7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7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7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7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7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7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7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7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7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7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7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7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7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7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7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7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7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7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7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7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7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7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7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7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7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7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7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7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7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7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7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7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7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7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7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7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7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7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7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7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7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7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7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7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7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7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7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7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7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7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7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7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7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7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7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7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7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7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7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7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7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7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7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7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7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7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7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7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7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7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7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7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7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7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7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7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7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7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7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7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7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7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7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7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7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7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7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7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7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7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7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7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7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7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7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7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7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7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7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7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7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7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7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7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7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7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7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7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7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7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7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7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7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7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7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7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7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7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7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7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7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7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7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7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7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7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7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7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7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7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7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7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7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7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7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7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7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7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7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7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7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7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7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7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7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7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7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7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7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7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7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7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7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7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7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7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7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7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7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7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7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7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7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7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7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7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7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7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7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7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7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7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7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7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7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7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7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7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7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7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7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7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7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7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7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7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7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7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7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7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7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7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7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7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7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7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7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7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7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7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7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7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7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7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7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7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7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7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7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7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7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7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7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7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7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7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7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7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7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7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7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7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7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7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7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7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7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7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7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7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7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7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7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7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7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7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7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7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7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7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7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7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7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7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7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7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7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7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7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7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7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7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7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7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7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7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7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7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7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7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7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7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7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7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7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7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7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7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7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7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7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7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7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7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7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7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7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7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7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7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7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7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7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7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7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7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7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7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7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7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7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7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7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7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7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7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7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7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7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7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7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7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7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7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7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7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7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7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7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7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7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7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7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7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7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7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7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7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7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7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7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7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7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7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7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7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7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7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7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7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7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7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7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7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7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7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7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7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7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7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7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7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7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7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7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7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7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7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7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7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7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7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7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7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7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7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7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7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7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7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7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7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7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7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7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7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7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7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7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7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7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7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7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7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7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7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7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7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7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7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7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7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7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7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7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7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7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7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7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7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7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7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7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7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7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7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7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7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7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7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7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7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7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7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7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7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7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7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7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7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7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7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7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7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7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7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7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7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7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6F42-31E3-4AC3-BCDE-F3A5AF91BD6E}">
  <sheetPr codeName="Arkusz8"/>
  <dimension ref="A1:L44"/>
  <sheetViews>
    <sheetView workbookViewId="0">
      <selection activeCell="N19" sqref="N19"/>
    </sheetView>
  </sheetViews>
  <sheetFormatPr defaultRowHeight="12.75"/>
  <sheetData>
    <row r="1" spans="1:12">
      <c r="A1" s="80" t="s">
        <v>9</v>
      </c>
      <c r="B1" t="s">
        <v>10</v>
      </c>
      <c r="C1" t="s">
        <v>13</v>
      </c>
      <c r="D1" t="s">
        <v>16</v>
      </c>
      <c r="E1" t="s">
        <v>18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>
        <v>1</v>
      </c>
      <c r="B2">
        <v>-18.514285714285698</v>
      </c>
      <c r="C2">
        <v>-0.84745762711864403</v>
      </c>
      <c r="D2">
        <v>4.8312366259894768E-2</v>
      </c>
      <c r="E2">
        <v>-20.91651817757942</v>
      </c>
      <c r="F2">
        <v>-2.3775932203389829E-2</v>
      </c>
      <c r="G2">
        <v>-9.024308289392366E-3</v>
      </c>
      <c r="H2">
        <v>-0.11919379981481609</v>
      </c>
      <c r="I2">
        <v>-0.22936329134023981</v>
      </c>
      <c r="J2">
        <v>-3.2800240492782198E-2</v>
      </c>
      <c r="K2">
        <v>-0.14296973201820593</v>
      </c>
      <c r="L2">
        <v>-0.25313922354362961</v>
      </c>
    </row>
    <row r="3" spans="1:12">
      <c r="A3">
        <v>2</v>
      </c>
      <c r="B3">
        <v>-17.1428571428571</v>
      </c>
      <c r="C3">
        <v>-0.88700564971751295</v>
      </c>
      <c r="D3">
        <v>5.2465879485296546E-2</v>
      </c>
      <c r="E3">
        <v>-19.654411500004898</v>
      </c>
      <c r="F3">
        <v>-2.4772542372881325E-2</v>
      </c>
      <c r="G3">
        <v>-2.1246786264394885E-3</v>
      </c>
      <c r="H3">
        <v>-0.11743541308971617</v>
      </c>
      <c r="I3">
        <v>-0.23274614755299289</v>
      </c>
      <c r="J3">
        <v>-2.6897220999320813E-2</v>
      </c>
      <c r="K3">
        <v>-0.14220795546259749</v>
      </c>
      <c r="L3">
        <v>-0.25751868992587423</v>
      </c>
    </row>
    <row r="4" spans="1:12">
      <c r="A4">
        <v>3</v>
      </c>
      <c r="B4">
        <v>-16.571428571428498</v>
      </c>
      <c r="C4">
        <v>-0.93785310734463301</v>
      </c>
      <c r="D4">
        <v>5.868612261359088E-2</v>
      </c>
      <c r="E4">
        <v>-19.237697092493136</v>
      </c>
      <c r="F4">
        <v>-2.6053898305084752E-2</v>
      </c>
      <c r="G4">
        <v>2.8831006030469383E-3</v>
      </c>
      <c r="H4">
        <v>-0.11903780335175536</v>
      </c>
      <c r="I4">
        <v>-0.24095870730655763</v>
      </c>
      <c r="J4">
        <v>-2.3170797702037813E-2</v>
      </c>
      <c r="K4">
        <v>-0.1450917016568401</v>
      </c>
      <c r="L4">
        <v>-0.26701260561164236</v>
      </c>
    </row>
    <row r="5" spans="1:12">
      <c r="A5">
        <v>4</v>
      </c>
      <c r="B5">
        <v>-16.1142857142857</v>
      </c>
      <c r="C5">
        <v>-0.99435028248587498</v>
      </c>
      <c r="D5">
        <v>6.5870774879238758E-2</v>
      </c>
      <c r="E5">
        <v>-18.927216749846981</v>
      </c>
      <c r="F5">
        <v>-2.7477627118644047E-2</v>
      </c>
      <c r="G5">
        <v>8.0902665625708706E-3</v>
      </c>
      <c r="H5">
        <v>-0.12117527016059287</v>
      </c>
      <c r="I5">
        <v>-0.25044080688375664</v>
      </c>
      <c r="J5">
        <v>-1.9387360556073176E-2</v>
      </c>
      <c r="K5">
        <v>-0.14865289727923692</v>
      </c>
      <c r="L5">
        <v>-0.27791843400240068</v>
      </c>
    </row>
    <row r="6" spans="1:12">
      <c r="A6">
        <v>5</v>
      </c>
      <c r="B6">
        <v>-15.0857142857142</v>
      </c>
      <c r="C6">
        <v>-1.0734463276836099</v>
      </c>
      <c r="D6">
        <v>7.7633253187835621E-2</v>
      </c>
      <c r="E6">
        <v>-18.1255452018436</v>
      </c>
      <c r="F6">
        <v>-2.9470847457626969E-2</v>
      </c>
      <c r="G6">
        <v>1.7657496681335226E-2</v>
      </c>
      <c r="H6">
        <v>-0.12189052591753405</v>
      </c>
      <c r="I6">
        <v>-0.26143854851640336</v>
      </c>
      <c r="J6">
        <v>-1.1813350776291743E-2</v>
      </c>
      <c r="K6">
        <v>-0.15136137337516101</v>
      </c>
      <c r="L6">
        <v>-0.29090939597403032</v>
      </c>
    </row>
    <row r="7" spans="1:12">
      <c r="A7">
        <v>6</v>
      </c>
      <c r="B7">
        <v>-13.4857142857142</v>
      </c>
      <c r="C7">
        <v>-1.0621468926553601</v>
      </c>
      <c r="D7">
        <v>7.6391447030614512E-2</v>
      </c>
      <c r="E7">
        <v>-16.506707874914532</v>
      </c>
      <c r="F7">
        <v>-2.9186101694915072E-2</v>
      </c>
      <c r="G7">
        <v>2.3978087937127565E-2</v>
      </c>
      <c r="H7">
        <v>-0.11410100810806925</v>
      </c>
      <c r="I7">
        <v>-0.25218010415326608</v>
      </c>
      <c r="J7">
        <v>-5.2080137577875073E-3</v>
      </c>
      <c r="K7">
        <v>-0.14328710980298431</v>
      </c>
      <c r="L7">
        <v>-0.28136620584818117</v>
      </c>
    </row>
    <row r="8" spans="1:12">
      <c r="A8">
        <v>7</v>
      </c>
      <c r="B8">
        <v>-12</v>
      </c>
      <c r="C8">
        <v>-0.98305084745762705</v>
      </c>
      <c r="D8">
        <v>6.3653741358226268E-2</v>
      </c>
      <c r="E8">
        <v>-14.766263618637257</v>
      </c>
      <c r="F8">
        <v>-2.7192881355932199E-2</v>
      </c>
      <c r="G8">
        <v>2.402461470506409E-2</v>
      </c>
      <c r="H8">
        <v>-0.10377199546442742</v>
      </c>
      <c r="I8">
        <v>-0.23156860563391896</v>
      </c>
      <c r="J8">
        <v>-3.1682666508681089E-3</v>
      </c>
      <c r="K8">
        <v>-0.13096487682035962</v>
      </c>
      <c r="L8">
        <v>-0.25876148698985113</v>
      </c>
    </row>
    <row r="9" spans="1:12">
      <c r="A9">
        <v>8</v>
      </c>
      <c r="B9">
        <v>-10.742857142857099</v>
      </c>
      <c r="C9">
        <v>-0.85875706214689196</v>
      </c>
      <c r="D9">
        <v>5.0318383442274302E-2</v>
      </c>
      <c r="E9">
        <v>-13.197971880989236</v>
      </c>
      <c r="F9">
        <v>-2.4060677966101677E-2</v>
      </c>
      <c r="G9">
        <v>1.9235859959130235E-2</v>
      </c>
      <c r="H9">
        <v>-9.2402558119965728E-2</v>
      </c>
      <c r="I9">
        <v>-0.20404097619906167</v>
      </c>
      <c r="J9">
        <v>-4.8248180069714423E-3</v>
      </c>
      <c r="K9">
        <v>-0.1164632360860674</v>
      </c>
      <c r="L9">
        <v>-0.22810165416516334</v>
      </c>
    </row>
    <row r="10" spans="1:12">
      <c r="A10">
        <v>9</v>
      </c>
      <c r="B10">
        <v>-9.3714285714285595</v>
      </c>
      <c r="C10">
        <v>-0.73446327683615797</v>
      </c>
      <c r="D10">
        <v>3.7294271487866057E-2</v>
      </c>
      <c r="E10">
        <v>-11.439306317140108</v>
      </c>
      <c r="F10">
        <v>-2.0928474576271179E-2</v>
      </c>
      <c r="G10">
        <v>1.3486617119771956E-2</v>
      </c>
      <c r="H10">
        <v>-8.1993608868928591E-2</v>
      </c>
      <c r="I10">
        <v>-0.1774738348576291</v>
      </c>
      <c r="J10">
        <v>-7.4418574564992235E-3</v>
      </c>
      <c r="K10">
        <v>-0.10292208344519976</v>
      </c>
      <c r="L10">
        <v>-0.19840230943390028</v>
      </c>
    </row>
    <row r="11" spans="1:12">
      <c r="A11">
        <v>10</v>
      </c>
      <c r="B11">
        <v>-8.6857142857142797</v>
      </c>
      <c r="C11">
        <v>-0.66101694915254205</v>
      </c>
      <c r="D11">
        <v>3.1852682854006623E-2</v>
      </c>
      <c r="E11">
        <v>-10.553589297882796</v>
      </c>
      <c r="F11">
        <v>-1.907762711864406E-2</v>
      </c>
      <c r="G11">
        <v>9.353945387562488E-3</v>
      </c>
      <c r="H11">
        <v>-7.6578258002267988E-2</v>
      </c>
      <c r="I11">
        <v>-0.16251046139209846</v>
      </c>
      <c r="J11">
        <v>-9.7236817310815717E-3</v>
      </c>
      <c r="K11">
        <v>-9.5655885120912054E-2</v>
      </c>
      <c r="L11">
        <v>-0.18158808851074251</v>
      </c>
    </row>
    <row r="12" spans="1:12">
      <c r="A12">
        <v>11</v>
      </c>
      <c r="B12">
        <v>-8</v>
      </c>
      <c r="C12">
        <v>-0.57627118644067798</v>
      </c>
      <c r="D12">
        <v>2.7012978173735405E-2</v>
      </c>
      <c r="E12">
        <v>-9.6665914826070818</v>
      </c>
      <c r="F12">
        <v>-1.6942033898305085E-2</v>
      </c>
      <c r="G12">
        <v>3.9360386447135874E-3</v>
      </c>
      <c r="H12">
        <v>-7.0979215592574557E-2</v>
      </c>
      <c r="I12">
        <v>-0.14589446982986271</v>
      </c>
      <c r="J12">
        <v>-1.3005995253591498E-2</v>
      </c>
      <c r="K12">
        <v>-8.7921249490879649E-2</v>
      </c>
      <c r="L12">
        <v>-0.1628365037281678</v>
      </c>
    </row>
    <row r="13" spans="1:12">
      <c r="A13">
        <v>12</v>
      </c>
      <c r="B13">
        <v>-7.3142857142857096</v>
      </c>
      <c r="C13">
        <v>-0.51977401129943501</v>
      </c>
      <c r="D13">
        <v>2.2647045457975752E-2</v>
      </c>
      <c r="E13">
        <v>-8.7787854791577278</v>
      </c>
      <c r="F13">
        <v>-1.5518305084745762E-2</v>
      </c>
      <c r="G13">
        <v>3.4598947250756747E-4</v>
      </c>
      <c r="H13">
        <v>-6.7224631996418982E-2</v>
      </c>
      <c r="I13">
        <v>-0.13479525346534554</v>
      </c>
      <c r="J13">
        <v>-1.5172315612238195E-2</v>
      </c>
      <c r="K13">
        <v>-8.2742937081164744E-2</v>
      </c>
      <c r="L13">
        <v>-0.15031355855009132</v>
      </c>
    </row>
    <row r="14" spans="1:12">
      <c r="A14">
        <v>13</v>
      </c>
      <c r="B14">
        <v>-6.6285714285714201</v>
      </c>
      <c r="C14">
        <v>-0.45762711864406802</v>
      </c>
      <c r="D14">
        <v>1.8708577161275275E-2</v>
      </c>
      <c r="E14">
        <v>-7.89051011024688</v>
      </c>
      <c r="F14">
        <v>-1.3952203389830515E-2</v>
      </c>
      <c r="G14">
        <v>-4.0447235444294547E-3</v>
      </c>
      <c r="H14">
        <v>-6.3536248968158293E-2</v>
      </c>
      <c r="I14">
        <v>-0.12302777439188714</v>
      </c>
      <c r="J14">
        <v>-1.7996926934259971E-2</v>
      </c>
      <c r="K14">
        <v>-7.7488452357988805E-2</v>
      </c>
      <c r="L14">
        <v>-0.13697997778171767</v>
      </c>
    </row>
    <row r="15" spans="1:12">
      <c r="A15">
        <v>14</v>
      </c>
      <c r="B15">
        <v>-5.25714285714285</v>
      </c>
      <c r="C15">
        <v>-0.29378531073446301</v>
      </c>
      <c r="D15">
        <v>1.2359964048372397E-2</v>
      </c>
      <c r="E15">
        <v>-6.1170792816261557</v>
      </c>
      <c r="F15">
        <v>-9.8233898305084676E-3</v>
      </c>
      <c r="G15">
        <v>-1.7543848730917241E-2</v>
      </c>
      <c r="H15">
        <v>-5.5735939126397432E-2</v>
      </c>
      <c r="I15">
        <v>-9.3928029521877621E-2</v>
      </c>
      <c r="J15">
        <v>-2.7367238561425707E-2</v>
      </c>
      <c r="K15">
        <v>-6.5559328956905902E-2</v>
      </c>
      <c r="L15">
        <v>-0.10375141935238609</v>
      </c>
    </row>
    <row r="16" spans="1:12">
      <c r="A16">
        <v>15</v>
      </c>
      <c r="B16">
        <v>-4.3428571428571399</v>
      </c>
      <c r="C16">
        <v>-0.209039548022599</v>
      </c>
      <c r="D16">
        <v>9.5225902582855293E-3</v>
      </c>
      <c r="E16">
        <v>-4.9424731738267207</v>
      </c>
      <c r="F16">
        <v>-7.687796610169495E-3</v>
      </c>
      <c r="G16">
        <v>-2.5141085370513214E-2</v>
      </c>
      <c r="H16">
        <v>-5.2316226613451089E-2</v>
      </c>
      <c r="I16">
        <v>-7.9491367856388967E-2</v>
      </c>
      <c r="J16">
        <v>-3.2828881980682706E-2</v>
      </c>
      <c r="K16">
        <v>-6.0004023223620584E-2</v>
      </c>
      <c r="L16">
        <v>-8.7179164466558462E-2</v>
      </c>
    </row>
    <row r="17" spans="1:12">
      <c r="A17">
        <v>16</v>
      </c>
      <c r="B17">
        <v>-3.4285714285714302</v>
      </c>
      <c r="C17">
        <v>-0.124293785310734</v>
      </c>
      <c r="D17">
        <v>7.8086220669495035E-3</v>
      </c>
      <c r="E17">
        <v>-3.7760691245714817</v>
      </c>
      <c r="F17">
        <v>-5.5522033898304964E-3</v>
      </c>
      <c r="G17">
        <v>-3.3299796290928441E-2</v>
      </c>
      <c r="H17">
        <v>-4.9457988381323856E-2</v>
      </c>
      <c r="I17">
        <v>-6.5616180471719271E-2</v>
      </c>
      <c r="J17">
        <v>-3.8851999680758934E-2</v>
      </c>
      <c r="K17">
        <v>-5.5010191771154349E-2</v>
      </c>
      <c r="L17">
        <v>-7.1168383861549764E-2</v>
      </c>
    </row>
    <row r="18" spans="1:12">
      <c r="A18">
        <v>17</v>
      </c>
      <c r="B18">
        <v>-2.0571428571428498</v>
      </c>
      <c r="C18">
        <v>5.6497175141241003E-3</v>
      </c>
      <c r="D18">
        <v>6.8972064991646683E-3</v>
      </c>
      <c r="E18">
        <v>-2.033241184902395</v>
      </c>
      <c r="F18">
        <v>-2.2776271186440724E-3</v>
      </c>
      <c r="G18">
        <v>-4.699016228286295E-2</v>
      </c>
      <c r="H18">
        <v>-4.6255699006026815E-2</v>
      </c>
      <c r="I18">
        <v>-4.552123572919068E-2</v>
      </c>
      <c r="J18">
        <v>-4.9267789401507021E-2</v>
      </c>
      <c r="K18">
        <v>-4.8533326124670886E-2</v>
      </c>
      <c r="L18">
        <v>-4.7798862847834751E-2</v>
      </c>
    </row>
    <row r="19" spans="1:12">
      <c r="A19">
        <v>18</v>
      </c>
      <c r="B19">
        <v>-1.3714285714285599</v>
      </c>
      <c r="C19">
        <v>7.3446327683615906E-2</v>
      </c>
      <c r="D19">
        <v>7.0983638735966758E-3</v>
      </c>
      <c r="E19">
        <v>-1.1581040698783973</v>
      </c>
      <c r="F19">
        <v>-5.691525423728791E-4</v>
      </c>
      <c r="G19">
        <v>-5.4705962234514183E-2</v>
      </c>
      <c r="H19">
        <v>-4.5157939635644115E-2</v>
      </c>
      <c r="I19">
        <v>-3.5609917036774047E-2</v>
      </c>
      <c r="J19">
        <v>-5.5275114776887062E-2</v>
      </c>
      <c r="K19">
        <v>-4.5727092178016994E-2</v>
      </c>
      <c r="L19">
        <v>-3.6179069579146926E-2</v>
      </c>
    </row>
    <row r="20" spans="1:12">
      <c r="A20">
        <v>19</v>
      </c>
      <c r="B20">
        <v>-0.45714285714285502</v>
      </c>
      <c r="C20">
        <v>0.152542372881355</v>
      </c>
      <c r="D20">
        <v>8.018005120966256E-3</v>
      </c>
      <c r="E20">
        <v>1.8349245866601194E-2</v>
      </c>
      <c r="F20">
        <v>1.4240677966101461E-3</v>
      </c>
      <c r="G20">
        <v>-6.4263853182835284E-2</v>
      </c>
      <c r="H20">
        <v>-4.4433344708259132E-2</v>
      </c>
      <c r="I20">
        <v>-2.4602836233682975E-2</v>
      </c>
      <c r="J20">
        <v>-6.2839785386225144E-2</v>
      </c>
      <c r="K20">
        <v>-4.3009276911648985E-2</v>
      </c>
      <c r="L20">
        <v>-2.3178768437072828E-2</v>
      </c>
    </row>
    <row r="21" spans="1:12">
      <c r="A21">
        <v>20</v>
      </c>
      <c r="B21">
        <v>0.34285714285714097</v>
      </c>
      <c r="C21">
        <v>0.27118644067796599</v>
      </c>
      <c r="D21">
        <v>9.5853991583885363E-3</v>
      </c>
      <c r="E21">
        <v>1.0567626170414439</v>
      </c>
      <c r="F21">
        <v>4.4138983050847434E-3</v>
      </c>
      <c r="G21">
        <v>-7.9184863772427214E-2</v>
      </c>
      <c r="H21">
        <v>-4.3930626484291621E-2</v>
      </c>
      <c r="I21">
        <v>-8.6763891961560372E-3</v>
      </c>
      <c r="J21">
        <v>-7.4770965467342465E-2</v>
      </c>
      <c r="K21">
        <v>-3.9516728179206879E-2</v>
      </c>
      <c r="L21">
        <v>-4.2624908910712939E-3</v>
      </c>
    </row>
    <row r="22" spans="1:12">
      <c r="A22">
        <v>21</v>
      </c>
      <c r="B22">
        <v>1.02857142857143</v>
      </c>
      <c r="C22">
        <v>0.34463276836158102</v>
      </c>
      <c r="D22">
        <v>1.1596211917647717E-2</v>
      </c>
      <c r="E22">
        <v>1.9503090586264564</v>
      </c>
      <c r="F22">
        <v>6.264745762711842E-3</v>
      </c>
      <c r="G22">
        <v>-8.9043259186769336E-2</v>
      </c>
      <c r="H22">
        <v>-4.42409992997638E-2</v>
      </c>
      <c r="I22">
        <v>5.6126058724173652E-4</v>
      </c>
      <c r="J22">
        <v>-8.2778513424057495E-2</v>
      </c>
      <c r="K22">
        <v>-3.797625353705196E-2</v>
      </c>
      <c r="L22">
        <v>6.8260063499535782E-3</v>
      </c>
    </row>
    <row r="23" spans="1:12">
      <c r="A23">
        <v>22</v>
      </c>
      <c r="B23">
        <v>2.05714285714286</v>
      </c>
      <c r="C23">
        <v>0.40677966101694801</v>
      </c>
      <c r="D23">
        <v>1.5768143984692975E-2</v>
      </c>
      <c r="E23">
        <v>3.2868112729668102</v>
      </c>
      <c r="F23">
        <v>7.8308474576270892E-3</v>
      </c>
      <c r="G23">
        <v>-9.8200169874015447E-2</v>
      </c>
      <c r="H23">
        <v>-4.531881394181219E-2</v>
      </c>
      <c r="I23">
        <v>7.562541990391059E-3</v>
      </c>
      <c r="J23">
        <v>-9.0369322416388356E-2</v>
      </c>
      <c r="K23">
        <v>-3.7487966484185099E-2</v>
      </c>
      <c r="L23">
        <v>1.5393389448018147E-2</v>
      </c>
    </row>
    <row r="24" spans="1:12">
      <c r="A24">
        <v>23</v>
      </c>
      <c r="B24">
        <v>2.8571428571428599</v>
      </c>
      <c r="C24">
        <v>0.49717514124293699</v>
      </c>
      <c r="D24">
        <v>1.9814870151578776E-2</v>
      </c>
      <c r="E24">
        <v>4.3158994298722924</v>
      </c>
      <c r="F24">
        <v>1.0108813559322012E-2</v>
      </c>
      <c r="G24">
        <v>-0.11134349567015794</v>
      </c>
      <c r="H24">
        <v>-4.6710727308576123E-2</v>
      </c>
      <c r="I24">
        <v>1.792204105300569E-2</v>
      </c>
      <c r="J24">
        <v>-0.10123468211083593</v>
      </c>
      <c r="K24">
        <v>-3.660191374925411E-2</v>
      </c>
      <c r="L24">
        <v>2.8030854612327703E-2</v>
      </c>
    </row>
    <row r="25" spans="1:12">
      <c r="A25">
        <v>24</v>
      </c>
      <c r="B25">
        <v>3.4285714285714302</v>
      </c>
      <c r="C25">
        <v>0.59887005649717395</v>
      </c>
      <c r="D25">
        <v>2.3036589664283388E-2</v>
      </c>
      <c r="E25">
        <v>5.0439677290318752</v>
      </c>
      <c r="F25">
        <v>1.2671525423728784E-2</v>
      </c>
      <c r="G25">
        <v>-0.12630070245801367</v>
      </c>
      <c r="H25">
        <v>-4.8447595113381037E-2</v>
      </c>
      <c r="I25">
        <v>2.9405512231251582E-2</v>
      </c>
      <c r="J25">
        <v>-0.11362917703428488</v>
      </c>
      <c r="K25">
        <v>-3.5776069689652253E-2</v>
      </c>
      <c r="L25">
        <v>4.2077037654980366E-2</v>
      </c>
    </row>
    <row r="26" spans="1:12">
      <c r="A26">
        <v>25</v>
      </c>
      <c r="B26">
        <v>4.8</v>
      </c>
      <c r="C26">
        <v>0.68926553672316304</v>
      </c>
      <c r="D26">
        <v>3.187128302222382E-2</v>
      </c>
      <c r="E26">
        <v>6.7775700156366057</v>
      </c>
      <c r="F26">
        <v>1.4949491525423709E-2</v>
      </c>
      <c r="G26">
        <v>-0.14179262700409917</v>
      </c>
      <c r="H26">
        <v>-5.218810723008796E-2</v>
      </c>
      <c r="I26">
        <v>3.7416412543923236E-2</v>
      </c>
      <c r="J26">
        <v>-0.12684313547867546</v>
      </c>
      <c r="K26">
        <v>-3.7238615704664253E-2</v>
      </c>
      <c r="L26">
        <v>5.2365904069346943E-2</v>
      </c>
    </row>
    <row r="27" spans="1:12">
      <c r="A27">
        <v>26</v>
      </c>
      <c r="B27">
        <v>5.9428571428571404</v>
      </c>
      <c r="C27">
        <v>0.80225988700564899</v>
      </c>
      <c r="D27">
        <v>4.1101514459634295E-2</v>
      </c>
      <c r="E27">
        <v>8.2327160819066805</v>
      </c>
      <c r="F27">
        <v>1.7796949152542357E-2</v>
      </c>
      <c r="G27">
        <v>-0.1610480711277758</v>
      </c>
      <c r="H27">
        <v>-5.6754285817041429E-2</v>
      </c>
      <c r="I27">
        <v>4.7539499493692947E-2</v>
      </c>
      <c r="J27">
        <v>-0.14325112197523346</v>
      </c>
      <c r="K27">
        <v>-3.8957336664499076E-2</v>
      </c>
      <c r="L27">
        <v>6.5336448646235307E-2</v>
      </c>
    </row>
    <row r="28" spans="1:12">
      <c r="A28">
        <v>27</v>
      </c>
      <c r="B28">
        <v>6.6285714285714299</v>
      </c>
      <c r="C28">
        <v>0.89265536723163796</v>
      </c>
      <c r="D28">
        <v>4.7887190478587367E-2</v>
      </c>
      <c r="E28">
        <v>9.1201690943253393</v>
      </c>
      <c r="F28">
        <v>2.0074915254237279E-2</v>
      </c>
      <c r="G28">
        <v>-0.17655209832510507</v>
      </c>
      <c r="H28">
        <v>-6.0506900584992133E-2</v>
      </c>
      <c r="I28">
        <v>5.5538297155120799E-2</v>
      </c>
      <c r="J28">
        <v>-0.1564771830708678</v>
      </c>
      <c r="K28">
        <v>-4.0431985330754858E-2</v>
      </c>
      <c r="L28">
        <v>7.5613212409358074E-2</v>
      </c>
    </row>
    <row r="29" spans="1:12">
      <c r="A29">
        <v>28</v>
      </c>
      <c r="B29">
        <v>8</v>
      </c>
      <c r="C29">
        <v>1.02824858757062</v>
      </c>
      <c r="D29">
        <v>6.4394698620183335E-2</v>
      </c>
      <c r="E29">
        <v>10.922437575523468</v>
      </c>
      <c r="F29">
        <v>2.3491864406779625E-2</v>
      </c>
      <c r="G29">
        <v>-0.20155620880161196</v>
      </c>
      <c r="H29">
        <v>-6.7883892417431341E-2</v>
      </c>
      <c r="I29">
        <v>6.5788423966749263E-2</v>
      </c>
      <c r="J29">
        <v>-0.17806434439483232</v>
      </c>
      <c r="K29">
        <v>-4.4392028010651716E-2</v>
      </c>
      <c r="L29">
        <v>8.9280288373528888E-2</v>
      </c>
    </row>
    <row r="30" spans="1:12">
      <c r="A30">
        <v>29</v>
      </c>
      <c r="B30">
        <v>9.1428571428571406</v>
      </c>
      <c r="C30">
        <v>1.15254237288135</v>
      </c>
      <c r="D30">
        <v>7.9661244823534039E-2</v>
      </c>
      <c r="E30">
        <v>12.417418198310287</v>
      </c>
      <c r="F30">
        <v>2.6624067796610022E-2</v>
      </c>
      <c r="G30">
        <v>-0.22547176624888082</v>
      </c>
      <c r="H30">
        <v>-7.5641257774305332E-2</v>
      </c>
      <c r="I30">
        <v>7.418925070027016E-2</v>
      </c>
      <c r="J30">
        <v>-0.19884769845227079</v>
      </c>
      <c r="K30">
        <v>-4.9017189977695309E-2</v>
      </c>
      <c r="L30">
        <v>0.10081331849688019</v>
      </c>
    </row>
    <row r="31" spans="1:12">
      <c r="A31">
        <v>30</v>
      </c>
      <c r="B31">
        <v>10.1714285714285</v>
      </c>
      <c r="C31">
        <v>1.23163841807909</v>
      </c>
      <c r="D31">
        <v>9.2873921705020859E-2</v>
      </c>
      <c r="E31">
        <v>13.725203635335895</v>
      </c>
      <c r="F31">
        <v>2.8617288135593069E-2</v>
      </c>
      <c r="G31">
        <v>-0.24247808952243366</v>
      </c>
      <c r="H31">
        <v>-8.2365095172151986E-2</v>
      </c>
      <c r="I31">
        <v>7.7747899178129729E-2</v>
      </c>
      <c r="J31">
        <v>-0.2138608013868406</v>
      </c>
      <c r="K31">
        <v>-5.3747807036558917E-2</v>
      </c>
      <c r="L31">
        <v>0.1063651873137228</v>
      </c>
    </row>
    <row r="32" spans="1:12">
      <c r="A32">
        <v>31</v>
      </c>
      <c r="B32">
        <v>10.742857142857099</v>
      </c>
      <c r="C32">
        <v>1.3276836158192</v>
      </c>
      <c r="D32">
        <v>9.9929279790266473E-2</v>
      </c>
      <c r="E32">
        <v>14.434448543815277</v>
      </c>
      <c r="F32">
        <v>3.1037627118643843E-2</v>
      </c>
      <c r="G32">
        <v>-0.26158323706064174</v>
      </c>
      <c r="H32">
        <v>-8.8984367004145734E-2</v>
      </c>
      <c r="I32">
        <v>8.3614503052350284E-2</v>
      </c>
      <c r="J32">
        <v>-0.23054560994199791</v>
      </c>
      <c r="K32">
        <v>-5.7946739885501891E-2</v>
      </c>
      <c r="L32">
        <v>0.11465213017099413</v>
      </c>
    </row>
    <row r="33" spans="1:12">
      <c r="A33">
        <v>32</v>
      </c>
      <c r="B33">
        <v>11.885714285714201</v>
      </c>
      <c r="C33">
        <v>1.4011299435028199</v>
      </c>
      <c r="D33">
        <v>0.11493230333481108</v>
      </c>
      <c r="E33">
        <v>15.836216456686234</v>
      </c>
      <c r="F33">
        <v>3.2888474576271066E-2</v>
      </c>
      <c r="G33">
        <v>-0.27927709322236294</v>
      </c>
      <c r="H33">
        <v>-9.7130200566996366E-2</v>
      </c>
      <c r="I33">
        <v>8.501669208837026E-2</v>
      </c>
      <c r="J33">
        <v>-0.24638861864609188</v>
      </c>
      <c r="K33">
        <v>-6.4241725990725307E-2</v>
      </c>
      <c r="L33">
        <v>0.11790516666464132</v>
      </c>
    </row>
    <row r="34" spans="1:12">
      <c r="A34">
        <v>33</v>
      </c>
      <c r="B34">
        <v>12.6857142857142</v>
      </c>
      <c r="C34">
        <v>1.45197740112994</v>
      </c>
      <c r="D34">
        <v>0.12741763901749986</v>
      </c>
      <c r="E34">
        <v>16.822337937341679</v>
      </c>
      <c r="F34">
        <v>3.416983050847449E-2</v>
      </c>
      <c r="G34">
        <v>-0.29162234840285539</v>
      </c>
      <c r="H34">
        <v>-0.1028652862559632</v>
      </c>
      <c r="I34">
        <v>8.5891775890929015E-2</v>
      </c>
      <c r="J34">
        <v>-0.25745251789438089</v>
      </c>
      <c r="K34">
        <v>-6.8695455747488698E-2</v>
      </c>
      <c r="L34">
        <v>0.1200616063994035</v>
      </c>
    </row>
    <row r="35" spans="1:12">
      <c r="A35">
        <v>34</v>
      </c>
      <c r="B35">
        <v>13.714285714285699</v>
      </c>
      <c r="C35">
        <v>1.5254237288135499</v>
      </c>
      <c r="D35">
        <v>0.14481154470900584</v>
      </c>
      <c r="E35">
        <v>18.087156233574532</v>
      </c>
      <c r="F35">
        <v>3.6020677966101457E-2</v>
      </c>
      <c r="G35">
        <v>-0.30933158834474073</v>
      </c>
      <c r="H35">
        <v>-0.11102650359897918</v>
      </c>
      <c r="I35">
        <v>8.7278581146782289E-2</v>
      </c>
      <c r="J35">
        <v>-0.27331091037863925</v>
      </c>
      <c r="K35">
        <v>-7.5005825632877721E-2</v>
      </c>
      <c r="L35">
        <v>0.12329925911288375</v>
      </c>
    </row>
    <row r="36" spans="1:12">
      <c r="A36">
        <v>35</v>
      </c>
      <c r="B36">
        <v>14.4</v>
      </c>
      <c r="C36">
        <v>1.5988700564971701</v>
      </c>
      <c r="D36">
        <v>0.15367372417543224</v>
      </c>
      <c r="E36">
        <v>18.887764546994113</v>
      </c>
      <c r="F36">
        <v>3.7871525423728687E-2</v>
      </c>
      <c r="G36">
        <v>-0.32676125929275723</v>
      </c>
      <c r="H36">
        <v>-0.11890815194812508</v>
      </c>
      <c r="I36">
        <v>8.8944955396507056E-2</v>
      </c>
      <c r="J36">
        <v>-0.28888973386902855</v>
      </c>
      <c r="K36">
        <v>-8.1036626524396388E-2</v>
      </c>
      <c r="L36">
        <v>0.12681648082023575</v>
      </c>
    </row>
    <row r="37" spans="1:12">
      <c r="A37">
        <v>36</v>
      </c>
      <c r="B37">
        <v>15.314285714285701</v>
      </c>
      <c r="C37">
        <v>1.58757062146892</v>
      </c>
      <c r="D37">
        <v>0.15466333475001987</v>
      </c>
      <c r="E37">
        <v>19.814541041948193</v>
      </c>
      <c r="F37">
        <v>3.7586779661016784E-2</v>
      </c>
      <c r="G37">
        <v>-0.33038531307985503</v>
      </c>
      <c r="H37">
        <v>-0.12400113228889542</v>
      </c>
      <c r="I37">
        <v>8.2383048502064168E-2</v>
      </c>
      <c r="J37">
        <v>-0.29279853341883821</v>
      </c>
      <c r="K37">
        <v>-8.6414352627878638E-2</v>
      </c>
      <c r="L37">
        <v>0.11996982816308095</v>
      </c>
    </row>
    <row r="38" spans="1:12">
      <c r="A38">
        <v>37</v>
      </c>
      <c r="B38">
        <v>16.571428571428498</v>
      </c>
      <c r="C38">
        <v>1.4745762711864401</v>
      </c>
      <c r="D38">
        <v>0.1291793749685293</v>
      </c>
      <c r="E38">
        <v>20.722340910592159</v>
      </c>
      <c r="F38">
        <v>3.473932203389829E-2</v>
      </c>
      <c r="G38">
        <v>-0.31925460995028887</v>
      </c>
      <c r="H38">
        <v>-0.12755969469605161</v>
      </c>
      <c r="I38">
        <v>6.4135220558185616E-2</v>
      </c>
      <c r="J38">
        <v>-0.28451528791639058</v>
      </c>
      <c r="K38">
        <v>-9.2820372662153317E-2</v>
      </c>
      <c r="L38">
        <v>9.8874542592083906E-2</v>
      </c>
    </row>
    <row r="39" spans="1:12">
      <c r="A39">
        <v>38</v>
      </c>
      <c r="B39">
        <v>17.0285714285714</v>
      </c>
      <c r="C39">
        <v>1.3785310734463201</v>
      </c>
      <c r="D39">
        <v>0.11577629489982361</v>
      </c>
      <c r="E39">
        <v>20.979879142420984</v>
      </c>
      <c r="F39">
        <v>3.2318983050847266E-2</v>
      </c>
      <c r="G39">
        <v>-0.30423763526403391</v>
      </c>
      <c r="H39">
        <v>-0.1250285957160123</v>
      </c>
      <c r="I39">
        <v>5.418044383200929E-2</v>
      </c>
      <c r="J39">
        <v>-0.27191865221318667</v>
      </c>
      <c r="K39">
        <v>-9.2709612665165031E-2</v>
      </c>
      <c r="L39">
        <v>8.6499426882856556E-2</v>
      </c>
    </row>
    <row r="40" spans="1:12">
      <c r="A40">
        <v>39</v>
      </c>
      <c r="B40">
        <v>18.0571428571428</v>
      </c>
      <c r="C40">
        <v>1.25988700564971</v>
      </c>
      <c r="D40">
        <v>9.2952374122571915E-2</v>
      </c>
      <c r="E40">
        <v>21.625438755065883</v>
      </c>
      <c r="F40">
        <v>2.9329152542372693E-2</v>
      </c>
      <c r="G40">
        <v>-0.28859640551060894</v>
      </c>
      <c r="H40">
        <v>-0.12481109477614666</v>
      </c>
      <c r="I40">
        <v>3.8974215958315669E-2</v>
      </c>
      <c r="J40">
        <v>-0.25926725296823627</v>
      </c>
      <c r="K40">
        <v>-9.5481942233773959E-2</v>
      </c>
      <c r="L40">
        <v>6.8303368500688355E-2</v>
      </c>
    </row>
    <row r="41" spans="1:12">
      <c r="A41">
        <v>40</v>
      </c>
      <c r="B41">
        <v>18.742857142857101</v>
      </c>
      <c r="C41">
        <v>1.2259887005649699</v>
      </c>
      <c r="D41">
        <v>8.7305170192193832E-2</v>
      </c>
      <c r="E41">
        <v>22.189739111558406</v>
      </c>
      <c r="F41">
        <v>2.8474915254237242E-2</v>
      </c>
      <c r="G41">
        <v>-0.28573030873056343</v>
      </c>
      <c r="H41">
        <v>-0.12635177765711733</v>
      </c>
      <c r="I41">
        <v>3.3026753416328769E-2</v>
      </c>
      <c r="J41">
        <v>-0.2572553934763262</v>
      </c>
      <c r="K41">
        <v>-9.7876862402880085E-2</v>
      </c>
      <c r="L41">
        <v>6.1501668670566015E-2</v>
      </c>
    </row>
    <row r="42" spans="1:12">
      <c r="A42">
        <v>41</v>
      </c>
      <c r="B42">
        <v>19.428571428571399</v>
      </c>
      <c r="C42">
        <v>1.1694915254237199</v>
      </c>
      <c r="D42">
        <v>8.259006521891743E-2</v>
      </c>
      <c r="E42">
        <v>22.769468538553866</v>
      </c>
      <c r="F42">
        <v>2.7051186440677742E-2</v>
      </c>
      <c r="G42">
        <v>-0.27774341036754963</v>
      </c>
      <c r="H42">
        <v>-0.12570951206246603</v>
      </c>
      <c r="I42">
        <v>2.6324386242617584E-2</v>
      </c>
      <c r="J42">
        <v>-0.2506922239268719</v>
      </c>
      <c r="K42">
        <v>-9.8658325621788279E-2</v>
      </c>
      <c r="L42">
        <v>5.3375572683295326E-2</v>
      </c>
    </row>
    <row r="43" spans="1:12">
      <c r="A43">
        <v>42</v>
      </c>
      <c r="B43">
        <v>20.342857142857099</v>
      </c>
      <c r="C43">
        <v>1.15254237288135</v>
      </c>
      <c r="D43">
        <v>7.7522377837309378E-2</v>
      </c>
      <c r="E43">
        <v>23.582855473221873</v>
      </c>
      <c r="F43">
        <v>2.6624067796610022E-2</v>
      </c>
      <c r="G43">
        <v>-0.2792089087165977</v>
      </c>
      <c r="H43">
        <v>-0.12937840024202221</v>
      </c>
      <c r="I43">
        <v>2.0452108232553279E-2</v>
      </c>
      <c r="J43">
        <v>-0.25258484091998767</v>
      </c>
      <c r="K43">
        <v>-0.10275433244541218</v>
      </c>
      <c r="L43">
        <v>4.7076176029163301E-2</v>
      </c>
    </row>
    <row r="44" spans="1:12">
      <c r="A44">
        <v>43</v>
      </c>
      <c r="B44">
        <v>20.457142857142799</v>
      </c>
      <c r="C44">
        <v>1.1694915254237199</v>
      </c>
      <c r="D44">
        <v>8.2249405173945772E-2</v>
      </c>
      <c r="E44">
        <v>23.790966762337632</v>
      </c>
      <c r="F44">
        <v>2.7051186440677742E-2</v>
      </c>
      <c r="G44">
        <v>-0.28276566510350687</v>
      </c>
      <c r="H44">
        <v>-0.13073176679842324</v>
      </c>
      <c r="I44">
        <v>2.1302131506660368E-2</v>
      </c>
      <c r="J44">
        <v>-0.25571447866282915</v>
      </c>
      <c r="K44">
        <v>-0.10368058035774549</v>
      </c>
      <c r="L44">
        <v>4.8353317947338111E-2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4D9D-FA85-4F12-A2B8-B7F640D257BC}">
  <sheetPr codeName="Arkusz9"/>
  <dimension ref="A1:Q48"/>
  <sheetViews>
    <sheetView tabSelected="1" topLeftCell="A23" zoomScale="130" zoomScaleNormal="130" workbookViewId="0">
      <selection activeCell="A42" sqref="A42"/>
    </sheetView>
  </sheetViews>
  <sheetFormatPr defaultRowHeight="12.75"/>
  <cols>
    <col min="1" max="1" width="12.42578125" customWidth="1"/>
    <col min="2" max="2" width="10.140625" style="84" bestFit="1" customWidth="1"/>
    <col min="4" max="4" width="9.28515625" customWidth="1"/>
    <col min="7" max="7" width="9.140625" bestFit="1" customWidth="1"/>
  </cols>
  <sheetData>
    <row r="1" spans="1:8">
      <c r="A1" s="114" t="s">
        <v>294</v>
      </c>
      <c r="B1" s="114"/>
      <c r="D1" s="115" t="s">
        <v>295</v>
      </c>
      <c r="E1" s="115"/>
      <c r="F1" s="115"/>
    </row>
    <row r="2" spans="1:8">
      <c r="A2" s="6" t="s">
        <v>130</v>
      </c>
      <c r="B2" s="19">
        <v>0.85</v>
      </c>
      <c r="D2" s="81" t="s">
        <v>271</v>
      </c>
      <c r="E2" s="82">
        <v>0.12</v>
      </c>
      <c r="F2" s="80" t="s">
        <v>296</v>
      </c>
      <c r="G2" s="83">
        <f xml:space="preserve"> (B$5 - E2)*B$3/B$4 *B$2</f>
        <v>0.34255075555555559</v>
      </c>
    </row>
    <row r="3" spans="1:8">
      <c r="A3" s="80" t="s">
        <v>292</v>
      </c>
      <c r="B3" s="84">
        <v>2.2000000000000002</v>
      </c>
      <c r="D3" s="81" t="s">
        <v>272</v>
      </c>
      <c r="E3" s="82">
        <v>0.25</v>
      </c>
      <c r="F3" s="80" t="s">
        <v>297</v>
      </c>
      <c r="G3" s="83">
        <f xml:space="preserve"> (B$5 - E3)*B$3/B$4 *B$2</f>
        <v>0.32634408888888894</v>
      </c>
    </row>
    <row r="4" spans="1:8">
      <c r="A4" s="80" t="s">
        <v>293</v>
      </c>
      <c r="B4" s="84">
        <v>15</v>
      </c>
      <c r="D4" s="81" t="s">
        <v>273</v>
      </c>
      <c r="E4" s="82">
        <v>0.38</v>
      </c>
      <c r="F4" s="80" t="s">
        <v>298</v>
      </c>
      <c r="G4" s="83">
        <f xml:space="preserve"> (B$5 - E4)*B$3/B$4 *B$2</f>
        <v>0.31013742222222229</v>
      </c>
    </row>
    <row r="5" spans="1:8">
      <c r="A5" s="80" t="s">
        <v>291</v>
      </c>
      <c r="B5" s="84">
        <f xml:space="preserve"> 8*53.77/150</f>
        <v>2.8677333333333337</v>
      </c>
    </row>
    <row r="6" spans="1:8">
      <c r="D6" s="115" t="s">
        <v>315</v>
      </c>
      <c r="E6" s="115"/>
      <c r="F6" s="115"/>
      <c r="G6" s="115"/>
      <c r="H6" s="115"/>
    </row>
    <row r="7" spans="1:8">
      <c r="C7" s="80"/>
      <c r="D7" s="86" t="s">
        <v>310</v>
      </c>
      <c r="E7" s="86" t="s">
        <v>311</v>
      </c>
      <c r="F7" s="86" t="s">
        <v>312</v>
      </c>
      <c r="G7" s="86" t="s">
        <v>313</v>
      </c>
      <c r="H7" s="86" t="s">
        <v>314</v>
      </c>
    </row>
    <row r="8" spans="1:8">
      <c r="A8" t="s">
        <v>299</v>
      </c>
      <c r="B8" s="84">
        <v>3.01</v>
      </c>
      <c r="D8" s="82">
        <v>0.12</v>
      </c>
      <c r="E8" s="87" cm="1">
        <f t="array" ref="E8:E10" xml:space="preserve"> TRANSPOSE(proj8!Q22:S22)</f>
        <v>-7.4770965467342465E-2</v>
      </c>
      <c r="F8" s="88" cm="1">
        <f t="array" ref="F8:F10" xml:space="preserve"> G2:G4</f>
        <v>0.34255075555555559</v>
      </c>
      <c r="G8" s="87">
        <f xml:space="preserve"> E8/(F8*$B$33)-$B$36/$B$31*(1-$B$37)</f>
        <v>-0.10446517388067798</v>
      </c>
      <c r="H8" s="87">
        <f xml:space="preserve"> DEGREES(G8)</f>
        <v>-5.9854135694631321</v>
      </c>
    </row>
    <row r="9" spans="1:8">
      <c r="A9" t="s">
        <v>300</v>
      </c>
      <c r="B9" s="84">
        <v>2.2000000000000002</v>
      </c>
      <c r="D9" s="82">
        <v>0.25</v>
      </c>
      <c r="E9" s="87">
        <v>-3.9516728179206879E-2</v>
      </c>
      <c r="F9" s="87">
        <v>0.32634408888888894</v>
      </c>
      <c r="G9" s="87">
        <f xml:space="preserve"> E9/(F9*$B$33)-$B$36/$B$31*(1-$B$37)</f>
        <v>-7.3114241006432046E-2</v>
      </c>
      <c r="H9" s="87">
        <f xml:space="preserve"> DEGREES(G9)</f>
        <v>-4.1891374319708925</v>
      </c>
    </row>
    <row r="10" spans="1:8">
      <c r="A10" t="s">
        <v>302</v>
      </c>
      <c r="B10" s="84">
        <f xml:space="preserve"> 1.4*52.11/100</f>
        <v>0.72953999999999997</v>
      </c>
      <c r="D10" s="82">
        <v>0.38</v>
      </c>
      <c r="E10" s="87">
        <v>-4.2624908910712939E-3</v>
      </c>
      <c r="F10" s="87">
        <v>0.31013742222222229</v>
      </c>
      <c r="G10" s="87">
        <f xml:space="preserve"> E10/(F10*$B$33)-$B$36/$B$31*(1-$B$37)</f>
        <v>-3.8486734056466333E-2</v>
      </c>
      <c r="H10" s="87">
        <f t="shared" ref="H10" si="0" xml:space="preserve"> DEGREES(G10)</f>
        <v>-2.2051274286779314</v>
      </c>
    </row>
    <row r="11" spans="1:8">
      <c r="A11" t="s">
        <v>303</v>
      </c>
      <c r="B11" s="84">
        <f xml:space="preserve"> 2.1*52.11/100</f>
        <v>1.0943099999999999</v>
      </c>
    </row>
    <row r="12" spans="1:8">
      <c r="A12" t="s">
        <v>317</v>
      </c>
      <c r="B12" s="84">
        <f>B8/(2*3)*(2*B11+B10)/(B11+B10)</f>
        <v>0.80266666666666664</v>
      </c>
      <c r="C12" t="s">
        <v>318</v>
      </c>
    </row>
    <row r="13" spans="1:8">
      <c r="A13" t="s">
        <v>323</v>
      </c>
      <c r="B13" s="84">
        <f>0.5*52.11/100</f>
        <v>0.26055</v>
      </c>
      <c r="C13" t="s">
        <v>319</v>
      </c>
      <c r="G13" s="80" t="s">
        <v>347</v>
      </c>
    </row>
    <row r="14" spans="1:8">
      <c r="A14" t="s">
        <v>324</v>
      </c>
      <c r="B14" s="84">
        <f>0.9*52.11/100</f>
        <v>0.46899000000000002</v>
      </c>
    </row>
    <row r="15" spans="1:8">
      <c r="A15" t="s">
        <v>322</v>
      </c>
      <c r="B15" s="84">
        <f xml:space="preserve"> 1/3*(2*B13+B14)/(B13+B14)</f>
        <v>0.45238095238095233</v>
      </c>
    </row>
    <row r="16" spans="1:8">
      <c r="A16" s="80" t="s">
        <v>340</v>
      </c>
      <c r="B16" s="84">
        <f>0.3*52.11/100</f>
        <v>0.15633</v>
      </c>
      <c r="F16" s="80"/>
    </row>
    <row r="17" spans="1:17">
      <c r="A17" s="80" t="s">
        <v>338</v>
      </c>
      <c r="B17" s="90">
        <f>3.1*52.11/100</f>
        <v>1.61541</v>
      </c>
    </row>
    <row r="18" spans="1:17">
      <c r="A18" t="str" cm="1">
        <f t="array" ref="A18:B19" xml:space="preserve"> F37:G38</f>
        <v>S_kh</v>
      </c>
      <c r="B18" s="84">
        <v>0.25253704529999998</v>
      </c>
    </row>
    <row r="19" spans="1:17">
      <c r="A19" t="str">
        <v>S0_kh</v>
      </c>
      <c r="B19" s="84">
        <v>0.47055329999999995</v>
      </c>
    </row>
    <row r="20" spans="1:17" ht="26.1" customHeight="1">
      <c r="A20" s="80" t="s">
        <v>337</v>
      </c>
      <c r="B20" s="84">
        <f xml:space="preserve"> (B18*B17)/(B19*B8)</f>
        <v>0.28802656351475153</v>
      </c>
    </row>
    <row r="22" spans="1:17">
      <c r="A22" t="s">
        <v>301</v>
      </c>
      <c r="B22" s="84">
        <f>1/(B11/B10)</f>
        <v>0.66666666666666663</v>
      </c>
      <c r="E22" s="6"/>
    </row>
    <row r="23" spans="1:17">
      <c r="A23" t="s">
        <v>304</v>
      </c>
      <c r="B23" s="84">
        <f xml:space="preserve"> B8^2/B9</f>
        <v>4.118227272727272</v>
      </c>
      <c r="E23" s="6"/>
    </row>
    <row r="24" spans="1:17">
      <c r="E24" s="6"/>
    </row>
    <row r="25" spans="1:17">
      <c r="A25" s="80" t="s">
        <v>309</v>
      </c>
      <c r="B25" s="91">
        <f>proj2_copy!H9</f>
        <v>6.5967841001666665</v>
      </c>
      <c r="E25" s="6"/>
      <c r="F25" s="116" t="s">
        <v>328</v>
      </c>
      <c r="G25" s="116"/>
      <c r="H25" s="116"/>
      <c r="I25" s="116"/>
    </row>
    <row r="26" spans="1:17">
      <c r="A26" t="s">
        <v>307</v>
      </c>
      <c r="B26" s="84">
        <v>0.93400000000000005</v>
      </c>
      <c r="C26" t="s">
        <v>316</v>
      </c>
      <c r="E26" s="6"/>
      <c r="F26" s="87" t="s">
        <v>320</v>
      </c>
      <c r="G26" s="89">
        <f>B15</f>
        <v>0.45238095238095233</v>
      </c>
      <c r="H26" s="87" t="s">
        <v>326</v>
      </c>
      <c r="I26" s="89">
        <f>B16</f>
        <v>0.15633</v>
      </c>
    </row>
    <row r="27" spans="1:17">
      <c r="A27" s="80" t="s">
        <v>342</v>
      </c>
      <c r="B27" s="84">
        <f xml:space="preserve"> B26/B3</f>
        <v>0.42454545454545456</v>
      </c>
      <c r="E27" s="6"/>
      <c r="F27" s="87" t="s">
        <v>321</v>
      </c>
      <c r="G27" s="89">
        <f>B12</f>
        <v>0.80266666666666664</v>
      </c>
      <c r="H27" s="87"/>
      <c r="I27" s="87"/>
    </row>
    <row r="28" spans="1:17">
      <c r="A28" s="80" t="s">
        <v>343</v>
      </c>
      <c r="B28" s="84">
        <f xml:space="preserve"> B18/B26</f>
        <v>0.27038227548179866</v>
      </c>
      <c r="F28" s="87" t="s">
        <v>325</v>
      </c>
      <c r="G28" s="87">
        <f>G26/G27</f>
        <v>0.56359753203607021</v>
      </c>
      <c r="H28" s="87" t="s">
        <v>327</v>
      </c>
      <c r="I28" s="87">
        <f>I26/G26</f>
        <v>0.34557157894736845</v>
      </c>
      <c r="K28" s="80" t="s">
        <v>330</v>
      </c>
      <c r="L28">
        <f>-0.025</f>
        <v>-2.5000000000000001E-2</v>
      </c>
    </row>
    <row r="30" spans="1:17">
      <c r="P30" s="80" t="s">
        <v>329</v>
      </c>
    </row>
    <row r="31" spans="1:17">
      <c r="A31" s="80" t="s">
        <v>62</v>
      </c>
      <c r="B31" s="84">
        <f>proj2_copy!H37</f>
        <v>4.4523373266764565</v>
      </c>
      <c r="M31">
        <v>0.1</v>
      </c>
      <c r="N31" s="80">
        <v>-1.0749999999999999E-2</v>
      </c>
      <c r="O31" s="80">
        <v>-1.0749999999999999E-2</v>
      </c>
      <c r="P31">
        <f>AVERAGE(N31:O31)</f>
        <v>-1.0749999999999999E-2</v>
      </c>
    </row>
    <row r="32" spans="1:17">
      <c r="B32" s="85"/>
      <c r="M32">
        <v>0.2</v>
      </c>
      <c r="N32">
        <v>-1.5800000000000002E-2</v>
      </c>
      <c r="O32" s="80">
        <v>-1.6750000000000001E-2</v>
      </c>
      <c r="P32">
        <f t="shared" ref="P32:P33" si="1">AVERAGE(N32:O32)</f>
        <v>-1.6275000000000001E-2</v>
      </c>
      <c r="Q32">
        <f xml:space="preserve"> P32-P31</f>
        <v>-5.5250000000000021E-3</v>
      </c>
    </row>
    <row r="33" spans="1:17">
      <c r="A33" t="s">
        <v>305</v>
      </c>
      <c r="B33" s="84">
        <v>3.1</v>
      </c>
      <c r="M33">
        <v>0.3</v>
      </c>
      <c r="N33" s="80">
        <v>-1.9199999999999998E-2</v>
      </c>
      <c r="O33" s="80">
        <v>-0.02</v>
      </c>
      <c r="P33">
        <f t="shared" si="1"/>
        <v>-1.9599999999999999E-2</v>
      </c>
      <c r="Q33">
        <f xml:space="preserve"> P33-P32</f>
        <v>-3.3249999999999981E-3</v>
      </c>
    </row>
    <row r="34" spans="1:17">
      <c r="A34" s="80" t="s">
        <v>331</v>
      </c>
      <c r="B34" s="84">
        <v>4.9000000000000004</v>
      </c>
      <c r="M34">
        <v>0.35</v>
      </c>
      <c r="P34">
        <v>-3.2099999999999997E-2</v>
      </c>
      <c r="Q34">
        <f xml:space="preserve"> P34-P33</f>
        <v>-1.2499999999999997E-2</v>
      </c>
    </row>
    <row r="35" spans="1:17">
      <c r="A35" t="s">
        <v>306</v>
      </c>
      <c r="B35" s="84">
        <f xml:space="preserve"> 1.2*B33*SQRT(B27)*(1-0.2*B27)</f>
        <v>2.2180395125888839</v>
      </c>
    </row>
    <row r="36" spans="1:17">
      <c r="A36" s="92" t="s">
        <v>348</v>
      </c>
      <c r="B36" s="93">
        <f xml:space="preserve"> 2*726*9.81/(1.225*15*D36^2)</f>
        <v>0.26584026203073824</v>
      </c>
      <c r="C36" s="95" t="s">
        <v>349</v>
      </c>
      <c r="D36" s="94">
        <v>54</v>
      </c>
    </row>
    <row r="37" spans="1:17">
      <c r="A37" s="80" t="s">
        <v>308</v>
      </c>
      <c r="B37" s="84">
        <f xml:space="preserve"> 2*B31/(PI()*B25)</f>
        <v>0.42967087180264696</v>
      </c>
      <c r="F37" s="80" t="s">
        <v>339</v>
      </c>
      <c r="G37">
        <f xml:space="preserve"> B17*B16</f>
        <v>0.25253704529999998</v>
      </c>
      <c r="J37" s="80"/>
    </row>
    <row r="38" spans="1:17">
      <c r="F38" s="80" t="s">
        <v>341</v>
      </c>
      <c r="G38">
        <f>B8*B16</f>
        <v>0.47055329999999995</v>
      </c>
    </row>
    <row r="39" spans="1:17">
      <c r="A39" s="80" t="s">
        <v>333</v>
      </c>
      <c r="B39" s="84">
        <f>C39*E42</f>
        <v>-0.2291831180523293</v>
      </c>
      <c r="C39">
        <v>-4.0000000000000001E-3</v>
      </c>
      <c r="F39" s="80" t="s">
        <v>337</v>
      </c>
      <c r="G39">
        <f xml:space="preserve"> (G37*B17)/(G38*B8)</f>
        <v>0.28802656351475153</v>
      </c>
    </row>
    <row r="40" spans="1:17">
      <c r="A40" s="80" t="s">
        <v>332</v>
      </c>
      <c r="B40" s="84">
        <f xml:space="preserve"> B39*B33/B34</f>
        <v>-0.14499340121677975</v>
      </c>
    </row>
    <row r="42" spans="1:17">
      <c r="A42" s="80" t="s">
        <v>350</v>
      </c>
      <c r="B42" s="84">
        <v>0.47</v>
      </c>
      <c r="D42" s="80" t="s">
        <v>345</v>
      </c>
      <c r="E42">
        <f>180/PI()</f>
        <v>57.295779513082323</v>
      </c>
    </row>
    <row r="43" spans="1:17">
      <c r="A43" s="80" t="s">
        <v>336</v>
      </c>
      <c r="B43" s="84">
        <v>0.6</v>
      </c>
    </row>
    <row r="44" spans="1:17">
      <c r="A44" s="80" t="s">
        <v>334</v>
      </c>
      <c r="B44" s="84">
        <f>C44*E42</f>
        <v>-0.35408791739084872</v>
      </c>
      <c r="C44">
        <v>-6.1799999999999997E-3</v>
      </c>
    </row>
    <row r="45" spans="1:17">
      <c r="A45" s="80" t="s">
        <v>335</v>
      </c>
      <c r="B45" s="84">
        <f xml:space="preserve"> B44+(B33/B34-1)*B40*B43</f>
        <v>-0.32213018814306871</v>
      </c>
    </row>
    <row r="47" spans="1:17">
      <c r="A47" s="80" t="s">
        <v>346</v>
      </c>
      <c r="B47" s="84">
        <f xml:space="preserve"> C47*E42</f>
        <v>-1.4323944878270582</v>
      </c>
      <c r="C47">
        <v>-2.5000000000000001E-2</v>
      </c>
    </row>
    <row r="48" spans="1:17">
      <c r="A48" s="80" t="s">
        <v>344</v>
      </c>
      <c r="B48" s="84">
        <f xml:space="preserve"> B47*B20-(1-B33/B34)*B40*B42</f>
        <v>-0.3875341073488725</v>
      </c>
    </row>
  </sheetData>
  <mergeCells count="4">
    <mergeCell ref="A1:B1"/>
    <mergeCell ref="D1:F1"/>
    <mergeCell ref="D6:H6"/>
    <mergeCell ref="F25:I2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Properties</vt:lpstr>
      <vt:lpstr>proj2_copy</vt:lpstr>
      <vt:lpstr>Base</vt:lpstr>
      <vt:lpstr>proj3</vt:lpstr>
      <vt:lpstr>proj4</vt:lpstr>
      <vt:lpstr>Proj5</vt:lpstr>
      <vt:lpstr>proj8</vt:lpstr>
      <vt:lpstr>Base_pr8</vt:lpstr>
      <vt:lpstr>Pr9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2023-11-05T23:01:37Z</dcterms:modified>
</cp:coreProperties>
</file>