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en_skoroszyt"/>
  <mc:AlternateContent xmlns:mc="http://schemas.openxmlformats.org/markup-compatibility/2006">
    <mc:Choice Requires="x15">
      <x15ac:absPath xmlns:x15ac="http://schemas.microsoft.com/office/spreadsheetml/2010/11/ac" url="C:\code\repos\MECHANIKA_LOTU\database\"/>
    </mc:Choice>
  </mc:AlternateContent>
  <xr:revisionPtr revIDLastSave="0" documentId="13_ncr:1_{14DC21D4-2B76-485D-8667-D5022C1C42B7}" xr6:coauthVersionLast="47" xr6:coauthVersionMax="47" xr10:uidLastSave="{00000000-0000-0000-0000-000000000000}"/>
  <bookViews>
    <workbookView xWindow="-110" yWindow="-110" windowWidth="30940" windowHeight="18820" tabRatio="783" xr2:uid="{00000000-000D-0000-FFFF-FFFF00000000}"/>
  </bookViews>
  <sheets>
    <sheet name="Baza" sheetId="10" r:id="rId1"/>
    <sheet name="proj2_copy" sheetId="1" r:id="rId2"/>
    <sheet name="Base" sheetId="3" r:id="rId3"/>
    <sheet name="proj3" sheetId="2" r:id="rId4"/>
    <sheet name="proj4" sheetId="4" r:id="rId5"/>
    <sheet name="Proj5" sheetId="5" r:id="rId6"/>
    <sheet name="proj8" sheetId="6" r:id="rId7"/>
    <sheet name="Base_pr8" sheetId="9" r:id="rId8"/>
    <sheet name="Pr9" sheetId="8" r:id="rId9"/>
    <sheet name="proj10" sheetId="11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N4" i="10"/>
  <c r="N64" i="10"/>
  <c r="B48" i="8"/>
  <c r="B39" i="8"/>
  <c r="B40" i="8" s="1"/>
  <c r="B36" i="8"/>
  <c r="B47" i="8"/>
  <c r="B44" i="8"/>
  <c r="E42" i="8"/>
  <c r="B17" i="8"/>
  <c r="L28" i="8"/>
  <c r="P32" i="8"/>
  <c r="P33" i="8"/>
  <c r="Q34" i="8" s="1"/>
  <c r="P31" i="8"/>
  <c r="B16" i="8"/>
  <c r="I26" i="8" s="1"/>
  <c r="B14" i="8"/>
  <c r="B13" i="8"/>
  <c r="B27" i="8"/>
  <c r="B35" i="8" s="1"/>
  <c r="Q7" i="6"/>
  <c r="M8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B10" i="8"/>
  <c r="R4" i="6"/>
  <c r="P4" i="6"/>
  <c r="H9" i="1"/>
  <c r="B25" i="8" s="1"/>
  <c r="B23" i="8"/>
  <c r="B11" i="8"/>
  <c r="B45" i="8" l="1"/>
  <c r="G38" i="8"/>
  <c r="Q32" i="8"/>
  <c r="G37" i="8"/>
  <c r="G39" i="8" s="1"/>
  <c r="A18" i="8" a="1"/>
  <c r="B28" i="8" s="1"/>
  <c r="B15" i="8"/>
  <c r="G26" i="8" s="1"/>
  <c r="I28" i="8" s="1"/>
  <c r="B12" i="8"/>
  <c r="G27" i="8" s="1"/>
  <c r="Q33" i="8"/>
  <c r="B22" i="8"/>
  <c r="B5" i="8"/>
  <c r="G3" i="8" s="1"/>
  <c r="M45" i="6"/>
  <c r="M44" i="6"/>
  <c r="M43" i="6"/>
  <c r="M42" i="6"/>
  <c r="S41" i="6"/>
  <c r="P41" i="6"/>
  <c r="O41" i="6"/>
  <c r="M41" i="6"/>
  <c r="R41" i="6" s="1"/>
  <c r="M40" i="6"/>
  <c r="M39" i="6"/>
  <c r="P38" i="6"/>
  <c r="M38" i="6"/>
  <c r="M37" i="6"/>
  <c r="R36" i="6"/>
  <c r="O36" i="6"/>
  <c r="Q36" i="6"/>
  <c r="M36" i="6"/>
  <c r="M35" i="6"/>
  <c r="P34" i="6"/>
  <c r="M34" i="6"/>
  <c r="S34" i="6" s="1"/>
  <c r="O33" i="6"/>
  <c r="M33" i="6"/>
  <c r="C33" i="6"/>
  <c r="M32" i="6"/>
  <c r="R31" i="6"/>
  <c r="O31" i="6"/>
  <c r="M31" i="6"/>
  <c r="M30" i="6"/>
  <c r="C30" i="6"/>
  <c r="M29" i="6"/>
  <c r="C29" i="6"/>
  <c r="M28" i="6"/>
  <c r="M27" i="6"/>
  <c r="S26" i="6"/>
  <c r="P26" i="6"/>
  <c r="O26" i="6"/>
  <c r="M26" i="6"/>
  <c r="R26" i="6" s="1"/>
  <c r="M25" i="6"/>
  <c r="M24" i="6"/>
  <c r="P23" i="6"/>
  <c r="M23" i="6"/>
  <c r="M22" i="6"/>
  <c r="R21" i="6"/>
  <c r="O21" i="6"/>
  <c r="Q21" i="6"/>
  <c r="M21" i="6"/>
  <c r="M20" i="6"/>
  <c r="P19" i="6"/>
  <c r="M19" i="6"/>
  <c r="S19" i="6" s="1"/>
  <c r="F19" i="6"/>
  <c r="P18" i="6"/>
  <c r="M18" i="6"/>
  <c r="S18" i="6" s="1"/>
  <c r="M17" i="6"/>
  <c r="C17" i="6"/>
  <c r="P42" i="6" s="1"/>
  <c r="S16" i="6"/>
  <c r="P16" i="6"/>
  <c r="O16" i="6"/>
  <c r="M16" i="6"/>
  <c r="R16" i="6" s="1"/>
  <c r="C16" i="6"/>
  <c r="O37" i="6" s="1"/>
  <c r="O15" i="6"/>
  <c r="R15" i="6" s="1"/>
  <c r="M15" i="6"/>
  <c r="C15" i="6"/>
  <c r="M14" i="6"/>
  <c r="R13" i="6"/>
  <c r="O13" i="6"/>
  <c r="Q13" i="6"/>
  <c r="M13" i="6"/>
  <c r="C13" i="6"/>
  <c r="P9" i="6" s="1"/>
  <c r="M12" i="6"/>
  <c r="C12" i="6"/>
  <c r="S11" i="6"/>
  <c r="P11" i="6"/>
  <c r="M11" i="6"/>
  <c r="Q10" i="6"/>
  <c r="M10" i="6"/>
  <c r="M9" i="6"/>
  <c r="S9" i="6" s="1"/>
  <c r="S8" i="6"/>
  <c r="P8" i="6"/>
  <c r="O8" i="6"/>
  <c r="R8" i="6"/>
  <c r="M7" i="6"/>
  <c r="R6" i="6"/>
  <c r="O6" i="6"/>
  <c r="M6" i="6"/>
  <c r="P5" i="6"/>
  <c r="M5" i="6"/>
  <c r="M4" i="6"/>
  <c r="R3" i="6"/>
  <c r="O3" i="6"/>
  <c r="N3" i="6"/>
  <c r="M3" i="6"/>
  <c r="I20" i="5"/>
  <c r="J20" i="5" s="1"/>
  <c r="K20" i="5" s="1"/>
  <c r="H20" i="5"/>
  <c r="H19" i="5"/>
  <c r="C19" i="5"/>
  <c r="I18" i="5"/>
  <c r="J18" i="5" s="1"/>
  <c r="K18" i="5" s="1"/>
  <c r="H18" i="5"/>
  <c r="H17" i="5"/>
  <c r="I17" i="5" s="1"/>
  <c r="J17" i="5" s="1"/>
  <c r="K17" i="5" s="1"/>
  <c r="C17" i="5"/>
  <c r="H16" i="5"/>
  <c r="I16" i="5" s="1"/>
  <c r="J16" i="5" s="1"/>
  <c r="K16" i="5" s="1"/>
  <c r="C16" i="5"/>
  <c r="H15" i="5"/>
  <c r="I15" i="5" s="1"/>
  <c r="J15" i="5" s="1"/>
  <c r="K15" i="5" s="1"/>
  <c r="I14" i="5"/>
  <c r="J14" i="5" s="1"/>
  <c r="K14" i="5" s="1"/>
  <c r="H14" i="5"/>
  <c r="I13" i="5"/>
  <c r="J13" i="5" s="1"/>
  <c r="K13" i="5" s="1"/>
  <c r="H13" i="5"/>
  <c r="C13" i="5"/>
  <c r="I12" i="5"/>
  <c r="J12" i="5" s="1"/>
  <c r="K12" i="5" s="1"/>
  <c r="H12" i="5"/>
  <c r="H11" i="5"/>
  <c r="H10" i="5"/>
  <c r="I10" i="5" s="1"/>
  <c r="J10" i="5" s="1"/>
  <c r="K10" i="5" s="1"/>
  <c r="H9" i="5"/>
  <c r="I9" i="5" s="1"/>
  <c r="C9" i="5"/>
  <c r="C6" i="5"/>
  <c r="I3" i="5"/>
  <c r="I19" i="5" s="1"/>
  <c r="J19" i="5" s="1"/>
  <c r="K19" i="5" s="1"/>
  <c r="J37" i="4"/>
  <c r="P36" i="4"/>
  <c r="M36" i="4"/>
  <c r="L36" i="4"/>
  <c r="Q36" i="4" s="1"/>
  <c r="K36" i="4"/>
  <c r="J36" i="4"/>
  <c r="R35" i="4"/>
  <c r="K35" i="4"/>
  <c r="J35" i="4"/>
  <c r="M35" i="4" s="1"/>
  <c r="M34" i="4"/>
  <c r="L34" i="4"/>
  <c r="S34" i="4" s="1"/>
  <c r="J34" i="4"/>
  <c r="K34" i="4" s="1"/>
  <c r="P34" i="4" s="1"/>
  <c r="N33" i="4"/>
  <c r="K33" i="4"/>
  <c r="R33" i="4" s="1"/>
  <c r="J33" i="4"/>
  <c r="M33" i="4" s="1"/>
  <c r="P32" i="4"/>
  <c r="M32" i="4"/>
  <c r="L32" i="4"/>
  <c r="Q32" i="4" s="1"/>
  <c r="K32" i="4"/>
  <c r="J32" i="4"/>
  <c r="J31" i="4"/>
  <c r="L30" i="4"/>
  <c r="S30" i="4" s="1"/>
  <c r="K30" i="4"/>
  <c r="P30" i="4" s="1"/>
  <c r="J30" i="4"/>
  <c r="M30" i="4" s="1"/>
  <c r="D30" i="4"/>
  <c r="P29" i="4"/>
  <c r="M29" i="4"/>
  <c r="L29" i="4"/>
  <c r="Q29" i="4" s="1"/>
  <c r="K29" i="4"/>
  <c r="J29" i="4"/>
  <c r="M28" i="4"/>
  <c r="J28" i="4"/>
  <c r="K27" i="4"/>
  <c r="R27" i="4" s="1"/>
  <c r="J27" i="4"/>
  <c r="M27" i="4" s="1"/>
  <c r="P26" i="4"/>
  <c r="O26" i="4"/>
  <c r="L26" i="4"/>
  <c r="S26" i="4" s="1"/>
  <c r="K26" i="4"/>
  <c r="R26" i="4" s="1"/>
  <c r="J26" i="4"/>
  <c r="M26" i="4" s="1"/>
  <c r="Q25" i="4"/>
  <c r="P25" i="4"/>
  <c r="M25" i="4"/>
  <c r="L25" i="4"/>
  <c r="S25" i="4" s="1"/>
  <c r="J25" i="4"/>
  <c r="K25" i="4" s="1"/>
  <c r="D25" i="4"/>
  <c r="F25" i="4" s="1"/>
  <c r="Q24" i="4"/>
  <c r="M24" i="4"/>
  <c r="J24" i="4"/>
  <c r="L24" i="4" s="1"/>
  <c r="R23" i="4"/>
  <c r="N23" i="4"/>
  <c r="K23" i="4"/>
  <c r="J23" i="4"/>
  <c r="M23" i="4" s="1"/>
  <c r="D23" i="4"/>
  <c r="D27" i="4" s="1"/>
  <c r="K22" i="4"/>
  <c r="R22" i="4" s="1"/>
  <c r="J22" i="4"/>
  <c r="M22" i="4" s="1"/>
  <c r="D22" i="4"/>
  <c r="D26" i="4" s="1"/>
  <c r="J21" i="4"/>
  <c r="D21" i="4"/>
  <c r="D29" i="4" s="1"/>
  <c r="F29" i="4" s="1"/>
  <c r="F31" i="4" s="1"/>
  <c r="G31" i="4" s="1"/>
  <c r="Q20" i="4"/>
  <c r="M20" i="4"/>
  <c r="L20" i="4"/>
  <c r="S20" i="4" s="1"/>
  <c r="K20" i="4"/>
  <c r="P20" i="4" s="1"/>
  <c r="J20" i="4"/>
  <c r="D20" i="4"/>
  <c r="D24" i="4" s="1"/>
  <c r="F24" i="4" s="1"/>
  <c r="R19" i="4"/>
  <c r="M19" i="4"/>
  <c r="L19" i="4"/>
  <c r="Q19" i="4" s="1"/>
  <c r="J19" i="4"/>
  <c r="K19" i="4" s="1"/>
  <c r="P19" i="4" s="1"/>
  <c r="J18" i="4"/>
  <c r="M17" i="4"/>
  <c r="J17" i="4"/>
  <c r="S16" i="4"/>
  <c r="L16" i="4"/>
  <c r="Q16" i="4" s="1"/>
  <c r="K16" i="4"/>
  <c r="P16" i="4" s="1"/>
  <c r="J16" i="4"/>
  <c r="M16" i="4" s="1"/>
  <c r="B16" i="4"/>
  <c r="J15" i="4"/>
  <c r="Q14" i="4"/>
  <c r="P14" i="4"/>
  <c r="O14" i="4"/>
  <c r="M14" i="4"/>
  <c r="L14" i="4"/>
  <c r="S14" i="4" s="1"/>
  <c r="K14" i="4"/>
  <c r="R14" i="4" s="1"/>
  <c r="J14" i="4"/>
  <c r="E14" i="4"/>
  <c r="S13" i="4"/>
  <c r="O13" i="4"/>
  <c r="L13" i="4"/>
  <c r="Q13" i="4" s="1"/>
  <c r="J13" i="4"/>
  <c r="K13" i="4" s="1"/>
  <c r="R13" i="4" s="1"/>
  <c r="R12" i="4"/>
  <c r="O12" i="4"/>
  <c r="N12" i="4"/>
  <c r="M12" i="4"/>
  <c r="K12" i="4"/>
  <c r="P12" i="4" s="1"/>
  <c r="J12" i="4"/>
  <c r="L12" i="4" s="1"/>
  <c r="Q12" i="4" s="1"/>
  <c r="B12" i="4"/>
  <c r="R34" i="4" s="1"/>
  <c r="R11" i="4"/>
  <c r="N11" i="4"/>
  <c r="M11" i="4"/>
  <c r="K11" i="4"/>
  <c r="P11" i="4" s="1"/>
  <c r="J11" i="4"/>
  <c r="L11" i="4" s="1"/>
  <c r="Q11" i="4" s="1"/>
  <c r="E11" i="4"/>
  <c r="E12" i="4" s="1"/>
  <c r="B11" i="4"/>
  <c r="R10" i="4"/>
  <c r="N10" i="4"/>
  <c r="M10" i="4"/>
  <c r="K10" i="4"/>
  <c r="P10" i="4" s="1"/>
  <c r="J10" i="4"/>
  <c r="L10" i="4" s="1"/>
  <c r="Q10" i="4" s="1"/>
  <c r="B10" i="4"/>
  <c r="R9" i="4"/>
  <c r="Q9" i="4"/>
  <c r="N9" i="4"/>
  <c r="M9" i="4"/>
  <c r="L9" i="4"/>
  <c r="S9" i="4" s="1"/>
  <c r="J9" i="4"/>
  <c r="K9" i="4" s="1"/>
  <c r="P9" i="4" s="1"/>
  <c r="J8" i="4"/>
  <c r="M8" i="4" s="1"/>
  <c r="J7" i="4"/>
  <c r="S6" i="4"/>
  <c r="L6" i="4"/>
  <c r="Q6" i="4" s="1"/>
  <c r="K6" i="4"/>
  <c r="J6" i="4"/>
  <c r="M6" i="4" s="1"/>
  <c r="J5" i="4"/>
  <c r="S4" i="4"/>
  <c r="P4" i="4"/>
  <c r="O4" i="4"/>
  <c r="N4" i="4"/>
  <c r="L4" i="4"/>
  <c r="Q4" i="4" s="1"/>
  <c r="J4" i="4"/>
  <c r="K4" i="4" s="1"/>
  <c r="R4" i="4" s="1"/>
  <c r="M3" i="4"/>
  <c r="L3" i="4"/>
  <c r="S3" i="4" s="1"/>
  <c r="J3" i="4"/>
  <c r="K3" i="4" s="1"/>
  <c r="P3" i="4" s="1"/>
  <c r="B64" i="2"/>
  <c r="B66" i="2" s="1"/>
  <c r="B63" i="2"/>
  <c r="B52" i="2"/>
  <c r="B50" i="2"/>
  <c r="B43" i="2"/>
  <c r="B35" i="2"/>
  <c r="U33" i="1" s="1"/>
  <c r="Y33" i="1" s="1"/>
  <c r="F34" i="2"/>
  <c r="B32" i="2"/>
  <c r="G29" i="2"/>
  <c r="I25" i="2"/>
  <c r="H25" i="2"/>
  <c r="G25" i="2"/>
  <c r="H22" i="2"/>
  <c r="I22" i="2" s="1"/>
  <c r="G22" i="2"/>
  <c r="B22" i="2"/>
  <c r="H21" i="2"/>
  <c r="B21" i="2"/>
  <c r="G20" i="2"/>
  <c r="C5" i="2"/>
  <c r="C4" i="2"/>
  <c r="B49" i="2" s="1"/>
  <c r="C3" i="2"/>
  <c r="B56" i="2" s="1"/>
  <c r="H24" i="2" s="1"/>
  <c r="I24" i="2" s="1"/>
  <c r="G52" i="1"/>
  <c r="H51" i="1"/>
  <c r="G51" i="1" a="1"/>
  <c r="G51" i="1"/>
  <c r="U45" i="1"/>
  <c r="V45" i="1" s="1"/>
  <c r="Y44" i="1"/>
  <c r="V44" i="1"/>
  <c r="U44" i="1"/>
  <c r="Y43" i="1"/>
  <c r="U43" i="1"/>
  <c r="V43" i="1" s="1"/>
  <c r="U41" i="1"/>
  <c r="Y41" i="1" s="1"/>
  <c r="U40" i="1"/>
  <c r="Y40" i="1" s="1"/>
  <c r="Y39" i="1"/>
  <c r="V39" i="1"/>
  <c r="U39" i="1"/>
  <c r="U38" i="1"/>
  <c r="Y38" i="1" s="1"/>
  <c r="U37" i="1"/>
  <c r="Y37" i="1" s="1"/>
  <c r="U36" i="1"/>
  <c r="Y36" i="1" s="1"/>
  <c r="U35" i="1"/>
  <c r="Y35" i="1" s="1"/>
  <c r="U34" i="1"/>
  <c r="V34" i="1" s="1"/>
  <c r="Y28" i="1"/>
  <c r="U28" i="1"/>
  <c r="V28" i="1" s="1"/>
  <c r="Y27" i="1"/>
  <c r="V27" i="1"/>
  <c r="U27" i="1"/>
  <c r="U26" i="1"/>
  <c r="Y26" i="1" s="1"/>
  <c r="Y25" i="1"/>
  <c r="V25" i="1"/>
  <c r="U25" i="1"/>
  <c r="Y24" i="1"/>
  <c r="V24" i="1"/>
  <c r="U24" i="1"/>
  <c r="Y23" i="1"/>
  <c r="U23" i="1"/>
  <c r="V23" i="1" s="1"/>
  <c r="Y22" i="1"/>
  <c r="V22" i="1"/>
  <c r="U22" i="1"/>
  <c r="V21" i="1"/>
  <c r="U21" i="1"/>
  <c r="Y21" i="1" s="1"/>
  <c r="H21" i="1"/>
  <c r="V20" i="1"/>
  <c r="U20" i="1"/>
  <c r="Y20" i="1" s="1"/>
  <c r="U19" i="1"/>
  <c r="Y19" i="1" s="1"/>
  <c r="Y18" i="1"/>
  <c r="V18" i="1"/>
  <c r="U18" i="1"/>
  <c r="Y17" i="1"/>
  <c r="V17" i="1"/>
  <c r="U17" i="1"/>
  <c r="B17" i="1"/>
  <c r="H19" i="1" s="1"/>
  <c r="U16" i="1"/>
  <c r="V16" i="1" s="1"/>
  <c r="U15" i="1"/>
  <c r="Y15" i="1" s="1"/>
  <c r="B15" i="1"/>
  <c r="U14" i="1"/>
  <c r="Y14" i="1" s="1"/>
  <c r="H14" i="1"/>
  <c r="V13" i="1"/>
  <c r="U13" i="1"/>
  <c r="Y13" i="1" s="1"/>
  <c r="H13" i="1"/>
  <c r="Y12" i="1"/>
  <c r="V12" i="1"/>
  <c r="U12" i="1"/>
  <c r="U11" i="1"/>
  <c r="Y11" i="1" s="1"/>
  <c r="H11" i="1"/>
  <c r="U10" i="1"/>
  <c r="Y10" i="1" s="1"/>
  <c r="C10" i="1"/>
  <c r="U9" i="1"/>
  <c r="Y9" i="1" s="1"/>
  <c r="C9" i="1"/>
  <c r="V8" i="1"/>
  <c r="U8" i="1"/>
  <c r="Y8" i="1" s="1"/>
  <c r="H8" i="1"/>
  <c r="H26" i="1" s="1"/>
  <c r="C8" i="1"/>
  <c r="Y7" i="1"/>
  <c r="U7" i="1"/>
  <c r="V7" i="1" s="1"/>
  <c r="C7" i="1"/>
  <c r="Y6" i="1"/>
  <c r="U6" i="1"/>
  <c r="V6" i="1" s="1"/>
  <c r="C6" i="1"/>
  <c r="Y5" i="1"/>
  <c r="U5" i="1"/>
  <c r="V5" i="1" s="1"/>
  <c r="H5" i="1"/>
  <c r="C5" i="1"/>
  <c r="U4" i="1"/>
  <c r="Y4" i="1" s="1"/>
  <c r="C4" i="1"/>
  <c r="Y3" i="1"/>
  <c r="C3" i="1"/>
  <c r="C2" i="1"/>
  <c r="H31" i="1" l="1"/>
  <c r="A18" i="8"/>
  <c r="B20" i="8"/>
  <c r="G28" i="8"/>
  <c r="G2" i="8"/>
  <c r="G4" i="8"/>
  <c r="B53" i="2"/>
  <c r="G23" i="2" s="1"/>
  <c r="I23" i="2" s="1"/>
  <c r="H23" i="2"/>
  <c r="H32" i="1"/>
  <c r="H33" i="1" s="1"/>
  <c r="H30" i="1"/>
  <c r="H25" i="1"/>
  <c r="H28" i="1" s="1"/>
  <c r="H37" i="1" s="1"/>
  <c r="B31" i="8" s="1"/>
  <c r="B37" i="8" s="1"/>
  <c r="S20" i="1"/>
  <c r="T20" i="1" s="1"/>
  <c r="S11" i="1"/>
  <c r="T11" i="1" s="1"/>
  <c r="Q42" i="1"/>
  <c r="Q22" i="1"/>
  <c r="Q38" i="1"/>
  <c r="Q37" i="1"/>
  <c r="R37" i="1" s="1"/>
  <c r="Q27" i="1"/>
  <c r="Q11" i="1"/>
  <c r="Q10" i="1"/>
  <c r="Q9" i="1"/>
  <c r="R9" i="1" s="1"/>
  <c r="Q8" i="1"/>
  <c r="Q7" i="1"/>
  <c r="Q6" i="1"/>
  <c r="Q5" i="1"/>
  <c r="Q33" i="1"/>
  <c r="Q13" i="1"/>
  <c r="Q12" i="1"/>
  <c r="Q28" i="1"/>
  <c r="R28" i="1" s="1"/>
  <c r="Q23" i="1"/>
  <c r="Q14" i="1"/>
  <c r="Q4" i="1"/>
  <c r="R4" i="1" s="1"/>
  <c r="Q3" i="1"/>
  <c r="R3" i="1" s="1"/>
  <c r="Q15" i="1"/>
  <c r="Q43" i="1"/>
  <c r="Q34" i="1"/>
  <c r="Q39" i="1"/>
  <c r="Q29" i="1"/>
  <c r="Q24" i="1"/>
  <c r="Q16" i="1"/>
  <c r="Q17" i="1"/>
  <c r="R17" i="1" s="1"/>
  <c r="Q44" i="1"/>
  <c r="Q35" i="1"/>
  <c r="Q30" i="1"/>
  <c r="R30" i="1" s="1"/>
  <c r="Q25" i="1"/>
  <c r="R25" i="1" s="1"/>
  <c r="Q40" i="1"/>
  <c r="Q18" i="1"/>
  <c r="Q31" i="1"/>
  <c r="Q26" i="1"/>
  <c r="Q19" i="1"/>
  <c r="Q45" i="1"/>
  <c r="Q36" i="1"/>
  <c r="Q41" i="1"/>
  <c r="R41" i="1" s="1"/>
  <c r="Q32" i="1"/>
  <c r="Q21" i="1"/>
  <c r="Q20" i="1"/>
  <c r="R20" i="1" s="1"/>
  <c r="G57" i="1"/>
  <c r="L7" i="4"/>
  <c r="K7" i="4"/>
  <c r="S28" i="6"/>
  <c r="S33" i="6"/>
  <c r="M7" i="4"/>
  <c r="M21" i="4"/>
  <c r="K21" i="4"/>
  <c r="V3" i="1"/>
  <c r="V4" i="1"/>
  <c r="V15" i="1"/>
  <c r="V38" i="1"/>
  <c r="F27" i="4"/>
  <c r="G27" i="4" s="1"/>
  <c r="G25" i="4"/>
  <c r="V14" i="1"/>
  <c r="Y16" i="1"/>
  <c r="V33" i="1"/>
  <c r="Y34" i="1"/>
  <c r="S12" i="4"/>
  <c r="R16" i="4"/>
  <c r="N19" i="4"/>
  <c r="L21" i="4"/>
  <c r="N27" i="4"/>
  <c r="S5" i="6"/>
  <c r="S23" i="6"/>
  <c r="M5" i="4"/>
  <c r="L5" i="4"/>
  <c r="O5" i="4" s="1"/>
  <c r="K5" i="4"/>
  <c r="V9" i="1"/>
  <c r="V10" i="1"/>
  <c r="V11" i="1"/>
  <c r="V37" i="1"/>
  <c r="V41" i="1"/>
  <c r="K8" i="4"/>
  <c r="O11" i="4"/>
  <c r="L17" i="4"/>
  <c r="K17" i="4"/>
  <c r="L28" i="4"/>
  <c r="Q28" i="4" s="1"/>
  <c r="K28" i="4"/>
  <c r="H20" i="2"/>
  <c r="I20" i="2" s="1"/>
  <c r="I26" i="2" s="1"/>
  <c r="I27" i="2" s="1"/>
  <c r="C11" i="2"/>
  <c r="C8" i="2" s="1"/>
  <c r="L8" i="4"/>
  <c r="N13" i="4"/>
  <c r="M15" i="4"/>
  <c r="L15" i="4"/>
  <c r="G24" i="4"/>
  <c r="F26" i="4"/>
  <c r="G26" i="4" s="1"/>
  <c r="V26" i="1"/>
  <c r="V36" i="1"/>
  <c r="Y45" i="1"/>
  <c r="N3" i="4"/>
  <c r="S11" i="4"/>
  <c r="K15" i="4"/>
  <c r="D31" i="4"/>
  <c r="M37" i="4"/>
  <c r="L37" i="4"/>
  <c r="S37" i="4" s="1"/>
  <c r="K37" i="4"/>
  <c r="R37" i="4" s="1"/>
  <c r="S15" i="6"/>
  <c r="V19" i="1"/>
  <c r="V40" i="1"/>
  <c r="C13" i="2"/>
  <c r="Q3" i="4"/>
  <c r="O10" i="4"/>
  <c r="P13" i="4"/>
  <c r="M18" i="4"/>
  <c r="K18" i="4"/>
  <c r="N18" i="4" s="1"/>
  <c r="G29" i="4"/>
  <c r="M31" i="4"/>
  <c r="L31" i="4"/>
  <c r="S31" i="4" s="1"/>
  <c r="R7" i="6"/>
  <c r="S42" i="6"/>
  <c r="C14" i="2"/>
  <c r="R3" i="4"/>
  <c r="N6" i="4"/>
  <c r="P6" i="4"/>
  <c r="L18" i="4"/>
  <c r="K31" i="4"/>
  <c r="R31" i="4" s="1"/>
  <c r="S20" i="6"/>
  <c r="R20" i="6"/>
  <c r="V35" i="1"/>
  <c r="S10" i="4"/>
  <c r="N22" i="4"/>
  <c r="R37" i="6"/>
  <c r="R6" i="4"/>
  <c r="P33" i="4"/>
  <c r="J9" i="5"/>
  <c r="K9" i="5" s="1"/>
  <c r="L9" i="5"/>
  <c r="R32" i="6"/>
  <c r="S38" i="6"/>
  <c r="S44" i="6"/>
  <c r="C15" i="2"/>
  <c r="F21" i="4"/>
  <c r="S4" i="6"/>
  <c r="Q6" i="6"/>
  <c r="O11" i="6"/>
  <c r="R11" i="6" s="1"/>
  <c r="P14" i="6"/>
  <c r="S14" i="6" s="1"/>
  <c r="P17" i="6"/>
  <c r="S17" i="6" s="1"/>
  <c r="P22" i="6"/>
  <c r="S22" i="6" s="1"/>
  <c r="Q24" i="6"/>
  <c r="Q29" i="6"/>
  <c r="P32" i="6"/>
  <c r="S32" i="6" s="1"/>
  <c r="P37" i="6"/>
  <c r="S37" i="6" s="1"/>
  <c r="Q39" i="6"/>
  <c r="O44" i="6"/>
  <c r="R44" i="6" s="1"/>
  <c r="U42" i="1"/>
  <c r="B37" i="2"/>
  <c r="B39" i="2" s="1"/>
  <c r="G21" i="2" s="1"/>
  <c r="I21" i="2" s="1"/>
  <c r="M4" i="4"/>
  <c r="M13" i="4"/>
  <c r="N14" i="4"/>
  <c r="L23" i="4"/>
  <c r="K24" i="4"/>
  <c r="D28" i="4"/>
  <c r="R29" i="4"/>
  <c r="Q30" i="4"/>
  <c r="P31" i="4"/>
  <c r="R32" i="4"/>
  <c r="L35" i="4"/>
  <c r="S35" i="4" s="1"/>
  <c r="N36" i="4"/>
  <c r="P37" i="4"/>
  <c r="Q1" i="6"/>
  <c r="Q19" i="6"/>
  <c r="O24" i="6"/>
  <c r="R24" i="6" s="1"/>
  <c r="O29" i="6"/>
  <c r="R29" i="6" s="1"/>
  <c r="Q34" i="6"/>
  <c r="O39" i="6"/>
  <c r="R39" i="6" s="1"/>
  <c r="P44" i="6"/>
  <c r="F28" i="4"/>
  <c r="S29" i="4"/>
  <c r="R30" i="4"/>
  <c r="Q31" i="4"/>
  <c r="S32" i="4"/>
  <c r="O36" i="4"/>
  <c r="P6" i="6"/>
  <c r="S6" i="6" s="1"/>
  <c r="O19" i="6"/>
  <c r="R19" i="6" s="1"/>
  <c r="P24" i="6"/>
  <c r="S24" i="6" s="1"/>
  <c r="Q26" i="6"/>
  <c r="P29" i="6"/>
  <c r="S29" i="6" s="1"/>
  <c r="O34" i="6"/>
  <c r="P39" i="6"/>
  <c r="S39" i="6" s="1"/>
  <c r="Q44" i="6"/>
  <c r="N35" i="4"/>
  <c r="Q28" i="6"/>
  <c r="Q43" i="6"/>
  <c r="O3" i="4"/>
  <c r="O9" i="4"/>
  <c r="O19" i="4"/>
  <c r="N20" i="4"/>
  <c r="L22" i="4"/>
  <c r="P23" i="4"/>
  <c r="O24" i="4"/>
  <c r="N25" i="4"/>
  <c r="L27" i="4"/>
  <c r="L33" i="4"/>
  <c r="N34" i="4"/>
  <c r="P35" i="4"/>
  <c r="R36" i="4"/>
  <c r="P3" i="6"/>
  <c r="S3" i="6" s="1"/>
  <c r="Q5" i="6"/>
  <c r="Q8" i="6"/>
  <c r="O10" i="6"/>
  <c r="R10" i="6" s="1"/>
  <c r="P13" i="6"/>
  <c r="S13" i="6" s="1"/>
  <c r="Q16" i="6"/>
  <c r="P21" i="6"/>
  <c r="S21" i="6" s="1"/>
  <c r="O28" i="6"/>
  <c r="R28" i="6" s="1"/>
  <c r="P31" i="6"/>
  <c r="S31" i="6" s="1"/>
  <c r="R34" i="6"/>
  <c r="P36" i="6"/>
  <c r="S36" i="6" s="1"/>
  <c r="Q38" i="6"/>
  <c r="Q41" i="6"/>
  <c r="O43" i="6"/>
  <c r="O20" i="4"/>
  <c r="N21" i="4"/>
  <c r="O25" i="4"/>
  <c r="N26" i="4"/>
  <c r="O34" i="4"/>
  <c r="Q35" i="4"/>
  <c r="S36" i="4"/>
  <c r="I11" i="5"/>
  <c r="J11" i="5" s="1"/>
  <c r="K11" i="5" s="1"/>
  <c r="Q3" i="6"/>
  <c r="O5" i="6"/>
  <c r="R5" i="6" s="1"/>
  <c r="P10" i="6"/>
  <c r="S10" i="6" s="1"/>
  <c r="O18" i="6"/>
  <c r="O23" i="6"/>
  <c r="P28" i="6"/>
  <c r="Q31" i="6"/>
  <c r="Q33" i="6"/>
  <c r="O38" i="6"/>
  <c r="R38" i="6" s="1"/>
  <c r="P43" i="6"/>
  <c r="S43" i="6" s="1"/>
  <c r="Q45" i="6"/>
  <c r="O45" i="6"/>
  <c r="R45" i="6" s="1"/>
  <c r="O33" i="4"/>
  <c r="Q34" i="4"/>
  <c r="O7" i="6"/>
  <c r="O12" i="6"/>
  <c r="R12" i="6" s="1"/>
  <c r="P15" i="6"/>
  <c r="Q18" i="6"/>
  <c r="Q20" i="6"/>
  <c r="Q23" i="6"/>
  <c r="O25" i="6"/>
  <c r="R25" i="6" s="1"/>
  <c r="Q30" i="6"/>
  <c r="P33" i="6"/>
  <c r="Q35" i="6"/>
  <c r="O40" i="6"/>
  <c r="R40" i="6" s="1"/>
  <c r="R43" i="6"/>
  <c r="P45" i="6"/>
  <c r="S45" i="6" s="1"/>
  <c r="U29" i="1"/>
  <c r="U30" i="1"/>
  <c r="U31" i="1"/>
  <c r="U32" i="1"/>
  <c r="E13" i="4"/>
  <c r="Q18" i="4"/>
  <c r="S19" i="4"/>
  <c r="R20" i="4"/>
  <c r="Q21" i="4"/>
  <c r="P22" i="4"/>
  <c r="S24" i="4"/>
  <c r="R25" i="4"/>
  <c r="Q26" i="4"/>
  <c r="P27" i="4"/>
  <c r="N29" i="4"/>
  <c r="N32" i="4"/>
  <c r="P7" i="6"/>
  <c r="S7" i="6" s="1"/>
  <c r="Q9" i="6"/>
  <c r="P12" i="6"/>
  <c r="S12" i="6" s="1"/>
  <c r="Q15" i="6"/>
  <c r="R18" i="6"/>
  <c r="O20" i="6"/>
  <c r="R23" i="6"/>
  <c r="P25" i="6"/>
  <c r="S25" i="6" s="1"/>
  <c r="Q27" i="6"/>
  <c r="O30" i="6"/>
  <c r="R30" i="6" s="1"/>
  <c r="O35" i="6"/>
  <c r="R35" i="6" s="1"/>
  <c r="P40" i="6"/>
  <c r="S40" i="6" s="1"/>
  <c r="Q42" i="6"/>
  <c r="N16" i="4"/>
  <c r="O29" i="4"/>
  <c r="N30" i="4"/>
  <c r="O32" i="4"/>
  <c r="Q4" i="6"/>
  <c r="O9" i="6"/>
  <c r="R9" i="6" s="1"/>
  <c r="Q12" i="6"/>
  <c r="Q14" i="6"/>
  <c r="Q17" i="6"/>
  <c r="P20" i="6"/>
  <c r="Q22" i="6"/>
  <c r="E8" i="8" s="1" a="1"/>
  <c r="Q25" i="6"/>
  <c r="O27" i="6"/>
  <c r="R27" i="6" s="1"/>
  <c r="P30" i="6"/>
  <c r="S30" i="6" s="1"/>
  <c r="Q32" i="6"/>
  <c r="R33" i="6"/>
  <c r="P35" i="6"/>
  <c r="S35" i="6" s="1"/>
  <c r="Q37" i="6"/>
  <c r="Q40" i="6"/>
  <c r="O42" i="6"/>
  <c r="R42" i="6" s="1"/>
  <c r="O6" i="4"/>
  <c r="N15" i="4"/>
  <c r="O16" i="4"/>
  <c r="F20" i="4"/>
  <c r="O30" i="4"/>
  <c r="N31" i="4"/>
  <c r="O4" i="6"/>
  <c r="Q11" i="6"/>
  <c r="O14" i="6"/>
  <c r="R14" i="6" s="1"/>
  <c r="O17" i="6"/>
  <c r="R17" i="6" s="1"/>
  <c r="O22" i="6"/>
  <c r="R22" i="6" s="1"/>
  <c r="P27" i="6"/>
  <c r="S27" i="6" s="1"/>
  <c r="O32" i="6"/>
  <c r="S37" i="1" l="1"/>
  <c r="T37" i="1" s="1"/>
  <c r="S32" i="1"/>
  <c r="T32" i="1" s="1"/>
  <c r="R10" i="1"/>
  <c r="S29" i="1"/>
  <c r="T29" i="1" s="1"/>
  <c r="S38" i="1"/>
  <c r="T38" i="1" s="1"/>
  <c r="S26" i="1"/>
  <c r="T26" i="1" s="1"/>
  <c r="S44" i="1"/>
  <c r="T44" i="1" s="1"/>
  <c r="S45" i="1"/>
  <c r="T45" i="1" s="1"/>
  <c r="R32" i="1"/>
  <c r="R44" i="1"/>
  <c r="S21" i="1"/>
  <c r="T21" i="1" s="1"/>
  <c r="S23" i="1"/>
  <c r="T23" i="1" s="1"/>
  <c r="S4" i="1"/>
  <c r="T4" i="1" s="1"/>
  <c r="S19" i="1"/>
  <c r="T19" i="1" s="1"/>
  <c r="S5" i="1"/>
  <c r="T5" i="1" s="1"/>
  <c r="R19" i="1"/>
  <c r="X19" i="1" s="1"/>
  <c r="R29" i="1"/>
  <c r="X29" i="1" s="1"/>
  <c r="R33" i="1"/>
  <c r="X33" i="1" s="1"/>
  <c r="R42" i="1"/>
  <c r="X42" i="1" s="1"/>
  <c r="S18" i="1"/>
  <c r="T18" i="1" s="1"/>
  <c r="S6" i="1"/>
  <c r="T6" i="1" s="1"/>
  <c r="R26" i="1"/>
  <c r="X26" i="1" s="1"/>
  <c r="R39" i="1"/>
  <c r="R5" i="1"/>
  <c r="X5" i="1" s="1"/>
  <c r="S12" i="1"/>
  <c r="T12" i="1" s="1"/>
  <c r="S30" i="1"/>
  <c r="T30" i="1" s="1"/>
  <c r="S7" i="1"/>
  <c r="T7" i="1" s="1"/>
  <c r="S22" i="1"/>
  <c r="T22" i="1" s="1"/>
  <c r="R18" i="1"/>
  <c r="R43" i="1"/>
  <c r="X43" i="1" s="1"/>
  <c r="R7" i="1"/>
  <c r="X7" i="1" s="1"/>
  <c r="S8" i="1"/>
  <c r="T8" i="1" s="1"/>
  <c r="S39" i="1"/>
  <c r="T39" i="1" s="1"/>
  <c r="S40" i="1"/>
  <c r="T40" i="1" s="1"/>
  <c r="S17" i="1"/>
  <c r="T17" i="1" s="1"/>
  <c r="R40" i="1"/>
  <c r="X40" i="1" s="1"/>
  <c r="R15" i="1"/>
  <c r="R8" i="1"/>
  <c r="X8" i="1" s="1"/>
  <c r="S10" i="1"/>
  <c r="T10" i="1" s="1"/>
  <c r="S16" i="1"/>
  <c r="T16" i="1" s="1"/>
  <c r="S24" i="1"/>
  <c r="T24" i="1" s="1"/>
  <c r="F8" i="8" a="1"/>
  <c r="F8" i="8" s="1"/>
  <c r="E8" i="8"/>
  <c r="W35" i="1"/>
  <c r="W44" i="1"/>
  <c r="W26" i="1"/>
  <c r="W25" i="1"/>
  <c r="W24" i="1"/>
  <c r="W43" i="1"/>
  <c r="W39" i="1"/>
  <c r="W29" i="1"/>
  <c r="W17" i="1"/>
  <c r="W30" i="1"/>
  <c r="X30" i="1" s="1"/>
  <c r="W18" i="1"/>
  <c r="W10" i="1"/>
  <c r="X10" i="1" s="1"/>
  <c r="W33" i="1"/>
  <c r="W40" i="1"/>
  <c r="W19" i="1"/>
  <c r="W36" i="1"/>
  <c r="W31" i="1"/>
  <c r="W21" i="1"/>
  <c r="W20" i="1"/>
  <c r="W45" i="1"/>
  <c r="W41" i="1"/>
  <c r="X41" i="1" s="1"/>
  <c r="W37" i="1"/>
  <c r="W32" i="1"/>
  <c r="X32" i="1" s="1"/>
  <c r="W11" i="1"/>
  <c r="W9" i="1"/>
  <c r="W7" i="1"/>
  <c r="W5" i="1"/>
  <c r="W27" i="1"/>
  <c r="W22" i="1"/>
  <c r="W13" i="1"/>
  <c r="W12" i="1"/>
  <c r="W8" i="1"/>
  <c r="W14" i="1"/>
  <c r="W42" i="1"/>
  <c r="W38" i="1"/>
  <c r="W28" i="1"/>
  <c r="X28" i="1" s="1"/>
  <c r="W15" i="1"/>
  <c r="W4" i="1"/>
  <c r="W3" i="1"/>
  <c r="W23" i="1"/>
  <c r="G30" i="2"/>
  <c r="F35" i="2" s="1"/>
  <c r="W34" i="1"/>
  <c r="W16" i="1"/>
  <c r="W6" i="1"/>
  <c r="Y30" i="1"/>
  <c r="V30" i="1"/>
  <c r="O15" i="4"/>
  <c r="S15" i="4"/>
  <c r="Q15" i="4"/>
  <c r="P17" i="4"/>
  <c r="R17" i="4"/>
  <c r="N17" i="4"/>
  <c r="N37" i="4"/>
  <c r="P7" i="4"/>
  <c r="R7" i="4"/>
  <c r="N7" i="4"/>
  <c r="R31" i="1"/>
  <c r="R34" i="1"/>
  <c r="X34" i="1" s="1"/>
  <c r="AA34" i="1" s="1"/>
  <c r="R6" i="1"/>
  <c r="X6" i="1" s="1"/>
  <c r="S27" i="1"/>
  <c r="T27" i="1" s="1"/>
  <c r="S35" i="1"/>
  <c r="T35" i="1" s="1"/>
  <c r="S3" i="1"/>
  <c r="T3" i="1" s="1"/>
  <c r="S25" i="1"/>
  <c r="T25" i="1" s="1"/>
  <c r="Y32" i="1"/>
  <c r="V32" i="1"/>
  <c r="P28" i="4"/>
  <c r="R28" i="4"/>
  <c r="N28" i="4"/>
  <c r="Y29" i="1"/>
  <c r="V29" i="1"/>
  <c r="N5" i="4"/>
  <c r="R5" i="4"/>
  <c r="P5" i="4"/>
  <c r="Q7" i="4"/>
  <c r="S7" i="4"/>
  <c r="Q22" i="4"/>
  <c r="U22" i="4" s="1" a="1"/>
  <c r="S22" i="4"/>
  <c r="O22" i="4"/>
  <c r="S5" i="4"/>
  <c r="Q5" i="4"/>
  <c r="X15" i="1"/>
  <c r="X25" i="1"/>
  <c r="X3" i="1"/>
  <c r="X9" i="1"/>
  <c r="X4" i="1"/>
  <c r="S28" i="4"/>
  <c r="O31" i="4"/>
  <c r="S18" i="4"/>
  <c r="O18" i="4"/>
  <c r="R21" i="1"/>
  <c r="X21" i="1" s="1"/>
  <c r="R35" i="1"/>
  <c r="X35" i="1" s="1"/>
  <c r="R14" i="1"/>
  <c r="X14" i="1" s="1"/>
  <c r="R11" i="1"/>
  <c r="X11" i="1" s="1"/>
  <c r="S13" i="1"/>
  <c r="T13" i="1" s="1"/>
  <c r="S41" i="1"/>
  <c r="T41" i="1" s="1"/>
  <c r="S43" i="1"/>
  <c r="T43" i="1" s="1"/>
  <c r="S14" i="1"/>
  <c r="T14" i="1" s="1"/>
  <c r="O37" i="4"/>
  <c r="Q33" i="4"/>
  <c r="S33" i="4"/>
  <c r="O35" i="4"/>
  <c r="F23" i="4"/>
  <c r="G23" i="4" s="1"/>
  <c r="G21" i="4"/>
  <c r="P15" i="4"/>
  <c r="R15" i="4"/>
  <c r="R21" i="4"/>
  <c r="P21" i="4"/>
  <c r="X44" i="1"/>
  <c r="R23" i="1"/>
  <c r="X23" i="1" s="1"/>
  <c r="R27" i="1"/>
  <c r="X27" i="1" s="1"/>
  <c r="S28" i="1"/>
  <c r="T28" i="1" s="1"/>
  <c r="G28" i="4"/>
  <c r="F30" i="4"/>
  <c r="G30" i="4" s="1"/>
  <c r="R8" i="4"/>
  <c r="P8" i="4"/>
  <c r="Q27" i="4"/>
  <c r="S27" i="4"/>
  <c r="O27" i="4"/>
  <c r="P24" i="4"/>
  <c r="N24" i="4"/>
  <c r="R24" i="4"/>
  <c r="X17" i="1"/>
  <c r="X37" i="1"/>
  <c r="Y31" i="1"/>
  <c r="V31" i="1"/>
  <c r="Q17" i="4"/>
  <c r="S17" i="4"/>
  <c r="F22" i="4"/>
  <c r="G22" i="4" s="1"/>
  <c r="G20" i="4"/>
  <c r="Y42" i="1"/>
  <c r="V42" i="1"/>
  <c r="S8" i="4"/>
  <c r="Q8" i="4"/>
  <c r="O8" i="4"/>
  <c r="X20" i="1"/>
  <c r="O17" i="4"/>
  <c r="N8" i="4"/>
  <c r="Q37" i="4"/>
  <c r="Q23" i="4"/>
  <c r="S23" i="4"/>
  <c r="O23" i="4"/>
  <c r="S21" i="4"/>
  <c r="O21" i="4"/>
  <c r="R36" i="1"/>
  <c r="X36" i="1" s="1"/>
  <c r="R16" i="1"/>
  <c r="X16" i="1" s="1"/>
  <c r="Z16" i="1" s="1"/>
  <c r="R12" i="1"/>
  <c r="X12" i="1" s="1"/>
  <c r="R38" i="1"/>
  <c r="X38" i="1" s="1"/>
  <c r="S33" i="1"/>
  <c r="T33" i="1" s="1"/>
  <c r="S31" i="1"/>
  <c r="T31" i="1" s="1"/>
  <c r="S34" i="1"/>
  <c r="T34" i="1" s="1"/>
  <c r="S42" i="1"/>
  <c r="T42" i="1" s="1"/>
  <c r="R18" i="4"/>
  <c r="P18" i="4"/>
  <c r="O28" i="4"/>
  <c r="O7" i="4"/>
  <c r="R45" i="1"/>
  <c r="X45" i="1" s="1"/>
  <c r="AA45" i="1" s="1"/>
  <c r="R24" i="1"/>
  <c r="X24" i="1" s="1"/>
  <c r="R13" i="1"/>
  <c r="X13" i="1" s="1"/>
  <c r="R22" i="1"/>
  <c r="X22" i="1" s="1"/>
  <c r="S9" i="1"/>
  <c r="T9" i="1" s="1"/>
  <c r="S36" i="1"/>
  <c r="T36" i="1" s="1"/>
  <c r="S15" i="1"/>
  <c r="T15" i="1" s="1"/>
  <c r="Z34" i="1" l="1"/>
  <c r="X18" i="1"/>
  <c r="AA18" i="1" s="1"/>
  <c r="G54" i="1" a="1"/>
  <c r="H54" i="1" s="1"/>
  <c r="X39" i="1"/>
  <c r="G9" i="8"/>
  <c r="G10" i="8"/>
  <c r="G8" i="8"/>
  <c r="U26" i="4"/>
  <c r="U25" i="4"/>
  <c r="U23" i="4"/>
  <c r="U22" i="4"/>
  <c r="U24" i="4"/>
  <c r="U27" i="4"/>
  <c r="AA41" i="1"/>
  <c r="Z41" i="1"/>
  <c r="AA10" i="1"/>
  <c r="Z10" i="1"/>
  <c r="Z39" i="1"/>
  <c r="AA39" i="1"/>
  <c r="Z28" i="1"/>
  <c r="AA28" i="1"/>
  <c r="Z18" i="1"/>
  <c r="AA20" i="1"/>
  <c r="Z20" i="1"/>
  <c r="AA9" i="1"/>
  <c r="Z9" i="1"/>
  <c r="Z33" i="1"/>
  <c r="AA33" i="1"/>
  <c r="AA25" i="1"/>
  <c r="Z25" i="1"/>
  <c r="AA21" i="1"/>
  <c r="Z21" i="1"/>
  <c r="AA16" i="1"/>
  <c r="Z15" i="1"/>
  <c r="AA15" i="1"/>
  <c r="Z3" i="1"/>
  <c r="AA3" i="1"/>
  <c r="Z19" i="1"/>
  <c r="AA19" i="1"/>
  <c r="AA11" i="1"/>
  <c r="Z11" i="1"/>
  <c r="Z45" i="1"/>
  <c r="Z14" i="1"/>
  <c r="AA14" i="1"/>
  <c r="AA32" i="1"/>
  <c r="Z32" i="1"/>
  <c r="Z6" i="1"/>
  <c r="AA6" i="1"/>
  <c r="Z23" i="1"/>
  <c r="AA23" i="1"/>
  <c r="AA37" i="1"/>
  <c r="Z37" i="1"/>
  <c r="AA44" i="1"/>
  <c r="Z44" i="1"/>
  <c r="AA43" i="1"/>
  <c r="Z43" i="1"/>
  <c r="AA29" i="1"/>
  <c r="Z29" i="1"/>
  <c r="X31" i="1"/>
  <c r="Z31" i="1" s="1"/>
  <c r="Z30" i="1"/>
  <c r="AA30" i="1"/>
  <c r="Z40" i="1"/>
  <c r="AA40" i="1"/>
  <c r="Z5" i="1"/>
  <c r="AA5" i="1"/>
  <c r="Z38" i="1"/>
  <c r="AA38" i="1"/>
  <c r="AA12" i="1"/>
  <c r="Z12" i="1"/>
  <c r="AA35" i="1"/>
  <c r="Z35" i="1"/>
  <c r="Z36" i="1"/>
  <c r="AA36" i="1"/>
  <c r="AA8" i="1"/>
  <c r="Z8" i="1"/>
  <c r="AA42" i="1"/>
  <c r="Z42" i="1"/>
  <c r="AA22" i="1"/>
  <c r="Z22" i="1"/>
  <c r="AA13" i="1"/>
  <c r="Z13" i="1"/>
  <c r="Z4" i="1"/>
  <c r="AA4" i="1"/>
  <c r="Z7" i="1"/>
  <c r="AA7" i="1"/>
  <c r="Z17" i="1"/>
  <c r="AA17" i="1"/>
  <c r="Z27" i="1"/>
  <c r="AA27" i="1"/>
  <c r="Z24" i="1"/>
  <c r="AA24" i="1"/>
  <c r="AA26" i="1"/>
  <c r="Z26" i="1"/>
  <c r="H8" i="8" l="1"/>
  <c r="N41" i="10"/>
  <c r="H10" i="8"/>
  <c r="N43" i="10"/>
  <c r="H9" i="8"/>
  <c r="N42" i="10"/>
  <c r="G54" i="1"/>
  <c r="G55" i="1" s="1"/>
  <c r="AA3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0" authorId="0" shapeId="0" xr:uid="{00000000-0006-0000-01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dla kąta natarcia = -1 deg
----
dla kąta natarcia -1 deg
	-Marek Polewski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5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nie jestem pewien, nie wiem skąd wziąć z_c nigdzie w projektach nie było liczone
	-Marek Polewski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<sst xmlns="http://schemas.openxmlformats.org/spreadsheetml/2006/main" count="536" uniqueCount="405">
  <si>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</si>
  <si>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</si>
  <si>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</si>
  <si>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</si>
  <si>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</si>
  <si>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</si>
  <si>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</si>
  <si>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</si>
  <si>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</si>
  <si>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</si>
  <si>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</si>
  <si>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</si>
  <si>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</si>
  <si>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</si>
  <si>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</si>
  <si>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</si>
  <si>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</si>
  <si>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</si>
  <si>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</si>
  <si>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</si>
  <si>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</si>
  <si>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</si>
  <si>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</si>
  <si>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</si>
  <si>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</si>
  <si>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</si>
  <si>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</si>
  <si>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</si>
  <si>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</si>
  <si>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</si>
  <si>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</si>
  <si>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</si>
  <si>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</si>
  <si>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</si>
  <si>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</si>
  <si>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</si>
  <si>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</si>
  <si>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</si>
  <si>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</si>
  <si>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</si>
  <si>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</si>
  <si>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</si>
  <si>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</si>
  <si>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</si>
  <si>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</si>
  <si>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</si>
  <si>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</si>
  <si>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</si>
  <si>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</si>
  <si>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</si>
  <si>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</si>
  <si>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</si>
  <si>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</si>
  <si>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</si>
  <si>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</si>
  <si>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</si>
  <si>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</si>
  <si>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</si>
  <si>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</si>
  <si>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</si>
  <si>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</si>
  <si>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</si>
  <si>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</si>
  <si>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</si>
  <si>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</si>
  <si>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</si>
  <si>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</si>
  <si>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</si>
  <si>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</si>
  <si>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</si>
  <si>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</si>
  <si>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</si>
  <si>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</si>
  <si>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</si>
  <si>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</si>
  <si>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</si>
  <si>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</si>
  <si>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</si>
  <si>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</si>
  <si>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</si>
  <si>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</si>
  <si>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</si>
  <si>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</si>
  <si>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</si>
  <si>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</si>
  <si>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</si>
  <si>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</si>
  <si>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</si>
  <si>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</si>
  <si>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</si>
  <si>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</si>
  <si>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</si>
  <si>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</si>
  <si>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</si>
  <si>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</si>
  <si>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</si>
  <si>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</si>
  <si>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</si>
  <si>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</si>
  <si>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</si>
  <si>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</si>
  <si>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</si>
  <si>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</si>
  <si>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</si>
  <si>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</si>
  <si>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</si>
  <si>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</si>
  <si>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</si>
  <si>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</si>
  <si>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</si>
  <si>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</si>
  <si>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</si>
  <si>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</si>
  <si>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</si>
  <si>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</si>
  <si>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</si>
  <si>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</si>
  <si>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</si>
  <si>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</si>
  <si>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</si>
  <si>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</si>
  <si>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</si>
  <si>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</si>
  <si>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</si>
  <si>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</si>
  <si>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</si>
  <si>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</si>
  <si>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</si>
  <si>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</si>
  <si>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b/>
        <sz val="11"/>
        <color theme="1"/>
        <rFont val="arial, sans-serif"/>
      </rPr>
      <t xml:space="preserve">ζ -  </t>
    </r>
    <r>
      <rPr>
        <sz val="11"/>
        <color theme="1"/>
        <rFont val="arial, sans-serif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</si>
  <si>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</si>
  <si>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</si>
  <si>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</si>
  <si>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</si>
  <si>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</si>
  <si>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</si>
  <si>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</si>
  <si>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</si>
  <si>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</si>
  <si>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</si>
  <si>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</si>
  <si>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</si>
  <si>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</si>
  <si>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</si>
  <si>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</si>
  <si>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</si>
  <si>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</si>
  <si>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</si>
  <si>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</si>
  <si>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</si>
  <si>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</si>
  <si>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</si>
  <si>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</si>
  <si>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</si>
  <si>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</si>
  <si>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</si>
  <si>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</si>
  <si>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</si>
  <si>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</si>
  <si>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</si>
  <si>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</si>
  <si>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</si>
  <si>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</si>
  <si>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</si>
  <si>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</si>
  <si>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</si>
  <si>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</si>
  <si>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</si>
  <si>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</si>
  <si>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</si>
  <si>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</si>
  <si>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</si>
  <si>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</si>
  <si>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</si>
  <si>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</si>
  <si>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</si>
  <si>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</si>
  <si>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</si>
  <si>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</si>
  <si>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</si>
  <si>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</si>
  <si>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</si>
  <si>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</si>
  <si>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</si>
  <si>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</si>
  <si>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</si>
  <si>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</si>
  <si>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</si>
  <si>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</si>
  <si>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</si>
  <si>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</si>
  <si>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</si>
  <si>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</si>
  <si>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</si>
  <si>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</si>
  <si>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</si>
  <si>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</si>
  <si>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</si>
  <si>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</si>
  <si>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</si>
  <si>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</si>
  <si>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</si>
  <si>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</si>
  <si>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</si>
  <si>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</si>
  <si>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</si>
  <si>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</si>
  <si>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</si>
  <si>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</si>
  <si>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</si>
  <si>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</si>
  <si>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</si>
  <si>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</si>
  <si>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</si>
  <si>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</si>
  <si>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</si>
  <si>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</si>
  <si>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</si>
  <si>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</si>
  <si>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</si>
  <si>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</si>
  <si>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</si>
  <si>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</si>
  <si>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</si>
  <si>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</si>
  <si>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</si>
  <si>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</si>
  <si>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</si>
  <si>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</si>
  <si>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</si>
  <si>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</si>
  <si>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</si>
  <si>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</si>
  <si>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</si>
  <si>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</si>
  <si>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</si>
  <si>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</si>
  <si>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</si>
  <si>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</si>
  <si>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</si>
  <si>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</si>
  <si>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</si>
  <si>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</si>
  <si>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</si>
  <si>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</si>
  <si>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</si>
  <si>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</si>
  <si>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</si>
  <si>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</si>
  <si>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</si>
  <si>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</si>
  <si>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</si>
  <si>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</si>
  <si>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</si>
  <si>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</si>
  <si>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</si>
  <si>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</si>
  <si>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</si>
  <si>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</si>
  <si>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</si>
  <si>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</si>
  <si>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</si>
  <si>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</si>
  <si>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</si>
  <si>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</si>
  <si>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</si>
  <si>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</si>
  <si>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</si>
  <si>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</si>
  <si>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</si>
  <si>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</si>
  <si>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</si>
  <si>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</si>
  <si>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</si>
  <si>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</si>
  <si>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</si>
  <si>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</si>
  <si>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</si>
  <si>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</si>
  <si>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</si>
  <si>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</si>
  <si>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</si>
  <si>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</si>
  <si>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</si>
  <si>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</si>
  <si>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</si>
  <si>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</si>
  <si>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</si>
  <si>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</si>
  <si>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</si>
  <si>
    <t>#ERROR!</t>
  </si>
  <si>
    <t>bar_x_sa_h</t>
  </si>
  <si>
    <t>S_h</t>
  </si>
  <si>
    <t xml:space="preserve">S </t>
  </si>
  <si>
    <t>Dane</t>
  </si>
  <si>
    <t>Wyznaczanie Kappy</t>
  </si>
  <si>
    <t>Kappa1</t>
  </si>
  <si>
    <t>Kappa2</t>
  </si>
  <si>
    <t>Kappa3</t>
  </si>
  <si>
    <t>b_h</t>
  </si>
  <si>
    <t>s_h</t>
  </si>
  <si>
    <t>1/lambda_h</t>
  </si>
  <si>
    <t>c_h1</t>
  </si>
  <si>
    <t>c_h2</t>
  </si>
  <si>
    <t>Lambda_h</t>
  </si>
  <si>
    <t>a1</t>
  </si>
  <si>
    <t>a2</t>
  </si>
  <si>
    <t>SsH</t>
  </si>
  <si>
    <t>deps_dalpha</t>
  </si>
  <si>
    <t>Lambda</t>
  </si>
  <si>
    <t>xc</t>
  </si>
  <si>
    <t>Cmbu</t>
  </si>
  <si>
    <t>kappa</t>
  </si>
  <si>
    <t>azh [rad]</t>
  </si>
  <si>
    <t>azh [deg]</t>
  </si>
  <si>
    <t>Wyznaczanie azh - kąta zaklinowania płata</t>
  </si>
  <si>
    <t>&lt;- powierzchnia steru</t>
  </si>
  <si>
    <t>śr.c_h</t>
  </si>
  <si>
    <t>&lt;- wzór na środek cięzkości trapezu</t>
  </si>
  <si>
    <t>stosunek średniej cięciwy części steru przed osią obrotu do średniej cięciwy całego steru</t>
  </si>
  <si>
    <t>csh</t>
  </si>
  <si>
    <t>ch</t>
  </si>
  <si>
    <t>śr.c_sh</t>
  </si>
  <si>
    <t>c_sh1</t>
  </si>
  <si>
    <t>c_sh2</t>
  </si>
  <si>
    <t>csh/ch</t>
  </si>
  <si>
    <t>ckh</t>
  </si>
  <si>
    <t>ckh/csh</t>
  </si>
  <si>
    <t>Odczyty z tabelek (9.2) - b_3 inf</t>
  </si>
  <si>
    <t>śr</t>
  </si>
  <si>
    <t>b3_inf</t>
  </si>
  <si>
    <t>a1inf</t>
  </si>
  <si>
    <t>b1</t>
  </si>
  <si>
    <t>b1inf</t>
  </si>
  <si>
    <t>b2inf</t>
  </si>
  <si>
    <t>b2</t>
  </si>
  <si>
    <t>eta_sh</t>
  </si>
  <si>
    <t>k_kl</t>
  </si>
  <si>
    <t>b_kh</t>
  </si>
  <si>
    <t>S_kh</t>
  </si>
  <si>
    <t>śr.c_kh</t>
  </si>
  <si>
    <t>S0_kh</t>
  </si>
  <si>
    <t>Ssh/Sh</t>
  </si>
  <si>
    <t>Skh/Ssh</t>
  </si>
  <si>
    <t>b3</t>
  </si>
  <si>
    <t>przelicznik</t>
  </si>
  <si>
    <t>b3inf</t>
  </si>
  <si>
    <t>c</t>
  </si>
  <si>
    <t>cz(v)</t>
  </si>
  <si>
    <t>v</t>
  </si>
  <si>
    <t>eta_skh</t>
  </si>
  <si>
    <t>C_a</t>
  </si>
  <si>
    <t>v_cruise</t>
  </si>
  <si>
    <t>mtow</t>
  </si>
  <si>
    <t>v_stall</t>
  </si>
  <si>
    <t>v_eco</t>
  </si>
  <si>
    <t>Proj2</t>
  </si>
  <si>
    <t>Projekt 3</t>
  </si>
  <si>
    <t>l_k</t>
  </si>
  <si>
    <t>l_nk</t>
  </si>
  <si>
    <t>v_inf</t>
  </si>
  <si>
    <t>k'_h</t>
  </si>
  <si>
    <t>Projekt 8 środek ciężkości samolotu</t>
  </si>
  <si>
    <t>bx_c1</t>
  </si>
  <si>
    <t>bx_c2</t>
  </si>
  <si>
    <t>bx_c3</t>
  </si>
  <si>
    <t xml:space="preserve">Projekt 9 </t>
  </si>
  <si>
    <t>bx_sah</t>
  </si>
  <si>
    <t>kappa_c1</t>
  </si>
  <si>
    <t>kappa_c2</t>
  </si>
  <si>
    <t>kappa_c3</t>
  </si>
  <si>
    <t>Ssh</t>
  </si>
  <si>
    <t>Sh</t>
  </si>
  <si>
    <t>kh_1</t>
  </si>
  <si>
    <t>kh_2</t>
  </si>
  <si>
    <t>kh_3</t>
  </si>
  <si>
    <t>azh_1</t>
  </si>
  <si>
    <t>azh_2</t>
  </si>
  <si>
    <t>azh_3</t>
  </si>
  <si>
    <t>b0</t>
  </si>
  <si>
    <t>ksd</t>
  </si>
  <si>
    <t>Proj1</t>
  </si>
  <si>
    <t>Dana</t>
  </si>
  <si>
    <t>Wartość</t>
  </si>
  <si>
    <t>Projekt 10</t>
  </si>
  <si>
    <t>deltaHk_rad</t>
  </si>
  <si>
    <t>deltaHk_deg</t>
  </si>
  <si>
    <t>pdh</t>
  </si>
  <si>
    <t>kghn</t>
  </si>
  <si>
    <t>kghn'</t>
  </si>
  <si>
    <t>kghm</t>
  </si>
  <si>
    <t>kghm'</t>
  </si>
  <si>
    <t>mu</t>
  </si>
  <si>
    <t>kappa'_h</t>
  </si>
  <si>
    <t>bar_xsa</t>
  </si>
  <si>
    <t>bar_zs</t>
  </si>
  <si>
    <t>delta_xsak</t>
  </si>
  <si>
    <t>xsaj</t>
  </si>
  <si>
    <t>xsah</t>
  </si>
  <si>
    <t>alpha_0</t>
  </si>
  <si>
    <t>m_calc</t>
  </si>
  <si>
    <t xml:space="preserve">rho </t>
  </si>
  <si>
    <t>kdh</t>
  </si>
  <si>
    <t>x_sah</t>
  </si>
  <si>
    <t>ldH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</si>
</sst>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"/>
    <numFmt numFmtId="167" formatCode="0.0"/>
  </numFmts>
  <fonts count="31">
    <font>
      <sz val="10"/>
      <color rgb="FF000000"/>
      <name val="Arial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sz val="9"/>
      <color rgb="FF000000"/>
      <name val="&quot;Google Sans Mono&quot;"/>
    </font>
    <font>
      <sz val="11"/>
      <color theme="1"/>
      <name val="Calibri"/>
      <family val="2"/>
      <charset val="238"/>
    </font>
    <font>
      <sz val="11"/>
      <color rgb="FFADBAC7"/>
      <name val="Consolas"/>
      <family val="3"/>
      <charset val="238"/>
    </font>
    <font>
      <sz val="11"/>
      <color rgb="FF1F1F1F"/>
      <name val="&quot;Google Sans&quot;"/>
    </font>
    <font>
      <b/>
      <sz val="10"/>
      <color theme="1"/>
      <name val="Arial"/>
      <family val="2"/>
      <charset val="238"/>
      <scheme val="minor"/>
    </font>
    <font>
      <sz val="10"/>
      <color rgb="FF000000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onsolas"/>
      <family val="3"/>
      <charset val="238"/>
    </font>
    <font>
      <u/>
      <sz val="10"/>
      <color rgb="FF0000FF"/>
      <name val="Arial"/>
      <family val="2"/>
      <charset val="238"/>
    </font>
    <font>
      <b/>
      <sz val="11"/>
      <color theme="1"/>
      <name val="Arial"/>
      <family val="2"/>
      <charset val="238"/>
    </font>
    <font>
      <sz val="12"/>
      <color rgb="FF198639"/>
      <name val="Monospace"/>
    </font>
    <font>
      <b/>
      <sz val="10"/>
      <color rgb="FF000000"/>
      <name val="Arial"/>
      <family val="2"/>
      <charset val="238"/>
    </font>
    <font>
      <sz val="10"/>
      <color rgb="FF000000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i/>
      <sz val="10"/>
      <color rgb="FF000000"/>
      <name val="Arial"/>
      <family val="2"/>
      <charset val="238"/>
    </font>
    <font>
      <b/>
      <sz val="17"/>
      <color theme="1"/>
      <name val="Arial"/>
      <family val="2"/>
      <charset val="238"/>
      <scheme val="minor"/>
    </font>
    <font>
      <sz val="9"/>
      <color rgb="FF7E3794"/>
      <name val="&quot;Google Sans Mono&quot;"/>
    </font>
    <font>
      <sz val="8"/>
      <color theme="1"/>
      <name val="Serif"/>
    </font>
    <font>
      <b/>
      <sz val="11"/>
      <color theme="1"/>
      <name val="arial, sans-serif"/>
    </font>
    <font>
      <sz val="11"/>
      <color theme="1"/>
      <name val="arial, sans-serif"/>
    </font>
    <font>
      <sz val="10"/>
      <color rgb="FF000000"/>
      <name val="Arial"/>
      <family val="2"/>
      <charset val="238"/>
      <scheme val="minor"/>
    </font>
    <font>
      <sz val="10"/>
      <name val="Arial"/>
      <family val="2"/>
      <charset val="238"/>
      <scheme val="minor"/>
    </font>
    <font>
      <b/>
      <sz val="10"/>
      <color rgb="FF000000"/>
      <name val="Arial"/>
      <family val="2"/>
      <charset val="238"/>
      <scheme val="minor"/>
    </font>
    <font>
      <sz val="10"/>
      <color theme="1"/>
      <name val="Arial"/>
      <family val="2"/>
      <charset val="238"/>
    </font>
    <font>
      <sz val="7"/>
      <color rgb="FFD4D4D4"/>
      <name val="Consolas"/>
      <family val="3"/>
      <charset val="238"/>
    </font>
  </fonts>
  <fills count="1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8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/>
    <xf numFmtId="164" fontId="1" fillId="0" borderId="0" xfId="0" applyNumberFormat="1" applyFont="1"/>
    <xf numFmtId="164" fontId="4" fillId="3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4" borderId="0" xfId="0" applyFont="1" applyFill="1"/>
    <xf numFmtId="165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0" fontId="7" fillId="3" borderId="0" xfId="0" applyFont="1" applyFill="1"/>
    <xf numFmtId="0" fontId="8" fillId="0" borderId="0" xfId="0" applyFont="1"/>
    <xf numFmtId="0" fontId="9" fillId="3" borderId="0" xfId="0" applyFont="1" applyFill="1" applyAlignment="1">
      <alignment horizontal="left"/>
    </xf>
    <xf numFmtId="166" fontId="3" fillId="0" borderId="0" xfId="0" applyNumberFormat="1" applyFont="1"/>
    <xf numFmtId="0" fontId="3" fillId="5" borderId="0" xfId="0" applyFont="1" applyFill="1"/>
    <xf numFmtId="0" fontId="3" fillId="0" borderId="0" xfId="0" applyFont="1" applyAlignment="1">
      <alignment wrapText="1"/>
    </xf>
    <xf numFmtId="11" fontId="3" fillId="0" borderId="0" xfId="0" applyNumberFormat="1" applyFont="1"/>
    <xf numFmtId="0" fontId="3" fillId="0" borderId="4" xfId="0" applyFont="1" applyBorder="1"/>
    <xf numFmtId="165" fontId="3" fillId="0" borderId="4" xfId="0" applyNumberFormat="1" applyFont="1" applyBorder="1"/>
    <xf numFmtId="0" fontId="1" fillId="0" borderId="4" xfId="0" applyFont="1" applyBorder="1"/>
    <xf numFmtId="0" fontId="11" fillId="3" borderId="0" xfId="0" applyFont="1" applyFill="1"/>
    <xf numFmtId="0" fontId="3" fillId="0" borderId="5" xfId="0" applyFont="1" applyBorder="1"/>
    <xf numFmtId="165" fontId="3" fillId="0" borderId="5" xfId="0" applyNumberFormat="1" applyFont="1" applyBorder="1"/>
    <xf numFmtId="0" fontId="8" fillId="0" borderId="6" xfId="0" applyFont="1" applyBorder="1"/>
    <xf numFmtId="165" fontId="3" fillId="0" borderId="6" xfId="0" applyNumberFormat="1" applyFont="1" applyBorder="1"/>
    <xf numFmtId="0" fontId="12" fillId="0" borderId="0" xfId="0" applyFont="1"/>
    <xf numFmtId="165" fontId="3" fillId="0" borderId="0" xfId="0" applyNumberFormat="1" applyFont="1"/>
    <xf numFmtId="0" fontId="3" fillId="6" borderId="0" xfId="0" applyFont="1" applyFill="1" applyAlignment="1">
      <alignment wrapText="1"/>
    </xf>
    <xf numFmtId="165" fontId="3" fillId="6" borderId="0" xfId="0" applyNumberFormat="1" applyFont="1" applyFill="1"/>
    <xf numFmtId="0" fontId="13" fillId="0" borderId="0" xfId="0" applyFont="1" applyAlignment="1">
      <alignment horizontal="left" wrapText="1"/>
    </xf>
    <xf numFmtId="0" fontId="3" fillId="6" borderId="0" xfId="0" applyFont="1" applyFill="1"/>
    <xf numFmtId="0" fontId="3" fillId="4" borderId="0" xfId="0" applyFont="1" applyFill="1"/>
    <xf numFmtId="0" fontId="14" fillId="3" borderId="0" xfId="0" applyFont="1" applyFill="1" applyAlignment="1">
      <alignment horizontal="left"/>
    </xf>
    <xf numFmtId="0" fontId="3" fillId="8" borderId="4" xfId="0" applyFont="1" applyFill="1" applyBorder="1"/>
    <xf numFmtId="0" fontId="15" fillId="0" borderId="0" xfId="0" applyFont="1"/>
    <xf numFmtId="165" fontId="15" fillId="0" borderId="0" xfId="0" applyNumberFormat="1" applyFont="1"/>
    <xf numFmtId="2" fontId="16" fillId="0" borderId="0" xfId="0" applyNumberFormat="1" applyFont="1"/>
    <xf numFmtId="165" fontId="16" fillId="0" borderId="0" xfId="0" applyNumberFormat="1" applyFont="1"/>
    <xf numFmtId="165" fontId="16" fillId="3" borderId="0" xfId="0" applyNumberFormat="1" applyFont="1" applyFill="1"/>
    <xf numFmtId="4" fontId="3" fillId="0" borderId="0" xfId="0" applyNumberFormat="1" applyFont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  <xf numFmtId="166" fontId="19" fillId="0" borderId="0" xfId="0" applyNumberFormat="1" applyFont="1"/>
    <xf numFmtId="166" fontId="16" fillId="3" borderId="0" xfId="0" applyNumberFormat="1" applyFont="1" applyFill="1"/>
    <xf numFmtId="2" fontId="20" fillId="0" borderId="0" xfId="0" applyNumberFormat="1" applyFont="1"/>
    <xf numFmtId="165" fontId="20" fillId="0" borderId="0" xfId="0" applyNumberFormat="1" applyFont="1"/>
    <xf numFmtId="165" fontId="20" fillId="3" borderId="0" xfId="0" applyNumberFormat="1" applyFont="1" applyFill="1"/>
    <xf numFmtId="0" fontId="16" fillId="0" borderId="0" xfId="0" applyFont="1"/>
    <xf numFmtId="0" fontId="16" fillId="3" borderId="0" xfId="0" applyFont="1" applyFill="1"/>
    <xf numFmtId="0" fontId="3" fillId="8" borderId="0" xfId="0" applyFont="1" applyFill="1"/>
    <xf numFmtId="0" fontId="8" fillId="8" borderId="0" xfId="0" applyFont="1" applyFill="1"/>
    <xf numFmtId="0" fontId="8" fillId="9" borderId="0" xfId="0" applyFont="1" applyFill="1"/>
    <xf numFmtId="0" fontId="8" fillId="10" borderId="0" xfId="0" applyFont="1" applyFill="1"/>
    <xf numFmtId="0" fontId="3" fillId="8" borderId="0" xfId="0" applyFont="1" applyFill="1" applyAlignment="1">
      <alignment wrapText="1"/>
    </xf>
    <xf numFmtId="0" fontId="3" fillId="10" borderId="0" xfId="0" applyFont="1" applyFill="1"/>
    <xf numFmtId="0" fontId="3" fillId="9" borderId="0" xfId="0" applyFont="1" applyFill="1"/>
    <xf numFmtId="165" fontId="3" fillId="10" borderId="0" xfId="0" applyNumberFormat="1" applyFont="1" applyFill="1"/>
    <xf numFmtId="3" fontId="3" fillId="0" borderId="0" xfId="0" applyNumberFormat="1" applyFont="1"/>
    <xf numFmtId="2" fontId="3" fillId="0" borderId="0" xfId="0" applyNumberFormat="1" applyFont="1"/>
    <xf numFmtId="166" fontId="22" fillId="3" borderId="0" xfId="0" applyNumberFormat="1" applyFont="1" applyFill="1"/>
    <xf numFmtId="0" fontId="17" fillId="8" borderId="4" xfId="0" applyFont="1" applyFill="1" applyBorder="1" applyAlignment="1">
      <alignment horizontal="left"/>
    </xf>
    <xf numFmtId="167" fontId="17" fillId="8" borderId="4" xfId="0" applyNumberFormat="1" applyFont="1" applyFill="1" applyBorder="1" applyAlignment="1">
      <alignment horizontal="left"/>
    </xf>
    <xf numFmtId="166" fontId="17" fillId="8" borderId="4" xfId="0" applyNumberFormat="1" applyFont="1" applyFill="1" applyBorder="1" applyAlignment="1">
      <alignment horizontal="left"/>
    </xf>
    <xf numFmtId="0" fontId="17" fillId="0" borderId="4" xfId="0" applyFont="1" applyBorder="1" applyAlignment="1">
      <alignment horizontal="left"/>
    </xf>
    <xf numFmtId="167" fontId="17" fillId="0" borderId="4" xfId="0" applyNumberFormat="1" applyFont="1" applyBorder="1" applyAlignment="1">
      <alignment horizontal="left"/>
    </xf>
    <xf numFmtId="166" fontId="17" fillId="0" borderId="4" xfId="0" applyNumberFormat="1" applyFont="1" applyBorder="1" applyAlignment="1">
      <alignment horizontal="left"/>
    </xf>
    <xf numFmtId="166" fontId="17" fillId="3" borderId="4" xfId="0" applyNumberFormat="1" applyFont="1" applyFill="1" applyBorder="1" applyAlignment="1">
      <alignment horizontal="left"/>
    </xf>
    <xf numFmtId="0" fontId="3" fillId="11" borderId="0" xfId="0" applyFont="1" applyFill="1"/>
    <xf numFmtId="2" fontId="23" fillId="3" borderId="0" xfId="0" applyNumberFormat="1" applyFont="1" applyFill="1"/>
    <xf numFmtId="0" fontId="23" fillId="3" borderId="0" xfId="0" applyFont="1" applyFill="1"/>
    <xf numFmtId="164" fontId="23" fillId="3" borderId="0" xfId="0" applyNumberFormat="1" applyFont="1" applyFill="1"/>
    <xf numFmtId="167" fontId="3" fillId="0" borderId="0" xfId="0" applyNumberFormat="1" applyFont="1"/>
    <xf numFmtId="0" fontId="26" fillId="0" borderId="0" xfId="0" applyFont="1"/>
    <xf numFmtId="0" fontId="3" fillId="0" borderId="8" xfId="0" applyFont="1" applyBorder="1"/>
    <xf numFmtId="2" fontId="3" fillId="0" borderId="8" xfId="0" applyNumberFormat="1" applyFont="1" applyBorder="1"/>
    <xf numFmtId="2" fontId="0" fillId="12" borderId="8" xfId="0" applyNumberFormat="1" applyFill="1" applyBorder="1"/>
    <xf numFmtId="166" fontId="0" fillId="0" borderId="0" xfId="0" applyNumberFormat="1"/>
    <xf numFmtId="166" fontId="27" fillId="0" borderId="0" xfId="0" applyNumberFormat="1" applyFont="1"/>
    <xf numFmtId="0" fontId="26" fillId="0" borderId="8" xfId="0" applyFont="1" applyBorder="1"/>
    <xf numFmtId="0" fontId="0" fillId="0" borderId="8" xfId="0" applyBorder="1"/>
    <xf numFmtId="2" fontId="0" fillId="0" borderId="8" xfId="0" applyNumberFormat="1" applyBorder="1"/>
    <xf numFmtId="166" fontId="0" fillId="0" borderId="8" xfId="0" applyNumberFormat="1" applyBorder="1"/>
    <xf numFmtId="166" fontId="26" fillId="0" borderId="0" xfId="0" applyNumberFormat="1" applyFont="1"/>
    <xf numFmtId="166" fontId="29" fillId="0" borderId="0" xfId="0" applyNumberFormat="1" applyFont="1" applyAlignment="1">
      <alignment horizontal="right"/>
    </xf>
    <xf numFmtId="0" fontId="26" fillId="12" borderId="0" xfId="0" applyFont="1" applyFill="1"/>
    <xf numFmtId="166" fontId="0" fillId="12" borderId="0" xfId="0" applyNumberFormat="1" applyFill="1"/>
    <xf numFmtId="0" fontId="0" fillId="12" borderId="0" xfId="0" applyFill="1" applyAlignment="1">
      <alignment horizontal="left"/>
    </xf>
    <xf numFmtId="0" fontId="26" fillId="12" borderId="0" xfId="0" applyFont="1" applyFill="1" applyAlignment="1">
      <alignment horizontal="right"/>
    </xf>
    <xf numFmtId="0" fontId="26" fillId="0" borderId="0" xfId="0" applyFont="1" applyAlignment="1">
      <alignment horizontal="center" wrapText="1"/>
    </xf>
    <xf numFmtId="0" fontId="26" fillId="0" borderId="0" xfId="0" applyFont="1" applyAlignment="1">
      <alignment wrapText="1"/>
    </xf>
    <xf numFmtId="0" fontId="28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165" fontId="0" fillId="0" borderId="0" xfId="0" applyNumberFormat="1"/>
    <xf numFmtId="0" fontId="30" fillId="0" borderId="0" xfId="0" applyFont="1"/>
    <xf numFmtId="0" fontId="28" fillId="0" borderId="0" xfId="0" applyFont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8" fillId="7" borderId="1" xfId="0" applyFont="1" applyFill="1" applyBorder="1" applyAlignment="1">
      <alignment horizontal="center"/>
    </xf>
    <xf numFmtId="0" fontId="10" fillId="0" borderId="2" xfId="0" applyFont="1" applyBorder="1"/>
    <xf numFmtId="0" fontId="10" fillId="0" borderId="3" xfId="0" applyFont="1" applyBorder="1"/>
    <xf numFmtId="0" fontId="8" fillId="7" borderId="7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0" xfId="0" applyFont="1"/>
    <xf numFmtId="0" fontId="3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167" fontId="8" fillId="7" borderId="1" xfId="0" applyNumberFormat="1" applyFont="1" applyFill="1" applyBorder="1" applyAlignment="1">
      <alignment horizontal="center"/>
    </xf>
    <xf numFmtId="166" fontId="8" fillId="7" borderId="1" xfId="0" applyNumberFormat="1" applyFont="1" applyFill="1" applyBorder="1" applyAlignment="1">
      <alignment horizontal="center"/>
    </xf>
    <xf numFmtId="0" fontId="26" fillId="0" borderId="0" xfId="0" applyFont="1" applyAlignment="1">
      <alignment horizontal="center" wrapText="1"/>
    </xf>
    <xf numFmtId="0" fontId="28" fillId="13" borderId="8" xfId="0" applyFont="1" applyFill="1" applyBorder="1" applyAlignment="1">
      <alignment horizontal="center"/>
    </xf>
    <xf numFmtId="0" fontId="28" fillId="14" borderId="8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2" name="image4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698500</xdr:colOff>
      <xdr:row>3</xdr:row>
      <xdr:rowOff>152400</xdr:rowOff>
    </xdr:from>
    <xdr:ext cx="3819525" cy="6477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44800" y="679450"/>
          <a:ext cx="3819525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146050</xdr:colOff>
      <xdr:row>15</xdr:row>
      <xdr:rowOff>104775</xdr:rowOff>
    </xdr:from>
    <xdr:ext cx="3657600" cy="533400"/>
    <xdr:pic>
      <xdr:nvPicPr>
        <xdr:cNvPr id="4" name="image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92350" y="3451225"/>
          <a:ext cx="36576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28575</xdr:colOff>
      <xdr:row>5</xdr:row>
      <xdr:rowOff>133350</xdr:rowOff>
    </xdr:from>
    <xdr:ext cx="1438275" cy="1800225"/>
    <xdr:pic>
      <xdr:nvPicPr>
        <xdr:cNvPr id="5" name="image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554200" y="1133475"/>
          <a:ext cx="1438275" cy="1800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2" name="image8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254000</xdr:colOff>
      <xdr:row>18</xdr:row>
      <xdr:rowOff>92075</xdr:rowOff>
    </xdr:from>
    <xdr:ext cx="2724150" cy="2952750"/>
    <xdr:pic>
      <xdr:nvPicPr>
        <xdr:cNvPr id="3" name="image10.png" title="Obraz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979400" y="3654425"/>
          <a:ext cx="2724150" cy="295275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73025</xdr:colOff>
      <xdr:row>21</xdr:row>
      <xdr:rowOff>92075</xdr:rowOff>
    </xdr:from>
    <xdr:ext cx="4200525" cy="438150"/>
    <xdr:pic>
      <xdr:nvPicPr>
        <xdr:cNvPr id="4" name="image9.png" title="Obraz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98125" y="4254500"/>
          <a:ext cx="4200525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390525</xdr:colOff>
      <xdr:row>24</xdr:row>
      <xdr:rowOff>171450</xdr:rowOff>
    </xdr:from>
    <xdr:ext cx="5362575" cy="523875"/>
    <xdr:pic>
      <xdr:nvPicPr>
        <xdr:cNvPr id="5" name="image6.png" title="Obraz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15550" y="4933950"/>
          <a:ext cx="5362575" cy="5238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419893</xdr:colOff>
      <xdr:row>4</xdr:row>
      <xdr:rowOff>56752</xdr:rowOff>
    </xdr:from>
    <xdr:to>
      <xdr:col>15</xdr:col>
      <xdr:colOff>390943</xdr:colOff>
      <xdr:row>8</xdr:row>
      <xdr:rowOff>55254</xdr:rowOff>
    </xdr:to>
    <xdr:pic>
      <xdr:nvPicPr>
        <xdr:cNvPr id="2" name="Obraz 1" descr="Obraz zawierający Czcionka, tekst, biały, kaligrafia&#10;&#10;Opis wygenerowany automatycznie">
          <a:extLst>
            <a:ext uri="{FF2B5EF4-FFF2-40B4-BE49-F238E27FC236}">
              <a16:creationId xmlns:a16="http://schemas.microsoft.com/office/drawing/2014/main" id="{7094CF07-702E-D8BA-4F14-E6BAF581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5221" y="699690"/>
          <a:ext cx="3000794" cy="641439"/>
        </a:xfrm>
        <a:prstGeom prst="rect">
          <a:avLst/>
        </a:prstGeom>
      </xdr:spPr>
    </xdr:pic>
    <xdr:clientData/>
  </xdr:twoCellAnchor>
  <xdr:twoCellAnchor editAs="oneCell">
    <xdr:from>
      <xdr:col>11</xdr:col>
      <xdr:colOff>15081</xdr:colOff>
      <xdr:row>8</xdr:row>
      <xdr:rowOff>125412</xdr:rowOff>
    </xdr:from>
    <xdr:to>
      <xdr:col>15</xdr:col>
      <xdr:colOff>142439</xdr:colOff>
      <xdr:row>13</xdr:row>
      <xdr:rowOff>106075</xdr:rowOff>
    </xdr:to>
    <xdr:pic>
      <xdr:nvPicPr>
        <xdr:cNvPr id="3" name="Obraz 2" descr="Obraz zawierający Czcionka, linia, numer, biały&#10;&#10;Opis wygenerowany automatycznie">
          <a:extLst>
            <a:ext uri="{FF2B5EF4-FFF2-40B4-BE49-F238E27FC236}">
              <a16:creationId xmlns:a16="http://schemas.microsoft.com/office/drawing/2014/main" id="{A7974F1A-C294-EFA5-921F-B3900EEB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7628" y="1411287"/>
          <a:ext cx="2556233" cy="784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115094</xdr:rowOff>
    </xdr:from>
    <xdr:to>
      <xdr:col>17</xdr:col>
      <xdr:colOff>216442</xdr:colOff>
      <xdr:row>19</xdr:row>
      <xdr:rowOff>189099</xdr:rowOff>
    </xdr:to>
    <xdr:pic>
      <xdr:nvPicPr>
        <xdr:cNvPr id="4" name="Obraz 3" descr="Obraz zawierający Czcionka, tekst, linia, biały&#10;&#10;Opis wygenerowany automatycznie">
          <a:extLst>
            <a:ext uri="{FF2B5EF4-FFF2-40B4-BE49-F238E27FC236}">
              <a16:creationId xmlns:a16="http://schemas.microsoft.com/office/drawing/2014/main" id="{D7A8A3FF-2FB7-1893-BCF9-E5FC1C44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0250" y="2353469"/>
          <a:ext cx="3889917" cy="865313"/>
        </a:xfrm>
        <a:prstGeom prst="rect">
          <a:avLst/>
        </a:prstGeom>
      </xdr:spPr>
    </xdr:pic>
    <xdr:clientData/>
  </xdr:twoCellAnchor>
  <xdr:twoCellAnchor editAs="oneCell">
    <xdr:from>
      <xdr:col>4</xdr:col>
      <xdr:colOff>388937</xdr:colOff>
      <xdr:row>28</xdr:row>
      <xdr:rowOff>121687</xdr:rowOff>
    </xdr:from>
    <xdr:to>
      <xdr:col>10</xdr:col>
      <xdr:colOff>296068</xdr:colOff>
      <xdr:row>34</xdr:row>
      <xdr:rowOff>144687</xdr:rowOff>
    </xdr:to>
    <xdr:pic>
      <xdr:nvPicPr>
        <xdr:cNvPr id="5" name="Obraz 4" descr="Obraz zawierający tekst, zrzut ekranu, Czcionka, linia&#10;&#10;Opis wygenerowany automatycznie">
          <a:extLst>
            <a:ext uri="{FF2B5EF4-FFF2-40B4-BE49-F238E27FC236}">
              <a16:creationId xmlns:a16="http://schemas.microsoft.com/office/drawing/2014/main" id="{232ED540-CFD7-76B0-7D2C-CF97BDE1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9125" y="3947562"/>
          <a:ext cx="3599656" cy="975501"/>
        </a:xfrm>
        <a:prstGeom prst="rect">
          <a:avLst/>
        </a:prstGeom>
      </xdr:spPr>
    </xdr:pic>
    <xdr:clientData/>
  </xdr:twoCellAnchor>
  <xdr:twoCellAnchor editAs="oneCell">
    <xdr:from>
      <xdr:col>11</xdr:col>
      <xdr:colOff>325437</xdr:colOff>
      <xdr:row>35</xdr:row>
      <xdr:rowOff>146843</xdr:rowOff>
    </xdr:from>
    <xdr:to>
      <xdr:col>13</xdr:col>
      <xdr:colOff>274801</xdr:colOff>
      <xdr:row>41</xdr:row>
      <xdr:rowOff>67589</xdr:rowOff>
    </xdr:to>
    <xdr:pic>
      <xdr:nvPicPr>
        <xdr:cNvPr id="6" name="Obraz 5" descr="Obraz zawierający Czcionka, tekst, linia, zrzut ekranu&#10;&#10;Opis wygenerowany automatycznie">
          <a:extLst>
            <a:ext uri="{FF2B5EF4-FFF2-40B4-BE49-F238E27FC236}">
              <a16:creationId xmlns:a16="http://schemas.microsoft.com/office/drawing/2014/main" id="{E03D2EA2-C608-34E0-D853-38EA85FB1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9187" y="5091906"/>
          <a:ext cx="1171739" cy="866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8</xdr:col>
      <xdr:colOff>273434</xdr:colOff>
      <xdr:row>49</xdr:row>
      <xdr:rowOff>101702</xdr:rowOff>
    </xdr:to>
    <xdr:pic>
      <xdr:nvPicPr>
        <xdr:cNvPr id="7" name="Obraz 6" descr="Obraz zawierający tekst, Czcionka, linia, biały&#10;&#10;Opis wygenerowany automatycznie">
          <a:extLst>
            <a:ext uri="{FF2B5EF4-FFF2-40B4-BE49-F238E27FC236}">
              <a16:creationId xmlns:a16="http://schemas.microsoft.com/office/drawing/2014/main" id="{ACED6C21-D0C4-B8EA-38FE-1C43923C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20865" y="7253654"/>
          <a:ext cx="2735281" cy="74647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e%20proj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e proj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c_m.sa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5FAE-322E-4227-B7D5-16D9D30D119F}">
  <sheetPr codeName="Arkusz3"/>
  <dimension ref="A1:S69"/>
  <sheetViews>
    <sheetView tabSelected="1" topLeftCell="E1" workbookViewId="0">
      <selection activeCell="T5" sqref="T5"/>
    </sheetView>
  </sheetViews>
  <sheetFormatPr defaultRowHeight="12.5"/>
  <sheetData>
    <row r="1" spans="1:17" s="98" customFormat="1" ht="25.5" customHeight="1">
      <c r="A1" s="104" t="s">
        <v>381</v>
      </c>
      <c r="B1" s="105"/>
      <c r="C1" s="99"/>
      <c r="D1" s="106" t="s">
        <v>356</v>
      </c>
      <c r="E1" s="106"/>
      <c r="G1" s="103" t="s">
        <v>357</v>
      </c>
      <c r="H1" s="103"/>
      <c r="J1" s="103" t="s">
        <v>362</v>
      </c>
      <c r="K1" s="103"/>
      <c r="M1" s="103" t="s">
        <v>366</v>
      </c>
      <c r="N1" s="103"/>
      <c r="P1" s="103" t="s">
        <v>384</v>
      </c>
      <c r="Q1" s="103"/>
    </row>
    <row r="2" spans="1:17" s="97" customFormat="1" ht="13.5" customHeight="1">
      <c r="A2" s="100" t="s">
        <v>382</v>
      </c>
      <c r="B2" s="100" t="s">
        <v>383</v>
      </c>
      <c r="C2" s="100"/>
      <c r="D2" s="80" t="s">
        <v>382</v>
      </c>
      <c r="E2" s="80" t="s">
        <v>383</v>
      </c>
      <c r="G2" s="97" t="s">
        <v>382</v>
      </c>
      <c r="H2" s="97" t="s">
        <v>383</v>
      </c>
      <c r="J2" s="96" t="s">
        <v>382</v>
      </c>
      <c r="K2" s="96" t="s">
        <v>383</v>
      </c>
      <c r="M2" s="97" t="s">
        <v>382</v>
      </c>
      <c r="N2" s="97" t="s">
        <v>383</v>
      </c>
      <c r="P2" s="97" t="s">
        <v>382</v>
      </c>
      <c r="Q2" s="97" t="s">
        <v>383</v>
      </c>
    </row>
    <row r="3" spans="1:17">
      <c r="A3" t="s">
        <v>77</v>
      </c>
      <c r="B3">
        <v>15</v>
      </c>
      <c r="D3" t="s">
        <v>62</v>
      </c>
      <c r="E3">
        <v>4.452</v>
      </c>
      <c r="G3" t="s">
        <v>358</v>
      </c>
      <c r="H3">
        <v>7.29</v>
      </c>
      <c r="J3" t="s">
        <v>363</v>
      </c>
      <c r="K3">
        <v>0.12</v>
      </c>
      <c r="M3" t="s">
        <v>367</v>
      </c>
      <c r="N3">
        <v>2.86</v>
      </c>
      <c r="P3" s="80" t="s">
        <v>388</v>
      </c>
      <c r="Q3">
        <v>0.95279999999999998</v>
      </c>
    </row>
    <row r="4" spans="1:17">
      <c r="A4" t="s">
        <v>279</v>
      </c>
      <c r="B4">
        <v>9.94</v>
      </c>
      <c r="G4" t="s">
        <v>359</v>
      </c>
      <c r="H4">
        <v>1.61</v>
      </c>
      <c r="J4" t="s">
        <v>364</v>
      </c>
      <c r="K4">
        <v>0.25</v>
      </c>
      <c r="M4" t="s">
        <v>403</v>
      </c>
      <c r="N4">
        <f xml:space="preserve"> N3*1.5</f>
        <v>4.29</v>
      </c>
      <c r="P4" t="s">
        <v>389</v>
      </c>
      <c r="Q4">
        <v>0.97609999999999997</v>
      </c>
    </row>
    <row r="5" spans="1:17">
      <c r="A5" t="s">
        <v>100</v>
      </c>
      <c r="B5">
        <v>1.5</v>
      </c>
      <c r="G5" t="s">
        <v>360</v>
      </c>
      <c r="H5">
        <v>54.44</v>
      </c>
      <c r="J5" t="s">
        <v>365</v>
      </c>
      <c r="K5">
        <v>0.38</v>
      </c>
      <c r="P5" t="s">
        <v>390</v>
      </c>
      <c r="Q5">
        <v>0.94779999999999998</v>
      </c>
    </row>
    <row r="6" spans="1:17">
      <c r="A6" t="s">
        <v>351</v>
      </c>
      <c r="B6">
        <v>1.5</v>
      </c>
      <c r="G6" t="s">
        <v>299</v>
      </c>
      <c r="H6">
        <v>3.01</v>
      </c>
      <c r="M6" t="s">
        <v>368</v>
      </c>
      <c r="N6">
        <v>0.34</v>
      </c>
      <c r="P6" t="s">
        <v>391</v>
      </c>
      <c r="Q6">
        <v>0.96360000000000001</v>
      </c>
    </row>
    <row r="7" spans="1:17">
      <c r="A7" t="s">
        <v>309</v>
      </c>
      <c r="B7">
        <v>6.59</v>
      </c>
      <c r="G7" t="s">
        <v>292</v>
      </c>
      <c r="H7">
        <v>2.2000000000000002</v>
      </c>
      <c r="J7" s="80" t="s">
        <v>399</v>
      </c>
      <c r="K7">
        <v>-2.5</v>
      </c>
      <c r="M7" t="s">
        <v>369</v>
      </c>
      <c r="N7">
        <v>0.33</v>
      </c>
      <c r="P7" t="s">
        <v>392</v>
      </c>
      <c r="Q7">
        <v>16.45</v>
      </c>
    </row>
    <row r="8" spans="1:17">
      <c r="A8" t="s">
        <v>352</v>
      </c>
      <c r="B8">
        <v>54</v>
      </c>
      <c r="G8" t="s">
        <v>67</v>
      </c>
      <c r="H8">
        <v>5.09</v>
      </c>
      <c r="M8" t="s">
        <v>370</v>
      </c>
      <c r="N8">
        <v>0.31</v>
      </c>
      <c r="P8" t="s">
        <v>393</v>
      </c>
      <c r="Q8">
        <v>0.35730000000000001</v>
      </c>
    </row>
    <row r="9" spans="1:17">
      <c r="A9" t="s">
        <v>353</v>
      </c>
      <c r="B9">
        <v>726</v>
      </c>
      <c r="G9" t="s">
        <v>126</v>
      </c>
      <c r="H9">
        <v>-4.8000000000000001E-2</v>
      </c>
      <c r="J9" s="80"/>
    </row>
    <row r="10" spans="1:17">
      <c r="A10" t="s">
        <v>354</v>
      </c>
      <c r="B10">
        <v>24</v>
      </c>
      <c r="G10" t="s">
        <v>361</v>
      </c>
      <c r="H10">
        <v>0.42299999999999999</v>
      </c>
      <c r="M10" t="s">
        <v>299</v>
      </c>
      <c r="N10">
        <v>3.01</v>
      </c>
      <c r="P10" t="s">
        <v>394</v>
      </c>
      <c r="Q10">
        <v>0.24</v>
      </c>
    </row>
    <row r="11" spans="1:17">
      <c r="A11" t="s">
        <v>355</v>
      </c>
      <c r="B11">
        <v>34</v>
      </c>
      <c r="G11" t="s">
        <v>280</v>
      </c>
      <c r="H11">
        <v>-2.3999999999999998E-3</v>
      </c>
      <c r="M11" t="s">
        <v>300</v>
      </c>
      <c r="N11">
        <v>2.2000000000000002</v>
      </c>
      <c r="P11" s="6" t="s">
        <v>395</v>
      </c>
      <c r="Q11" s="66">
        <v>-0.23699999999999999</v>
      </c>
    </row>
    <row r="12" spans="1:17">
      <c r="G12" t="s">
        <v>130</v>
      </c>
      <c r="H12">
        <v>0.85</v>
      </c>
      <c r="M12" t="s">
        <v>302</v>
      </c>
      <c r="N12">
        <v>0.73</v>
      </c>
      <c r="P12" s="6" t="s">
        <v>396</v>
      </c>
      <c r="Q12" s="66">
        <v>-2.52E-2</v>
      </c>
    </row>
    <row r="13" spans="1:17">
      <c r="M13" t="s">
        <v>303</v>
      </c>
      <c r="N13">
        <v>1.0940000000000001</v>
      </c>
    </row>
    <row r="14" spans="1:17">
      <c r="M14" t="s">
        <v>317</v>
      </c>
      <c r="N14">
        <v>0.80300000000000005</v>
      </c>
      <c r="P14" s="80" t="s">
        <v>398</v>
      </c>
      <c r="Q14" s="66">
        <v>2.52E-2</v>
      </c>
    </row>
    <row r="15" spans="1:17">
      <c r="M15" t="s">
        <v>323</v>
      </c>
      <c r="N15">
        <v>0.26100000000000001</v>
      </c>
      <c r="P15" s="80" t="s">
        <v>397</v>
      </c>
      <c r="Q15" s="66">
        <v>0.03</v>
      </c>
    </row>
    <row r="16" spans="1:17">
      <c r="M16" t="s">
        <v>324</v>
      </c>
      <c r="N16">
        <v>0.46899999999999997</v>
      </c>
    </row>
    <row r="17" spans="13:19">
      <c r="M17" t="s">
        <v>322</v>
      </c>
      <c r="N17">
        <v>0.45200000000000001</v>
      </c>
      <c r="P17" t="s">
        <v>400</v>
      </c>
      <c r="Q17" s="66">
        <v>670</v>
      </c>
    </row>
    <row r="18" spans="13:19">
      <c r="M18" t="s">
        <v>340</v>
      </c>
      <c r="N18">
        <v>0.156</v>
      </c>
      <c r="P18" t="s">
        <v>401</v>
      </c>
      <c r="Q18" s="66">
        <v>1.2250000000000001</v>
      </c>
    </row>
    <row r="19" spans="13:19">
      <c r="M19" t="s">
        <v>338</v>
      </c>
      <c r="N19">
        <v>1.615</v>
      </c>
    </row>
    <row r="20" spans="13:19">
      <c r="M20" t="s">
        <v>339</v>
      </c>
      <c r="N20">
        <v>0.253</v>
      </c>
      <c r="P20" t="s">
        <v>402</v>
      </c>
      <c r="Q20" s="66">
        <v>1</v>
      </c>
    </row>
    <row r="21" spans="13:19">
      <c r="M21" t="s">
        <v>341</v>
      </c>
      <c r="N21">
        <v>0.47099999999999997</v>
      </c>
    </row>
    <row r="22" spans="13:19">
      <c r="M22" t="s">
        <v>337</v>
      </c>
      <c r="N22">
        <v>0.5</v>
      </c>
    </row>
    <row r="24" spans="13:19">
      <c r="M24" t="s">
        <v>301</v>
      </c>
      <c r="N24">
        <v>0.66700000000000004</v>
      </c>
    </row>
    <row r="25" spans="13:19">
      <c r="M25" t="s">
        <v>304</v>
      </c>
      <c r="N25">
        <v>4.1180000000000003</v>
      </c>
    </row>
    <row r="28" spans="13:19">
      <c r="M28" t="s">
        <v>371</v>
      </c>
      <c r="N28">
        <v>0.93400000000000005</v>
      </c>
      <c r="S28" s="102" t="s">
        <v>388</v>
      </c>
    </row>
    <row r="29" spans="13:19">
      <c r="M29" t="s">
        <v>342</v>
      </c>
      <c r="N29">
        <v>0.42499999999999999</v>
      </c>
    </row>
    <row r="30" spans="13:19">
      <c r="M30" t="s">
        <v>343</v>
      </c>
      <c r="N30">
        <v>0.27</v>
      </c>
    </row>
    <row r="32" spans="13:19">
      <c r="M32" t="s">
        <v>372</v>
      </c>
      <c r="N32">
        <v>2.2000000000000002</v>
      </c>
    </row>
    <row r="33" spans="13:14">
      <c r="M33" t="s">
        <v>331</v>
      </c>
      <c r="N33">
        <v>4.9000000000000004</v>
      </c>
    </row>
    <row r="34" spans="13:14">
      <c r="M34" t="s">
        <v>305</v>
      </c>
      <c r="N34">
        <v>3.1</v>
      </c>
    </row>
    <row r="35" spans="13:14">
      <c r="M35" t="s">
        <v>306</v>
      </c>
      <c r="N35">
        <v>2.218</v>
      </c>
    </row>
    <row r="36" spans="13:14">
      <c r="M36" t="s">
        <v>308</v>
      </c>
      <c r="N36">
        <v>0.43</v>
      </c>
    </row>
    <row r="37" spans="13:14">
      <c r="M37" t="s">
        <v>373</v>
      </c>
      <c r="N37">
        <v>0.34</v>
      </c>
    </row>
    <row r="38" spans="13:14">
      <c r="M38" t="s">
        <v>374</v>
      </c>
      <c r="N38">
        <v>0.326344089</v>
      </c>
    </row>
    <row r="39" spans="13:14">
      <c r="M39" t="s">
        <v>375</v>
      </c>
      <c r="N39">
        <v>0.310137422</v>
      </c>
    </row>
    <row r="41" spans="13:14">
      <c r="M41" t="s">
        <v>376</v>
      </c>
      <c r="N41">
        <f xml:space="preserve"> 'Pr9'!G8</f>
        <v>-0.13398601185628983</v>
      </c>
    </row>
    <row r="42" spans="13:14">
      <c r="M42" t="s">
        <v>377</v>
      </c>
      <c r="N42">
        <f xml:space="preserve"> 'Pr9'!G9</f>
        <v>-0.10263507898204391</v>
      </c>
    </row>
    <row r="43" spans="13:14">
      <c r="M43" t="s">
        <v>378</v>
      </c>
      <c r="N43">
        <f xml:space="preserve"> 'Pr9'!G10</f>
        <v>-6.800757203207819E-2</v>
      </c>
    </row>
    <row r="46" spans="13:14">
      <c r="M46" t="s">
        <v>261</v>
      </c>
      <c r="N46">
        <v>-7.4770964999999995E-2</v>
      </c>
    </row>
    <row r="47" spans="13:14">
      <c r="M47" t="s">
        <v>262</v>
      </c>
      <c r="N47">
        <v>-3.9516728000000001E-2</v>
      </c>
    </row>
    <row r="48" spans="13:14">
      <c r="M48" t="s">
        <v>263</v>
      </c>
      <c r="N48">
        <v>-4.2624910000000002E-3</v>
      </c>
    </row>
    <row r="50" spans="13:14">
      <c r="M50" t="s">
        <v>379</v>
      </c>
      <c r="N50">
        <v>0</v>
      </c>
    </row>
    <row r="51" spans="13:14">
      <c r="M51" t="s">
        <v>333</v>
      </c>
      <c r="N51">
        <v>-0.22900000000000001</v>
      </c>
    </row>
    <row r="52" spans="13:14">
      <c r="M52" t="s">
        <v>332</v>
      </c>
      <c r="N52">
        <v>-0.14499999999999999</v>
      </c>
    </row>
    <row r="54" spans="13:14">
      <c r="M54" t="s">
        <v>350</v>
      </c>
      <c r="N54">
        <v>0.47</v>
      </c>
    </row>
    <row r="55" spans="13:14">
      <c r="M55" t="s">
        <v>336</v>
      </c>
      <c r="N55">
        <v>0.6</v>
      </c>
    </row>
    <row r="56" spans="13:14">
      <c r="M56" t="s">
        <v>334</v>
      </c>
      <c r="N56">
        <v>-0.35399999999999998</v>
      </c>
    </row>
    <row r="57" spans="13:14">
      <c r="M57" t="s">
        <v>335</v>
      </c>
      <c r="N57">
        <v>-0.32200000000000001</v>
      </c>
    </row>
    <row r="59" spans="13:14">
      <c r="M59" t="s">
        <v>346</v>
      </c>
      <c r="N59">
        <v>-1.4319999999999999</v>
      </c>
    </row>
    <row r="60" spans="13:14">
      <c r="M60" t="s">
        <v>344</v>
      </c>
      <c r="N60">
        <v>-0.38800000000000001</v>
      </c>
    </row>
    <row r="62" spans="13:14">
      <c r="M62" t="s">
        <v>380</v>
      </c>
      <c r="N62">
        <v>1</v>
      </c>
    </row>
    <row r="64" spans="13:14">
      <c r="M64" t="s">
        <v>385</v>
      </c>
      <c r="N64" s="101">
        <f xml:space="preserve"> 0.0334</f>
        <v>3.3399999999999999E-2</v>
      </c>
    </row>
    <row r="65" spans="13:14">
      <c r="M65" t="s">
        <v>386</v>
      </c>
      <c r="N65">
        <v>1.913</v>
      </c>
    </row>
    <row r="67" spans="13:14">
      <c r="M67" s="80" t="s">
        <v>387</v>
      </c>
      <c r="N67">
        <v>0</v>
      </c>
    </row>
    <row r="69" spans="13:14">
      <c r="M69" t="s">
        <v>404</v>
      </c>
      <c r="N69">
        <v>1</v>
      </c>
    </row>
  </sheetData>
  <mergeCells count="6">
    <mergeCell ref="P1:Q1"/>
    <mergeCell ref="J1:K1"/>
    <mergeCell ref="A1:B1"/>
    <mergeCell ref="D1:E1"/>
    <mergeCell ref="G1:H1"/>
    <mergeCell ref="M1:N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>
    <outlinePr summaryBelow="0" summaryRight="0"/>
  </sheetPr>
  <dimension ref="A1:AD1000"/>
  <sheetViews>
    <sheetView topLeftCell="J1" workbookViewId="0">
      <selection activeCell="X2" sqref="X2"/>
    </sheetView>
  </sheetViews>
  <sheetFormatPr defaultColWidth="12.54296875" defaultRowHeight="15.75" customHeight="1"/>
  <cols>
    <col min="2" max="2" width="17.54296875" customWidth="1"/>
    <col min="3" max="3" width="14.453125" customWidth="1"/>
    <col min="7" max="7" width="17.90625" customWidth="1"/>
    <col min="22" max="22" width="9" customWidth="1"/>
    <col min="26" max="26" width="12" customWidth="1"/>
  </cols>
  <sheetData>
    <row r="1" spans="1:30" ht="13">
      <c r="A1" s="1" t="s">
        <v>0</v>
      </c>
      <c r="B1" s="1" t="s">
        <v>1</v>
      </c>
      <c r="C1" s="1" t="s">
        <v>2</v>
      </c>
      <c r="D1" s="2"/>
      <c r="E1" s="3" t="s">
        <v>3</v>
      </c>
      <c r="F1" s="2" t="s">
        <v>4</v>
      </c>
      <c r="G1" s="2"/>
      <c r="H1" s="2" t="s">
        <v>5</v>
      </c>
      <c r="I1" s="2" t="s">
        <v>6</v>
      </c>
      <c r="J1" s="2"/>
      <c r="K1" s="2"/>
      <c r="L1" s="2"/>
      <c r="M1" s="2"/>
      <c r="N1" s="2"/>
      <c r="O1" s="2"/>
      <c r="P1" s="2"/>
      <c r="Q1" s="4" t="s">
        <v>7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">
      <c r="A2" s="4" t="s">
        <v>8</v>
      </c>
      <c r="B2" s="5">
        <v>3</v>
      </c>
      <c r="C2" s="5">
        <f t="shared" ref="C2:C10" si="0">(B2 * $F$1)/100</f>
        <v>1.6131</v>
      </c>
      <c r="D2" s="2"/>
      <c r="E2" s="2"/>
      <c r="F2" s="2"/>
      <c r="G2" s="4" t="s">
        <v>8</v>
      </c>
      <c r="H2" s="5">
        <v>2.1</v>
      </c>
      <c r="I2" s="2"/>
      <c r="J2" s="2"/>
      <c r="K2" s="4" t="s">
        <v>9</v>
      </c>
      <c r="L2" s="4" t="s">
        <v>10</v>
      </c>
      <c r="M2" s="6" t="s">
        <v>11</v>
      </c>
      <c r="N2" s="6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4" t="s">
        <v>25</v>
      </c>
      <c r="AB2" s="4"/>
      <c r="AC2" s="4"/>
      <c r="AD2" s="4"/>
    </row>
    <row r="3" spans="1:30" ht="13">
      <c r="A3" s="4" t="s">
        <v>26</v>
      </c>
      <c r="B3" s="5">
        <v>2.1</v>
      </c>
      <c r="C3" s="5">
        <f t="shared" si="0"/>
        <v>1.1291700000000002</v>
      </c>
      <c r="D3" s="2"/>
      <c r="E3" s="2"/>
      <c r="F3" s="2"/>
      <c r="G3" s="4" t="s">
        <v>26</v>
      </c>
      <c r="H3" s="5">
        <v>1.6</v>
      </c>
      <c r="I3" s="2"/>
      <c r="J3" s="2"/>
      <c r="K3" s="5">
        <v>1</v>
      </c>
      <c r="L3" s="7">
        <v>-18.514285714285698</v>
      </c>
      <c r="M3" s="8">
        <v>-0.84752476389965803</v>
      </c>
      <c r="N3" s="8">
        <v>1.22993236159469E-2</v>
      </c>
      <c r="O3" s="7">
        <v>-0.84745762711864403</v>
      </c>
      <c r="P3" s="7">
        <v>1.23044579421407E-2</v>
      </c>
      <c r="Q3" s="7">
        <f t="shared" ref="Q3:Q45" si="1">N3+($H$19-$H$18)*(1-ABS(M3/$H$23))</f>
        <v>1.1964947319872637E-2</v>
      </c>
      <c r="R3" s="7">
        <f t="shared" ref="R3:R45" si="2">Q3 + $H$21 + M3^2/(PI() * $H$9) * (1+$H$33)</f>
        <v>7.8104503661331551E-2</v>
      </c>
      <c r="S3" s="7">
        <f t="shared" ref="S3:S45" si="3">M3/(PI() *$H$9) *(1+ $H$28) *180/PI()</f>
        <v>-4.3872529064428099</v>
      </c>
      <c r="T3" s="7">
        <f t="shared" ref="T3:T45" si="4">S3 +L3</f>
        <v>-22.901538620728509</v>
      </c>
      <c r="U3" s="9">
        <f>1/proj3!$B$35*(proj3!$B$27+M3*(proj3!$B$31-proj3!$B$32))</f>
        <v>-0.20008584169421484</v>
      </c>
      <c r="V3" s="10">
        <f>proj3!$B$40+proj3!$B$41+U3^2/(PI()*proj3!$B$43)</f>
        <v>1.5438191201364318E-2</v>
      </c>
      <c r="W3" s="7">
        <f>proj3!$I$27 *(1+ABS(M3)/proj3!$G$29)</f>
        <v>4.0988893477278465E-2</v>
      </c>
      <c r="X3" s="7">
        <f>(R3+ W3+proj3!$B$25/proj3!$B$17 * V3)*(1+proj3!$F$33)</f>
        <v>0.12985270174418018</v>
      </c>
      <c r="Y3" s="7">
        <f>M3 + U3 * proj3!$B$25/proj3!$B$17</f>
        <v>-0.87687068734814289</v>
      </c>
      <c r="Z3" s="7">
        <f t="shared" ref="Z3:Z45" si="5">Y3/X3</f>
        <v>-6.752810496585937</v>
      </c>
      <c r="AA3" s="7">
        <f t="shared" ref="AA3:AA45" si="6">Y3 ^3/X3^2</f>
        <v>-39.985697586592643</v>
      </c>
      <c r="AB3" s="11"/>
      <c r="AC3" s="11"/>
      <c r="AD3" s="11"/>
    </row>
    <row r="4" spans="1:30" ht="13">
      <c r="A4" s="4" t="s">
        <v>27</v>
      </c>
      <c r="B4" s="5">
        <v>18.5</v>
      </c>
      <c r="C4" s="5">
        <f t="shared" si="0"/>
        <v>9.9474499999999999</v>
      </c>
      <c r="D4" s="2"/>
      <c r="E4" s="2"/>
      <c r="F4" s="2"/>
      <c r="G4" s="4" t="s">
        <v>28</v>
      </c>
      <c r="H4" s="5">
        <v>17.8</v>
      </c>
      <c r="I4" s="2"/>
      <c r="J4" s="2"/>
      <c r="K4" s="5">
        <v>2</v>
      </c>
      <c r="L4" s="7">
        <v>-17.1428571428571</v>
      </c>
      <c r="M4" s="8">
        <v>-0.88609430856008697</v>
      </c>
      <c r="N4" s="8">
        <v>1.3128656284579401E-2</v>
      </c>
      <c r="O4" s="7">
        <v>-0.88700564971751295</v>
      </c>
      <c r="P4" s="7">
        <v>1.31492590063375E-2</v>
      </c>
      <c r="Q4" s="7">
        <f t="shared" si="1"/>
        <v>1.2811444854794829E-2</v>
      </c>
      <c r="R4" s="7">
        <f t="shared" si="2"/>
        <v>8.5019431239360829E-2</v>
      </c>
      <c r="S4" s="7">
        <f t="shared" si="3"/>
        <v>-4.5869100186822784</v>
      </c>
      <c r="T4" s="7">
        <f t="shared" si="4"/>
        <v>-21.729767161539378</v>
      </c>
      <c r="U4" s="9">
        <f>1/proj3!$B$35*(proj3!$B$27+M4*(proj3!$B$31-proj3!$B$32))</f>
        <v>-0.20403283045534562</v>
      </c>
      <c r="V4" s="10">
        <f>proj3!$B$40+proj3!$B$41+U4^2/(PI()*proj3!$B$43)</f>
        <v>1.5575175917650971E-2</v>
      </c>
      <c r="W4" s="7">
        <f>proj3!$I$27 *(1+ABS(M4)/proj3!$G$29)</f>
        <v>4.1284529874930337E-2</v>
      </c>
      <c r="X4" s="7">
        <f>(R4+ W4+proj3!$B$25/proj3!$B$17 * V4)*(1+proj3!$F$33)</f>
        <v>0.13758950266630154</v>
      </c>
      <c r="Y4" s="7">
        <f>M4 + U4 * proj3!$B$25/proj3!$B$17</f>
        <v>-0.91601912369353766</v>
      </c>
      <c r="Z4" s="7">
        <f t="shared" si="5"/>
        <v>-6.657623626383594</v>
      </c>
      <c r="AA4" s="7">
        <f t="shared" si="6"/>
        <v>-40.601587990813357</v>
      </c>
      <c r="AB4" s="11"/>
      <c r="AC4" s="11"/>
      <c r="AD4" s="11"/>
    </row>
    <row r="5" spans="1:30" ht="13">
      <c r="A5" s="2"/>
      <c r="B5" s="2"/>
      <c r="C5" s="5">
        <f t="shared" si="0"/>
        <v>0</v>
      </c>
      <c r="D5" s="2"/>
      <c r="E5" s="2"/>
      <c r="F5" s="2"/>
      <c r="G5" s="4" t="s">
        <v>29</v>
      </c>
      <c r="H5" s="5">
        <f>I5*PI()/180</f>
        <v>4.3633231299858237E-2</v>
      </c>
      <c r="I5" s="5">
        <v>2.5</v>
      </c>
      <c r="J5" s="2"/>
      <c r="K5" s="5">
        <v>3</v>
      </c>
      <c r="L5" s="7">
        <v>-16.571428571428498</v>
      </c>
      <c r="M5" s="8">
        <v>-0.94067857017886702</v>
      </c>
      <c r="N5" s="8">
        <v>1.43933031711875E-2</v>
      </c>
      <c r="O5" s="7">
        <v>-0.93785310734463301</v>
      </c>
      <c r="P5" s="7">
        <v>1.4525938303934E-2</v>
      </c>
      <c r="Q5" s="7">
        <f t="shared" si="1"/>
        <v>1.4100383745896544E-2</v>
      </c>
      <c r="R5" s="7">
        <f t="shared" si="2"/>
        <v>9.5357986245087289E-2</v>
      </c>
      <c r="S5" s="7">
        <f t="shared" si="3"/>
        <v>-4.8694680873470189</v>
      </c>
      <c r="T5" s="7">
        <f t="shared" si="4"/>
        <v>-21.440896658775518</v>
      </c>
      <c r="U5" s="9">
        <f>1/proj3!$B$35*(proj3!$B$27+M5*(proj3!$B$31-proj3!$B$32))</f>
        <v>-0.20961867465031184</v>
      </c>
      <c r="V5" s="10">
        <f>proj3!$B$40+proj3!$B$41+U5^2/(PI()*proj3!$B$43)</f>
        <v>1.5773612041068436E-2</v>
      </c>
      <c r="W5" s="7">
        <f>proj3!$I$27 *(1+ABS(M5)/proj3!$G$29)</f>
        <v>4.1702919425948795E-2</v>
      </c>
      <c r="X5" s="7">
        <f>(R5+ W5+proj3!$B$25/proj3!$B$17 * V5)*(1+proj3!$F$33)</f>
        <v>0.14913057458432027</v>
      </c>
      <c r="Y5" s="7">
        <f>M5 + U5 * proj3!$B$25/proj3!$B$17</f>
        <v>-0.97142264246091281</v>
      </c>
      <c r="Z5" s="7">
        <f t="shared" si="5"/>
        <v>-6.5139066564224795</v>
      </c>
      <c r="AA5" s="7">
        <f t="shared" si="6"/>
        <v>-41.218414644432073</v>
      </c>
      <c r="AB5" s="11"/>
      <c r="AC5" s="11"/>
      <c r="AD5" s="11"/>
    </row>
    <row r="6" spans="1:30" ht="13">
      <c r="A6" s="2" t="s">
        <v>30</v>
      </c>
      <c r="B6" s="5">
        <v>4</v>
      </c>
      <c r="C6" s="5">
        <f t="shared" si="0"/>
        <v>2.1508000000000003</v>
      </c>
      <c r="D6" s="2"/>
      <c r="E6" s="2"/>
      <c r="F6" s="2"/>
      <c r="G6" s="4" t="s">
        <v>31</v>
      </c>
      <c r="H6" s="5">
        <v>27.8</v>
      </c>
      <c r="I6" s="2"/>
      <c r="J6" s="2"/>
      <c r="K6" s="5">
        <v>4</v>
      </c>
      <c r="L6" s="7">
        <v>-16.1142857142857</v>
      </c>
      <c r="M6" s="8">
        <v>-0.99242215239707998</v>
      </c>
      <c r="N6" s="8">
        <v>1.6608497932597201E-2</v>
      </c>
      <c r="O6" s="7">
        <v>-0.99435028248587498</v>
      </c>
      <c r="P6" s="7">
        <v>1.65073129717992E-2</v>
      </c>
      <c r="Q6" s="7">
        <f t="shared" si="1"/>
        <v>1.6338606304962266E-2</v>
      </c>
      <c r="R6" s="7">
        <f t="shared" si="2"/>
        <v>0.10667418702817841</v>
      </c>
      <c r="S6" s="7">
        <f t="shared" si="3"/>
        <v>-5.1373212417871104</v>
      </c>
      <c r="T6" s="7">
        <f t="shared" si="4"/>
        <v>-21.251606956072809</v>
      </c>
      <c r="U6" s="9">
        <f>1/proj3!$B$35*(proj3!$B$27+M6*(proj3!$B$31-proj3!$B$32))</f>
        <v>-0.21491381980367086</v>
      </c>
      <c r="V6" s="10">
        <f>proj3!$B$40+proj3!$B$41+U6^2/(PI()*proj3!$B$43)</f>
        <v>1.5966669290680489E-2</v>
      </c>
      <c r="W6" s="7">
        <f>proj3!$I$27 *(1+ABS(M6)/proj3!$G$29)</f>
        <v>4.2099535107655052E-2</v>
      </c>
      <c r="X6" s="7">
        <f>(R6+ W6+proj3!$B$25/proj3!$B$17 * V6)*(1+proj3!$F$33)</f>
        <v>0.16169358531935926</v>
      </c>
      <c r="Y6" s="7">
        <f>M6 + U6 * proj3!$B$25/proj3!$B$17</f>
        <v>-1.0239428459682851</v>
      </c>
      <c r="Z6" s="7">
        <f t="shared" si="5"/>
        <v>-6.332612663303288</v>
      </c>
      <c r="AA6" s="7">
        <f t="shared" si="6"/>
        <v>-41.062138748855048</v>
      </c>
      <c r="AB6" s="11"/>
      <c r="AC6" s="11"/>
      <c r="AD6" s="11"/>
    </row>
    <row r="7" spans="1:30" ht="13">
      <c r="A7" s="2"/>
      <c r="B7" s="5">
        <v>5.25</v>
      </c>
      <c r="C7" s="5">
        <f t="shared" si="0"/>
        <v>2.8229250000000001</v>
      </c>
      <c r="D7" s="2"/>
      <c r="E7" s="2"/>
      <c r="F7" s="2"/>
      <c r="G7" s="4" t="s">
        <v>32</v>
      </c>
      <c r="H7" s="5">
        <v>2</v>
      </c>
      <c r="I7" s="2"/>
      <c r="J7" s="2"/>
      <c r="K7" s="5">
        <v>5</v>
      </c>
      <c r="L7" s="7">
        <v>-15.0857142857142</v>
      </c>
      <c r="M7" s="8">
        <v>-1.07247405022369</v>
      </c>
      <c r="N7" s="8">
        <v>2.0161644573211301E-2</v>
      </c>
      <c r="O7" s="7">
        <v>-1.0734463276836099</v>
      </c>
      <c r="P7" s="7">
        <v>2.02336677323985E-2</v>
      </c>
      <c r="Q7" s="7">
        <f t="shared" si="1"/>
        <v>1.9927378985098672E-2</v>
      </c>
      <c r="R7" s="7">
        <f t="shared" si="2"/>
        <v>0.12526492028142416</v>
      </c>
      <c r="S7" s="7">
        <f t="shared" si="3"/>
        <v>-5.5517137602901316</v>
      </c>
      <c r="T7" s="7">
        <f t="shared" si="4"/>
        <v>-20.637428046004331</v>
      </c>
      <c r="U7" s="9">
        <f>1/proj3!$B$35*(proj3!$B$27+M7*(proj3!$B$31-proj3!$B$32))</f>
        <v>-0.2231058776516596</v>
      </c>
      <c r="V7" s="10">
        <f>proj3!$B$40+proj3!$B$41+U7^2/(PI()*proj3!$B$43)</f>
        <v>1.6274834749647686E-2</v>
      </c>
      <c r="W7" s="7">
        <f>proj3!$I$27 *(1+ABS(M7)/proj3!$G$29)</f>
        <v>4.2713134643429067E-2</v>
      </c>
      <c r="X7" s="7">
        <f>(R7+ W7+proj3!$B$25/proj3!$B$17 * V7)*(1+proj3!$F$33)</f>
        <v>0.18229058283630437</v>
      </c>
      <c r="Y7" s="7">
        <f>M7 + U7 * proj3!$B$25/proj3!$B$17</f>
        <v>-1.1051962456126001</v>
      </c>
      <c r="Z7" s="7">
        <f t="shared" si="5"/>
        <v>-6.0628268801195198</v>
      </c>
      <c r="AA7" s="7">
        <f t="shared" si="6"/>
        <v>-40.624659675693785</v>
      </c>
      <c r="AB7" s="11"/>
      <c r="AC7" s="11"/>
      <c r="AD7" s="11"/>
    </row>
    <row r="8" spans="1:30" ht="13">
      <c r="A8" s="2"/>
      <c r="B8" s="2"/>
      <c r="C8" s="5">
        <f t="shared" si="0"/>
        <v>0</v>
      </c>
      <c r="D8" s="2"/>
      <c r="E8" s="2"/>
      <c r="F8" s="2"/>
      <c r="G8" s="4" t="s">
        <v>33</v>
      </c>
      <c r="H8" s="5">
        <f>H3/ H2</f>
        <v>0.76190476190476186</v>
      </c>
      <c r="I8" s="2"/>
      <c r="J8" s="2"/>
      <c r="K8" s="5">
        <v>6</v>
      </c>
      <c r="L8" s="7">
        <v>-13.4857142857142</v>
      </c>
      <c r="M8" s="8">
        <v>-1.0658281067931501</v>
      </c>
      <c r="N8" s="8">
        <v>1.9625478172968999E-2</v>
      </c>
      <c r="O8" s="7">
        <v>-1.0621468926553601</v>
      </c>
      <c r="P8" s="7">
        <v>1.9625987292950901E-2</v>
      </c>
      <c r="Q8" s="7">
        <f t="shared" si="1"/>
        <v>1.9388254895535473E-2</v>
      </c>
      <c r="R8" s="7">
        <f t="shared" si="2"/>
        <v>0.12343605112295625</v>
      </c>
      <c r="S8" s="7">
        <f t="shared" si="3"/>
        <v>-5.5173107128823711</v>
      </c>
      <c r="T8" s="7">
        <f t="shared" si="4"/>
        <v>-19.003024998596572</v>
      </c>
      <c r="U8" s="9">
        <f>1/proj3!$B$35*(proj3!$B$27+M8*(proj3!$B$31-proj3!$B$32))</f>
        <v>-0.22242576944041684</v>
      </c>
      <c r="V8" s="10">
        <f>proj3!$B$40+proj3!$B$41+U8^2/(PI()*proj3!$B$43)</f>
        <v>1.6248811958022739E-2</v>
      </c>
      <c r="W8" s="7">
        <f>proj3!$I$27 *(1+ABS(M8)/proj3!$G$29)</f>
        <v>4.2662193342666993E-2</v>
      </c>
      <c r="X8" s="7">
        <f>(R8+ W8+proj3!$B$25/proj3!$B$17 * V8)*(1+proj3!$F$33)</f>
        <v>0.18027510180149592</v>
      </c>
      <c r="Y8" s="7">
        <f>M8 + U8 * proj3!$B$25/proj3!$B$17</f>
        <v>-1.0984505529777446</v>
      </c>
      <c r="Z8" s="7">
        <f t="shared" si="5"/>
        <v>-6.093190584838875</v>
      </c>
      <c r="AA8" s="7">
        <f t="shared" si="6"/>
        <v>-40.78214237804508</v>
      </c>
      <c r="AB8" s="11"/>
      <c r="AC8" s="11"/>
      <c r="AD8" s="11"/>
    </row>
    <row r="9" spans="1:30" ht="13">
      <c r="A9" s="2" t="s">
        <v>34</v>
      </c>
      <c r="B9" s="5">
        <v>2.4</v>
      </c>
      <c r="C9" s="5">
        <f t="shared" si="0"/>
        <v>1.2904800000000001</v>
      </c>
      <c r="D9" s="2"/>
      <c r="E9" s="2"/>
      <c r="F9" s="2"/>
      <c r="G9" s="4" t="s">
        <v>35</v>
      </c>
      <c r="H9" s="5">
        <f>((C4)^2)/H6</f>
        <v>3.5594158813848917</v>
      </c>
      <c r="I9" s="2"/>
      <c r="J9" s="2"/>
      <c r="K9" s="5">
        <v>7</v>
      </c>
      <c r="L9" s="7">
        <v>-12</v>
      </c>
      <c r="M9" s="8">
        <v>-0.97595755452210597</v>
      </c>
      <c r="N9" s="8">
        <v>1.6001416949740801E-2</v>
      </c>
      <c r="O9" s="7">
        <v>-0.98305084745762705</v>
      </c>
      <c r="P9" s="7">
        <v>1.6069230067500499E-2</v>
      </c>
      <c r="Q9" s="7">
        <f t="shared" si="1"/>
        <v>1.5724197970343599E-2</v>
      </c>
      <c r="R9" s="7">
        <f t="shared" si="2"/>
        <v>0.10311848650937638</v>
      </c>
      <c r="S9" s="7">
        <f t="shared" si="3"/>
        <v>-5.0520914550514107</v>
      </c>
      <c r="T9" s="7">
        <f t="shared" si="4"/>
        <v>-17.052091455051411</v>
      </c>
      <c r="U9" s="9">
        <f>1/proj3!$B$35*(proj3!$B$27+M9*(proj3!$B$31-proj3!$B$32))</f>
        <v>-0.21322892610473812</v>
      </c>
      <c r="V9" s="10">
        <f>proj3!$B$40+proj3!$B$41+U9^2/(PI()*proj3!$B$43)</f>
        <v>1.5904716852394626E-2</v>
      </c>
      <c r="W9" s="7">
        <f>proj3!$I$27 *(1+ABS(M9)/proj3!$G$29)</f>
        <v>4.197333360728997E-2</v>
      </c>
      <c r="X9" s="7">
        <f>(R9+ W9+proj3!$B$25/proj3!$B$17 * V9)*(1+proj3!$F$33)</f>
        <v>0.15774422775620214</v>
      </c>
      <c r="Y9" s="7">
        <f>M9 + U9 * proj3!$B$25/proj3!$B$17</f>
        <v>-1.0072311303508008</v>
      </c>
      <c r="Z9" s="7">
        <f t="shared" si="5"/>
        <v>-6.3852170356908591</v>
      </c>
      <c r="AA9" s="7">
        <f t="shared" si="6"/>
        <v>-41.065816983771917</v>
      </c>
      <c r="AB9" s="11"/>
      <c r="AC9" s="11"/>
      <c r="AD9" s="11"/>
    </row>
    <row r="10" spans="1:30" ht="13">
      <c r="A10" s="2"/>
      <c r="B10" s="2"/>
      <c r="C10" s="5">
        <f t="shared" si="0"/>
        <v>0</v>
      </c>
      <c r="D10" s="2"/>
      <c r="E10" s="2"/>
      <c r="F10" s="2"/>
      <c r="G10" s="4" t="s">
        <v>36</v>
      </c>
      <c r="H10" s="5">
        <v>0.09</v>
      </c>
      <c r="I10" s="2"/>
      <c r="J10" s="2"/>
      <c r="K10" s="5">
        <v>8</v>
      </c>
      <c r="L10" s="7">
        <v>-10.742857142857099</v>
      </c>
      <c r="M10" s="8">
        <v>-0.86618200801809497</v>
      </c>
      <c r="N10" s="8">
        <v>1.2715685774772299E-2</v>
      </c>
      <c r="O10" s="7">
        <v>-0.85875706214689196</v>
      </c>
      <c r="P10" s="7">
        <v>1.2527594748682201E-2</v>
      </c>
      <c r="Q10" s="7">
        <f t="shared" si="1"/>
        <v>1.2389612638702818E-2</v>
      </c>
      <c r="R10" s="7">
        <f t="shared" si="2"/>
        <v>8.1430933516464271E-2</v>
      </c>
      <c r="S10" s="7">
        <f t="shared" si="3"/>
        <v>-4.4838330324419555</v>
      </c>
      <c r="T10" s="7">
        <f t="shared" si="4"/>
        <v>-15.226690175299055</v>
      </c>
      <c r="U10" s="9">
        <f>1/proj3!$B$35*(proj3!$B$27+M10*(proj3!$B$31-proj3!$B$32))</f>
        <v>-0.20199511839160597</v>
      </c>
      <c r="V10" s="10">
        <f>proj3!$B$40+proj3!$B$41+U10^2/(PI()*proj3!$B$43)</f>
        <v>1.5504120687045566E-2</v>
      </c>
      <c r="W10" s="7">
        <f>proj3!$I$27 *(1+ABS(M10)/proj3!$G$29)</f>
        <v>4.1131901658729597E-2</v>
      </c>
      <c r="X10" s="7">
        <f>(R10+ W10+proj3!$B$25/proj3!$B$17 * V10)*(1+proj3!$F$33)</f>
        <v>0.1335753469772778</v>
      </c>
      <c r="Y10" s="7">
        <f>M10 + U10 * proj3!$B$25/proj3!$B$17</f>
        <v>-0.89580795871553054</v>
      </c>
      <c r="Z10" s="7">
        <f t="shared" si="5"/>
        <v>-6.7063869118596742</v>
      </c>
      <c r="AA10" s="7">
        <f t="shared" si="6"/>
        <v>-40.28952319188636</v>
      </c>
      <c r="AB10" s="11"/>
      <c r="AC10" s="11"/>
      <c r="AD10" s="11"/>
    </row>
    <row r="11" spans="1:30" ht="13">
      <c r="A11" s="2"/>
      <c r="B11" s="2"/>
      <c r="C11" s="2"/>
      <c r="D11" s="2"/>
      <c r="E11" s="2"/>
      <c r="F11" s="2"/>
      <c r="G11" s="4" t="s">
        <v>37</v>
      </c>
      <c r="H11" s="5">
        <f>2*H4 /(3*PI())</f>
        <v>3.7772773160476496</v>
      </c>
      <c r="I11" s="5">
        <v>2.37</v>
      </c>
      <c r="J11" s="2"/>
      <c r="K11" s="5">
        <v>9</v>
      </c>
      <c r="L11" s="7">
        <v>-9.3714285714285595</v>
      </c>
      <c r="M11" s="8">
        <v>-0.72956203239571704</v>
      </c>
      <c r="N11" s="8">
        <v>1.05359652900272E-2</v>
      </c>
      <c r="O11" s="7">
        <v>-0.73446327683615797</v>
      </c>
      <c r="P11" s="7">
        <v>1.0710877044283199E-2</v>
      </c>
      <c r="Q11" s="7">
        <f t="shared" si="1"/>
        <v>1.0149091238761409E-2</v>
      </c>
      <c r="R11" s="7">
        <f t="shared" si="2"/>
        <v>5.9404521836758706E-2</v>
      </c>
      <c r="S11" s="7">
        <f t="shared" si="3"/>
        <v>-3.7766131249439048</v>
      </c>
      <c r="T11" s="7">
        <f t="shared" si="4"/>
        <v>-13.148041696372465</v>
      </c>
      <c r="U11" s="9">
        <f>1/proj3!$B$35*(proj3!$B$27+M11*(proj3!$B$31-proj3!$B$32))</f>
        <v>-0.18801420383648218</v>
      </c>
      <c r="V11" s="10">
        <f>proj3!$B$40+proj3!$B$41+U11^2/(PI()*proj3!$B$43)</f>
        <v>1.5035838242376885E-2</v>
      </c>
      <c r="W11" s="7">
        <f>proj3!$I$27 *(1+ABS(M11)/proj3!$G$29)</f>
        <v>4.0084706577846921E-2</v>
      </c>
      <c r="X11" s="7">
        <f>(R11+ W11+proj3!$B$25/proj3!$B$17 * V11)*(1+proj3!$F$33)</f>
        <v>0.10881309861846504</v>
      </c>
      <c r="Y11" s="7">
        <f>M11 + U11 * proj3!$B$25/proj3!$B$17</f>
        <v>-0.75713744895840107</v>
      </c>
      <c r="Z11" s="7">
        <f t="shared" si="5"/>
        <v>-6.9581462027212098</v>
      </c>
      <c r="AA11" s="7">
        <f t="shared" si="6"/>
        <v>-36.657414224966566</v>
      </c>
      <c r="AB11" s="11"/>
      <c r="AC11" s="11"/>
      <c r="AD11" s="11"/>
    </row>
    <row r="12" spans="1:30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5">
        <v>10</v>
      </c>
      <c r="L12" s="7">
        <v>-8.6857142857142797</v>
      </c>
      <c r="M12" s="8">
        <v>-0.65899964007298095</v>
      </c>
      <c r="N12" s="8">
        <v>9.9732397222947605E-3</v>
      </c>
      <c r="O12" s="7">
        <v>-0.66101694915254205</v>
      </c>
      <c r="P12" s="7">
        <v>1.0088919562913299E-2</v>
      </c>
      <c r="Q12" s="7">
        <f t="shared" si="1"/>
        <v>9.5549628105605876E-3</v>
      </c>
      <c r="R12" s="7">
        <f t="shared" si="2"/>
        <v>4.9918041692785381E-2</v>
      </c>
      <c r="S12" s="7">
        <f t="shared" si="3"/>
        <v>-3.4113434903682087</v>
      </c>
      <c r="T12" s="7">
        <f t="shared" si="4"/>
        <v>-12.097057776082488</v>
      </c>
      <c r="U12" s="9">
        <f>1/proj3!$B$35*(proj3!$B$27+M12*(proj3!$B$31-proj3!$B$32))</f>
        <v>-0.18079324823774834</v>
      </c>
      <c r="V12" s="10">
        <f>proj3!$B$40+proj3!$B$41+U12^2/(PI()*proj3!$B$43)</f>
        <v>1.4807124810907721E-2</v>
      </c>
      <c r="W12" s="7">
        <f>proj3!$I$27 *(1+ABS(M12)/proj3!$G$29)</f>
        <v>3.954384430789655E-2</v>
      </c>
      <c r="X12" s="7">
        <f>(R12+ W12+proj3!$B$25/proj3!$B$17 * V12)*(1+proj3!$F$33)</f>
        <v>9.8047949474388121E-2</v>
      </c>
      <c r="Y12" s="7">
        <f>M12 + U12 * proj3!$B$25/proj3!$B$17</f>
        <v>-0.68551598314785067</v>
      </c>
      <c r="Z12" s="7">
        <f t="shared" si="5"/>
        <v>-6.9916401803682771</v>
      </c>
      <c r="AA12" s="7">
        <f t="shared" si="6"/>
        <v>-33.5101000229823</v>
      </c>
      <c r="AB12" s="11"/>
      <c r="AC12" s="11"/>
      <c r="AD12" s="11"/>
    </row>
    <row r="13" spans="1:30" ht="13">
      <c r="A13" s="2" t="s">
        <v>38</v>
      </c>
      <c r="B13" s="2"/>
      <c r="C13" s="2"/>
      <c r="D13" s="2"/>
      <c r="E13" s="2"/>
      <c r="F13" s="2"/>
      <c r="G13" s="4" t="s">
        <v>39</v>
      </c>
      <c r="H13" s="5">
        <f>0.239*H7</f>
        <v>0.47799999999999998</v>
      </c>
      <c r="I13" s="2"/>
      <c r="J13" s="2"/>
      <c r="K13" s="5">
        <v>11</v>
      </c>
      <c r="L13" s="7">
        <v>-8</v>
      </c>
      <c r="M13" s="8">
        <v>-0.58798537377064997</v>
      </c>
      <c r="N13" s="8">
        <v>9.5470258281440002E-3</v>
      </c>
      <c r="O13" s="7">
        <v>-0.57627118644067798</v>
      </c>
      <c r="P13" s="7">
        <v>9.4972281765503003E-3</v>
      </c>
      <c r="Q13" s="7">
        <f t="shared" si="1"/>
        <v>9.097144955396758E-3</v>
      </c>
      <c r="R13" s="7">
        <f t="shared" si="2"/>
        <v>4.1423389795914867E-2</v>
      </c>
      <c r="S13" s="7">
        <f t="shared" si="3"/>
        <v>-3.0437347082952737</v>
      </c>
      <c r="T13" s="7">
        <f t="shared" si="4"/>
        <v>-11.043734708295274</v>
      </c>
      <c r="U13" s="9">
        <f>1/proj3!$B$35*(proj3!$B$27+M13*(proj3!$B$31-proj3!$B$32))</f>
        <v>-0.17352605041514035</v>
      </c>
      <c r="V13" s="10">
        <f>proj3!$B$40+proj3!$B$41+U13^2/(PI()*proj3!$B$43)</f>
        <v>1.4585988990183674E-2</v>
      </c>
      <c r="W13" s="7">
        <f>proj3!$I$27 *(1+ABS(M13)/proj3!$G$29)</f>
        <v>3.8999518414076728E-2</v>
      </c>
      <c r="X13" s="7">
        <f>(R13+ W13+proj3!$B$25/proj3!$B$17 * V13)*(1+proj3!$F$33)</f>
        <v>8.8341539656883836E-2</v>
      </c>
      <c r="Y13" s="7">
        <f>M13 + U13 * proj3!$B$25/proj3!$B$17</f>
        <v>-0.61343586116487059</v>
      </c>
      <c r="Z13" s="7">
        <f t="shared" si="5"/>
        <v>-6.943911817107093</v>
      </c>
      <c r="AA13" s="7">
        <f t="shared" si="6"/>
        <v>-29.578595956461797</v>
      </c>
      <c r="AB13" s="11"/>
      <c r="AC13" s="11"/>
      <c r="AD13" s="11"/>
    </row>
    <row r="14" spans="1:30" ht="13">
      <c r="A14" s="2" t="s">
        <v>40</v>
      </c>
      <c r="B14" s="5">
        <v>24.7</v>
      </c>
      <c r="C14" s="2" t="s">
        <v>41</v>
      </c>
      <c r="D14" s="2"/>
      <c r="E14" s="2"/>
      <c r="F14" s="2"/>
      <c r="G14" s="4" t="s">
        <v>42</v>
      </c>
      <c r="H14" s="5">
        <f>0.006*H7</f>
        <v>1.2E-2</v>
      </c>
      <c r="I14" s="2"/>
      <c r="J14" s="2"/>
      <c r="K14" s="5">
        <v>12</v>
      </c>
      <c r="L14" s="7">
        <v>-7.3142857142857096</v>
      </c>
      <c r="M14" s="8">
        <v>-0.51668597291056595</v>
      </c>
      <c r="N14" s="8">
        <v>9.1110992087565807E-3</v>
      </c>
      <c r="O14" s="7">
        <v>-0.51977401129943501</v>
      </c>
      <c r="P14" s="7">
        <v>9.0478523802478006E-3</v>
      </c>
      <c r="Q14" s="7">
        <f t="shared" si="1"/>
        <v>8.6294874796283959E-3</v>
      </c>
      <c r="R14" s="7">
        <f t="shared" si="2"/>
        <v>3.3807525138802919E-2</v>
      </c>
      <c r="S14" s="7">
        <f t="shared" si="3"/>
        <v>-2.674649913401812</v>
      </c>
      <c r="T14" s="7">
        <f t="shared" si="4"/>
        <v>-9.9889356276875212</v>
      </c>
      <c r="U14" s="9">
        <f>1/proj3!$B$35*(proj3!$B$27+M14*(proj3!$B$31-proj3!$B$32))</f>
        <v>-0.16622967353675749</v>
      </c>
      <c r="V14" s="10">
        <f>proj3!$B$40+proj3!$B$41+U14^2/(PI()*proj3!$B$43)</f>
        <v>1.4373091104674766E-2</v>
      </c>
      <c r="W14" s="7">
        <f>proj3!$I$27 *(1+ABS(M14)/proj3!$G$29)</f>
        <v>3.8453006957677872E-2</v>
      </c>
      <c r="X14" s="7">
        <f>(R14+ W14+proj3!$B$25/proj3!$B$17 * V14)*(1+proj3!$F$33)</f>
        <v>7.9574386440594738E-2</v>
      </c>
      <c r="Y14" s="7">
        <f>M14 + U14 * proj3!$B$25/proj3!$B$17</f>
        <v>-0.54106632502929042</v>
      </c>
      <c r="Z14" s="7">
        <f t="shared" si="5"/>
        <v>-6.7995035743469625</v>
      </c>
      <c r="AA14" s="7">
        <f t="shared" si="6"/>
        <v>-25.015254053523069</v>
      </c>
      <c r="AB14" s="11"/>
      <c r="AC14" s="11"/>
      <c r="AD14" s="11"/>
    </row>
    <row r="15" spans="1:30" ht="15.75" customHeight="1">
      <c r="A15" s="2" t="s">
        <v>43</v>
      </c>
      <c r="B15" s="12">
        <f>1.461*0.00001</f>
        <v>1.4610000000000002E-5</v>
      </c>
      <c r="C15" s="2"/>
      <c r="D15" s="2"/>
      <c r="E15" s="2"/>
      <c r="F15" s="2"/>
      <c r="G15" s="4" t="s">
        <v>44</v>
      </c>
      <c r="H15" s="5">
        <v>-4.8000000000000001E-2</v>
      </c>
      <c r="I15" s="2"/>
      <c r="J15" s="2"/>
      <c r="K15" s="5">
        <v>13</v>
      </c>
      <c r="L15" s="7">
        <v>-6.6285714285714201</v>
      </c>
      <c r="M15" s="8">
        <v>-0.44522097656461002</v>
      </c>
      <c r="N15" s="8">
        <v>8.6078038207434704E-3</v>
      </c>
      <c r="O15" s="7">
        <v>-0.45762711864406802</v>
      </c>
      <c r="P15" s="7">
        <v>8.5147368951185697E-3</v>
      </c>
      <c r="Q15" s="7">
        <f t="shared" si="1"/>
        <v>8.0943875391511193E-3</v>
      </c>
      <c r="R15" s="7">
        <f t="shared" si="2"/>
        <v>2.7033574394907445E-2</v>
      </c>
      <c r="S15" s="7">
        <f t="shared" si="3"/>
        <v>-2.3047079054714805</v>
      </c>
      <c r="T15" s="7">
        <f t="shared" si="4"/>
        <v>-8.9332793340429006</v>
      </c>
      <c r="U15" s="9">
        <f>1/proj3!$B$35*(proj3!$B$27+M15*(proj3!$B$31-proj3!$B$32))</f>
        <v>-0.15891635055420392</v>
      </c>
      <c r="V15" s="10">
        <f>proj3!$B$40+proj3!$B$41+U15^2/(PI()*proj3!$B$43)</f>
        <v>1.4168874754933827E-2</v>
      </c>
      <c r="W15" s="7">
        <f>proj3!$I$27 *(1+ABS(M15)/proj3!$G$29)</f>
        <v>3.7905226208282648E-2</v>
      </c>
      <c r="X15" s="7">
        <f>(R15+ W15+proj3!$B$25/proj3!$B$17 * V15)*(1+proj3!$F$33)</f>
        <v>7.1708085390287696E-2</v>
      </c>
      <c r="Y15" s="7">
        <f>M15 + U15 * proj3!$B$25/proj3!$B$17</f>
        <v>-0.46852870797922658</v>
      </c>
      <c r="Z15" s="7">
        <f t="shared" si="5"/>
        <v>-6.533833743142794</v>
      </c>
      <c r="AA15" s="7">
        <f t="shared" si="6"/>
        <v>-20.001951286814325</v>
      </c>
      <c r="AB15" s="11"/>
      <c r="AC15" s="11"/>
      <c r="AD15" s="11"/>
    </row>
    <row r="16" spans="1:30" ht="15.75" customHeight="1">
      <c r="A16" s="2"/>
      <c r="B16" s="2"/>
      <c r="C16" s="2"/>
      <c r="D16" s="2"/>
      <c r="E16" s="2"/>
      <c r="F16" s="2"/>
      <c r="G16" s="13" t="s">
        <v>45</v>
      </c>
      <c r="H16" s="5">
        <v>5.71</v>
      </c>
      <c r="I16" s="2"/>
      <c r="J16" s="2"/>
      <c r="K16" s="5">
        <v>14</v>
      </c>
      <c r="L16" s="7">
        <v>-5.25714285714285</v>
      </c>
      <c r="M16" s="8">
        <v>-0.303391710113534</v>
      </c>
      <c r="N16" s="8">
        <v>7.5823590028473399E-3</v>
      </c>
      <c r="O16" s="7">
        <v>-0.29378531073446301</v>
      </c>
      <c r="P16" s="7">
        <v>7.5637408088982897E-3</v>
      </c>
      <c r="Q16" s="7">
        <f t="shared" si="1"/>
        <v>7.0058234799979004E-3</v>
      </c>
      <c r="R16" s="7">
        <f t="shared" si="2"/>
        <v>1.6308912488956176E-2</v>
      </c>
      <c r="S16" s="7">
        <f t="shared" si="3"/>
        <v>-1.5705218522014133</v>
      </c>
      <c r="T16" s="7">
        <f t="shared" si="4"/>
        <v>-6.8276647093442637</v>
      </c>
      <c r="U16" s="9">
        <f>1/proj3!$B$35*(proj3!$B$27+M16*(proj3!$B$31-proj3!$B$32))</f>
        <v>-0.144402346678598</v>
      </c>
      <c r="V16" s="10">
        <f>proj3!$B$40+proj3!$B$41+U16^2/(PI()*proj3!$B$43)</f>
        <v>1.3790794737583134E-2</v>
      </c>
      <c r="W16" s="7">
        <f>proj3!$I$27 *(1+ABS(M16)/proj3!$G$29)</f>
        <v>3.6818101800038805E-2</v>
      </c>
      <c r="X16" s="7">
        <f>(R16+ W16+proj3!$B$25/proj3!$B$17 * V16)*(1+proj3!$F$33)</f>
        <v>5.9010140676709344E-2</v>
      </c>
      <c r="Y16" s="7">
        <f>M16 + U16 * proj3!$B$25/proj3!$B$17</f>
        <v>-0.32457072095972839</v>
      </c>
      <c r="Z16" s="7">
        <f t="shared" si="5"/>
        <v>-5.5002532994779472</v>
      </c>
      <c r="AA16" s="7">
        <f t="shared" si="6"/>
        <v>-9.81916867939238</v>
      </c>
      <c r="AB16" s="11"/>
      <c r="AC16" s="11"/>
      <c r="AD16" s="11"/>
    </row>
    <row r="17" spans="1:30" ht="15.75" customHeight="1">
      <c r="A17" s="2" t="s">
        <v>46</v>
      </c>
      <c r="B17" s="5">
        <f>B14 *H7/B15</f>
        <v>3381245.7221081443</v>
      </c>
      <c r="C17" s="2"/>
      <c r="D17" s="2"/>
      <c r="E17" s="2"/>
      <c r="F17" s="2"/>
      <c r="G17" s="2"/>
      <c r="H17" s="2"/>
      <c r="I17" s="2"/>
      <c r="J17" s="2"/>
      <c r="K17" s="5">
        <v>15</v>
      </c>
      <c r="L17" s="7">
        <v>-4.3428571428571399</v>
      </c>
      <c r="M17" s="8">
        <v>-0.21154881671241799</v>
      </c>
      <c r="N17" s="8">
        <v>7.1319801009005999E-3</v>
      </c>
      <c r="O17" s="7">
        <v>-0.209039548022599</v>
      </c>
      <c r="P17" s="7">
        <v>7.2749498369964298E-3</v>
      </c>
      <c r="Q17" s="7">
        <f t="shared" si="1"/>
        <v>6.5145711117251259E-3</v>
      </c>
      <c r="R17" s="7">
        <f t="shared" si="2"/>
        <v>1.1525451801628683E-2</v>
      </c>
      <c r="S17" s="7">
        <f t="shared" si="3"/>
        <v>-1.0950926751751844</v>
      </c>
      <c r="T17" s="7">
        <f t="shared" si="4"/>
        <v>-5.4379498180323242</v>
      </c>
      <c r="U17" s="9">
        <f>1/proj3!$B$35*(proj3!$B$27+M17*(proj3!$B$31-proj3!$B$32))</f>
        <v>-0.13500366512206272</v>
      </c>
      <c r="V17" s="10">
        <f>proj3!$B$40+proj3!$B$41+U17^2/(PI()*proj3!$B$43)</f>
        <v>1.3565266986608012E-2</v>
      </c>
      <c r="W17" s="7">
        <f>proj3!$I$27 *(1+ABS(M17)/proj3!$G$29)</f>
        <v>3.6114124027055459E-2</v>
      </c>
      <c r="X17" s="7">
        <f>(R17+ W17+proj3!$B$25/proj3!$B$17 * V17)*(1+proj3!$F$33)</f>
        <v>5.3103188702457053E-2</v>
      </c>
      <c r="Y17" s="7">
        <f>M17 + U17 * proj3!$B$25/proj3!$B$17</f>
        <v>-0.23134935426365386</v>
      </c>
      <c r="Z17" s="7">
        <f t="shared" si="5"/>
        <v>-4.3566000444894089</v>
      </c>
      <c r="AA17" s="7">
        <f t="shared" si="6"/>
        <v>-4.3910024032351282</v>
      </c>
      <c r="AB17" s="11"/>
      <c r="AC17" s="11"/>
      <c r="AD17" s="11"/>
    </row>
    <row r="18" spans="1:30" ht="15.75" customHeight="1">
      <c r="A18" s="2"/>
      <c r="B18" s="2"/>
      <c r="C18" s="2"/>
      <c r="D18" s="2"/>
      <c r="E18" s="2"/>
      <c r="F18" s="4" t="s">
        <v>47</v>
      </c>
      <c r="G18" s="2" t="s">
        <v>48</v>
      </c>
      <c r="H18" s="14">
        <v>6.3283999999999997E-3</v>
      </c>
      <c r="I18" s="2"/>
      <c r="J18" s="2"/>
      <c r="K18" s="5">
        <v>16</v>
      </c>
      <c r="L18" s="7">
        <v>-3.4285714285714302</v>
      </c>
      <c r="M18" s="8">
        <v>-0.12259966812467001</v>
      </c>
      <c r="N18" s="8">
        <v>6.9354618809925796E-3</v>
      </c>
      <c r="O18" s="7">
        <v>-0.124293785310734</v>
      </c>
      <c r="P18" s="7">
        <v>7.0062360374409504E-3</v>
      </c>
      <c r="Q18" s="7">
        <f t="shared" si="1"/>
        <v>6.2784672483895592E-3</v>
      </c>
      <c r="R18" s="7">
        <f t="shared" si="2"/>
        <v>8.5918603605836374E-3</v>
      </c>
      <c r="S18" s="7">
        <f t="shared" si="3"/>
        <v>-0.6346431080479481</v>
      </c>
      <c r="T18" s="7">
        <f t="shared" si="4"/>
        <v>-4.0632145366193786</v>
      </c>
      <c r="U18" s="9">
        <f>1/proj3!$B$35*(proj3!$B$27+M18*(proj3!$B$31-proj3!$B$32))</f>
        <v>-0.12590111302094364</v>
      </c>
      <c r="V18" s="10">
        <f>proj3!$B$40+proj3!$B$41+U18^2/(PI()*proj3!$B$43)</f>
        <v>1.336130815582705E-2</v>
      </c>
      <c r="W18" s="7">
        <f>proj3!$I$27 *(1+ABS(M18)/proj3!$G$29)</f>
        <v>3.5432326870926151E-2</v>
      </c>
      <c r="X18" s="7">
        <f>(R18+ W18+proj3!$B$25/proj3!$B$17 * V18)*(1+proj3!$F$33)</f>
        <v>4.9202714964303264E-2</v>
      </c>
      <c r="Y18" s="7">
        <f>M18 + U18 * proj3!$B$25/proj3!$B$17</f>
        <v>-0.14106516470107508</v>
      </c>
      <c r="Z18" s="7">
        <f t="shared" si="5"/>
        <v>-2.8670199358596031</v>
      </c>
      <c r="AA18" s="7">
        <f t="shared" si="6"/>
        <v>-1.1595279081046754</v>
      </c>
      <c r="AB18" s="11"/>
      <c r="AC18" s="11"/>
      <c r="AD18" s="11"/>
    </row>
    <row r="19" spans="1:30" ht="15.75" customHeight="1">
      <c r="A19" s="2"/>
      <c r="B19" s="2"/>
      <c r="C19" s="2"/>
      <c r="D19" s="2"/>
      <c r="E19" s="2"/>
      <c r="F19" s="2"/>
      <c r="G19" s="2" t="s">
        <v>49</v>
      </c>
      <c r="H19" s="11">
        <f>H18*(B17/10000000)^(0.11)</f>
        <v>5.6168440048232722E-3</v>
      </c>
      <c r="I19" s="2"/>
      <c r="J19" s="2"/>
      <c r="K19" s="5">
        <v>17</v>
      </c>
      <c r="L19" s="7">
        <v>-2.0571428571428498</v>
      </c>
      <c r="M19" s="8">
        <v>8.4326806135255304E-3</v>
      </c>
      <c r="N19" s="8">
        <v>6.82627661960353E-3</v>
      </c>
      <c r="O19" s="7">
        <v>5.6497175141241003E-3</v>
      </c>
      <c r="P19" s="7">
        <v>6.6770606291725303E-3</v>
      </c>
      <c r="Q19" s="7">
        <f t="shared" si="1"/>
        <v>6.1184734775255158E-3</v>
      </c>
      <c r="R19" s="7">
        <f t="shared" si="2"/>
        <v>7.0741871878086159E-3</v>
      </c>
      <c r="S19" s="7">
        <f t="shared" si="3"/>
        <v>4.3652178799549468E-2</v>
      </c>
      <c r="T19" s="7">
        <f t="shared" si="4"/>
        <v>-2.0134906783433002</v>
      </c>
      <c r="U19" s="9">
        <f>1/proj3!$B$35*(proj3!$B$27+M19*(proj3!$B$31-proj3!$B$32))</f>
        <v>-0.11249200455550613</v>
      </c>
      <c r="V19" s="10">
        <f>proj3!$B$40+proj3!$B$41+U19^2/(PI()*proj3!$B$43)</f>
        <v>1.3086777451417467E-2</v>
      </c>
      <c r="W19" s="7">
        <f>proj3!$I$27 *(1+ABS(M19)/proj3!$G$29)</f>
        <v>3.4557234431652713E-2</v>
      </c>
      <c r="X19" s="7">
        <f>(R19+ W19+proj3!$B$25/proj3!$B$17 * V19)*(1+proj3!$F$33)</f>
        <v>4.6599372740866077E-2</v>
      </c>
      <c r="Y19" s="7">
        <f>M19 + U19 * proj3!$B$25/proj3!$B$17</f>
        <v>-8.0661467212820373E-3</v>
      </c>
      <c r="Z19" s="7">
        <f t="shared" si="5"/>
        <v>-0.17309560723353468</v>
      </c>
      <c r="AA19" s="7">
        <f t="shared" si="6"/>
        <v>-2.4167860791458922E-4</v>
      </c>
      <c r="AB19" s="11"/>
      <c r="AC19" s="11"/>
      <c r="AD19" s="11"/>
    </row>
    <row r="20" spans="1:30" ht="15.75" customHeight="1">
      <c r="A20" s="2"/>
      <c r="B20" s="2"/>
      <c r="C20" s="2"/>
      <c r="D20" s="2"/>
      <c r="E20" s="2"/>
      <c r="F20" s="2"/>
      <c r="G20" s="2" t="s">
        <v>7</v>
      </c>
      <c r="H20" s="15" t="s">
        <v>290</v>
      </c>
      <c r="I20" s="2"/>
      <c r="J20" s="2"/>
      <c r="K20" s="5">
        <v>18</v>
      </c>
      <c r="L20" s="7">
        <v>-1.3714285714285599</v>
      </c>
      <c r="M20" s="8">
        <v>7.5262407187029798E-2</v>
      </c>
      <c r="N20" s="8">
        <v>6.7140968983825499E-3</v>
      </c>
      <c r="O20" s="7">
        <v>7.3446327683615906E-2</v>
      </c>
      <c r="P20" s="7">
        <v>6.5649327295987103E-3</v>
      </c>
      <c r="Q20" s="7">
        <f t="shared" si="1"/>
        <v>6.0360354431953254E-3</v>
      </c>
      <c r="R20" s="7">
        <f t="shared" si="2"/>
        <v>7.4993797789720904E-3</v>
      </c>
      <c r="S20" s="7">
        <f t="shared" si="3"/>
        <v>0.38959948870151462</v>
      </c>
      <c r="T20" s="7">
        <f t="shared" si="4"/>
        <v>-0.98182908272704528</v>
      </c>
      <c r="U20" s="9">
        <f>1/proj3!$B$35*(proj3!$B$27+M20*(proj3!$B$31-proj3!$B$32))</f>
        <v>-0.10565302882951863</v>
      </c>
      <c r="V20" s="10">
        <f>proj3!$B$40+proj3!$B$41+U20^2/(PI()*proj3!$B$43)</f>
        <v>1.2958652504223501E-2</v>
      </c>
      <c r="W20" s="7">
        <f>proj3!$I$27 *(1+ABS(M20)/proj3!$G$29)</f>
        <v>3.5069485737552121E-2</v>
      </c>
      <c r="X20" s="7">
        <f>(R20+ W20+proj3!$B$25/proj3!$B$17 * V20)*(1+proj3!$F$33)</f>
        <v>4.7582330635677045E-2</v>
      </c>
      <c r="Y20" s="7">
        <f>M20 + U20 * proj3!$B$25/proj3!$B$17</f>
        <v>5.9766629625367065E-2</v>
      </c>
      <c r="Z20" s="7">
        <f t="shared" si="5"/>
        <v>1.2560677215032061</v>
      </c>
      <c r="AA20" s="7">
        <f t="shared" si="6"/>
        <v>9.4294177391616371E-2</v>
      </c>
      <c r="AB20" s="11"/>
      <c r="AC20" s="11"/>
      <c r="AD20" s="11"/>
    </row>
    <row r="21" spans="1:30" ht="14">
      <c r="A21" s="2"/>
      <c r="B21" s="2"/>
      <c r="C21" s="2"/>
      <c r="D21" s="2"/>
      <c r="E21" s="2"/>
      <c r="F21" s="2"/>
      <c r="G21" s="16" t="s">
        <v>50</v>
      </c>
      <c r="H21" s="11">
        <f>0.15*H18</f>
        <v>9.4925999999999995E-4</v>
      </c>
      <c r="I21" s="2"/>
      <c r="J21" s="2"/>
      <c r="K21" s="5">
        <v>19</v>
      </c>
      <c r="L21" s="7">
        <v>-0.45714285714285502</v>
      </c>
      <c r="M21" s="8">
        <v>0.167757008739569</v>
      </c>
      <c r="N21" s="8">
        <v>6.4721519088392397E-3</v>
      </c>
      <c r="O21" s="7">
        <v>0.152542372881355</v>
      </c>
      <c r="P21" s="7">
        <v>6.3815797333250197E-3</v>
      </c>
      <c r="Q21" s="7">
        <f t="shared" si="1"/>
        <v>5.8352539540807999E-3</v>
      </c>
      <c r="R21" s="7">
        <f t="shared" si="2"/>
        <v>9.3386234343328725E-3</v>
      </c>
      <c r="S21" s="7">
        <f t="shared" si="3"/>
        <v>0.8684022644746735</v>
      </c>
      <c r="T21" s="7">
        <f t="shared" si="4"/>
        <v>0.41125940733181848</v>
      </c>
      <c r="U21" s="9">
        <f>1/proj3!$B$35*(proj3!$B$27+M21*(proj3!$B$31-proj3!$B$32))</f>
        <v>-9.6187655151729334E-2</v>
      </c>
      <c r="V21" s="10">
        <f>proj3!$B$40+proj3!$B$41+U21^2/(PI()*proj3!$B$43)</f>
        <v>1.2794576987519844E-2</v>
      </c>
      <c r="W21" s="7">
        <f>proj3!$I$27 *(1+ABS(M21)/proj3!$G$29)</f>
        <v>3.5778458867672898E-2</v>
      </c>
      <c r="X21" s="7">
        <f>(R21+ W21+proj3!$B$25/proj3!$B$17 * V21)*(1+proj3!$F$33)</f>
        <v>5.0283173678387624E-2</v>
      </c>
      <c r="Y21" s="7">
        <f>M21 + U21 * proj3!$B$25/proj3!$B$17</f>
        <v>0.15364948598398204</v>
      </c>
      <c r="Z21" s="7">
        <f t="shared" si="5"/>
        <v>3.0556839344852773</v>
      </c>
      <c r="AA21" s="7">
        <f t="shared" si="6"/>
        <v>1.4346566423704075</v>
      </c>
      <c r="AB21" s="11"/>
      <c r="AC21" s="11"/>
      <c r="AD21" s="11"/>
    </row>
    <row r="22" spans="1:3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5">
        <v>20</v>
      </c>
      <c r="L22" s="7">
        <v>0.34285714285714097</v>
      </c>
      <c r="M22" s="8">
        <v>0.25187094825333101</v>
      </c>
      <c r="N22" s="8">
        <v>6.2494322514381204E-3</v>
      </c>
      <c r="O22" s="7">
        <v>0.27118644067796599</v>
      </c>
      <c r="P22" s="7">
        <v>6.3370120669783304E-3</v>
      </c>
      <c r="Q22" s="7">
        <f t="shared" si="1"/>
        <v>5.6499680941891998E-3</v>
      </c>
      <c r="R22" s="7">
        <f t="shared" si="2"/>
        <v>1.2356732993554675E-2</v>
      </c>
      <c r="S22" s="7">
        <f t="shared" si="3"/>
        <v>1.3038221381148472</v>
      </c>
      <c r="T22" s="7">
        <f t="shared" si="4"/>
        <v>1.6466792809719881</v>
      </c>
      <c r="U22" s="9">
        <f>1/proj3!$B$35*(proj3!$B$27+M22*(proj3!$B$31-proj3!$B$32))</f>
        <v>-8.7579910962934937E-2</v>
      </c>
      <c r="V22" s="10">
        <f>proj3!$B$40+proj3!$B$41+U22^2/(PI()*proj3!$B$43)</f>
        <v>1.2658728276276657E-2</v>
      </c>
      <c r="W22" s="7">
        <f>proj3!$I$27 *(1+ABS(M22)/proj3!$G$29)</f>
        <v>3.6423194041216932E-2</v>
      </c>
      <c r="X22" s="7">
        <f>(R22+ W22+proj3!$B$25/proj3!$B$17 * V22)*(1+proj3!$F$33)</f>
        <v>5.418109835136263E-2</v>
      </c>
      <c r="Y22" s="7">
        <f>M22 + U22 * proj3!$B$25/proj3!$B$17</f>
        <v>0.23902589464543389</v>
      </c>
      <c r="Z22" s="7">
        <f t="shared" si="5"/>
        <v>4.4116103570909333</v>
      </c>
      <c r="AA22" s="7">
        <f t="shared" si="6"/>
        <v>4.6519950898390015</v>
      </c>
      <c r="AB22" s="11"/>
      <c r="AC22" s="11"/>
      <c r="AD22" s="11"/>
    </row>
    <row r="23" spans="1:30" ht="15.75" customHeight="1">
      <c r="A23" s="2"/>
      <c r="B23" s="2"/>
      <c r="C23" s="2"/>
      <c r="D23" s="2"/>
      <c r="E23" s="2"/>
      <c r="F23" s="2"/>
      <c r="G23" s="2" t="s">
        <v>51</v>
      </c>
      <c r="H23" s="14">
        <v>1.5988700564971701</v>
      </c>
      <c r="I23" s="2"/>
      <c r="J23" s="2"/>
      <c r="K23" s="5">
        <v>21</v>
      </c>
      <c r="L23" s="7">
        <v>1.02857142857143</v>
      </c>
      <c r="M23" s="8">
        <v>0.32519561667179903</v>
      </c>
      <c r="N23" s="8">
        <v>6.1295256133144403E-3</v>
      </c>
      <c r="O23" s="7">
        <v>0.34463276836158102</v>
      </c>
      <c r="P23" s="7">
        <v>6.3306877659034498E-3</v>
      </c>
      <c r="Q23" s="7">
        <f t="shared" si="1"/>
        <v>5.5626936310165052E-3</v>
      </c>
      <c r="R23" s="7">
        <f t="shared" si="2"/>
        <v>1.6109661522180893E-2</v>
      </c>
      <c r="S23" s="7">
        <f t="shared" si="3"/>
        <v>1.6833908284179964</v>
      </c>
      <c r="T23" s="7">
        <f t="shared" si="4"/>
        <v>2.7119622569894264</v>
      </c>
      <c r="U23" s="9">
        <f>1/proj3!$B$35*(proj3!$B$27+M23*(proj3!$B$31-proj3!$B$32))</f>
        <v>-8.0076279672771908E-2</v>
      </c>
      <c r="V23" s="10">
        <f>proj3!$B$40+proj3!$B$41+U23^2/(PI()*proj3!$B$43)</f>
        <v>1.2550687327973124E-2</v>
      </c>
      <c r="W23" s="7">
        <f>proj3!$I$27 *(1+ABS(M23)/proj3!$G$29)</f>
        <v>3.6985229217444821E-2</v>
      </c>
      <c r="X23" s="7">
        <f>(R23+ W23+proj3!$B$25/proj3!$B$17 * V23)*(1+proj3!$F$33)</f>
        <v>5.8781154289402768E-2</v>
      </c>
      <c r="Y23" s="7">
        <f>M23 + U23 * proj3!$B$25/proj3!$B$17</f>
        <v>0.31345109565312579</v>
      </c>
      <c r="Z23" s="7">
        <f t="shared" si="5"/>
        <v>5.3325100441186066</v>
      </c>
      <c r="AA23" s="7">
        <f t="shared" si="6"/>
        <v>8.9131898391461224</v>
      </c>
      <c r="AB23" s="11"/>
      <c r="AC23" s="11"/>
      <c r="AD23" s="11"/>
    </row>
    <row r="24" spans="1:3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5">
        <v>22</v>
      </c>
      <c r="L24" s="7">
        <v>2.05714285714286</v>
      </c>
      <c r="M24" s="8">
        <v>0.43383579637714398</v>
      </c>
      <c r="N24" s="8">
        <v>6.1680398612684699E-3</v>
      </c>
      <c r="O24" s="7">
        <v>0.40677966101694801</v>
      </c>
      <c r="P24" s="7">
        <v>6.3300742005255803E-3</v>
      </c>
      <c r="Q24" s="7">
        <f t="shared" si="1"/>
        <v>5.6495567556489636E-3</v>
      </c>
      <c r="R24" s="7">
        <f t="shared" si="2"/>
        <v>2.3680431731208811E-2</v>
      </c>
      <c r="S24" s="7">
        <f t="shared" si="3"/>
        <v>2.2457719699148533</v>
      </c>
      <c r="T24" s="7">
        <f t="shared" si="4"/>
        <v>4.3029148270577133</v>
      </c>
      <c r="U24" s="9">
        <f>1/proj3!$B$35*(proj3!$B$27+M24*(proj3!$B$31-proj3!$B$32))</f>
        <v>-6.8958658967641792E-2</v>
      </c>
      <c r="V24" s="10">
        <f>proj3!$B$40+proj3!$B$41+U24^2/(PI()*proj3!$B$43)</f>
        <v>1.2408389833271348E-2</v>
      </c>
      <c r="W24" s="7">
        <f>proj3!$I$27 *(1+ABS(M24)/proj3!$G$29)</f>
        <v>3.7817958554830333E-2</v>
      </c>
      <c r="X24" s="7">
        <f>(R24+ W24+proj3!$B$25/proj3!$B$17 * V24)*(1+proj3!$F$33)</f>
        <v>6.7750567583896595E-2</v>
      </c>
      <c r="Y24" s="7">
        <f>M24 + U24 * proj3!$B$25/proj3!$B$17</f>
        <v>0.42372185972855653</v>
      </c>
      <c r="Z24" s="7">
        <f t="shared" si="5"/>
        <v>6.2541447967038071</v>
      </c>
      <c r="AA24" s="7">
        <f t="shared" si="6"/>
        <v>16.573595437002687</v>
      </c>
      <c r="AB24" s="2"/>
      <c r="AC24" s="2"/>
      <c r="AD24" s="2"/>
    </row>
    <row r="25" spans="1:30" ht="13">
      <c r="A25" s="2"/>
      <c r="B25" s="2"/>
      <c r="C25" s="2"/>
      <c r="D25" s="2"/>
      <c r="E25" s="2"/>
      <c r="F25" s="4" t="s">
        <v>52</v>
      </c>
      <c r="G25" s="2" t="s">
        <v>53</v>
      </c>
      <c r="H25" s="5">
        <f>0.23*(H9/H16)^3-0.103*(H9/H16)^2+0.25*(H9/H16)</f>
        <v>0.17153003605481118</v>
      </c>
      <c r="I25" s="2"/>
      <c r="J25" s="2"/>
      <c r="K25" s="5">
        <v>23</v>
      </c>
      <c r="L25" s="7">
        <v>2.8571428571428599</v>
      </c>
      <c r="M25" s="8">
        <v>0.51465973371887597</v>
      </c>
      <c r="N25" s="8">
        <v>6.3832708430749804E-3</v>
      </c>
      <c r="O25" s="7">
        <v>0.49717514124293699</v>
      </c>
      <c r="P25" s="7">
        <v>6.3931791155289403E-3</v>
      </c>
      <c r="Q25" s="7">
        <f t="shared" si="1"/>
        <v>5.9007573629641869E-3</v>
      </c>
      <c r="R25" s="7">
        <f t="shared" si="2"/>
        <v>3.0889136161155861E-2</v>
      </c>
      <c r="S25" s="7">
        <f t="shared" si="3"/>
        <v>2.6641609882853503</v>
      </c>
      <c r="T25" s="7">
        <f t="shared" si="4"/>
        <v>5.5213038454282106</v>
      </c>
      <c r="U25" s="9">
        <f>1/proj3!$B$35*(proj3!$B$27+M25*(proj3!$B$31-proj3!$B$32))</f>
        <v>-6.068759496813729E-2</v>
      </c>
      <c r="V25" s="10">
        <f>proj3!$B$40+proj3!$B$41+U25^2/(PI()*proj3!$B$43)</f>
        <v>1.2316298521042573E-2</v>
      </c>
      <c r="W25" s="7">
        <f>proj3!$I$27 *(1+ABS(M25)/proj3!$G$29)</f>
        <v>3.8437475790258448E-2</v>
      </c>
      <c r="X25" s="7">
        <f>(R25+ W25+proj3!$B$25/proj3!$B$17 * V25)*(1+proj3!$F$33)</f>
        <v>7.6112312569248927E-2</v>
      </c>
      <c r="Y25" s="7">
        <f>M25 + U25 * proj3!$B$25/proj3!$B$17</f>
        <v>0.50575888645688249</v>
      </c>
      <c r="Z25" s="7">
        <f t="shared" si="5"/>
        <v>6.6449023736695709</v>
      </c>
      <c r="AA25" s="7">
        <f t="shared" si="6"/>
        <v>22.33164584032702</v>
      </c>
      <c r="AB25" s="2"/>
      <c r="AC25" s="2"/>
      <c r="AD25" s="2"/>
    </row>
    <row r="26" spans="1:30" ht="15.75" customHeight="1">
      <c r="A26" s="2"/>
      <c r="B26" s="2"/>
      <c r="C26" s="2"/>
      <c r="D26" s="2"/>
      <c r="E26" s="2"/>
      <c r="F26" s="2"/>
      <c r="G26" s="2" t="s">
        <v>54</v>
      </c>
      <c r="H26" s="5">
        <f>-0.18*H8^5+1.52*H8^4-3.51*H8^3+3.5*H8^2-1.33*H8+0.17</f>
        <v>0.10198659876433055</v>
      </c>
      <c r="I26" s="2"/>
      <c r="J26" s="2"/>
      <c r="K26" s="5">
        <v>24</v>
      </c>
      <c r="L26" s="7">
        <v>3.4285714285714302</v>
      </c>
      <c r="M26" s="8">
        <v>0.56992334799894895</v>
      </c>
      <c r="N26" s="8">
        <v>6.6137089418766802E-3</v>
      </c>
      <c r="O26" s="7">
        <v>0.59887005649717395</v>
      </c>
      <c r="P26" s="7">
        <v>6.5484025538948901E-3</v>
      </c>
      <c r="Q26" s="7">
        <f t="shared" si="1"/>
        <v>6.1557898031861461E-3</v>
      </c>
      <c r="R26" s="7">
        <f t="shared" si="2"/>
        <v>3.6583935275715726E-2</v>
      </c>
      <c r="S26" s="7">
        <f t="shared" si="3"/>
        <v>2.9502357588385912</v>
      </c>
      <c r="T26" s="7">
        <f t="shared" si="4"/>
        <v>6.3788071874100218</v>
      </c>
      <c r="U26" s="9">
        <f>1/proj3!$B$35*(proj3!$B$27+M26*(proj3!$B$31-proj3!$B$32))</f>
        <v>-5.5032229669342264E-2</v>
      </c>
      <c r="V26" s="10">
        <f>proj3!$B$40+proj3!$B$41+U26^2/(PI()*proj3!$B$43)</f>
        <v>1.2260094713620757E-2</v>
      </c>
      <c r="W26" s="7">
        <f>proj3!$I$27 *(1+ABS(M26)/proj3!$G$29)</f>
        <v>3.8861072594182998E-2</v>
      </c>
      <c r="X26" s="7">
        <f>(R26+ W26+proj3!$B$25/proj3!$B$17 * V26)*(1+proj3!$F$33)</f>
        <v>8.2650175951182528E-2</v>
      </c>
      <c r="Y26" s="7">
        <f>M26 + U26 * proj3!$B$25/proj3!$B$17</f>
        <v>0.56185195431411206</v>
      </c>
      <c r="Z26" s="7">
        <f t="shared" si="5"/>
        <v>6.7979523073970336</v>
      </c>
      <c r="AA26" s="7">
        <f t="shared" si="6"/>
        <v>25.964389922120031</v>
      </c>
      <c r="AB26" s="2"/>
      <c r="AC26" s="2"/>
      <c r="AD26" s="2"/>
    </row>
    <row r="27" spans="1:3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5">
        <v>25</v>
      </c>
      <c r="L27" s="7">
        <v>4.8</v>
      </c>
      <c r="M27" s="8">
        <v>0.69770082046906701</v>
      </c>
      <c r="N27" s="8">
        <v>7.3768493426161303E-3</v>
      </c>
      <c r="O27" s="7">
        <v>0.68926553672316304</v>
      </c>
      <c r="P27" s="7">
        <v>6.93089452004262E-3</v>
      </c>
      <c r="Q27" s="7">
        <f t="shared" si="1"/>
        <v>6.9757958799166976E-3</v>
      </c>
      <c r="R27" s="7">
        <f t="shared" si="2"/>
        <v>5.2104131954263666E-2</v>
      </c>
      <c r="S27" s="7">
        <f t="shared" si="3"/>
        <v>3.6116820213560747</v>
      </c>
      <c r="T27" s="7">
        <f t="shared" si="4"/>
        <v>8.411682021356075</v>
      </c>
      <c r="U27" s="9">
        <f>1/proj3!$B$35*(proj3!$B$27+M27*(proj3!$B$31-proj3!$B$32))</f>
        <v>-4.1956206807120436E-2</v>
      </c>
      <c r="V27" s="10">
        <f>proj3!$B$40+proj3!$B$41+U27^2/(PI()*proj3!$B$43)</f>
        <v>1.2151178399200852E-2</v>
      </c>
      <c r="W27" s="7">
        <f>proj3!$I$27 *(1+ABS(M27)/proj3!$G$29)</f>
        <v>3.9840489696321701E-2</v>
      </c>
      <c r="X27" s="7">
        <f>(R27+ W27+proj3!$B$25/proj3!$B$17 * V27)*(1+proj3!$F$33)</f>
        <v>0.10028767009624094</v>
      </c>
      <c r="Y27" s="7">
        <f>M27 + U27 * proj3!$B$25/proj3!$B$17</f>
        <v>0.6915472434706893</v>
      </c>
      <c r="Z27" s="7">
        <f t="shared" si="5"/>
        <v>6.8956357527006746</v>
      </c>
      <c r="AA27" s="7">
        <f t="shared" si="6"/>
        <v>32.882927885283436</v>
      </c>
      <c r="AB27" s="2"/>
      <c r="AC27" s="2"/>
      <c r="AD27" s="2"/>
    </row>
    <row r="28" spans="1:30" ht="15.75" customHeight="1">
      <c r="A28" s="2"/>
      <c r="B28" s="2"/>
      <c r="C28" s="2"/>
      <c r="D28" s="2"/>
      <c r="E28" s="2"/>
      <c r="F28" s="2"/>
      <c r="G28" s="2" t="s">
        <v>55</v>
      </c>
      <c r="H28" s="5">
        <f>H25*H26/1.7</f>
        <v>1.02904499783254E-2</v>
      </c>
      <c r="I28" s="2"/>
      <c r="J28" s="2"/>
      <c r="K28" s="5">
        <v>26</v>
      </c>
      <c r="L28" s="7">
        <v>5.9428571428571404</v>
      </c>
      <c r="M28" s="8">
        <v>0.80787858225034404</v>
      </c>
      <c r="N28" s="8">
        <v>8.3522723017247502E-3</v>
      </c>
      <c r="O28" s="7">
        <v>0.80225988700564899</v>
      </c>
      <c r="P28" s="7">
        <v>8.5160297556928308E-3</v>
      </c>
      <c r="Q28" s="7">
        <f t="shared" si="1"/>
        <v>8.0002519962928797E-3</v>
      </c>
      <c r="R28" s="7">
        <f t="shared" si="2"/>
        <v>6.8183415167892544E-2</v>
      </c>
      <c r="S28" s="7">
        <f t="shared" si="3"/>
        <v>4.1820225307898502</v>
      </c>
      <c r="T28" s="7">
        <f t="shared" si="4"/>
        <v>10.124879673646991</v>
      </c>
      <c r="U28" s="9">
        <f>1/proj3!$B$35*(proj3!$B$27+M28*(proj3!$B$31-proj3!$B$32))</f>
        <v>-3.0681238660467468E-2</v>
      </c>
      <c r="V28" s="10">
        <f>proj3!$B$40+proj3!$B$41+U28^2/(PI()*proj3!$B$43)</f>
        <v>1.2080843123603219E-2</v>
      </c>
      <c r="W28" s="7">
        <f>proj3!$I$27 *(1+ABS(M28)/proj3!$G$29)</f>
        <v>4.068500463371947E-2</v>
      </c>
      <c r="X28" s="7">
        <f>(R28+ W28+proj3!$B$25/proj3!$B$17 * V28)*(1+proj3!$F$33)</f>
        <v>0.118385096168589</v>
      </c>
      <c r="Y28" s="7">
        <f>M28 + U28 * proj3!$B$25/proj3!$B$17</f>
        <v>0.80337866724680884</v>
      </c>
      <c r="Z28" s="7">
        <f t="shared" si="5"/>
        <v>6.7861470172118548</v>
      </c>
      <c r="AA28" s="7">
        <f t="shared" si="6"/>
        <v>36.997026750425363</v>
      </c>
      <c r="AB28" s="2"/>
      <c r="AC28" s="2"/>
      <c r="AD28" s="2"/>
    </row>
    <row r="29" spans="1:3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5">
        <v>27</v>
      </c>
      <c r="L29" s="7">
        <v>6.6285714285714299</v>
      </c>
      <c r="M29" s="8">
        <v>0.87905344535460295</v>
      </c>
      <c r="N29" s="8">
        <v>9.1677609849661092E-3</v>
      </c>
      <c r="O29" s="7">
        <v>0.89265536723163796</v>
      </c>
      <c r="P29" s="7">
        <v>9.7426455045760904E-3</v>
      </c>
      <c r="Q29" s="7">
        <f t="shared" si="1"/>
        <v>8.8474161120322813E-3</v>
      </c>
      <c r="R29" s="7">
        <f t="shared" si="2"/>
        <v>7.9927464744323468E-2</v>
      </c>
      <c r="S29" s="7">
        <f t="shared" si="3"/>
        <v>4.5504626499706031</v>
      </c>
      <c r="T29" s="7">
        <f t="shared" si="4"/>
        <v>11.179034078542033</v>
      </c>
      <c r="U29" s="9">
        <f>1/proj3!$B$35*(proj3!$B$27+M29*(proj3!$B$31-proj3!$B$32))</f>
        <v>-2.3397606270693535E-2</v>
      </c>
      <c r="V29" s="10">
        <f>proj3!$B$40+proj3!$B$41+U29^2/(PI()*proj3!$B$43)</f>
        <v>1.2047015403152334E-2</v>
      </c>
      <c r="W29" s="7">
        <f>proj3!$I$27 *(1+ABS(M29)/proj3!$G$29)</f>
        <v>4.123056150551465E-2</v>
      </c>
      <c r="X29" s="7">
        <f>(R29+ W29+proj3!$B$25/proj3!$B$17 * V29)*(1+proj3!$F$33)</f>
        <v>0.13152966637126151</v>
      </c>
      <c r="Y29" s="7">
        <f>M29 + U29 * proj3!$B$25/proj3!$B$17</f>
        <v>0.87562179643490123</v>
      </c>
      <c r="Z29" s="7">
        <f t="shared" si="5"/>
        <v>6.6572190182808804</v>
      </c>
      <c r="AA29" s="7">
        <f t="shared" si="6"/>
        <v>38.806301550943175</v>
      </c>
      <c r="AB29" s="2"/>
      <c r="AC29" s="2"/>
      <c r="AD29" s="2"/>
    </row>
    <row r="30" spans="1:30" ht="15.75" customHeight="1">
      <c r="A30" s="2"/>
      <c r="B30" s="2"/>
      <c r="C30" s="2"/>
      <c r="D30" s="2"/>
      <c r="E30" s="2"/>
      <c r="F30" s="2"/>
      <c r="G30" s="2" t="s">
        <v>56</v>
      </c>
      <c r="H30" s="5">
        <f>0.0537*(H9/H16)-0.005</f>
        <v>2.8474716782901695E-2</v>
      </c>
      <c r="I30" s="2"/>
      <c r="J30" s="2"/>
      <c r="K30" s="5">
        <v>28</v>
      </c>
      <c r="L30" s="7">
        <v>8</v>
      </c>
      <c r="M30" s="8">
        <v>1.0310568415227399</v>
      </c>
      <c r="N30" s="8">
        <v>1.12494687425354E-2</v>
      </c>
      <c r="O30" s="7">
        <v>1.02824858757062</v>
      </c>
      <c r="P30" s="7">
        <v>1.12496895975368E-2</v>
      </c>
      <c r="Q30" s="7">
        <f t="shared" si="1"/>
        <v>1.0996770972873752E-2</v>
      </c>
      <c r="R30" s="7">
        <f t="shared" si="2"/>
        <v>0.1084273824792213</v>
      </c>
      <c r="S30" s="7">
        <f t="shared" si="3"/>
        <v>5.3373155774996803</v>
      </c>
      <c r="T30" s="7">
        <f t="shared" si="4"/>
        <v>13.33731557749968</v>
      </c>
      <c r="U30" s="9">
        <f>1/proj3!$B$35*(proj3!$B$27+M30*(proj3!$B$31-proj3!$B$32))</f>
        <v>-7.8424395812386454E-3</v>
      </c>
      <c r="V30" s="10">
        <f>proj3!$B$40+proj3!$B$41+U30^2/(PI()*proj3!$B$43)</f>
        <v>1.2005282015491316E-2</v>
      </c>
      <c r="W30" s="7">
        <f>proj3!$I$27 *(1+ABS(M30)/proj3!$G$29)</f>
        <v>4.2395670839048022E-2</v>
      </c>
      <c r="X30" s="7">
        <f>(R30+ W30+proj3!$B$25/proj3!$B$17 * V30)*(1+proj3!$F$33)</f>
        <v>0.16326469597484597</v>
      </c>
      <c r="Y30" s="7">
        <f>M30 + U30 * proj3!$B$25/proj3!$B$17</f>
        <v>1.0299066170508249</v>
      </c>
      <c r="Z30" s="7">
        <f t="shared" si="5"/>
        <v>6.3082016041575919</v>
      </c>
      <c r="AA30" s="7">
        <f t="shared" si="6"/>
        <v>40.983493677309212</v>
      </c>
      <c r="AB30" s="2"/>
      <c r="AC30" s="2"/>
      <c r="AD30" s="2"/>
    </row>
    <row r="31" spans="1:30" ht="15.75" customHeight="1">
      <c r="A31" s="2"/>
      <c r="B31" s="2"/>
      <c r="C31" s="2"/>
      <c r="D31" s="2"/>
      <c r="E31" s="2"/>
      <c r="F31" s="2"/>
      <c r="G31" s="2" t="s">
        <v>57</v>
      </c>
      <c r="H31" s="5">
        <f>-0.43*H8^5+1.83*H8^4-3.06*H8^3+2.56*H8^2-H8+0.148</f>
        <v>2.5051424536268713E-2</v>
      </c>
      <c r="I31" s="2"/>
      <c r="J31" s="2"/>
      <c r="K31" s="5">
        <v>29</v>
      </c>
      <c r="L31" s="7">
        <v>9.1428571428571406</v>
      </c>
      <c r="M31" s="8">
        <v>1.1552885192437801</v>
      </c>
      <c r="N31" s="8">
        <v>1.30307773131185E-2</v>
      </c>
      <c r="O31" s="7">
        <v>1.15254237288135</v>
      </c>
      <c r="P31" s="7">
        <v>1.2684197421838499E-2</v>
      </c>
      <c r="Q31" s="7">
        <f t="shared" si="1"/>
        <v>1.2833367210340134E-2</v>
      </c>
      <c r="R31" s="7">
        <f t="shared" si="2"/>
        <v>0.13491467991083125</v>
      </c>
      <c r="S31" s="7">
        <f t="shared" si="3"/>
        <v>5.9804068621083628</v>
      </c>
      <c r="T31" s="7">
        <f t="shared" si="4"/>
        <v>15.123264004965502</v>
      </c>
      <c r="U31" s="9">
        <f>1/proj3!$B$35*(proj3!$B$27+M31*(proj3!$B$31-proj3!$B$32))</f>
        <v>4.8707267280447648E-3</v>
      </c>
      <c r="V31" s="10">
        <f>proj3!$B$40+proj3!$B$41+U31^2/(PI()*proj3!$B$43)</f>
        <v>1.2002037440036003E-2</v>
      </c>
      <c r="W31" s="7">
        <f>proj3!$I$27 *(1+ABS(M31)/proj3!$G$29)</f>
        <v>4.3347909347411256E-2</v>
      </c>
      <c r="X31" s="7">
        <f>(R31+ W31+proj3!$B$25/proj3!$B$17 * V31)*(1+proj3!$F$33)</f>
        <v>0.19262449024857584</v>
      </c>
      <c r="Y31" s="7">
        <f>M31 + U31 * proj3!$B$25/proj3!$B$17</f>
        <v>1.1560028924972265</v>
      </c>
      <c r="Z31" s="7">
        <f t="shared" si="5"/>
        <v>6.0013287563042539</v>
      </c>
      <c r="AA31" s="7">
        <f t="shared" si="6"/>
        <v>41.634538724504843</v>
      </c>
      <c r="AB31" s="2"/>
      <c r="AC31" s="2"/>
      <c r="AD31" s="2"/>
    </row>
    <row r="32" spans="1:30" ht="15.75" customHeight="1">
      <c r="A32" s="2"/>
      <c r="B32" s="2"/>
      <c r="C32" s="2"/>
      <c r="D32" s="2"/>
      <c r="E32" s="2"/>
      <c r="F32" s="2"/>
      <c r="G32" s="2" t="s">
        <v>58</v>
      </c>
      <c r="H32" s="5">
        <f>(-2.2*0.0000001 *(H9^3)+0.0000001 *(H9^2)+1.6*10^(-5))*H35^3+1</f>
        <v>1.0000263097837243</v>
      </c>
      <c r="I32" s="2"/>
      <c r="J32" s="2"/>
      <c r="K32" s="5">
        <v>30</v>
      </c>
      <c r="L32" s="7">
        <v>10.1714285714285</v>
      </c>
      <c r="M32" s="8">
        <v>1.2537972148877501</v>
      </c>
      <c r="N32" s="8">
        <v>1.44666038067591E-2</v>
      </c>
      <c r="O32" s="7">
        <v>1.23163841807909</v>
      </c>
      <c r="P32" s="7">
        <v>1.3834331296966099E-2</v>
      </c>
      <c r="Q32" s="7">
        <f t="shared" si="1"/>
        <v>1.4313033697529723E-2</v>
      </c>
      <c r="R32" s="7">
        <f t="shared" si="2"/>
        <v>0.15793232723572856</v>
      </c>
      <c r="S32" s="7">
        <f t="shared" si="3"/>
        <v>6.4903418866441944</v>
      </c>
      <c r="T32" s="7">
        <f t="shared" si="4"/>
        <v>16.661770458072695</v>
      </c>
      <c r="U32" s="9">
        <f>1/proj3!$B$35*(proj3!$B$27+M32*(proj3!$B$31-proj3!$B$32))</f>
        <v>1.4951548734204245E-2</v>
      </c>
      <c r="V32" s="10">
        <f>proj3!$B$40+proj3!$B$41+U32^2/(PI()*proj3!$B$43)</f>
        <v>1.201919860480747E-2</v>
      </c>
      <c r="W32" s="7">
        <f>proj3!$I$27 *(1+ABS(M32)/proj3!$G$29)</f>
        <v>4.4102980639384441E-2</v>
      </c>
      <c r="X32" s="7">
        <f>(R32+ W32+proj3!$B$25/proj3!$B$17 * V32)*(1+proj3!$F$33)</f>
        <v>0.21806399232741872</v>
      </c>
      <c r="Y32" s="7">
        <f>M32 + U32 * proj3!$B$25/proj3!$B$17</f>
        <v>1.2559901087021001</v>
      </c>
      <c r="Z32" s="7">
        <f t="shared" si="5"/>
        <v>5.759731789264209</v>
      </c>
      <c r="AA32" s="7">
        <f t="shared" si="6"/>
        <v>41.666856778067519</v>
      </c>
      <c r="AB32" s="2"/>
      <c r="AC32" s="2"/>
      <c r="AD32" s="2"/>
    </row>
    <row r="33" spans="1:30" ht="15.75" customHeight="1">
      <c r="A33" s="2"/>
      <c r="B33" s="2"/>
      <c r="C33" s="2"/>
      <c r="D33" s="2"/>
      <c r="E33" s="2"/>
      <c r="F33" s="2"/>
      <c r="G33" s="2" t="s">
        <v>59</v>
      </c>
      <c r="H33" s="5">
        <f>H32*H31*H30/0.048</f>
        <v>1.4861478881143397E-2</v>
      </c>
      <c r="I33" s="2"/>
      <c r="J33" s="2"/>
      <c r="K33" s="5">
        <v>31</v>
      </c>
      <c r="L33" s="7">
        <v>10.742857142857099</v>
      </c>
      <c r="M33" s="8">
        <v>1.3024198025453699</v>
      </c>
      <c r="N33" s="8">
        <v>1.53556970558648E-2</v>
      </c>
      <c r="O33" s="7">
        <v>1.3276836158192</v>
      </c>
      <c r="P33" s="7">
        <v>1.6045174434188E-2</v>
      </c>
      <c r="Q33" s="7">
        <f t="shared" si="1"/>
        <v>1.5223765786895263E-2</v>
      </c>
      <c r="R33" s="7">
        <f t="shared" si="2"/>
        <v>0.1701231853423146</v>
      </c>
      <c r="S33" s="7">
        <f t="shared" si="3"/>
        <v>6.7420390618843955</v>
      </c>
      <c r="T33" s="7">
        <f t="shared" si="4"/>
        <v>17.484896204741496</v>
      </c>
      <c r="U33" s="9">
        <f>1/proj3!$B$35*(proj3!$B$27+M33*(proj3!$B$31-proj3!$B$32))</f>
        <v>1.9927308980049671E-2</v>
      </c>
      <c r="V33" s="10">
        <f>proj3!$B$40+proj3!$B$41+U33^2/(PI()*proj3!$B$43)</f>
        <v>1.2034103159559719E-2</v>
      </c>
      <c r="W33" s="7">
        <f>proj3!$I$27 *(1+ABS(M33)/proj3!$G$29)</f>
        <v>4.4475673829987725E-2</v>
      </c>
      <c r="X33" s="7">
        <f>(R33+ W33+proj3!$B$25/proj3!$B$17 * V33)*(1+proj3!$F$33)</f>
        <v>0.2315093312368704</v>
      </c>
      <c r="Y33" s="7">
        <f>M33 + U33 * proj3!$B$25/proj3!$B$17</f>
        <v>1.3053424745291105</v>
      </c>
      <c r="Z33" s="7">
        <f t="shared" si="5"/>
        <v>5.6384011286073825</v>
      </c>
      <c r="AA33" s="7">
        <f t="shared" si="6"/>
        <v>41.498883111677046</v>
      </c>
      <c r="AB33" s="2"/>
      <c r="AC33" s="2"/>
      <c r="AD33" s="2"/>
    </row>
    <row r="34" spans="1:3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5">
        <v>32</v>
      </c>
      <c r="L34" s="7">
        <v>11.885714285714201</v>
      </c>
      <c r="M34" s="8">
        <v>1.39376537071166</v>
      </c>
      <c r="N34" s="8">
        <v>1.81428338484943E-2</v>
      </c>
      <c r="O34" s="7">
        <v>1.4011299435028199</v>
      </c>
      <c r="P34" s="7">
        <v>1.8667731729565099E-2</v>
      </c>
      <c r="Q34" s="7">
        <f t="shared" si="1"/>
        <v>1.8051554717825449E-2</v>
      </c>
      <c r="R34" s="7">
        <f t="shared" si="2"/>
        <v>0.19530292128959045</v>
      </c>
      <c r="S34" s="7">
        <f t="shared" si="3"/>
        <v>7.2148938107937415</v>
      </c>
      <c r="T34" s="7">
        <f t="shared" si="4"/>
        <v>19.100608096507941</v>
      </c>
      <c r="U34" s="9">
        <f>1/proj3!$B$35*(proj3!$B$27+M34*(proj3!$B$31-proj3!$B$32))</f>
        <v>2.9275097088664676E-2</v>
      </c>
      <c r="V34" s="10">
        <f>proj3!$B$40+proj3!$B$41+U34^2/(PI()*proj3!$B$43)</f>
        <v>1.2073602742294713E-2</v>
      </c>
      <c r="W34" s="7">
        <f>proj3!$I$27 *(1+ABS(M34)/proj3!$G$29)</f>
        <v>4.5175839594242949E-2</v>
      </c>
      <c r="X34" s="7">
        <f>(R34+ W34+proj3!$B$25/proj3!$B$17 * V34)*(1+proj3!$F$33)</f>
        <v>0.25920702486939257</v>
      </c>
      <c r="Y34" s="7">
        <f>M34 + U34 * proj3!$B$25/proj3!$B$17</f>
        <v>1.3980590516179974</v>
      </c>
      <c r="Z34" s="7">
        <f t="shared" si="5"/>
        <v>5.393600163122283</v>
      </c>
      <c r="AA34" s="7">
        <f t="shared" si="6"/>
        <v>40.670827828102169</v>
      </c>
      <c r="AB34" s="2"/>
      <c r="AC34" s="2"/>
      <c r="AD34" s="2"/>
    </row>
    <row r="35" spans="1:30" ht="15.75" customHeight="1">
      <c r="A35" s="2"/>
      <c r="B35" s="2"/>
      <c r="C35" s="2"/>
      <c r="D35" s="2"/>
      <c r="E35" s="2"/>
      <c r="F35" s="2"/>
      <c r="G35" s="2" t="s">
        <v>60</v>
      </c>
      <c r="H35" s="5">
        <v>1.53</v>
      </c>
      <c r="I35" s="2"/>
      <c r="J35" s="2"/>
      <c r="K35" s="5">
        <v>33</v>
      </c>
      <c r="L35" s="7">
        <v>12.6857142857142</v>
      </c>
      <c r="M35" s="8">
        <v>1.45943035790981</v>
      </c>
      <c r="N35" s="8">
        <v>2.13373477215121E-2</v>
      </c>
      <c r="O35" s="7">
        <v>1.45197740112994</v>
      </c>
      <c r="P35" s="7">
        <v>2.1444009962158998E-2</v>
      </c>
      <c r="Q35" s="7">
        <f t="shared" si="1"/>
        <v>2.1275291925862989E-2</v>
      </c>
      <c r="R35" s="7">
        <f t="shared" si="2"/>
        <v>0.21553036463940345</v>
      </c>
      <c r="S35" s="7">
        <f t="shared" si="3"/>
        <v>7.5548117910201249</v>
      </c>
      <c r="T35" s="7">
        <f t="shared" si="4"/>
        <v>20.240526076734326</v>
      </c>
      <c r="U35" s="9">
        <f>1/proj3!$B$35*(proj3!$B$27+M35*(proj3!$B$31-proj3!$B$32))</f>
        <v>3.5994879983504091E-2</v>
      </c>
      <c r="V35" s="10">
        <f>proj3!$B$40+proj3!$B$41+U35^2/(PI()*proj3!$B$43)</f>
        <v>1.2111270174004568E-2</v>
      </c>
      <c r="W35" s="7">
        <f>proj3!$I$27 *(1+ABS(M35)/proj3!$G$29)</f>
        <v>4.5679163147529137E-2</v>
      </c>
      <c r="X35" s="7">
        <f>(R35+ W35+proj3!$B$25/proj3!$B$17 * V35)*(1+proj3!$F$33)</f>
        <v>0.28139485673132497</v>
      </c>
      <c r="Y35" s="7">
        <f>M35 + U35 * proj3!$B$25/proj3!$B$17</f>
        <v>1.4647096069740573</v>
      </c>
      <c r="Z35" s="7">
        <f t="shared" si="5"/>
        <v>5.2051754747335623</v>
      </c>
      <c r="AA35" s="7">
        <f t="shared" si="6"/>
        <v>39.684624908268567</v>
      </c>
      <c r="AB35" s="2"/>
      <c r="AC35" s="2"/>
      <c r="AD35" s="2"/>
    </row>
    <row r="36" spans="1:3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5">
        <v>34</v>
      </c>
      <c r="L36" s="7">
        <v>13.714285714285699</v>
      </c>
      <c r="M36" s="8">
        <v>1.5427799395161601</v>
      </c>
      <c r="N36" s="8">
        <v>2.6324768459972399E-2</v>
      </c>
      <c r="O36" s="7">
        <v>1.5254237288135499</v>
      </c>
      <c r="P36" s="7">
        <v>2.50486907015335E-2</v>
      </c>
      <c r="Q36" s="7">
        <f t="shared" si="1"/>
        <v>2.6299806294444426E-2</v>
      </c>
      <c r="R36" s="7">
        <f t="shared" si="2"/>
        <v>0.2432651698506447</v>
      </c>
      <c r="S36" s="7">
        <f t="shared" si="3"/>
        <v>7.9862749290064343</v>
      </c>
      <c r="T36" s="7">
        <f t="shared" si="4"/>
        <v>21.700560643292135</v>
      </c>
      <c r="U36" s="9">
        <f>1/proj3!$B$35*(proj3!$B$27+M36*(proj3!$B$31-proj3!$B$32))</f>
        <v>4.4524404113010833E-2</v>
      </c>
      <c r="V36" s="10">
        <f>proj3!$B$40+proj3!$B$41+U36^2/(PI()*proj3!$B$43)</f>
        <v>1.2170252516210326E-2</v>
      </c>
      <c r="W36" s="7">
        <f>proj3!$I$27 *(1+ABS(M36)/proj3!$G$29)</f>
        <v>4.6318039501109035E-2</v>
      </c>
      <c r="X36" s="7">
        <f>(R36+ W36+proj3!$B$25/proj3!$B$17 * V36)*(1+proj3!$F$33)</f>
        <v>0.31176395230125381</v>
      </c>
      <c r="Y36" s="7">
        <f>M36 + U36 * proj3!$B$25/proj3!$B$17</f>
        <v>1.5493101854527351</v>
      </c>
      <c r="Z36" s="7">
        <f t="shared" si="5"/>
        <v>4.9694975125143879</v>
      </c>
      <c r="AA36" s="7">
        <f t="shared" si="6"/>
        <v>38.261617971784048</v>
      </c>
      <c r="AB36" s="2"/>
      <c r="AC36" s="2"/>
      <c r="AD36" s="2"/>
    </row>
    <row r="37" spans="1:30" ht="13">
      <c r="A37" s="2"/>
      <c r="B37" s="2"/>
      <c r="C37" s="2"/>
      <c r="D37" s="2"/>
      <c r="E37" s="2"/>
      <c r="F37" s="4" t="s">
        <v>61</v>
      </c>
      <c r="G37" s="2" t="s">
        <v>62</v>
      </c>
      <c r="H37" s="5">
        <f>H16 / (1+H16/(PI()*H9)*(1+H28))</f>
        <v>3.7667739973868501</v>
      </c>
      <c r="I37" s="2"/>
      <c r="J37" s="2"/>
      <c r="K37" s="5">
        <v>35</v>
      </c>
      <c r="L37" s="7">
        <v>14.4</v>
      </c>
      <c r="M37" s="8">
        <v>1.5833153727817999</v>
      </c>
      <c r="N37" s="8">
        <v>2.8905248701949798E-2</v>
      </c>
      <c r="O37" s="7">
        <v>1.5988700564971701</v>
      </c>
      <c r="P37" s="7">
        <v>2.9548874887718599E-2</v>
      </c>
      <c r="Q37" s="7">
        <f t="shared" si="1"/>
        <v>2.8898326295462934E-2</v>
      </c>
      <c r="R37" s="7">
        <f t="shared" si="2"/>
        <v>0.25736414944212521</v>
      </c>
      <c r="S37" s="7">
        <f t="shared" si="3"/>
        <v>8.1961085586343359</v>
      </c>
      <c r="T37" s="7">
        <f t="shared" si="4"/>
        <v>22.596108558634334</v>
      </c>
      <c r="U37" s="9">
        <f>1/proj3!$B$35*(proj3!$B$27+M37*(proj3!$B$31-proj3!$B$32))</f>
        <v>4.8672570780147958E-2</v>
      </c>
      <c r="V37" s="10">
        <f>proj3!$B$40+proj3!$B$41+U37^2/(PI()*proj3!$B$43)</f>
        <v>1.2203453833922745E-2</v>
      </c>
      <c r="W37" s="7">
        <f>proj3!$I$27 *(1+ABS(M37)/proj3!$G$29)</f>
        <v>4.6628744477624003E-2</v>
      </c>
      <c r="X37" s="7">
        <f>(R37+ W37+proj3!$B$25/proj3!$B$17 * V37)*(1+proj3!$F$33)</f>
        <v>0.32718752518246863</v>
      </c>
      <c r="Y37" s="7">
        <f>M37 + U37 * proj3!$B$25/proj3!$B$17</f>
        <v>1.5904540164962215</v>
      </c>
      <c r="Z37" s="7">
        <f t="shared" si="5"/>
        <v>4.8609861137255894</v>
      </c>
      <c r="AA37" s="7">
        <f t="shared" si="6"/>
        <v>37.581133776789791</v>
      </c>
      <c r="AB37" s="2"/>
      <c r="AC37" s="2"/>
      <c r="AD37" s="2"/>
    </row>
    <row r="38" spans="1:30" ht="12.5">
      <c r="A38" s="2"/>
      <c r="B38" s="2"/>
      <c r="C38" s="2"/>
      <c r="D38" s="2"/>
      <c r="E38" s="2"/>
      <c r="F38" s="2"/>
      <c r="G38" s="2"/>
      <c r="H38" s="2"/>
      <c r="I38" s="2"/>
      <c r="J38" s="2"/>
      <c r="K38" s="5">
        <v>36</v>
      </c>
      <c r="L38" s="7">
        <v>15.314285714285701</v>
      </c>
      <c r="M38" s="8">
        <v>1.58772220938011</v>
      </c>
      <c r="N38" s="8">
        <v>2.9202157315807501E-2</v>
      </c>
      <c r="O38" s="7">
        <v>1.58757062146892</v>
      </c>
      <c r="P38" s="7">
        <v>2.96238573025151E-2</v>
      </c>
      <c r="Q38" s="7">
        <f t="shared" si="1"/>
        <v>2.9197196113727807E-2</v>
      </c>
      <c r="R38" s="7">
        <f t="shared" si="2"/>
        <v>0.25893127401310173</v>
      </c>
      <c r="S38" s="7">
        <f t="shared" si="3"/>
        <v>8.2189207612951716</v>
      </c>
      <c r="T38" s="7">
        <f t="shared" si="4"/>
        <v>23.533206475580872</v>
      </c>
      <c r="U38" s="9">
        <f>1/proj3!$B$35*(proj3!$B$27+M38*(proj3!$B$31-proj3!$B$32))</f>
        <v>4.9123541479408374E-2</v>
      </c>
      <c r="V38" s="10">
        <f>proj3!$B$40+proj3!$B$41+U38^2/(PI()*proj3!$B$43)</f>
        <v>1.2207241461094543E-2</v>
      </c>
      <c r="W38" s="7">
        <f>proj3!$I$27 *(1+ABS(M38)/proj3!$G$29)</f>
        <v>4.6662522975877863E-2</v>
      </c>
      <c r="X38" s="7">
        <f>(R38+ W38+proj3!$B$25/proj3!$B$17 * V38)*(1+proj3!$F$33)</f>
        <v>0.32890108587150263</v>
      </c>
      <c r="Y38" s="7">
        <f>M38 + U38 * proj3!$B$25/proj3!$B$17</f>
        <v>1.5949269954637566</v>
      </c>
      <c r="Z38" s="7">
        <f t="shared" si="5"/>
        <v>4.8492603520526956</v>
      </c>
      <c r="AA38" s="7">
        <f t="shared" si="6"/>
        <v>37.505228183907946</v>
      </c>
      <c r="AB38" s="2"/>
      <c r="AC38" s="2"/>
      <c r="AD38" s="2"/>
    </row>
    <row r="39" spans="1:30" ht="13">
      <c r="A39" s="2"/>
      <c r="B39" s="2"/>
      <c r="C39" s="2"/>
      <c r="D39" s="2"/>
      <c r="E39" s="2"/>
      <c r="F39" s="4" t="s">
        <v>63</v>
      </c>
      <c r="G39" s="2"/>
      <c r="H39" s="2"/>
      <c r="I39" s="2"/>
      <c r="J39" s="2"/>
      <c r="K39" s="5">
        <v>37</v>
      </c>
      <c r="L39" s="7">
        <v>16.571428571428498</v>
      </c>
      <c r="M39" s="8">
        <v>1.4644715088873199</v>
      </c>
      <c r="N39" s="8">
        <v>2.2368213832734601E-2</v>
      </c>
      <c r="O39" s="7">
        <v>1.4745762711864401</v>
      </c>
      <c r="P39" s="7">
        <v>2.3049109607040801E-2</v>
      </c>
      <c r="Q39" s="7">
        <f t="shared" si="1"/>
        <v>2.2308401534726879E-2</v>
      </c>
      <c r="R39" s="7">
        <f t="shared" si="2"/>
        <v>0.21790121100002766</v>
      </c>
      <c r="S39" s="7">
        <f t="shared" si="3"/>
        <v>7.5809075527252254</v>
      </c>
      <c r="T39" s="7">
        <f t="shared" si="4"/>
        <v>24.152336124153724</v>
      </c>
      <c r="U39" s="9">
        <f>1/proj3!$B$35*(proj3!$B$27+M39*(proj3!$B$31-proj3!$B$32))</f>
        <v>3.6510762823879161E-2</v>
      </c>
      <c r="V39" s="10">
        <f>proj3!$B$40+proj3!$B$41+U39^2/(PI()*proj3!$B$43)</f>
        <v>1.2114482504325666E-2</v>
      </c>
      <c r="W39" s="7">
        <f>proj3!$I$27 *(1+ABS(M39)/proj3!$G$29)</f>
        <v>4.571780367927851E-2</v>
      </c>
      <c r="X39" s="7">
        <f>(R39+ W39+proj3!$B$25/proj3!$B$17 * V39)*(1+proj3!$F$33)</f>
        <v>0.28397351182786978</v>
      </c>
      <c r="Y39" s="7">
        <f>M39 + U39 * proj3!$B$25/proj3!$B$17</f>
        <v>1.4698264207681555</v>
      </c>
      <c r="Z39" s="7">
        <f t="shared" si="5"/>
        <v>5.1759278930884554</v>
      </c>
      <c r="AA39" s="7">
        <f t="shared" si="6"/>
        <v>39.376987217576108</v>
      </c>
      <c r="AB39" s="2"/>
      <c r="AC39" s="2"/>
      <c r="AD39" s="2"/>
    </row>
    <row r="40" spans="1:30" ht="12.5">
      <c r="A40" s="2"/>
      <c r="B40" s="2"/>
      <c r="C40" s="2"/>
      <c r="D40" s="2"/>
      <c r="E40" s="2"/>
      <c r="F40" s="2"/>
      <c r="G40" s="2"/>
      <c r="H40" s="2"/>
      <c r="I40" s="2"/>
      <c r="J40" s="2"/>
      <c r="K40" s="5">
        <v>38</v>
      </c>
      <c r="L40" s="7">
        <v>17.0285714285714</v>
      </c>
      <c r="M40" s="8">
        <v>1.3940495719900701</v>
      </c>
      <c r="N40" s="8">
        <v>1.8947532106408701E-2</v>
      </c>
      <c r="O40" s="7">
        <v>1.3785310734463201</v>
      </c>
      <c r="P40" s="7">
        <v>1.7739164707247901E-2</v>
      </c>
      <c r="Q40" s="7">
        <f t="shared" si="1"/>
        <v>1.8856379455764082E-2</v>
      </c>
      <c r="R40" s="7">
        <f t="shared" si="2"/>
        <v>0.19617965252425495</v>
      </c>
      <c r="S40" s="7">
        <f t="shared" si="3"/>
        <v>7.2163649924486393</v>
      </c>
      <c r="T40" s="7">
        <f t="shared" si="4"/>
        <v>24.244936421020039</v>
      </c>
      <c r="U40" s="9">
        <f>1/proj3!$B$35*(proj3!$B$27+M40*(proj3!$B$31-proj3!$B$32))</f>
        <v>2.9304180637917315E-2</v>
      </c>
      <c r="V40" s="10">
        <f>proj3!$B$40+proj3!$B$41+U40^2/(PI()*proj3!$B$43)</f>
        <v>1.2073749057252137E-2</v>
      </c>
      <c r="W40" s="7">
        <f>proj3!$I$27 *(1+ABS(M40)/proj3!$G$29)</f>
        <v>4.5178018003215553E-2</v>
      </c>
      <c r="X40" s="7">
        <f>(R40+ W40+proj3!$B$25/proj3!$B$17 * V40)*(1+proj3!$F$33)</f>
        <v>0.2601474811497782</v>
      </c>
      <c r="Y40" s="7">
        <f>M40 + U40 * proj3!$B$25/proj3!$B$17</f>
        <v>1.3983475184836314</v>
      </c>
      <c r="Z40" s="7">
        <f t="shared" si="5"/>
        <v>5.3752106778175648</v>
      </c>
      <c r="AA40" s="7">
        <f t="shared" si="6"/>
        <v>40.402300796893471</v>
      </c>
      <c r="AB40" s="2"/>
      <c r="AC40" s="2"/>
      <c r="AD40" s="2"/>
    </row>
    <row r="41" spans="1:30" ht="12.5">
      <c r="A41" s="2"/>
      <c r="B41" s="2"/>
      <c r="C41" s="2"/>
      <c r="D41" s="2"/>
      <c r="E41" s="2"/>
      <c r="F41" s="2"/>
      <c r="G41" s="2"/>
      <c r="H41" s="2"/>
      <c r="I41" s="2"/>
      <c r="J41" s="2"/>
      <c r="K41" s="5">
        <v>39</v>
      </c>
      <c r="L41" s="7">
        <v>18.0571428571428</v>
      </c>
      <c r="M41" s="8">
        <v>1.25892026880065</v>
      </c>
      <c r="N41" s="8">
        <v>1.3906363687326799E-2</v>
      </c>
      <c r="O41" s="7">
        <v>1.25988700564971</v>
      </c>
      <c r="P41" s="7">
        <v>1.43723750751875E-2</v>
      </c>
      <c r="Q41" s="7">
        <f t="shared" si="1"/>
        <v>1.3755073525558145E-2</v>
      </c>
      <c r="R41" s="7">
        <f t="shared" si="2"/>
        <v>0.15854265730656741</v>
      </c>
      <c r="S41" s="7">
        <f t="shared" si="3"/>
        <v>6.5168616228532183</v>
      </c>
      <c r="T41" s="7">
        <f t="shared" si="4"/>
        <v>24.57400447999602</v>
      </c>
      <c r="U41" s="9">
        <f>1/proj3!$B$35*(proj3!$B$27+M41*(proj3!$B$31-proj3!$B$32))</f>
        <v>1.5475813057128156E-2</v>
      </c>
      <c r="V41" s="10">
        <f>proj3!$B$40+proj3!$B$41+U41^2/(PI()*proj3!$B$43)</f>
        <v>1.2020568577498923E-2</v>
      </c>
      <c r="W41" s="7">
        <f>proj3!$I$27 *(1+ABS(M41)/proj3!$G$29)</f>
        <v>4.4142248958912729E-2</v>
      </c>
      <c r="X41" s="7">
        <f>(R41+ W41+proj3!$B$25/proj3!$B$17 * V41)*(1+proj3!$F$33)</f>
        <v>0.21875927759949257</v>
      </c>
      <c r="Y41" s="7">
        <f>M41 + U41 * proj3!$B$25/proj3!$B$17</f>
        <v>1.2611900547156956</v>
      </c>
      <c r="Z41" s="7">
        <f t="shared" si="5"/>
        <v>5.7651957373195355</v>
      </c>
      <c r="AA41" s="7">
        <f t="shared" si="6"/>
        <v>41.918781602965836</v>
      </c>
      <c r="AB41" s="2"/>
      <c r="AC41" s="2"/>
      <c r="AD41" s="2"/>
    </row>
    <row r="42" spans="1:30" ht="12.5">
      <c r="A42" s="2"/>
      <c r="B42" s="2"/>
      <c r="C42" s="2"/>
      <c r="D42" s="2"/>
      <c r="E42" s="2"/>
      <c r="F42" s="2"/>
      <c r="G42" s="2"/>
      <c r="H42" s="2"/>
      <c r="I42" s="2"/>
      <c r="J42" s="2"/>
      <c r="K42" s="5">
        <v>40</v>
      </c>
      <c r="L42" s="7">
        <v>18.742857142857101</v>
      </c>
      <c r="M42" s="8">
        <v>1.2160845677308501</v>
      </c>
      <c r="N42" s="8">
        <v>1.35197032415987E-2</v>
      </c>
      <c r="O42" s="7">
        <v>1.2259887005649699</v>
      </c>
      <c r="P42" s="7">
        <v>1.37361281302602E-2</v>
      </c>
      <c r="Q42" s="7">
        <f t="shared" si="1"/>
        <v>1.3349349616992677E-2</v>
      </c>
      <c r="R42" s="7">
        <f t="shared" si="2"/>
        <v>0.14851504992825651</v>
      </c>
      <c r="S42" s="7">
        <f t="shared" si="3"/>
        <v>6.295120545750903</v>
      </c>
      <c r="T42" s="7">
        <f t="shared" si="4"/>
        <v>25.037977688608002</v>
      </c>
      <c r="U42" s="9">
        <f>1/proj3!$B$35*(proj3!$B$27+M42*(proj3!$B$31-proj3!$B$32))</f>
        <v>1.109225001052779E-2</v>
      </c>
      <c r="V42" s="10">
        <f>proj3!$B$40+proj3!$B$41+U42^2/(PI()*proj3!$B$43)</f>
        <v>1.2010566632587812E-2</v>
      </c>
      <c r="W42" s="7">
        <f>proj3!$I$27 *(1+ABS(M42)/proj3!$G$29)</f>
        <v>4.3813912379711141E-2</v>
      </c>
      <c r="X42" s="7">
        <f>(R42+ W42+proj3!$B$25/proj3!$B$17 * V42)*(1+proj3!$F$33)</f>
        <v>0.20767684792639948</v>
      </c>
      <c r="Y42" s="7">
        <f>M42 + U42 * proj3!$B$25/proj3!$B$17</f>
        <v>1.2177114310657275</v>
      </c>
      <c r="Z42" s="7">
        <f t="shared" si="5"/>
        <v>5.8634914927892376</v>
      </c>
      <c r="AA42" s="7">
        <f t="shared" si="6"/>
        <v>41.865567414343111</v>
      </c>
      <c r="AB42" s="2"/>
      <c r="AC42" s="2"/>
      <c r="AD42" s="2"/>
    </row>
    <row r="43" spans="1:30" ht="12.5">
      <c r="A43" s="2"/>
      <c r="B43" s="2"/>
      <c r="C43" s="2"/>
      <c r="D43" s="2"/>
      <c r="E43" s="2"/>
      <c r="F43" s="2"/>
      <c r="G43" s="2"/>
      <c r="H43" s="2"/>
      <c r="I43" s="2"/>
      <c r="J43" s="2"/>
      <c r="K43" s="5">
        <v>41</v>
      </c>
      <c r="L43" s="7">
        <v>19.428571428571399</v>
      </c>
      <c r="M43" s="8">
        <v>1.17869235289105</v>
      </c>
      <c r="N43" s="8">
        <v>1.32484608679974E-2</v>
      </c>
      <c r="O43" s="7">
        <v>1.1694915254237199</v>
      </c>
      <c r="P43" s="7">
        <v>1.2896647973598701E-2</v>
      </c>
      <c r="Q43" s="7">
        <f t="shared" si="1"/>
        <v>1.3061466332184067E-2</v>
      </c>
      <c r="R43" s="7">
        <f t="shared" si="2"/>
        <v>0.14010027599527511</v>
      </c>
      <c r="S43" s="7">
        <f t="shared" si="3"/>
        <v>6.1015579382355547</v>
      </c>
      <c r="T43" s="7">
        <f t="shared" si="4"/>
        <v>25.530129366806953</v>
      </c>
      <c r="U43" s="9">
        <f>1/proj3!$B$35*(proj3!$B$27+M43*(proj3!$B$31-proj3!$B$32))</f>
        <v>7.2657425154082737E-3</v>
      </c>
      <c r="V43" s="10">
        <f>proj3!$B$40+proj3!$B$41+U43^2/(PI()*proj3!$B$43)</f>
        <v>1.2004533747341216E-2</v>
      </c>
      <c r="W43" s="7">
        <f>proj3!$I$27 *(1+ABS(M43)/proj3!$G$29)</f>
        <v>4.3527300240709027E-2</v>
      </c>
      <c r="X43" s="7">
        <f>(R43+ W43+proj3!$B$25/proj3!$B$17 * V43)*(1+proj3!$F$33)</f>
        <v>0.19836541806858579</v>
      </c>
      <c r="Y43" s="7">
        <f>M43 + U43 * proj3!$B$25/proj3!$B$17</f>
        <v>1.1797579951266433</v>
      </c>
      <c r="Z43" s="7">
        <f t="shared" si="5"/>
        <v>5.9473975182445171</v>
      </c>
      <c r="AA43" s="7">
        <f t="shared" si="6"/>
        <v>41.72985385883463</v>
      </c>
      <c r="AB43" s="2"/>
      <c r="AC43" s="2"/>
      <c r="AD43" s="2"/>
    </row>
    <row r="44" spans="1:30" ht="12.5">
      <c r="A44" s="2"/>
      <c r="B44" s="2"/>
      <c r="C44" s="2"/>
      <c r="D44" s="2"/>
      <c r="E44" s="2"/>
      <c r="F44" s="2"/>
      <c r="G44" s="2"/>
      <c r="H44" s="2"/>
      <c r="I44" s="2"/>
      <c r="J44" s="2"/>
      <c r="K44" s="5">
        <v>42</v>
      </c>
      <c r="L44" s="7">
        <v>20.342857142857099</v>
      </c>
      <c r="M44" s="8">
        <v>1.14309454307043</v>
      </c>
      <c r="N44" s="8">
        <v>1.22830383281042E-2</v>
      </c>
      <c r="O44" s="7">
        <v>1.15254237288135</v>
      </c>
      <c r="P44" s="7">
        <v>1.2684197421838499E-2</v>
      </c>
      <c r="Q44" s="7">
        <f t="shared" si="1"/>
        <v>1.2080201457330566E-2</v>
      </c>
      <c r="R44" s="7">
        <f t="shared" si="2"/>
        <v>0.13161793114237708</v>
      </c>
      <c r="S44" s="7">
        <f t="shared" si="3"/>
        <v>5.9172841550366924</v>
      </c>
      <c r="T44" s="7">
        <f t="shared" si="4"/>
        <v>26.260141297893792</v>
      </c>
      <c r="U44" s="9">
        <f>1/proj3!$B$35*(proj3!$B$27+M44*(proj3!$B$31-proj3!$B$32))</f>
        <v>3.6228642673015194E-3</v>
      </c>
      <c r="V44" s="10">
        <f>proj3!$B$40+proj3!$B$41+U44^2/(PI()*proj3!$B$43)</f>
        <v>1.2001127201178066E-2</v>
      </c>
      <c r="W44" s="7">
        <f>proj3!$I$27 *(1+ABS(M44)/proj3!$G$29)</f>
        <v>4.3254442255158017E-2</v>
      </c>
      <c r="X44" s="7">
        <f>(R44+ W44+proj3!$B$25/proj3!$B$17 * V44)*(1+proj3!$F$33)</f>
        <v>0.18899681643080077</v>
      </c>
      <c r="Y44" s="7">
        <f>M44 + U44 * proj3!$B$25/proj3!$B$17</f>
        <v>1.1436258964963009</v>
      </c>
      <c r="Z44" s="7">
        <f t="shared" si="5"/>
        <v>6.0510325945888495</v>
      </c>
      <c r="AA44" s="7">
        <f t="shared" si="6"/>
        <v>41.873857009038709</v>
      </c>
      <c r="AB44" s="2"/>
      <c r="AC44" s="2"/>
      <c r="AD44" s="2"/>
    </row>
    <row r="45" spans="1:30" ht="12.5">
      <c r="A45" s="2"/>
      <c r="B45" s="2"/>
      <c r="C45" s="2"/>
      <c r="D45" s="2"/>
      <c r="E45" s="2"/>
      <c r="F45" s="2"/>
      <c r="G45" s="2"/>
      <c r="H45" s="2"/>
      <c r="I45" s="2"/>
      <c r="J45" s="2"/>
      <c r="K45" s="5">
        <v>43</v>
      </c>
      <c r="L45" s="7">
        <v>20.457142857142799</v>
      </c>
      <c r="M45" s="8">
        <v>1.1761968757425001</v>
      </c>
      <c r="N45" s="8">
        <v>1.3199458066826699E-2</v>
      </c>
      <c r="O45" s="7">
        <v>1.1694915254237199</v>
      </c>
      <c r="P45" s="7">
        <v>1.2896647973598701E-2</v>
      </c>
      <c r="Q45" s="7">
        <f t="shared" si="1"/>
        <v>1.3011352951877395E-2</v>
      </c>
      <c r="R45" s="7">
        <f t="shared" si="2"/>
        <v>0.13951682496582193</v>
      </c>
      <c r="S45" s="7">
        <f t="shared" si="3"/>
        <v>6.0886399801542339</v>
      </c>
      <c r="T45" s="7">
        <f t="shared" si="4"/>
        <v>26.545782837297033</v>
      </c>
      <c r="U45" s="9">
        <f>1/proj3!$B$35*(proj3!$B$27+M45*(proj3!$B$31-proj3!$B$32))</f>
        <v>7.0103695172123483E-3</v>
      </c>
      <c r="V45" s="10">
        <f>proj3!$B$40+proj3!$B$41+U45^2/(PI()*proj3!$B$43)</f>
        <v>1.2004220647944886E-2</v>
      </c>
      <c r="W45" s="7">
        <f>proj3!$I$27 *(1+ABS(M45)/proj3!$G$29)</f>
        <v>4.3508172354157208E-2</v>
      </c>
      <c r="X45" s="7">
        <f>(R45+ W45+proj3!$B$25/proj3!$B$17 * V45)*(1+proj3!$F$33)</f>
        <v>0.19772060949272852</v>
      </c>
      <c r="Y45" s="7">
        <f>M45 + U45 * proj3!$B$25/proj3!$B$17</f>
        <v>1.1772250632716912</v>
      </c>
      <c r="Z45" s="7">
        <f t="shared" si="5"/>
        <v>5.9539825731469103</v>
      </c>
      <c r="AA45" s="7">
        <f t="shared" si="6"/>
        <v>41.732520754917736</v>
      </c>
      <c r="AB45" s="2"/>
      <c r="AC45" s="2"/>
      <c r="AD45" s="2"/>
    </row>
    <row r="46" spans="1:30" ht="12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.5">
      <c r="A51" s="2"/>
      <c r="B51" s="2"/>
      <c r="C51" s="2"/>
      <c r="D51" s="2"/>
      <c r="E51" s="2"/>
      <c r="F51" s="2" t="s">
        <v>64</v>
      </c>
      <c r="G51" s="5">
        <f t="array" ref="G51:H51">LINEST(O3:O45, L3:L45)</f>
        <v>7.4604943872134233E-2</v>
      </c>
      <c r="H51" s="5">
        <v>0.18939921880172389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.5">
      <c r="A52" s="2"/>
      <c r="B52" s="2"/>
      <c r="C52" s="2"/>
      <c r="D52" s="2"/>
      <c r="E52" s="2"/>
      <c r="F52" s="2"/>
      <c r="G52" s="5">
        <f>180/PI() *G51</f>
        <v>4.274548414683685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.5">
      <c r="A54" s="2"/>
      <c r="B54" s="2"/>
      <c r="C54" s="2"/>
      <c r="D54" s="2"/>
      <c r="E54" s="2"/>
      <c r="F54" s="2"/>
      <c r="G54" s="5">
        <f t="array" ref="G54:H54">LINEST(O3:O45,T3:T45)</f>
        <v>5.4655027077242943E-2</v>
      </c>
      <c r="H54" s="5">
        <v>0.13346740254162603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5">
      <c r="A55" s="2"/>
      <c r="B55" s="2"/>
      <c r="C55" s="2"/>
      <c r="D55" s="2"/>
      <c r="E55" s="2"/>
      <c r="F55" s="2"/>
      <c r="G55" s="5">
        <f>180/PI() *G54</f>
        <v>3.1315023806992559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.5">
      <c r="A57" s="2"/>
      <c r="B57" s="2"/>
      <c r="C57" s="2"/>
      <c r="D57" s="2"/>
      <c r="E57" s="2"/>
      <c r="F57" s="2"/>
      <c r="G57" s="5">
        <f>G52/(1+G52/(PI() * H9) * (1+H28))</f>
        <v>3.0836534748776518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>
    <tabColor rgb="FF3D85C6"/>
    <outlinePr summaryBelow="0" summaryRight="0"/>
    <pageSetUpPr fitToPage="1"/>
  </sheetPr>
  <dimension ref="A1:V45"/>
  <sheetViews>
    <sheetView workbookViewId="0">
      <selection activeCell="E30" sqref="E30"/>
    </sheetView>
  </sheetViews>
  <sheetFormatPr defaultColWidth="12.54296875" defaultRowHeight="15.75" customHeight="1"/>
  <cols>
    <col min="1" max="1" width="5.81640625" customWidth="1"/>
    <col min="2" max="17" width="11" customWidth="1"/>
  </cols>
  <sheetData>
    <row r="1" spans="1:22" ht="15.75" customHeight="1">
      <c r="A1" s="23"/>
      <c r="B1" s="107" t="s">
        <v>164</v>
      </c>
      <c r="C1" s="108"/>
      <c r="D1" s="108"/>
      <c r="E1" s="108"/>
      <c r="F1" s="109"/>
      <c r="G1" s="107" t="s">
        <v>165</v>
      </c>
      <c r="H1" s="108"/>
      <c r="I1" s="108"/>
      <c r="J1" s="109"/>
      <c r="K1" s="107" t="s">
        <v>166</v>
      </c>
      <c r="L1" s="108"/>
      <c r="M1" s="108"/>
      <c r="N1" s="108"/>
      <c r="O1" s="108"/>
      <c r="P1" s="108"/>
      <c r="Q1" s="109"/>
      <c r="R1" s="110" t="s">
        <v>167</v>
      </c>
      <c r="S1" s="111"/>
      <c r="T1" s="111"/>
      <c r="U1" s="111"/>
      <c r="V1" s="111"/>
    </row>
    <row r="2" spans="1:22" ht="15.75" customHeight="1">
      <c r="A2" s="39" t="s">
        <v>9</v>
      </c>
      <c r="B2" s="39" t="s">
        <v>10</v>
      </c>
      <c r="C2" s="39" t="s">
        <v>11</v>
      </c>
      <c r="D2" s="39" t="s">
        <v>12</v>
      </c>
      <c r="E2" s="39" t="s">
        <v>13</v>
      </c>
      <c r="F2" s="39" t="s">
        <v>14</v>
      </c>
      <c r="G2" s="39" t="s">
        <v>15</v>
      </c>
      <c r="H2" s="39" t="s">
        <v>16</v>
      </c>
      <c r="I2" s="39" t="s">
        <v>17</v>
      </c>
      <c r="J2" s="39" t="s">
        <v>18</v>
      </c>
      <c r="K2" s="39" t="s">
        <v>19</v>
      </c>
      <c r="L2" s="39" t="s">
        <v>20</v>
      </c>
      <c r="M2" s="39" t="s">
        <v>21</v>
      </c>
      <c r="N2" s="39" t="s">
        <v>22</v>
      </c>
      <c r="O2" s="39" t="s">
        <v>23</v>
      </c>
      <c r="P2" s="39" t="s">
        <v>24</v>
      </c>
      <c r="Q2" s="39" t="s">
        <v>25</v>
      </c>
      <c r="R2" s="6" t="s">
        <v>168</v>
      </c>
      <c r="S2" s="6" t="s">
        <v>169</v>
      </c>
      <c r="T2" s="6" t="s">
        <v>170</v>
      </c>
    </row>
    <row r="3" spans="1:22" ht="15.75" customHeight="1">
      <c r="A3" s="23">
        <v>1</v>
      </c>
      <c r="B3" s="24">
        <v>-18.514285714285698</v>
      </c>
      <c r="C3" s="24">
        <v>-0.84752476389965803</v>
      </c>
      <c r="D3" s="24">
        <v>1.22993236159469E-2</v>
      </c>
      <c r="E3" s="24">
        <v>-0.84745762711864403</v>
      </c>
      <c r="F3" s="24">
        <v>1.23044579421407E-2</v>
      </c>
      <c r="G3" s="24">
        <v>1.1882728594935488E-2</v>
      </c>
      <c r="H3" s="24">
        <v>4.8312366259894768E-2</v>
      </c>
      <c r="I3" s="24">
        <v>-2.4022324632937222</v>
      </c>
      <c r="J3" s="24">
        <v>-20.91651817757942</v>
      </c>
      <c r="K3" s="24">
        <v>-0.20008584169421484</v>
      </c>
      <c r="L3" s="24">
        <v>1.5438191201364318E-2</v>
      </c>
      <c r="M3" s="24">
        <v>4.0988893477278465E-2</v>
      </c>
      <c r="N3" s="24">
        <v>9.7975114724642806E-2</v>
      </c>
      <c r="O3" s="24">
        <v>-0.87687068734814289</v>
      </c>
      <c r="P3" s="24">
        <v>-8.9499327437642844</v>
      </c>
      <c r="Q3" s="24">
        <v>-70.238478584383699</v>
      </c>
    </row>
    <row r="4" spans="1:22" ht="15.75" customHeight="1">
      <c r="A4" s="23">
        <v>2</v>
      </c>
      <c r="B4" s="24">
        <v>-17.1428571428571</v>
      </c>
      <c r="C4" s="24">
        <v>-0.88609430856008697</v>
      </c>
      <c r="D4" s="24">
        <v>1.3128656284579401E-2</v>
      </c>
      <c r="E4" s="24">
        <v>-0.88700564971751295</v>
      </c>
      <c r="F4" s="24">
        <v>1.31492590063375E-2</v>
      </c>
      <c r="G4" s="24">
        <v>1.2733446744287063E-2</v>
      </c>
      <c r="H4" s="24">
        <v>5.2465879485296546E-2</v>
      </c>
      <c r="I4" s="24">
        <v>-2.5115543571477978</v>
      </c>
      <c r="J4" s="24">
        <v>-19.654411500004898</v>
      </c>
      <c r="K4" s="24">
        <v>-0.20403283045534562</v>
      </c>
      <c r="L4" s="24">
        <v>1.5575175917650971E-2</v>
      </c>
      <c r="M4" s="24">
        <v>4.1284529874930337E-2</v>
      </c>
      <c r="N4" s="24">
        <v>0.1027572022894528</v>
      </c>
      <c r="O4" s="24">
        <v>-0.91601912369353766</v>
      </c>
      <c r="P4" s="24">
        <v>-8.9144031102874788</v>
      </c>
      <c r="Q4" s="24">
        <v>-72.792909551012201</v>
      </c>
    </row>
    <row r="5" spans="1:22" ht="15.75" customHeight="1">
      <c r="A5" s="23">
        <v>3</v>
      </c>
      <c r="B5" s="24">
        <v>-16.571428571428498</v>
      </c>
      <c r="C5" s="24">
        <v>-0.94067857017886702</v>
      </c>
      <c r="D5" s="24">
        <v>1.43933031711875E-2</v>
      </c>
      <c r="E5" s="24">
        <v>-0.93785310734463301</v>
      </c>
      <c r="F5" s="24">
        <v>1.4525938303934E-2</v>
      </c>
      <c r="G5" s="24">
        <v>1.4028358719184135E-2</v>
      </c>
      <c r="H5" s="24">
        <v>5.868612261359088E-2</v>
      </c>
      <c r="I5" s="24">
        <v>-2.666268521064636</v>
      </c>
      <c r="J5" s="24">
        <v>-19.237697092493136</v>
      </c>
      <c r="K5" s="24">
        <v>-0.20961867465031184</v>
      </c>
      <c r="L5" s="24">
        <v>1.5773612041068436E-2</v>
      </c>
      <c r="M5" s="24">
        <v>4.1702919425948795E-2</v>
      </c>
      <c r="N5" s="24">
        <v>0.10989168049861914</v>
      </c>
      <c r="O5" s="24">
        <v>-0.97142264246091281</v>
      </c>
      <c r="P5" s="24">
        <v>-8.8398197029402912</v>
      </c>
      <c r="Q5" s="24">
        <v>-75.909308722927278</v>
      </c>
    </row>
    <row r="6" spans="1:22" ht="15.75" customHeight="1">
      <c r="A6" s="23">
        <v>4</v>
      </c>
      <c r="B6" s="24">
        <v>-16.1142857142857</v>
      </c>
      <c r="C6" s="24">
        <v>-0.99242215239707998</v>
      </c>
      <c r="D6" s="24">
        <v>1.6608497932597201E-2</v>
      </c>
      <c r="E6" s="24">
        <v>-0.99435028248587498</v>
      </c>
      <c r="F6" s="24">
        <v>1.65073129717992E-2</v>
      </c>
      <c r="G6" s="24">
        <v>1.6272243510243027E-2</v>
      </c>
      <c r="H6" s="24">
        <v>6.5870774879238758E-2</v>
      </c>
      <c r="I6" s="24">
        <v>-2.8129310355612804</v>
      </c>
      <c r="J6" s="24">
        <v>-18.927216749846981</v>
      </c>
      <c r="K6" s="24">
        <v>-0.21491381980367086</v>
      </c>
      <c r="L6" s="24">
        <v>1.5966669290680489E-2</v>
      </c>
      <c r="M6" s="24">
        <v>4.2099535107655052E-2</v>
      </c>
      <c r="N6" s="24">
        <v>0.11803393431999383</v>
      </c>
      <c r="O6" s="24">
        <v>-1.0239428459682851</v>
      </c>
      <c r="P6" s="24">
        <v>-8.6749870015545092</v>
      </c>
      <c r="Q6" s="24">
        <v>-77.057227915102601</v>
      </c>
    </row>
    <row r="7" spans="1:22" ht="15.75" customHeight="1">
      <c r="A7" s="23">
        <v>5</v>
      </c>
      <c r="B7" s="24">
        <v>-15.0857142857142</v>
      </c>
      <c r="C7" s="24">
        <v>-1.07247405022369</v>
      </c>
      <c r="D7" s="24">
        <v>2.0161644573211301E-2</v>
      </c>
      <c r="E7" s="24">
        <v>-1.0734463276836099</v>
      </c>
      <c r="F7" s="24">
        <v>2.02336677323985E-2</v>
      </c>
      <c r="G7" s="24">
        <v>1.9869776164033289E-2</v>
      </c>
      <c r="H7" s="24">
        <v>7.7633253187835621E-2</v>
      </c>
      <c r="I7" s="24">
        <v>-3.0398309161293984</v>
      </c>
      <c r="J7" s="24">
        <v>-18.1255452018436</v>
      </c>
      <c r="K7" s="24">
        <v>-0.2231058776516596</v>
      </c>
      <c r="L7" s="24">
        <v>1.6274834749647686E-2</v>
      </c>
      <c r="M7" s="24">
        <v>4.2713134643429067E-2</v>
      </c>
      <c r="N7" s="24">
        <v>0.13132469904616462</v>
      </c>
      <c r="O7" s="24">
        <v>-1.1051962456126001</v>
      </c>
      <c r="P7" s="24">
        <v>-8.415753119099783</v>
      </c>
      <c r="Q7" s="24">
        <v>-78.275414196607741</v>
      </c>
    </row>
    <row r="8" spans="1:22" ht="15.75" customHeight="1">
      <c r="A8" s="23">
        <v>6</v>
      </c>
      <c r="B8" s="24">
        <v>-13.4857142857142</v>
      </c>
      <c r="C8" s="24">
        <v>-1.0658281067931501</v>
      </c>
      <c r="D8" s="24">
        <v>1.9625478172968999E-2</v>
      </c>
      <c r="E8" s="24">
        <v>-1.0621468926553601</v>
      </c>
      <c r="F8" s="24">
        <v>1.9625987292950901E-2</v>
      </c>
      <c r="G8" s="24">
        <v>1.9329924817641241E-2</v>
      </c>
      <c r="H8" s="24">
        <v>7.6391447030614512E-2</v>
      </c>
      <c r="I8" s="24">
        <v>-3.0209935892003328</v>
      </c>
      <c r="J8" s="24">
        <v>-16.506707874914532</v>
      </c>
      <c r="K8" s="24">
        <v>-0.22242576944041684</v>
      </c>
      <c r="L8" s="24">
        <v>1.6248811958022739E-2</v>
      </c>
      <c r="M8" s="24">
        <v>4.2662193342666993E-2</v>
      </c>
      <c r="N8" s="24">
        <v>0.12993737542269024</v>
      </c>
      <c r="O8" s="24">
        <v>-1.0984505529777446</v>
      </c>
      <c r="P8" s="24">
        <v>-8.4536920143603904</v>
      </c>
      <c r="Q8" s="24">
        <v>-78.500668451086568</v>
      </c>
    </row>
    <row r="9" spans="1:22" ht="15.75" customHeight="1">
      <c r="A9" s="23">
        <v>7</v>
      </c>
      <c r="B9" s="24">
        <v>-12</v>
      </c>
      <c r="C9" s="24">
        <v>-0.97595755452210597</v>
      </c>
      <c r="D9" s="24">
        <v>1.6001416949740801E-2</v>
      </c>
      <c r="E9" s="24">
        <v>-0.98305084745762705</v>
      </c>
      <c r="F9" s="24">
        <v>1.6069230067500499E-2</v>
      </c>
      <c r="G9" s="24">
        <v>1.5656033476382718E-2</v>
      </c>
      <c r="H9" s="24">
        <v>6.3653741358226268E-2</v>
      </c>
      <c r="I9" s="24">
        <v>-2.7662636186372573</v>
      </c>
      <c r="J9" s="24">
        <v>-14.766263618637257</v>
      </c>
      <c r="K9" s="24">
        <v>-0.21322892610473812</v>
      </c>
      <c r="L9" s="24">
        <v>1.5904716852394626E-2</v>
      </c>
      <c r="M9" s="24">
        <v>4.197333360728997E-2</v>
      </c>
      <c r="N9" s="24">
        <v>0.11551695044447152</v>
      </c>
      <c r="O9" s="24">
        <v>-1.0072311303508008</v>
      </c>
      <c r="P9" s="24">
        <v>-8.719336222738777</v>
      </c>
      <c r="Q9" s="24">
        <v>-76.57658404086024</v>
      </c>
    </row>
    <row r="10" spans="1:22" ht="15.75" customHeight="1">
      <c r="A10" s="23">
        <v>8</v>
      </c>
      <c r="B10" s="24">
        <v>-10.742857142857099</v>
      </c>
      <c r="C10" s="24">
        <v>-0.86618200801809497</v>
      </c>
      <c r="D10" s="24">
        <v>1.2715685774772299E-2</v>
      </c>
      <c r="E10" s="24">
        <v>-0.85875706214689196</v>
      </c>
      <c r="F10" s="24">
        <v>1.2527594748682201E-2</v>
      </c>
      <c r="G10" s="24">
        <v>1.230943555139536E-2</v>
      </c>
      <c r="H10" s="24">
        <v>5.0318383442274302E-2</v>
      </c>
      <c r="I10" s="24">
        <v>-2.4551147381321372</v>
      </c>
      <c r="J10" s="24">
        <v>-13.197971880989236</v>
      </c>
      <c r="K10" s="24">
        <v>-0.20199511839160597</v>
      </c>
      <c r="L10" s="24">
        <v>1.5504120687045566E-2</v>
      </c>
      <c r="M10" s="24">
        <v>4.1131901658729597E-2</v>
      </c>
      <c r="N10" s="24">
        <v>0.10028491839789452</v>
      </c>
      <c r="O10" s="24">
        <v>-0.89580795871553054</v>
      </c>
      <c r="P10" s="24">
        <v>-8.9326288840490093</v>
      </c>
      <c r="Q10" s="24">
        <v>-71.478182135961049</v>
      </c>
    </row>
    <row r="11" spans="1:22" ht="15.75" customHeight="1">
      <c r="A11" s="23">
        <v>9</v>
      </c>
      <c r="B11" s="24">
        <v>-9.3714285714285595</v>
      </c>
      <c r="C11" s="24">
        <v>-0.72956203239571704</v>
      </c>
      <c r="D11" s="24">
        <v>1.05359652900272E-2</v>
      </c>
      <c r="E11" s="24">
        <v>-0.73446327683615797</v>
      </c>
      <c r="F11" s="24">
        <v>1.0710877044283199E-2</v>
      </c>
      <c r="G11" s="24">
        <v>1.005396400761558E-2</v>
      </c>
      <c r="H11" s="24">
        <v>3.7294271487866057E-2</v>
      </c>
      <c r="I11" s="24">
        <v>-2.0678777457115487</v>
      </c>
      <c r="J11" s="24">
        <v>-11.439306317140108</v>
      </c>
      <c r="K11" s="24">
        <v>-0.18801420383648218</v>
      </c>
      <c r="L11" s="24">
        <v>1.5035838242376885E-2</v>
      </c>
      <c r="M11" s="24">
        <v>4.0084706577846921E-2</v>
      </c>
      <c r="N11" s="24">
        <v>8.515513074514991E-2</v>
      </c>
      <c r="O11" s="24">
        <v>-0.75713744895840107</v>
      </c>
      <c r="P11" s="24">
        <v>-8.8912722267357278</v>
      </c>
      <c r="Q11" s="24">
        <v>-59.855290399280491</v>
      </c>
    </row>
    <row r="12" spans="1:22" ht="15.75" customHeight="1">
      <c r="A12" s="23">
        <v>10</v>
      </c>
      <c r="B12" s="24">
        <v>-8.6857142857142797</v>
      </c>
      <c r="C12" s="24">
        <v>-0.65899964007298095</v>
      </c>
      <c r="D12" s="24">
        <v>9.9732397222947605E-3</v>
      </c>
      <c r="E12" s="24">
        <v>-0.66101694915254205</v>
      </c>
      <c r="F12" s="24">
        <v>1.0088919562913299E-2</v>
      </c>
      <c r="G12" s="24">
        <v>9.4521140298390195E-3</v>
      </c>
      <c r="H12" s="24">
        <v>3.1852682854006623E-2</v>
      </c>
      <c r="I12" s="24">
        <v>-1.8678750121685168</v>
      </c>
      <c r="J12" s="24">
        <v>-10.553589297882796</v>
      </c>
      <c r="K12" s="24">
        <v>-0.18079324823774834</v>
      </c>
      <c r="L12" s="24">
        <v>1.4807124810907721E-2</v>
      </c>
      <c r="M12" s="24">
        <v>3.954384430789655E-2</v>
      </c>
      <c r="N12" s="24">
        <v>7.8718015516894849E-2</v>
      </c>
      <c r="O12" s="24">
        <v>-0.68551598314785067</v>
      </c>
      <c r="P12" s="24">
        <v>-8.7085018422589915</v>
      </c>
      <c r="Q12" s="24">
        <v>-51.988164102794677</v>
      </c>
    </row>
    <row r="13" spans="1:22" ht="15.75" customHeight="1">
      <c r="A13" s="23">
        <v>11</v>
      </c>
      <c r="B13" s="24">
        <v>-8</v>
      </c>
      <c r="C13" s="24">
        <v>-0.58798537377064997</v>
      </c>
      <c r="D13" s="24">
        <v>9.5470258281440002E-3</v>
      </c>
      <c r="E13" s="24">
        <v>-0.57627118644067798</v>
      </c>
      <c r="F13" s="24">
        <v>9.4972281765503003E-3</v>
      </c>
      <c r="G13" s="24">
        <v>8.9865251771255282E-3</v>
      </c>
      <c r="H13" s="24">
        <v>2.7012978173735405E-2</v>
      </c>
      <c r="I13" s="24">
        <v>-1.6665914826070818</v>
      </c>
      <c r="J13" s="24">
        <v>-9.6665914826070818</v>
      </c>
      <c r="K13" s="24">
        <v>-0.17352605041514035</v>
      </c>
      <c r="L13" s="24">
        <v>1.4585988990183674E-2</v>
      </c>
      <c r="M13" s="24">
        <v>3.8999518414076728E-2</v>
      </c>
      <c r="N13" s="24">
        <v>7.2922399221151818E-2</v>
      </c>
      <c r="O13" s="24">
        <v>-0.61343586116487059</v>
      </c>
      <c r="P13" s="24">
        <v>-8.4121733200865094</v>
      </c>
      <c r="Q13" s="24">
        <v>-43.409580127003416</v>
      </c>
    </row>
    <row r="14" spans="1:22" ht="15.75" customHeight="1">
      <c r="A14" s="23">
        <v>12</v>
      </c>
      <c r="B14" s="24">
        <v>-7.3142857142857096</v>
      </c>
      <c r="C14" s="24">
        <v>-0.51668597291056595</v>
      </c>
      <c r="D14" s="24">
        <v>9.1110992087565807E-3</v>
      </c>
      <c r="E14" s="24">
        <v>-0.51977401129943501</v>
      </c>
      <c r="F14" s="24">
        <v>9.0478523802478006E-3</v>
      </c>
      <c r="G14" s="24">
        <v>8.5110655019087177E-3</v>
      </c>
      <c r="H14" s="24">
        <v>2.2647045457975752E-2</v>
      </c>
      <c r="I14" s="24">
        <v>-1.4644997648720184</v>
      </c>
      <c r="J14" s="24">
        <v>-8.7787854791577278</v>
      </c>
      <c r="K14" s="24">
        <v>-0.16622967353675749</v>
      </c>
      <c r="L14" s="24">
        <v>1.4373091104674766E-2</v>
      </c>
      <c r="M14" s="24">
        <v>3.8453006957677872E-2</v>
      </c>
      <c r="N14" s="24">
        <v>6.7632673182109679E-2</v>
      </c>
      <c r="O14" s="24">
        <v>-0.54106632502929042</v>
      </c>
      <c r="P14" s="24">
        <v>-8.0000730352975946</v>
      </c>
      <c r="Q14" s="24">
        <v>-34.628877075801789</v>
      </c>
    </row>
    <row r="15" spans="1:22" ht="15.75" customHeight="1">
      <c r="A15" s="23">
        <v>13</v>
      </c>
      <c r="B15" s="24">
        <v>-6.6285714285714201</v>
      </c>
      <c r="C15" s="24">
        <v>-0.44522097656461002</v>
      </c>
      <c r="D15" s="24">
        <v>8.6078038207434704E-3</v>
      </c>
      <c r="E15" s="24">
        <v>-0.45762711864406802</v>
      </c>
      <c r="F15" s="24">
        <v>8.5147368951185697E-3</v>
      </c>
      <c r="G15" s="24">
        <v>7.9681452410872641E-3</v>
      </c>
      <c r="H15" s="24">
        <v>1.8708577161275275E-2</v>
      </c>
      <c r="I15" s="24">
        <v>-1.2619386816754596</v>
      </c>
      <c r="J15" s="24">
        <v>-7.89051011024688</v>
      </c>
      <c r="K15" s="24">
        <v>-0.15891635055420392</v>
      </c>
      <c r="L15" s="24">
        <v>1.4168874754933827E-2</v>
      </c>
      <c r="M15" s="24">
        <v>3.7905226208282648E-2</v>
      </c>
      <c r="N15" s="24">
        <v>6.2800338350301257E-2</v>
      </c>
      <c r="O15" s="24">
        <v>-0.46852870797922658</v>
      </c>
      <c r="P15" s="24">
        <v>-7.4606080203862311</v>
      </c>
      <c r="Q15" s="24">
        <v>-26.078622753275848</v>
      </c>
    </row>
    <row r="16" spans="1:22" ht="15.75" customHeight="1">
      <c r="A16" s="23">
        <v>14</v>
      </c>
      <c r="B16" s="24">
        <v>-5.25714285714285</v>
      </c>
      <c r="C16" s="24">
        <v>-0.303391710113534</v>
      </c>
      <c r="D16" s="24">
        <v>7.5823590028473399E-3</v>
      </c>
      <c r="E16" s="24">
        <v>-0.29378531073446301</v>
      </c>
      <c r="F16" s="24">
        <v>7.5637408088982897E-3</v>
      </c>
      <c r="G16" s="24">
        <v>6.8640609922672345E-3</v>
      </c>
      <c r="H16" s="24">
        <v>1.2359964048372397E-2</v>
      </c>
      <c r="I16" s="24">
        <v>-0.85993642448330532</v>
      </c>
      <c r="J16" s="24">
        <v>-6.1170792816261557</v>
      </c>
      <c r="K16" s="24">
        <v>-0.144402346678598</v>
      </c>
      <c r="L16" s="24">
        <v>1.3790794737583134E-2</v>
      </c>
      <c r="M16" s="24">
        <v>3.6818101800038805E-2</v>
      </c>
      <c r="N16" s="24">
        <v>5.4784765845284703E-2</v>
      </c>
      <c r="O16" s="24">
        <v>-0.32457072095972839</v>
      </c>
      <c r="P16" s="24">
        <v>-5.9244703514173009</v>
      </c>
      <c r="Q16" s="24">
        <v>-11.392220992238164</v>
      </c>
    </row>
    <row r="17" spans="1:17" ht="15.75" customHeight="1">
      <c r="A17" s="23">
        <v>15</v>
      </c>
      <c r="B17" s="24">
        <v>-4.3428571428571399</v>
      </c>
      <c r="C17" s="24">
        <v>-0.21154881671241799</v>
      </c>
      <c r="D17" s="24">
        <v>7.1319801009005999E-3</v>
      </c>
      <c r="E17" s="24">
        <v>-0.209039548022599</v>
      </c>
      <c r="F17" s="24">
        <v>7.2749498369964298E-3</v>
      </c>
      <c r="G17" s="24">
        <v>6.3627583772379089E-3</v>
      </c>
      <c r="H17" s="24">
        <v>9.5225902582855293E-3</v>
      </c>
      <c r="I17" s="24">
        <v>-0.59961603096958072</v>
      </c>
      <c r="J17" s="24">
        <v>-4.9424731738267207</v>
      </c>
      <c r="K17" s="24">
        <v>-0.13500366512206272</v>
      </c>
      <c r="L17" s="24">
        <v>1.3565266986608012E-2</v>
      </c>
      <c r="M17" s="24">
        <v>3.6114124027055459E-2</v>
      </c>
      <c r="N17" s="24">
        <v>5.0960126851079882E-2</v>
      </c>
      <c r="O17" s="24">
        <v>-0.23134935426365386</v>
      </c>
      <c r="P17" s="24">
        <v>-4.5398111927727944</v>
      </c>
      <c r="Q17" s="24">
        <v>-4.7680837402826519</v>
      </c>
    </row>
    <row r="18" spans="1:17" ht="15.75" customHeight="1">
      <c r="A18" s="23">
        <v>16</v>
      </c>
      <c r="B18" s="24">
        <v>-3.4285714285714302</v>
      </c>
      <c r="C18" s="24">
        <v>-0.12259966812467001</v>
      </c>
      <c r="D18" s="24">
        <v>6.9354618809925796E-3</v>
      </c>
      <c r="E18" s="24">
        <v>-0.124293785310734</v>
      </c>
      <c r="F18" s="24">
        <v>7.0062360374409504E-3</v>
      </c>
      <c r="G18" s="24">
        <v>6.1169209258261515E-3</v>
      </c>
      <c r="H18" s="24">
        <v>7.8086220669495035E-3</v>
      </c>
      <c r="I18" s="24">
        <v>-0.34749769600005148</v>
      </c>
      <c r="J18" s="24">
        <v>-3.7760691245714817</v>
      </c>
      <c r="K18" s="24">
        <v>-0.12590111302094364</v>
      </c>
      <c r="L18" s="24">
        <v>1.336130815582705E-2</v>
      </c>
      <c r="M18" s="24">
        <v>3.5432326870926151E-2</v>
      </c>
      <c r="N18" s="24">
        <v>4.8364649990114743E-2</v>
      </c>
      <c r="O18" s="24">
        <v>-0.14106516470107508</v>
      </c>
      <c r="P18" s="24">
        <v>-2.9166997947862212</v>
      </c>
      <c r="Q18" s="24">
        <v>-1.2000607797845066</v>
      </c>
    </row>
    <row r="19" spans="1:17" ht="15.75" customHeight="1">
      <c r="A19" s="23">
        <v>17</v>
      </c>
      <c r="B19" s="24">
        <v>-2.0571428571428498</v>
      </c>
      <c r="C19" s="24">
        <v>8.4326806135255304E-3</v>
      </c>
      <c r="D19" s="24">
        <v>6.82627661960353E-3</v>
      </c>
      <c r="E19" s="24">
        <v>5.6497175141241003E-3</v>
      </c>
      <c r="F19" s="24">
        <v>6.6770606291725303E-3</v>
      </c>
      <c r="G19" s="24">
        <v>5.9444340120149665E-3</v>
      </c>
      <c r="H19" s="24">
        <v>6.8972064991646683E-3</v>
      </c>
      <c r="I19" s="24">
        <v>2.3901672240455016E-2</v>
      </c>
      <c r="J19" s="24">
        <v>-2.033241184902395</v>
      </c>
      <c r="K19" s="24">
        <v>-0.11249200455550613</v>
      </c>
      <c r="L19" s="24">
        <v>1.3086777451417467E-2</v>
      </c>
      <c r="M19" s="24">
        <v>3.4557234431652713E-2</v>
      </c>
      <c r="N19" s="24">
        <v>4.6410003404017047E-2</v>
      </c>
      <c r="O19" s="24">
        <v>-8.0661467212820373E-3</v>
      </c>
      <c r="P19" s="24">
        <v>-0.17380189893681125</v>
      </c>
      <c r="Q19" s="24">
        <v>-2.4365490122166866E-4</v>
      </c>
    </row>
    <row r="20" spans="1:17" ht="15.75" customHeight="1">
      <c r="A20" s="23">
        <v>18</v>
      </c>
      <c r="B20" s="24">
        <v>-1.3714285714285599</v>
      </c>
      <c r="C20" s="24">
        <v>7.5262407187029798E-2</v>
      </c>
      <c r="D20" s="24">
        <v>6.7140968983825499E-3</v>
      </c>
      <c r="E20" s="24">
        <v>7.3446327683615906E-2</v>
      </c>
      <c r="F20" s="24">
        <v>6.5649327295987103E-3</v>
      </c>
      <c r="G20" s="24">
        <v>5.8693090665680198E-3</v>
      </c>
      <c r="H20" s="24">
        <v>7.0983638735966758E-3</v>
      </c>
      <c r="I20" s="24">
        <v>0.2133245015501625</v>
      </c>
      <c r="J20" s="24">
        <v>-1.1581040698783973</v>
      </c>
      <c r="K20" s="24">
        <v>-0.10565302882951863</v>
      </c>
      <c r="L20" s="24">
        <v>1.2958652504223501E-2</v>
      </c>
      <c r="M20" s="24">
        <v>3.5069485737552121E-2</v>
      </c>
      <c r="N20" s="24">
        <v>4.7153243616925355E-2</v>
      </c>
      <c r="O20" s="24">
        <v>5.9766629625367065E-2</v>
      </c>
      <c r="P20" s="24">
        <v>1.2674977380328978</v>
      </c>
      <c r="Q20" s="24">
        <v>9.6018109659344097E-2</v>
      </c>
    </row>
    <row r="21" spans="1:17" ht="15.75" customHeight="1">
      <c r="A21" s="23">
        <v>19</v>
      </c>
      <c r="B21" s="24">
        <v>-0.45714285714285502</v>
      </c>
      <c r="C21" s="24">
        <v>0.167757008739569</v>
      </c>
      <c r="D21" s="24">
        <v>6.4721519088392397E-3</v>
      </c>
      <c r="E21" s="24">
        <v>0.152542372881355</v>
      </c>
      <c r="F21" s="24">
        <v>6.3815797333250197E-3</v>
      </c>
      <c r="G21" s="24">
        <v>5.6786491397739667E-3</v>
      </c>
      <c r="H21" s="24">
        <v>8.018005120966256E-3</v>
      </c>
      <c r="I21" s="24">
        <v>0.47549210300945621</v>
      </c>
      <c r="J21" s="24">
        <v>1.8349245866601194E-2</v>
      </c>
      <c r="K21" s="24">
        <v>-9.6187655151729334E-2</v>
      </c>
      <c r="L21" s="24">
        <v>1.2794576987519844E-2</v>
      </c>
      <c r="M21" s="24">
        <v>3.5778458867672898E-2</v>
      </c>
      <c r="N21" s="24">
        <v>4.8870112083085337E-2</v>
      </c>
      <c r="O21" s="24">
        <v>0.15364948598398204</v>
      </c>
      <c r="P21" s="24">
        <v>3.1440379290057403</v>
      </c>
      <c r="Q21" s="24">
        <v>1.5188212507402237</v>
      </c>
    </row>
    <row r="22" spans="1:17" ht="15.75" customHeight="1">
      <c r="A22" s="23">
        <v>20</v>
      </c>
      <c r="B22" s="24">
        <v>0.34285714285714097</v>
      </c>
      <c r="C22" s="24">
        <v>0.25187094825333101</v>
      </c>
      <c r="D22" s="24">
        <v>6.2494322514381204E-3</v>
      </c>
      <c r="E22" s="24">
        <v>0.27118644067796599</v>
      </c>
      <c r="F22" s="24">
        <v>6.3370120669783304E-3</v>
      </c>
      <c r="G22" s="24">
        <v>5.5025677574034194E-3</v>
      </c>
      <c r="H22" s="24">
        <v>9.5853991583885363E-3</v>
      </c>
      <c r="I22" s="24">
        <v>0.71390547418430295</v>
      </c>
      <c r="J22" s="24">
        <v>1.0567626170414439</v>
      </c>
      <c r="K22" s="24">
        <v>-8.7579910962934937E-2</v>
      </c>
      <c r="L22" s="24">
        <v>1.2658728276276657E-2</v>
      </c>
      <c r="M22" s="24">
        <v>3.6423194041216932E-2</v>
      </c>
      <c r="N22" s="24">
        <v>5.1215771147734873E-2</v>
      </c>
      <c r="O22" s="24">
        <v>0.23902589464543389</v>
      </c>
      <c r="P22" s="24">
        <v>4.66703691634262</v>
      </c>
      <c r="Q22" s="24">
        <v>5.2062788425832824</v>
      </c>
    </row>
    <row r="23" spans="1:17" ht="15.75" customHeight="1">
      <c r="A23" s="23">
        <v>21</v>
      </c>
      <c r="B23" s="24">
        <v>1.02857142857143</v>
      </c>
      <c r="C23" s="24">
        <v>0.32519561667179903</v>
      </c>
      <c r="D23" s="24">
        <v>6.1295256133144403E-3</v>
      </c>
      <c r="E23" s="24">
        <v>0.34463276836158102</v>
      </c>
      <c r="F23" s="24">
        <v>6.3306877659034498E-3</v>
      </c>
      <c r="G23" s="24">
        <v>5.4233171160383556E-3</v>
      </c>
      <c r="H23" s="24">
        <v>1.1596211917647717E-2</v>
      </c>
      <c r="I23" s="24">
        <v>0.92173763005502651</v>
      </c>
      <c r="J23" s="24">
        <v>1.9503090586264564</v>
      </c>
      <c r="K23" s="24">
        <v>-8.0076279672771908E-2</v>
      </c>
      <c r="L23" s="24">
        <v>1.2550687327973124E-2</v>
      </c>
      <c r="M23" s="24">
        <v>3.6985229217444821E-2</v>
      </c>
      <c r="N23" s="24">
        <v>5.3951763212552267E-2</v>
      </c>
      <c r="O23" s="24">
        <v>0.31345109565312579</v>
      </c>
      <c r="P23" s="24">
        <v>5.8098396973279849</v>
      </c>
      <c r="Q23" s="24">
        <v>10.580302667331374</v>
      </c>
    </row>
    <row r="24" spans="1:17" ht="15.75" customHeight="1">
      <c r="A24" s="23">
        <v>22</v>
      </c>
      <c r="B24" s="24">
        <v>2.05714285714286</v>
      </c>
      <c r="C24" s="24">
        <v>0.43383579637714398</v>
      </c>
      <c r="D24" s="24">
        <v>6.1680398612684699E-3</v>
      </c>
      <c r="E24" s="24">
        <v>0.40677966101694801</v>
      </c>
      <c r="F24" s="24">
        <v>6.3300742005255803E-3</v>
      </c>
      <c r="G24" s="24">
        <v>5.5220685923252667E-3</v>
      </c>
      <c r="H24" s="24">
        <v>1.5768143984692975E-2</v>
      </c>
      <c r="I24" s="24">
        <v>1.2296684158239504</v>
      </c>
      <c r="J24" s="24">
        <v>3.2868112729668102</v>
      </c>
      <c r="K24" s="24">
        <v>-6.8958658967641792E-2</v>
      </c>
      <c r="L24" s="24">
        <v>1.2408389833271348E-2</v>
      </c>
      <c r="M24" s="24">
        <v>3.7817958554830333E-2</v>
      </c>
      <c r="N24" s="24">
        <v>5.9284419695124664E-2</v>
      </c>
      <c r="O24" s="24">
        <v>0.42372185972855653</v>
      </c>
      <c r="P24" s="24">
        <v>7.1472717774346686</v>
      </c>
      <c r="Q24" s="24">
        <v>21.645193020009344</v>
      </c>
    </row>
    <row r="25" spans="1:17" ht="15.75" customHeight="1">
      <c r="A25" s="23">
        <v>23</v>
      </c>
      <c r="B25" s="24">
        <v>2.8571428571428599</v>
      </c>
      <c r="C25" s="24">
        <v>0.51465973371887597</v>
      </c>
      <c r="D25" s="24">
        <v>6.3832708430749804E-3</v>
      </c>
      <c r="E25" s="24">
        <v>0.49717514124293699</v>
      </c>
      <c r="F25" s="24">
        <v>6.3931791155289403E-3</v>
      </c>
      <c r="G25" s="24">
        <v>5.7821136565607747E-3</v>
      </c>
      <c r="H25" s="24">
        <v>1.9814870151578776E-2</v>
      </c>
      <c r="I25" s="24">
        <v>1.4587565727294323</v>
      </c>
      <c r="J25" s="24">
        <v>4.3158994298722924</v>
      </c>
      <c r="K25" s="24">
        <v>-6.068759496813729E-2</v>
      </c>
      <c r="L25" s="24">
        <v>1.2316298521042573E-2</v>
      </c>
      <c r="M25" s="24">
        <v>3.8437475790258448E-2</v>
      </c>
      <c r="N25" s="24">
        <v>6.4262847939001444E-2</v>
      </c>
      <c r="O25" s="24">
        <v>0.50575888645688249</v>
      </c>
      <c r="P25" s="24">
        <v>7.8701598618372914</v>
      </c>
      <c r="Q25" s="24">
        <v>31.326410190831758</v>
      </c>
    </row>
    <row r="26" spans="1:17" ht="15.75" customHeight="1">
      <c r="A26" s="23">
        <v>24</v>
      </c>
      <c r="B26" s="24">
        <v>3.4285714285714302</v>
      </c>
      <c r="C26" s="24">
        <v>0.56992334799894895</v>
      </c>
      <c r="D26" s="24">
        <v>6.6137089418766802E-3</v>
      </c>
      <c r="E26" s="24">
        <v>0.59887005649717395</v>
      </c>
      <c r="F26" s="24">
        <v>6.5484025538948901E-3</v>
      </c>
      <c r="G26" s="24">
        <v>6.0431935212442852E-3</v>
      </c>
      <c r="H26" s="24">
        <v>2.3036589664283388E-2</v>
      </c>
      <c r="I26" s="24">
        <v>1.6153963004604455</v>
      </c>
      <c r="J26" s="24">
        <v>5.0439677290318752</v>
      </c>
      <c r="K26" s="24">
        <v>-5.5032229669342264E-2</v>
      </c>
      <c r="L26" s="24">
        <v>1.2260094713620757E-2</v>
      </c>
      <c r="M26" s="24">
        <v>3.8861072594182998E-2</v>
      </c>
      <c r="N26" s="24">
        <v>6.8154516146949923E-2</v>
      </c>
      <c r="O26" s="24">
        <v>0.56185195431411206</v>
      </c>
      <c r="P26" s="24">
        <v>8.2437963920496014</v>
      </c>
      <c r="Q26" s="24">
        <v>38.183559360600107</v>
      </c>
    </row>
    <row r="27" spans="1:17" ht="15.75" customHeight="1">
      <c r="A27" s="23">
        <v>25</v>
      </c>
      <c r="B27" s="24">
        <v>4.8</v>
      </c>
      <c r="C27" s="24">
        <v>0.69770082046906701</v>
      </c>
      <c r="D27" s="24">
        <v>7.3768493426161303E-3</v>
      </c>
      <c r="E27" s="24">
        <v>0.68926553672316304</v>
      </c>
      <c r="F27" s="24">
        <v>6.93089452004262E-3</v>
      </c>
      <c r="G27" s="24">
        <v>6.8771821183495428E-3</v>
      </c>
      <c r="H27" s="24">
        <v>3.187128302222382E-2</v>
      </c>
      <c r="I27" s="24">
        <v>1.9775700156366063</v>
      </c>
      <c r="J27" s="24">
        <v>6.7775700156366057</v>
      </c>
      <c r="K27" s="24">
        <v>-4.1956206807120436E-2</v>
      </c>
      <c r="L27" s="24">
        <v>1.2151178399200852E-2</v>
      </c>
      <c r="M27" s="24">
        <v>3.9840489696321701E-2</v>
      </c>
      <c r="N27" s="24">
        <v>7.86385217389583E-2</v>
      </c>
      <c r="O27" s="24">
        <v>0.6915472434706893</v>
      </c>
      <c r="P27" s="24">
        <v>8.7940010592555424</v>
      </c>
      <c r="Q27" s="24">
        <v>53.480428924815321</v>
      </c>
    </row>
    <row r="28" spans="1:17" ht="15.75" customHeight="1">
      <c r="A28" s="23">
        <v>26</v>
      </c>
      <c r="B28" s="24">
        <v>5.9428571428571404</v>
      </c>
      <c r="C28" s="24">
        <v>0.80787858225034404</v>
      </c>
      <c r="D28" s="24">
        <v>8.3522723017247502E-3</v>
      </c>
      <c r="E28" s="24">
        <v>0.80225988700564899</v>
      </c>
      <c r="F28" s="24">
        <v>8.5160297556928308E-3</v>
      </c>
      <c r="G28" s="24">
        <v>7.9136948419598879E-3</v>
      </c>
      <c r="H28" s="24">
        <v>4.1101514459634295E-2</v>
      </c>
      <c r="I28" s="24">
        <v>2.289858939049541</v>
      </c>
      <c r="J28" s="24">
        <v>8.2327160819066805</v>
      </c>
      <c r="K28" s="24">
        <v>-3.0681238660467468E-2</v>
      </c>
      <c r="L28" s="24">
        <v>1.2080843123603219E-2</v>
      </c>
      <c r="M28" s="24">
        <v>4.068500463371947E-2</v>
      </c>
      <c r="N28" s="24">
        <v>8.9407462410752675E-2</v>
      </c>
      <c r="O28" s="24">
        <v>0.80337866724680884</v>
      </c>
      <c r="P28" s="24">
        <v>8.9855885133609359</v>
      </c>
      <c r="Q28" s="24">
        <v>64.865437044743373</v>
      </c>
    </row>
    <row r="29" spans="1:17" ht="15.75" customHeight="1">
      <c r="A29" s="23">
        <v>27</v>
      </c>
      <c r="B29" s="24">
        <v>6.6285714285714299</v>
      </c>
      <c r="C29" s="24">
        <v>0.87905344535460295</v>
      </c>
      <c r="D29" s="24">
        <v>9.1677609849661092E-3</v>
      </c>
      <c r="E29" s="24">
        <v>0.89265536723163796</v>
      </c>
      <c r="F29" s="24">
        <v>9.7426455045760904E-3</v>
      </c>
      <c r="G29" s="24">
        <v>8.7686475291452858E-3</v>
      </c>
      <c r="H29" s="24">
        <v>4.7887190478587367E-2</v>
      </c>
      <c r="I29" s="24">
        <v>2.491597665753909</v>
      </c>
      <c r="J29" s="24">
        <v>9.1201690943253393</v>
      </c>
      <c r="K29" s="24">
        <v>-2.3397606270693535E-2</v>
      </c>
      <c r="L29" s="24">
        <v>1.2047015403152334E-2</v>
      </c>
      <c r="M29" s="24">
        <v>4.123056150551465E-2</v>
      </c>
      <c r="N29" s="24">
        <v>9.7246572906923873E-2</v>
      </c>
      <c r="O29" s="24">
        <v>0.87562179643490123</v>
      </c>
      <c r="P29" s="24">
        <v>9.0041404057803849</v>
      </c>
      <c r="Q29" s="24">
        <v>70.990638253829474</v>
      </c>
    </row>
    <row r="30" spans="1:17" ht="15.75" customHeight="1">
      <c r="A30" s="23">
        <v>28</v>
      </c>
      <c r="B30" s="24">
        <v>8</v>
      </c>
      <c r="C30" s="24">
        <v>1.0310568415227399</v>
      </c>
      <c r="D30" s="24">
        <v>1.12494687425354E-2</v>
      </c>
      <c r="E30" s="24">
        <v>1.02824858757062</v>
      </c>
      <c r="F30" s="24">
        <v>1.12496895975368E-2</v>
      </c>
      <c r="G30" s="24">
        <v>1.0934635921256852E-2</v>
      </c>
      <c r="H30" s="24">
        <v>6.4394698620183335E-2</v>
      </c>
      <c r="I30" s="24">
        <v>2.9224375755234675</v>
      </c>
      <c r="J30" s="24">
        <v>10.922437575523468</v>
      </c>
      <c r="K30" s="24">
        <v>-7.8424395812386454E-3</v>
      </c>
      <c r="L30" s="24">
        <v>1.2005282015491316E-2</v>
      </c>
      <c r="M30" s="24">
        <v>4.2395670839048022E-2</v>
      </c>
      <c r="N30" s="24">
        <v>0.11614972424567534</v>
      </c>
      <c r="O30" s="24">
        <v>1.0299066170508249</v>
      </c>
      <c r="P30" s="24">
        <v>8.8670603717698615</v>
      </c>
      <c r="Q30" s="24">
        <v>80.976160213776765</v>
      </c>
    </row>
    <row r="31" spans="1:17" ht="15.75" customHeight="1">
      <c r="A31" s="23">
        <v>29</v>
      </c>
      <c r="B31" s="24">
        <v>9.1428571428571406</v>
      </c>
      <c r="C31" s="24">
        <v>1.1552885192437801</v>
      </c>
      <c r="D31" s="24">
        <v>1.30307773131185E-2</v>
      </c>
      <c r="E31" s="24">
        <v>1.15254237288135</v>
      </c>
      <c r="F31" s="24">
        <v>1.2684197421838499E-2</v>
      </c>
      <c r="G31" s="24">
        <v>1.2784826667452657E-2</v>
      </c>
      <c r="H31" s="24">
        <v>7.9661244823534039E-2</v>
      </c>
      <c r="I31" s="24">
        <v>3.2745610554531455</v>
      </c>
      <c r="J31" s="24">
        <v>12.417418198310287</v>
      </c>
      <c r="K31" s="24">
        <v>4.8707267280447648E-3</v>
      </c>
      <c r="L31" s="24">
        <v>1.2002037440036003E-2</v>
      </c>
      <c r="M31" s="24">
        <v>4.3347909347411256E-2</v>
      </c>
      <c r="N31" s="24">
        <v>0.1335033147051678</v>
      </c>
      <c r="O31" s="24">
        <v>1.1560028924972265</v>
      </c>
      <c r="P31" s="24">
        <v>8.6589827005432305</v>
      </c>
      <c r="Q31" s="24">
        <v>86.674763381606084</v>
      </c>
    </row>
    <row r="32" spans="1:17" ht="15.75" customHeight="1">
      <c r="A32" s="23">
        <v>30</v>
      </c>
      <c r="B32" s="24">
        <v>10.1714285714285</v>
      </c>
      <c r="C32" s="24">
        <v>1.2537972148877501</v>
      </c>
      <c r="D32" s="24">
        <v>1.44666038067591E-2</v>
      </c>
      <c r="E32" s="24">
        <v>1.23163841807909</v>
      </c>
      <c r="F32" s="24">
        <v>1.3834331296966099E-2</v>
      </c>
      <c r="G32" s="24">
        <v>1.4275272831351295E-2</v>
      </c>
      <c r="H32" s="24">
        <v>9.2873921705020859E-2</v>
      </c>
      <c r="I32" s="24">
        <v>3.5537750639073957</v>
      </c>
      <c r="J32" s="24">
        <v>13.725203635335895</v>
      </c>
      <c r="K32" s="24">
        <v>1.4951548734204245E-2</v>
      </c>
      <c r="L32" s="24">
        <v>1.201919860480747E-2</v>
      </c>
      <c r="M32" s="24">
        <v>4.4102980639384441E-2</v>
      </c>
      <c r="N32" s="24">
        <v>0.14845149840956146</v>
      </c>
      <c r="O32" s="24">
        <v>1.2559901087021001</v>
      </c>
      <c r="P32" s="24">
        <v>8.4606091697165677</v>
      </c>
      <c r="Q32" s="24">
        <v>89.906167810529709</v>
      </c>
    </row>
    <row r="33" spans="1:17" ht="15.75" customHeight="1">
      <c r="A33" s="23">
        <v>31</v>
      </c>
      <c r="B33" s="24">
        <v>10.742857142857099</v>
      </c>
      <c r="C33" s="24">
        <v>1.3024198025453699</v>
      </c>
      <c r="D33" s="24">
        <v>1.53556970558648E-2</v>
      </c>
      <c r="E33" s="24">
        <v>1.3276836158192</v>
      </c>
      <c r="F33" s="24">
        <v>1.6045174434188E-2</v>
      </c>
      <c r="G33" s="24">
        <v>1.519132562638937E-2</v>
      </c>
      <c r="H33" s="24">
        <v>9.9929279790266473E-2</v>
      </c>
      <c r="I33" s="24">
        <v>3.6915914009581772</v>
      </c>
      <c r="J33" s="24">
        <v>14.434448543815277</v>
      </c>
      <c r="K33" s="24">
        <v>1.9927308980049671E-2</v>
      </c>
      <c r="L33" s="24">
        <v>1.2034103159559719E-2</v>
      </c>
      <c r="M33" s="24">
        <v>4.4475673829987725E-2</v>
      </c>
      <c r="N33" s="24">
        <v>0.15640185229617887</v>
      </c>
      <c r="O33" s="24">
        <v>1.3053424745291105</v>
      </c>
      <c r="P33" s="24">
        <v>8.3460806593081625</v>
      </c>
      <c r="Q33" s="24">
        <v>90.92632216467446</v>
      </c>
    </row>
    <row r="34" spans="1:17" ht="15.75" customHeight="1">
      <c r="A34" s="23">
        <v>32</v>
      </c>
      <c r="B34" s="24">
        <v>11.885714285714201</v>
      </c>
      <c r="C34" s="24">
        <v>1.39376537071166</v>
      </c>
      <c r="D34" s="24">
        <v>1.81428338484943E-2</v>
      </c>
      <c r="E34" s="24">
        <v>1.4011299435028199</v>
      </c>
      <c r="F34" s="24">
        <v>1.8667731729565099E-2</v>
      </c>
      <c r="G34" s="24">
        <v>1.802911038243124E-2</v>
      </c>
      <c r="H34" s="24">
        <v>0.11493230333481108</v>
      </c>
      <c r="I34" s="24">
        <v>3.9505021709720323</v>
      </c>
      <c r="J34" s="24">
        <v>15.836216456686234</v>
      </c>
      <c r="K34" s="24">
        <v>2.9275097088664676E-2</v>
      </c>
      <c r="L34" s="24">
        <v>1.2073602742294713E-2</v>
      </c>
      <c r="M34" s="24">
        <v>4.5175839594242949E-2</v>
      </c>
      <c r="N34" s="24">
        <v>0.17321046365777862</v>
      </c>
      <c r="O34" s="24">
        <v>1.3980590516179974</v>
      </c>
      <c r="P34" s="24">
        <v>8.0714468519651277</v>
      </c>
      <c r="Q34" s="24">
        <v>91.08110659899387</v>
      </c>
    </row>
    <row r="35" spans="1:17" ht="15.75" customHeight="1">
      <c r="A35" s="23">
        <v>33</v>
      </c>
      <c r="B35" s="24">
        <v>12.6857142857142</v>
      </c>
      <c r="C35" s="24">
        <v>1.45943035790981</v>
      </c>
      <c r="D35" s="24">
        <v>2.13373477215121E-2</v>
      </c>
      <c r="E35" s="24">
        <v>1.45197740112994</v>
      </c>
      <c r="F35" s="24">
        <v>2.1444009962158998E-2</v>
      </c>
      <c r="G35" s="24">
        <v>2.1260033223457549E-2</v>
      </c>
      <c r="H35" s="24">
        <v>0.12741763901749986</v>
      </c>
      <c r="I35" s="24">
        <v>4.1366236516274801</v>
      </c>
      <c r="J35" s="24">
        <v>16.822337937341679</v>
      </c>
      <c r="K35" s="24">
        <v>3.5994879983504091E-2</v>
      </c>
      <c r="L35" s="24">
        <v>1.2111270174004568E-2</v>
      </c>
      <c r="M35" s="24">
        <v>4.5679163147529137E-2</v>
      </c>
      <c r="N35" s="24">
        <v>0.18711424031588814</v>
      </c>
      <c r="O35" s="24">
        <v>1.4647096069740573</v>
      </c>
      <c r="P35" s="24">
        <v>7.8278895529347192</v>
      </c>
      <c r="Q35" s="24">
        <v>89.75133327865575</v>
      </c>
    </row>
    <row r="36" spans="1:17" ht="15.75" customHeight="1">
      <c r="A36" s="23">
        <v>34</v>
      </c>
      <c r="B36" s="24">
        <v>13.714285714285699</v>
      </c>
      <c r="C36" s="24">
        <v>1.5427799395161601</v>
      </c>
      <c r="D36" s="24">
        <v>2.6324768459972399E-2</v>
      </c>
      <c r="E36" s="24">
        <v>1.5254237288135499</v>
      </c>
      <c r="F36" s="24">
        <v>2.50486907015335E-2</v>
      </c>
      <c r="G36" s="24">
        <v>2.6293668426881817E-2</v>
      </c>
      <c r="H36" s="24">
        <v>0.14481154470900584</v>
      </c>
      <c r="I36" s="24">
        <v>4.372870519288834</v>
      </c>
      <c r="J36" s="24">
        <v>18.087156233574532</v>
      </c>
      <c r="K36" s="24">
        <v>4.4524404113010833E-2</v>
      </c>
      <c r="L36" s="24">
        <v>1.2170252516210326E-2</v>
      </c>
      <c r="M36" s="24">
        <v>4.6318039501109035E-2</v>
      </c>
      <c r="N36" s="24">
        <v>0.20641857339970021</v>
      </c>
      <c r="O36" s="24">
        <v>1.5493101854527351</v>
      </c>
      <c r="P36" s="24">
        <v>7.5056723817808599</v>
      </c>
      <c r="Q36" s="24">
        <v>87.280571965222236</v>
      </c>
    </row>
    <row r="37" spans="1:17" ht="12.5">
      <c r="A37" s="23">
        <v>35</v>
      </c>
      <c r="B37" s="24">
        <v>14.4</v>
      </c>
      <c r="C37" s="24">
        <v>1.5833153727817999</v>
      </c>
      <c r="D37" s="24">
        <v>2.8905248701949798E-2</v>
      </c>
      <c r="E37" s="24">
        <v>1.5988700564971701</v>
      </c>
      <c r="F37" s="24">
        <v>2.9548874887718599E-2</v>
      </c>
      <c r="G37" s="24">
        <v>2.8896624166928321E-2</v>
      </c>
      <c r="H37" s="24">
        <v>0.15367372417543224</v>
      </c>
      <c r="I37" s="24">
        <v>4.4877645469941116</v>
      </c>
      <c r="J37" s="24">
        <v>18.887764546994113</v>
      </c>
      <c r="K37" s="24">
        <v>4.8672570780147958E-2</v>
      </c>
      <c r="L37" s="24">
        <v>1.2203453833922745E-2</v>
      </c>
      <c r="M37" s="24">
        <v>4.6628744477624003E-2</v>
      </c>
      <c r="N37" s="24">
        <v>0.2162387701471071</v>
      </c>
      <c r="O37" s="24">
        <v>1.5904540164962215</v>
      </c>
      <c r="P37" s="24">
        <v>7.3550826034306276</v>
      </c>
      <c r="Q37" s="24">
        <v>86.039172803634642</v>
      </c>
    </row>
    <row r="38" spans="1:17" ht="12.5">
      <c r="A38" s="23">
        <v>36</v>
      </c>
      <c r="B38" s="24">
        <v>15.314285714285701</v>
      </c>
      <c r="C38" s="24">
        <v>1.58772220938011</v>
      </c>
      <c r="D38" s="24">
        <v>2.9202157315807501E-2</v>
      </c>
      <c r="E38" s="24">
        <v>1.58757062146892</v>
      </c>
      <c r="F38" s="24">
        <v>2.96238573025151E-2</v>
      </c>
      <c r="G38" s="24">
        <v>2.9195976219513003E-2</v>
      </c>
      <c r="H38" s="24">
        <v>0.15466333475001987</v>
      </c>
      <c r="I38" s="24">
        <v>4.5002553276624919</v>
      </c>
      <c r="J38" s="24">
        <v>19.814541041948193</v>
      </c>
      <c r="K38" s="24">
        <v>4.9123541479408374E-2</v>
      </c>
      <c r="L38" s="24">
        <v>1.2207241461094543E-2</v>
      </c>
      <c r="M38" s="24">
        <v>4.6662522975877863E-2</v>
      </c>
      <c r="N38" s="24">
        <v>0.21733439086000503</v>
      </c>
      <c r="O38" s="24">
        <v>1.5949269954637566</v>
      </c>
      <c r="P38" s="24">
        <v>7.3385854358002716</v>
      </c>
      <c r="Q38" s="24">
        <v>85.894532089329942</v>
      </c>
    </row>
    <row r="39" spans="1:17" ht="12.5">
      <c r="A39" s="23">
        <v>37</v>
      </c>
      <c r="B39" s="24">
        <v>16.571428571428498</v>
      </c>
      <c r="C39" s="24">
        <v>1.4644715088873199</v>
      </c>
      <c r="D39" s="24">
        <v>2.2368213832734601E-2</v>
      </c>
      <c r="E39" s="24">
        <v>1.4745762711864401</v>
      </c>
      <c r="F39" s="24">
        <v>2.3049109607040801E-2</v>
      </c>
      <c r="G39" s="24">
        <v>2.2293694478827605E-2</v>
      </c>
      <c r="H39" s="24">
        <v>0.1291793749685293</v>
      </c>
      <c r="I39" s="24">
        <v>4.1509123391636615</v>
      </c>
      <c r="J39" s="24">
        <v>20.722340910592159</v>
      </c>
      <c r="K39" s="24">
        <v>3.6510762823879161E-2</v>
      </c>
      <c r="L39" s="24">
        <v>1.2114482504325666E-2</v>
      </c>
      <c r="M39" s="24">
        <v>4.571780367927851E-2</v>
      </c>
      <c r="N39" s="24">
        <v>0.18904114727416652</v>
      </c>
      <c r="O39" s="24">
        <v>1.4698264207681555</v>
      </c>
      <c r="P39" s="24">
        <v>7.7751666341532788</v>
      </c>
      <c r="Q39" s="24">
        <v>88.855734374781534</v>
      </c>
    </row>
    <row r="40" spans="1:17" ht="12.5">
      <c r="A40" s="23">
        <v>38</v>
      </c>
      <c r="B40" s="24">
        <v>17.0285714285714</v>
      </c>
      <c r="C40" s="24">
        <v>1.3940495719900701</v>
      </c>
      <c r="D40" s="24">
        <v>1.8947532106408701E-2</v>
      </c>
      <c r="E40" s="24">
        <v>1.3785310734463201</v>
      </c>
      <c r="F40" s="24">
        <v>1.7739164707247901E-2</v>
      </c>
      <c r="G40" s="24">
        <v>1.8833966220141132E-2</v>
      </c>
      <c r="H40" s="24">
        <v>0.11577629489982361</v>
      </c>
      <c r="I40" s="24">
        <v>3.951307713849582</v>
      </c>
      <c r="J40" s="24">
        <v>20.979879142420984</v>
      </c>
      <c r="K40" s="24">
        <v>2.9304180637917315E-2</v>
      </c>
      <c r="L40" s="24">
        <v>1.2073749057252137E-2</v>
      </c>
      <c r="M40" s="24">
        <v>4.5178018003215553E-2</v>
      </c>
      <c r="N40" s="24">
        <v>0.17411588849163667</v>
      </c>
      <c r="O40" s="24">
        <v>1.3983475184836314</v>
      </c>
      <c r="P40" s="24">
        <v>8.0311310506898312</v>
      </c>
      <c r="Q40" s="24">
        <v>90.192108820385116</v>
      </c>
    </row>
    <row r="41" spans="1:17" ht="12.5">
      <c r="A41" s="23">
        <v>39</v>
      </c>
      <c r="B41" s="24">
        <v>18.0571428571428</v>
      </c>
      <c r="C41" s="24">
        <v>1.25892026880065</v>
      </c>
      <c r="D41" s="24">
        <v>1.3906363687326799E-2</v>
      </c>
      <c r="E41" s="24">
        <v>1.25988700564971</v>
      </c>
      <c r="F41" s="24">
        <v>1.43723750751875E-2</v>
      </c>
      <c r="G41" s="24">
        <v>1.371787326841614E-2</v>
      </c>
      <c r="H41" s="24">
        <v>9.2952374122571915E-2</v>
      </c>
      <c r="I41" s="24">
        <v>3.5682958979230839</v>
      </c>
      <c r="J41" s="24">
        <v>21.625438755065883</v>
      </c>
      <c r="K41" s="24">
        <v>1.5475813057128156E-2</v>
      </c>
      <c r="L41" s="24">
        <v>1.2020568577498923E-2</v>
      </c>
      <c r="M41" s="24">
        <v>4.4142248958912729E-2</v>
      </c>
      <c r="N41" s="24">
        <v>0.14857767459261742</v>
      </c>
      <c r="O41" s="24">
        <v>1.2611900547156956</v>
      </c>
      <c r="P41" s="24">
        <v>8.4884223566813173</v>
      </c>
      <c r="Q41" s="24">
        <v>90.87292315904574</v>
      </c>
    </row>
    <row r="42" spans="1:17" ht="12.5">
      <c r="A42" s="23">
        <v>40</v>
      </c>
      <c r="B42" s="24">
        <v>18.742857142857101</v>
      </c>
      <c r="C42" s="24">
        <v>1.2160845677308501</v>
      </c>
      <c r="D42" s="24">
        <v>1.35197032415987E-2</v>
      </c>
      <c r="E42" s="24">
        <v>1.2259887005649699</v>
      </c>
      <c r="F42" s="24">
        <v>1.37361281302602E-2</v>
      </c>
      <c r="G42" s="24">
        <v>1.3307461905549108E-2</v>
      </c>
      <c r="H42" s="24">
        <v>8.7305170192193832E-2</v>
      </c>
      <c r="I42" s="24">
        <v>3.4468819687013039</v>
      </c>
      <c r="J42" s="24">
        <v>22.189739111558406</v>
      </c>
      <c r="K42" s="24">
        <v>1.109225001052779E-2</v>
      </c>
      <c r="L42" s="24">
        <v>1.2010566632587812E-2</v>
      </c>
      <c r="M42" s="24">
        <v>4.3813912379711141E-2</v>
      </c>
      <c r="N42" s="24">
        <v>0.14218227660881241</v>
      </c>
      <c r="O42" s="24">
        <v>1.2177114310657275</v>
      </c>
      <c r="P42" s="24">
        <v>8.564438973051681</v>
      </c>
      <c r="Q42" s="24">
        <v>89.318664556160471</v>
      </c>
    </row>
    <row r="43" spans="1:17" ht="12.5">
      <c r="A43" s="23">
        <v>41</v>
      </c>
      <c r="B43" s="24">
        <v>19.428571428571399</v>
      </c>
      <c r="C43" s="24">
        <v>1.17869235289105</v>
      </c>
      <c r="D43" s="24">
        <v>1.32484608679974E-2</v>
      </c>
      <c r="E43" s="24">
        <v>1.1694915254237199</v>
      </c>
      <c r="F43" s="24">
        <v>1.2896647973598701E-2</v>
      </c>
      <c r="G43" s="24">
        <v>1.3015486839961414E-2</v>
      </c>
      <c r="H43" s="24">
        <v>8.259006521891743E-2</v>
      </c>
      <c r="I43" s="24">
        <v>3.3408971099824667</v>
      </c>
      <c r="J43" s="24">
        <v>22.769468538553866</v>
      </c>
      <c r="K43" s="24">
        <v>7.2657425154082737E-3</v>
      </c>
      <c r="L43" s="24">
        <v>1.2004533747341216E-2</v>
      </c>
      <c r="M43" s="24">
        <v>4.3527300240709027E-2</v>
      </c>
      <c r="N43" s="24">
        <v>0.13682949253788307</v>
      </c>
      <c r="O43" s="24">
        <v>1.1797579951266433</v>
      </c>
      <c r="P43" s="24">
        <v>8.6221031244416224</v>
      </c>
      <c r="Q43" s="24">
        <v>87.703990697874687</v>
      </c>
    </row>
    <row r="44" spans="1:17" ht="12.5">
      <c r="A44" s="23">
        <v>42</v>
      </c>
      <c r="B44" s="24">
        <v>20.342857142857099</v>
      </c>
      <c r="C44" s="24">
        <v>1.14309454307043</v>
      </c>
      <c r="D44" s="24">
        <v>1.22830383281042E-2</v>
      </c>
      <c r="E44" s="24">
        <v>1.15254237288135</v>
      </c>
      <c r="F44" s="24">
        <v>1.2684197421838499E-2</v>
      </c>
      <c r="G44" s="24">
        <v>1.2030326543704676E-2</v>
      </c>
      <c r="H44" s="24">
        <v>7.7522377837309378E-2</v>
      </c>
      <c r="I44" s="24">
        <v>3.2399983303647732</v>
      </c>
      <c r="J44" s="24">
        <v>23.582855473221873</v>
      </c>
      <c r="K44" s="24">
        <v>3.6228642673015194E-3</v>
      </c>
      <c r="L44" s="24">
        <v>1.2001127201178066E-2</v>
      </c>
      <c r="M44" s="24">
        <v>4.3254442255158017E-2</v>
      </c>
      <c r="N44" s="24">
        <v>0.13111457439437832</v>
      </c>
      <c r="O44" s="24">
        <v>1.1436258964963009</v>
      </c>
      <c r="P44" s="24">
        <v>8.722339997507822</v>
      </c>
      <c r="Q44" s="24">
        <v>87.006160495848505</v>
      </c>
    </row>
    <row r="45" spans="1:17" ht="12.5">
      <c r="A45" s="23">
        <v>43</v>
      </c>
      <c r="B45" s="24">
        <v>20.457142857142799</v>
      </c>
      <c r="C45" s="24">
        <v>1.1761968757425001</v>
      </c>
      <c r="D45" s="24">
        <v>1.3199458066826699E-2</v>
      </c>
      <c r="E45" s="24">
        <v>1.1694915254237199</v>
      </c>
      <c r="F45" s="24">
        <v>1.2896647973598701E-2</v>
      </c>
      <c r="G45" s="24">
        <v>1.2965100382879942E-2</v>
      </c>
      <c r="H45" s="24">
        <v>8.2249405173945772E-2</v>
      </c>
      <c r="I45" s="24">
        <v>3.3338239051948317</v>
      </c>
      <c r="J45" s="24">
        <v>23.790966762337632</v>
      </c>
      <c r="K45" s="24">
        <v>7.0103695172123483E-3</v>
      </c>
      <c r="L45" s="24">
        <v>1.2004220647944886E-2</v>
      </c>
      <c r="M45" s="24">
        <v>4.3508172354157208E-2</v>
      </c>
      <c r="N45" s="24">
        <v>0.13644447031542101</v>
      </c>
      <c r="O45" s="24">
        <v>1.1772250632716912</v>
      </c>
      <c r="P45" s="24">
        <v>8.6278693489760343</v>
      </c>
      <c r="Q45" s="24">
        <v>87.632786164122194</v>
      </c>
    </row>
  </sheetData>
  <mergeCells count="4">
    <mergeCell ref="B1:F1"/>
    <mergeCell ref="G1:J1"/>
    <mergeCell ref="K1:Q1"/>
    <mergeCell ref="R1:V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4">
    <outlinePr summaryBelow="0" summaryRight="0"/>
  </sheetPr>
  <dimension ref="A1:J66"/>
  <sheetViews>
    <sheetView workbookViewId="0">
      <selection activeCell="H27" sqref="H27"/>
    </sheetView>
  </sheetViews>
  <sheetFormatPr defaultColWidth="12.54296875" defaultRowHeight="15.75" customHeight="1"/>
  <cols>
    <col min="1" max="1" width="34" customWidth="1"/>
    <col min="2" max="2" width="25.54296875" customWidth="1"/>
    <col min="4" max="4" width="13.26953125" customWidth="1"/>
    <col min="5" max="5" width="6.54296875" customWidth="1"/>
    <col min="6" max="6" width="23.7265625" customWidth="1"/>
    <col min="7" max="7" width="20.81640625" customWidth="1"/>
    <col min="8" max="8" width="15" customWidth="1"/>
    <col min="10" max="10" width="7.7265625" customWidth="1"/>
  </cols>
  <sheetData>
    <row r="1" spans="1:10" ht="15.75" customHeight="1">
      <c r="A1" s="6" t="s">
        <v>65</v>
      </c>
      <c r="G1" s="6" t="s">
        <v>66</v>
      </c>
      <c r="H1" s="6" t="s">
        <v>67</v>
      </c>
      <c r="I1" s="6">
        <v>5.09497</v>
      </c>
      <c r="J1" s="6" t="s">
        <v>68</v>
      </c>
    </row>
    <row r="2" spans="1:10" ht="13">
      <c r="A2" s="17" t="s">
        <v>69</v>
      </c>
      <c r="B2" s="6" t="s">
        <v>70</v>
      </c>
      <c r="C2" s="6" t="s">
        <v>71</v>
      </c>
      <c r="G2" s="18" t="s">
        <v>72</v>
      </c>
      <c r="H2" s="6" t="s">
        <v>73</v>
      </c>
      <c r="I2" s="6">
        <v>2.1</v>
      </c>
      <c r="J2" s="6" t="s">
        <v>74</v>
      </c>
    </row>
    <row r="3" spans="1:10" ht="15.75" customHeight="1">
      <c r="A3" s="6" t="s">
        <v>75</v>
      </c>
      <c r="B3" s="19">
        <v>358.21</v>
      </c>
      <c r="C3" s="6">
        <f t="shared" ref="C3:C5" si="0">1/10000 * 2 * B3</f>
        <v>7.1641999999999997E-2</v>
      </c>
      <c r="G3" s="6" t="s">
        <v>76</v>
      </c>
      <c r="H3" s="6" t="s">
        <v>77</v>
      </c>
      <c r="I3" s="6">
        <v>15</v>
      </c>
      <c r="J3" s="6" t="s">
        <v>74</v>
      </c>
    </row>
    <row r="4" spans="1:10" ht="15.75" customHeight="1">
      <c r="A4" s="6" t="s">
        <v>78</v>
      </c>
      <c r="B4" s="19">
        <v>794.9</v>
      </c>
      <c r="C4" s="6">
        <f t="shared" si="0"/>
        <v>0.15898000000000001</v>
      </c>
      <c r="G4" s="6" t="s">
        <v>79</v>
      </c>
      <c r="H4" s="6" t="s">
        <v>80</v>
      </c>
      <c r="I4" s="6">
        <v>1.5</v>
      </c>
      <c r="J4" s="6" t="s">
        <v>68</v>
      </c>
    </row>
    <row r="5" spans="1:10" ht="15.75" customHeight="1">
      <c r="A5" s="6" t="s">
        <v>81</v>
      </c>
      <c r="B5" s="19">
        <v>6065.1</v>
      </c>
      <c r="C5" s="6">
        <f t="shared" si="0"/>
        <v>1.2130200000000002</v>
      </c>
      <c r="H5" s="6" t="s">
        <v>82</v>
      </c>
      <c r="I5" s="6">
        <v>0.35</v>
      </c>
      <c r="J5" s="6" t="s">
        <v>68</v>
      </c>
    </row>
    <row r="6" spans="1:10" ht="15.75" customHeight="1">
      <c r="H6" s="6" t="s">
        <v>83</v>
      </c>
      <c r="I6" s="6">
        <v>0.28000000000000003</v>
      </c>
      <c r="J6" s="6" t="s">
        <v>68</v>
      </c>
    </row>
    <row r="7" spans="1:10" ht="15.75" customHeight="1">
      <c r="G7" s="6" t="s">
        <v>84</v>
      </c>
      <c r="H7" s="6" t="s">
        <v>85</v>
      </c>
      <c r="I7" s="6">
        <v>-4.8000000000000001E-2</v>
      </c>
    </row>
    <row r="8" spans="1:10" ht="13">
      <c r="A8" s="114" t="s">
        <v>86</v>
      </c>
      <c r="B8" s="17" t="s">
        <v>87</v>
      </c>
      <c r="C8" s="20">
        <f>C9*C10*C11/C5</f>
        <v>7.0740752505706633E-2</v>
      </c>
      <c r="H8" s="6" t="s">
        <v>88</v>
      </c>
      <c r="I8" s="6">
        <v>0.85</v>
      </c>
    </row>
    <row r="9" spans="1:10" ht="15.75" customHeight="1">
      <c r="A9" s="113"/>
      <c r="B9" s="6" t="s">
        <v>89</v>
      </c>
      <c r="C9" s="6">
        <v>3.0000000000000001E-3</v>
      </c>
      <c r="G9" s="6" t="s">
        <v>90</v>
      </c>
      <c r="H9" s="6" t="s">
        <v>91</v>
      </c>
      <c r="I9" s="6">
        <v>3.01</v>
      </c>
      <c r="J9" s="6" t="s">
        <v>68</v>
      </c>
    </row>
    <row r="10" spans="1:10" ht="15.75" customHeight="1">
      <c r="A10" s="113"/>
      <c r="B10" s="21" t="s">
        <v>92</v>
      </c>
      <c r="C10" s="6">
        <v>1.25</v>
      </c>
      <c r="H10" s="6" t="s">
        <v>93</v>
      </c>
      <c r="I10" s="6">
        <v>5.5999999999999999E-3</v>
      </c>
      <c r="J10" s="6" t="s">
        <v>94</v>
      </c>
    </row>
    <row r="11" spans="1:10" ht="15.75" customHeight="1">
      <c r="A11" s="113"/>
      <c r="B11" s="21" t="s">
        <v>95</v>
      </c>
      <c r="C11" s="6">
        <f>2.85*B19*SQRT(C5)</f>
        <v>22.882652694525941</v>
      </c>
    </row>
    <row r="13" spans="1:10" ht="15.75" customHeight="1">
      <c r="B13" s="21" t="s">
        <v>96</v>
      </c>
      <c r="C13" s="6">
        <f>B20 / SQRT((4* C5)/(PI()))</f>
        <v>1.2954982658513667</v>
      </c>
    </row>
    <row r="14" spans="1:10" ht="15.75" customHeight="1">
      <c r="B14" s="6" t="s">
        <v>97</v>
      </c>
      <c r="C14" s="6">
        <f>B19 / SQRT((4* C5)/(PI()))</f>
        <v>5.86595177519035</v>
      </c>
    </row>
    <row r="15" spans="1:10" ht="15.75" customHeight="1">
      <c r="B15" s="6" t="s">
        <v>98</v>
      </c>
      <c r="C15" s="22">
        <f>B21 * B19 / B22</f>
        <v>23264947.245017584</v>
      </c>
    </row>
    <row r="17" spans="1:10" ht="15.75" customHeight="1">
      <c r="A17" s="6" t="s">
        <v>99</v>
      </c>
      <c r="B17" s="6">
        <v>15</v>
      </c>
    </row>
    <row r="18" spans="1:10" ht="13">
      <c r="A18" s="6" t="s">
        <v>100</v>
      </c>
      <c r="B18" s="6">
        <v>1.5</v>
      </c>
      <c r="E18" s="115" t="s">
        <v>101</v>
      </c>
      <c r="F18" s="108"/>
      <c r="G18" s="108"/>
      <c r="H18" s="108"/>
      <c r="I18" s="108"/>
      <c r="J18" s="109"/>
    </row>
    <row r="19" spans="1:10" ht="15.75" customHeight="1">
      <c r="A19" s="6" t="s">
        <v>102</v>
      </c>
      <c r="B19" s="6">
        <v>7.29</v>
      </c>
      <c r="E19" s="23" t="s">
        <v>103</v>
      </c>
      <c r="F19" s="23" t="s">
        <v>104</v>
      </c>
      <c r="G19" s="23" t="s">
        <v>105</v>
      </c>
      <c r="H19" s="23" t="s">
        <v>106</v>
      </c>
      <c r="I19" s="23" t="s">
        <v>107</v>
      </c>
      <c r="J19" s="23" t="s">
        <v>108</v>
      </c>
    </row>
    <row r="20" spans="1:10" ht="15.75" customHeight="1">
      <c r="A20" s="6" t="s">
        <v>109</v>
      </c>
      <c r="B20" s="6">
        <v>1.61</v>
      </c>
      <c r="E20" s="23">
        <v>1</v>
      </c>
      <c r="F20" s="23" t="s">
        <v>110</v>
      </c>
      <c r="G20" s="23">
        <f>0.25</f>
        <v>0.25</v>
      </c>
      <c r="H20" s="23">
        <f>C5</f>
        <v>1.2130200000000002</v>
      </c>
      <c r="I20" s="24">
        <f t="shared" ref="I20:I24" si="1">G20*H20</f>
        <v>0.30325500000000005</v>
      </c>
      <c r="J20" s="23" t="s">
        <v>111</v>
      </c>
    </row>
    <row r="21" spans="1:10" ht="15.75" customHeight="1">
      <c r="A21" s="6" t="s">
        <v>112</v>
      </c>
      <c r="B21" s="6">
        <f>196/3.6</f>
        <v>54.444444444444443</v>
      </c>
      <c r="E21" s="23">
        <v>2</v>
      </c>
      <c r="F21" s="23" t="s">
        <v>113</v>
      </c>
      <c r="G21" s="23">
        <f>B39</f>
        <v>1.291326318346722E-2</v>
      </c>
      <c r="H21" s="23">
        <f>B25</f>
        <v>2.2000000000000002</v>
      </c>
      <c r="I21" s="24">
        <f t="shared" si="1"/>
        <v>2.8409179003627886E-2</v>
      </c>
      <c r="J21" s="23" t="s">
        <v>114</v>
      </c>
    </row>
    <row r="22" spans="1:10" ht="15.75" customHeight="1">
      <c r="A22" s="6" t="s">
        <v>115</v>
      </c>
      <c r="B22" s="6">
        <f>17.06*10^(-6)</f>
        <v>1.7059999999999999E-5</v>
      </c>
      <c r="E22" s="23">
        <v>3</v>
      </c>
      <c r="F22" s="23" t="s">
        <v>116</v>
      </c>
      <c r="G22" s="23">
        <f>B46</f>
        <v>1.0999999999999999E-2</v>
      </c>
      <c r="H22" s="23">
        <f>0.02</f>
        <v>0.02</v>
      </c>
      <c r="I22" s="24">
        <f t="shared" si="1"/>
        <v>2.1999999999999998E-4</v>
      </c>
      <c r="J22" s="23" t="s">
        <v>114</v>
      </c>
    </row>
    <row r="23" spans="1:10" ht="15.75" customHeight="1">
      <c r="E23" s="23">
        <v>4</v>
      </c>
      <c r="F23" s="23" t="s">
        <v>117</v>
      </c>
      <c r="G23" s="23">
        <f>B53</f>
        <v>0.31607942678280321</v>
      </c>
      <c r="H23" s="23">
        <f>B49</f>
        <v>0.15898000000000001</v>
      </c>
      <c r="I23" s="24">
        <f t="shared" si="1"/>
        <v>5.0250307269930058E-2</v>
      </c>
      <c r="J23" s="23" t="s">
        <v>118</v>
      </c>
    </row>
    <row r="24" spans="1:10" ht="15.75" customHeight="1">
      <c r="A24" s="6" t="s">
        <v>119</v>
      </c>
      <c r="B24" s="6">
        <v>3.01</v>
      </c>
      <c r="E24" s="23">
        <v>5</v>
      </c>
      <c r="F24" s="23" t="s">
        <v>120</v>
      </c>
      <c r="G24" s="23">
        <v>1.8</v>
      </c>
      <c r="H24" s="23">
        <f>B56</f>
        <v>7.1641999999999997E-2</v>
      </c>
      <c r="I24" s="24">
        <f t="shared" si="1"/>
        <v>0.1289556</v>
      </c>
      <c r="J24" s="25" t="s">
        <v>121</v>
      </c>
    </row>
    <row r="25" spans="1:10" ht="15.75" customHeight="1">
      <c r="A25" s="6" t="s">
        <v>122</v>
      </c>
      <c r="B25" s="26">
        <v>2.2000000000000002</v>
      </c>
      <c r="E25" s="23">
        <v>6</v>
      </c>
      <c r="F25" s="23" t="s">
        <v>123</v>
      </c>
      <c r="G25" s="23">
        <f>B66</f>
        <v>0.20720000000000002</v>
      </c>
      <c r="H25" s="27">
        <f>B64</f>
        <v>3.0400000000000007E-2</v>
      </c>
      <c r="I25" s="28">
        <f>H25*G25</f>
        <v>6.2988800000000024E-3</v>
      </c>
      <c r="J25" s="23" t="s">
        <v>121</v>
      </c>
    </row>
    <row r="26" spans="1:10" ht="15.75" customHeight="1">
      <c r="A26" s="6" t="s">
        <v>124</v>
      </c>
      <c r="B26" s="26">
        <v>5.09497</v>
      </c>
      <c r="H26" s="29" t="s">
        <v>125</v>
      </c>
      <c r="I26" s="30">
        <f>SUM(I20:I25)</f>
        <v>0.51738896627355802</v>
      </c>
    </row>
    <row r="27" spans="1:10" ht="25.5">
      <c r="A27" s="31" t="s">
        <v>126</v>
      </c>
      <c r="B27" s="32">
        <v>-4.8000000000000001E-2</v>
      </c>
      <c r="C27" s="16"/>
      <c r="H27" s="33" t="s">
        <v>127</v>
      </c>
      <c r="I27" s="34">
        <f>I26 / B17</f>
        <v>3.4492597751570535E-2</v>
      </c>
    </row>
    <row r="29" spans="1:10" ht="42">
      <c r="A29" s="6" t="s">
        <v>128</v>
      </c>
      <c r="B29" s="6">
        <v>0.9</v>
      </c>
      <c r="C29" s="6" t="s">
        <v>68</v>
      </c>
      <c r="F29" s="35" t="s">
        <v>129</v>
      </c>
      <c r="G29" s="6">
        <f>4.5</f>
        <v>4.5</v>
      </c>
    </row>
    <row r="30" spans="1:10" ht="15.75" customHeight="1">
      <c r="A30" s="6" t="s">
        <v>130</v>
      </c>
      <c r="B30" s="6">
        <v>0.85</v>
      </c>
      <c r="F30" s="36" t="s">
        <v>131</v>
      </c>
      <c r="G30" s="36">
        <f>I27 *(1+ABS(B33)/G29)</f>
        <v>3.5259099923827655E-2</v>
      </c>
    </row>
    <row r="31" spans="1:10" ht="15.75" customHeight="1">
      <c r="A31" s="6" t="s">
        <v>132</v>
      </c>
      <c r="B31" s="6">
        <v>0.28000000000000003</v>
      </c>
    </row>
    <row r="32" spans="1:10" ht="13">
      <c r="A32" s="21" t="s">
        <v>133</v>
      </c>
      <c r="B32" s="6">
        <f>0.355/B18</f>
        <v>0.23666666666666666</v>
      </c>
      <c r="E32" s="116" t="s">
        <v>134</v>
      </c>
      <c r="F32" s="113"/>
    </row>
    <row r="33" spans="1:6" ht="15.75" customHeight="1">
      <c r="A33" s="21" t="s">
        <v>135</v>
      </c>
      <c r="B33" s="6">
        <v>0.1</v>
      </c>
      <c r="E33" s="6" t="s">
        <v>136</v>
      </c>
      <c r="F33" s="6">
        <v>7.0000000000000007E-2</v>
      </c>
    </row>
    <row r="34" spans="1:6" ht="15.75" customHeight="1">
      <c r="A34" s="21"/>
      <c r="E34" s="6" t="s">
        <v>137</v>
      </c>
      <c r="F34" s="6" t="e">
        <f>AVERAGE('[1]Dane proj2'!R20:R21)</f>
        <v>#REF!</v>
      </c>
    </row>
    <row r="35" spans="1:6" ht="31.5" customHeight="1">
      <c r="A35" s="33" t="s">
        <v>138</v>
      </c>
      <c r="B35" s="6">
        <f>B25* B26/(B17*B18) * B30</f>
        <v>0.42344861777777781</v>
      </c>
      <c r="E35" s="6" t="s">
        <v>139</v>
      </c>
      <c r="F35" s="6" t="e">
        <f>(F34+G30+B25/B17 * B39)*(1+F33)</f>
        <v>#REF!</v>
      </c>
    </row>
    <row r="37" spans="1:6" ht="12.5">
      <c r="A37" s="37" t="s">
        <v>140</v>
      </c>
      <c r="B37" s="6">
        <f>1/B35*(B27+B33*(B31-B32))</f>
        <v>-0.10312152368291011</v>
      </c>
      <c r="E37" s="117" t="s">
        <v>141</v>
      </c>
      <c r="F37" s="113"/>
    </row>
    <row r="38" spans="1:6" ht="15.5">
      <c r="E38" s="6" t="s">
        <v>142</v>
      </c>
      <c r="F38" s="38"/>
    </row>
    <row r="39" spans="1:6" ht="12.5">
      <c r="A39" s="37" t="s">
        <v>143</v>
      </c>
      <c r="B39" s="6">
        <f>B40+B41+B37^2/(PI()*B43)</f>
        <v>1.291326318346722E-2</v>
      </c>
    </row>
    <row r="40" spans="1:6" ht="12.5">
      <c r="A40" s="6" t="s">
        <v>144</v>
      </c>
      <c r="B40" s="6">
        <v>6.0000000000000001E-3</v>
      </c>
    </row>
    <row r="41" spans="1:6" ht="12.5">
      <c r="A41" s="6" t="s">
        <v>145</v>
      </c>
      <c r="B41" s="6">
        <v>6.0000000000000001E-3</v>
      </c>
    </row>
    <row r="43" spans="1:6" ht="12.5">
      <c r="A43" s="6" t="s">
        <v>146</v>
      </c>
      <c r="B43" s="6">
        <f>B24^2/B25 * B44</f>
        <v>3.7064045454545447</v>
      </c>
    </row>
    <row r="44" spans="1:6" ht="12.5">
      <c r="A44" s="6" t="s">
        <v>147</v>
      </c>
      <c r="B44" s="6">
        <v>0.9</v>
      </c>
    </row>
    <row r="46" spans="1:6" ht="12.5">
      <c r="A46" s="36" t="s">
        <v>148</v>
      </c>
      <c r="B46" s="6">
        <v>1.0999999999999999E-2</v>
      </c>
    </row>
    <row r="48" spans="1:6" ht="13">
      <c r="A48" s="112" t="s">
        <v>149</v>
      </c>
      <c r="B48" s="113"/>
    </row>
    <row r="49" spans="1:3" ht="12.5">
      <c r="A49" s="6" t="s">
        <v>150</v>
      </c>
      <c r="B49" s="6">
        <f>C4</f>
        <v>0.15898000000000001</v>
      </c>
    </row>
    <row r="50" spans="1:3" ht="12.5">
      <c r="A50" s="6" t="s">
        <v>151</v>
      </c>
      <c r="B50" s="6">
        <f>9.3 * 9.81</f>
        <v>91.233000000000018</v>
      </c>
    </row>
    <row r="51" spans="1:3" ht="12.5">
      <c r="A51" s="6" t="s">
        <v>152</v>
      </c>
      <c r="B51" s="6">
        <v>1.2250000000000001</v>
      </c>
    </row>
    <row r="52" spans="1:3" ht="12.5">
      <c r="A52" s="6" t="s">
        <v>153</v>
      </c>
      <c r="B52" s="6">
        <f>B21</f>
        <v>54.444444444444443</v>
      </c>
    </row>
    <row r="53" spans="1:3" ht="25">
      <c r="A53" s="33" t="s">
        <v>154</v>
      </c>
      <c r="B53" s="6">
        <f>1/B49 * B50/(0.5* B51 * B52^2)</f>
        <v>0.31607942678280321</v>
      </c>
    </row>
    <row r="55" spans="1:3" ht="13">
      <c r="A55" s="112" t="s">
        <v>155</v>
      </c>
      <c r="B55" s="113"/>
    </row>
    <row r="56" spans="1:3" ht="12.5">
      <c r="A56" s="6" t="s">
        <v>150</v>
      </c>
      <c r="B56" s="6">
        <f>C3</f>
        <v>7.1641999999999997E-2</v>
      </c>
    </row>
    <row r="58" spans="1:3" ht="13">
      <c r="A58" s="112" t="s">
        <v>156</v>
      </c>
      <c r="B58" s="113"/>
    </row>
    <row r="59" spans="1:3" ht="12.5">
      <c r="A59" s="6" t="s">
        <v>157</v>
      </c>
      <c r="B59" s="6">
        <v>5.9999999999999995E-4</v>
      </c>
    </row>
    <row r="60" spans="1:3" ht="12.5">
      <c r="A60" s="6" t="s">
        <v>158</v>
      </c>
      <c r="B60" s="6">
        <v>0.2</v>
      </c>
    </row>
    <row r="61" spans="1:3" ht="12.5">
      <c r="A61" s="6" t="s">
        <v>159</v>
      </c>
      <c r="B61" s="6">
        <v>0.1</v>
      </c>
      <c r="C61" s="6" t="s">
        <v>68</v>
      </c>
    </row>
    <row r="62" spans="1:3" ht="12.5">
      <c r="A62" s="6" t="s">
        <v>160</v>
      </c>
      <c r="B62" s="6">
        <v>1.52</v>
      </c>
    </row>
    <row r="63" spans="1:3" ht="12.5">
      <c r="A63" s="6" t="s">
        <v>161</v>
      </c>
      <c r="B63" s="6">
        <f>B60*B61</f>
        <v>2.0000000000000004E-2</v>
      </c>
    </row>
    <row r="64" spans="1:3" ht="12.5">
      <c r="A64" s="6" t="s">
        <v>162</v>
      </c>
      <c r="B64" s="6">
        <f>B62*B63</f>
        <v>3.0400000000000007E-2</v>
      </c>
    </row>
    <row r="66" spans="1:2" ht="12.5">
      <c r="A66" s="36" t="s">
        <v>163</v>
      </c>
      <c r="B66" s="6">
        <f>(2*B59*(1+B60) + (B60)^2)*(B62*B61/B64)</f>
        <v>0.20720000000000002</v>
      </c>
    </row>
  </sheetData>
  <mergeCells count="7">
    <mergeCell ref="A55:B55"/>
    <mergeCell ref="A58:B58"/>
    <mergeCell ref="A8:A11"/>
    <mergeCell ref="E18:J18"/>
    <mergeCell ref="E32:F32"/>
    <mergeCell ref="E37:F37"/>
    <mergeCell ref="A48:B48"/>
  </mergeCells>
  <hyperlinks>
    <hyperlink ref="A27" r:id="rId1" xr:uid="{00000000-0004-0000-0100-000000000000}"/>
  </hyperlinks>
  <pageMargins left="0.7" right="0.7" top="0.75" bottom="0.75" header="0.3" footer="0.3"/>
  <pageSetup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5">
    <outlinePr summaryBelow="0" summaryRight="0"/>
  </sheetPr>
  <dimension ref="A1:U1000"/>
  <sheetViews>
    <sheetView workbookViewId="0">
      <selection activeCell="Q4" sqref="Q4"/>
    </sheetView>
  </sheetViews>
  <sheetFormatPr defaultColWidth="12.54296875" defaultRowHeight="15.75" customHeight="1"/>
  <cols>
    <col min="1" max="1" width="23.453125" customWidth="1"/>
    <col min="2" max="2" width="7.26953125" customWidth="1"/>
    <col min="9" max="19" width="8.1796875" customWidth="1"/>
  </cols>
  <sheetData>
    <row r="1" spans="1:19" ht="13">
      <c r="A1" s="21" t="s">
        <v>171</v>
      </c>
      <c r="B1" s="6">
        <v>600</v>
      </c>
      <c r="I1" s="121" t="s">
        <v>142</v>
      </c>
      <c r="J1" s="121" t="s">
        <v>14</v>
      </c>
      <c r="K1" s="121" t="s">
        <v>172</v>
      </c>
      <c r="L1" s="121" t="s">
        <v>173</v>
      </c>
      <c r="M1" s="121" t="s">
        <v>170</v>
      </c>
      <c r="N1" s="118" t="s">
        <v>174</v>
      </c>
      <c r="O1" s="113"/>
      <c r="P1" s="119" t="s">
        <v>175</v>
      </c>
      <c r="Q1" s="113"/>
      <c r="R1" s="119" t="s">
        <v>176</v>
      </c>
      <c r="S1" s="113"/>
    </row>
    <row r="2" spans="1:19" ht="13">
      <c r="A2" s="21" t="s">
        <v>177</v>
      </c>
      <c r="B2" s="6">
        <v>726</v>
      </c>
      <c r="I2" s="113"/>
      <c r="J2" s="113"/>
      <c r="K2" s="113"/>
      <c r="L2" s="113"/>
      <c r="M2" s="113"/>
      <c r="N2" s="41" t="s">
        <v>178</v>
      </c>
      <c r="O2" s="41" t="s">
        <v>179</v>
      </c>
      <c r="P2" s="40" t="s">
        <v>180</v>
      </c>
      <c r="Q2" s="40" t="s">
        <v>181</v>
      </c>
      <c r="R2" s="40" t="s">
        <v>182</v>
      </c>
      <c r="S2" s="40" t="s">
        <v>183</v>
      </c>
    </row>
    <row r="3" spans="1:19" ht="15.75" customHeight="1">
      <c r="A3" s="21" t="s">
        <v>184</v>
      </c>
      <c r="B3" s="6">
        <v>650</v>
      </c>
      <c r="I3" s="42">
        <v>1.8</v>
      </c>
      <c r="J3" s="43">
        <f t="shared" ref="J3:J37" si="0">0.06661*I3^2-0.001342*I3+0.04781</f>
        <v>0.26121080000000002</v>
      </c>
      <c r="K3" s="43">
        <f t="shared" ref="K3:K4" si="1">1/(J3^2+I3^2)^0.25</f>
        <v>0.74148273055155212</v>
      </c>
      <c r="L3" s="43">
        <f t="shared" ref="L3:L37" si="2">((J3^2)/( ((J3^2+I3^2)^3)^0.5))^0.5</f>
        <v>0.10648642598622313</v>
      </c>
      <c r="M3" s="43">
        <f t="shared" ref="M3:M37" si="3">DEGREES(ATAN(J3/I3))</f>
        <v>8.2569589198794873</v>
      </c>
      <c r="N3" s="43">
        <f t="shared" ref="N3:O3" si="4">$B$10*K3</f>
        <v>19.671754872610748</v>
      </c>
      <c r="O3" s="44">
        <f t="shared" si="4"/>
        <v>2.8251161934724895</v>
      </c>
      <c r="P3" s="44">
        <f t="shared" ref="P3:Q3" si="5">$B$11*K3</f>
        <v>21.638930359871825</v>
      </c>
      <c r="Q3" s="43">
        <f t="shared" si="5"/>
        <v>3.1076278128197385</v>
      </c>
      <c r="R3" s="43">
        <f t="shared" ref="R3:S3" si="6">$B$12 *K3</f>
        <v>20.47501163407301</v>
      </c>
      <c r="S3" s="43">
        <f t="shared" si="6"/>
        <v>2.9404741622464332</v>
      </c>
    </row>
    <row r="4" spans="1:19" ht="15.75" customHeight="1">
      <c r="A4" s="21" t="s">
        <v>185</v>
      </c>
      <c r="B4" s="6">
        <v>15</v>
      </c>
      <c r="I4" s="42">
        <v>1.75</v>
      </c>
      <c r="J4" s="43">
        <f t="shared" si="0"/>
        <v>0.24945462499999999</v>
      </c>
      <c r="K4" s="43">
        <f t="shared" si="1"/>
        <v>0.75213700912501302</v>
      </c>
      <c r="L4" s="43">
        <f t="shared" si="2"/>
        <v>0.10614081957368786</v>
      </c>
      <c r="M4" s="43">
        <f t="shared" si="3"/>
        <v>8.1126028871772569</v>
      </c>
      <c r="N4" s="43">
        <f t="shared" ref="N4:O4" si="7">$B$10*K4</f>
        <v>19.954416016027707</v>
      </c>
      <c r="O4" s="44">
        <f t="shared" si="7"/>
        <v>2.8159471537232577</v>
      </c>
      <c r="P4" s="44">
        <f t="shared" ref="P4:Q4" si="8">$B$11*K4</f>
        <v>21.949857617630482</v>
      </c>
      <c r="Q4" s="43">
        <f t="shared" si="8"/>
        <v>3.0975418690955836</v>
      </c>
      <c r="R4" s="43">
        <f t="shared" ref="R4:S4" si="9">$B$12 *K4</f>
        <v>20.769214679883664</v>
      </c>
      <c r="S4" s="43">
        <f t="shared" si="9"/>
        <v>2.9309307230995687</v>
      </c>
    </row>
    <row r="5" spans="1:19" ht="15.75" customHeight="1">
      <c r="A5" s="21" t="s">
        <v>186</v>
      </c>
      <c r="B5" s="6">
        <v>1.115</v>
      </c>
      <c r="I5" s="42">
        <v>1.7</v>
      </c>
      <c r="J5" s="43">
        <f t="shared" si="0"/>
        <v>0.23803149999999998</v>
      </c>
      <c r="K5" s="43">
        <f t="shared" ref="K5:K37" si="10">((1)/( (J5^2+I5^2)^0.5))^0.5</f>
        <v>0.76325126031759616</v>
      </c>
      <c r="L5" s="43">
        <f t="shared" si="2"/>
        <v>0.10583687879231066</v>
      </c>
      <c r="M5" s="43">
        <f t="shared" si="3"/>
        <v>7.970651640290118</v>
      </c>
      <c r="N5" s="43">
        <f t="shared" ref="N5:O5" si="11">$B$10*K5</f>
        <v>20.249280368283738</v>
      </c>
      <c r="O5" s="44">
        <f t="shared" si="11"/>
        <v>2.8078835154203201</v>
      </c>
      <c r="P5" s="44">
        <f t="shared" ref="P5:Q5" si="12">$B$11*K5</f>
        <v>22.274208405112116</v>
      </c>
      <c r="Q5" s="43">
        <f t="shared" si="12"/>
        <v>3.0886718669623527</v>
      </c>
      <c r="R5" s="43">
        <f t="shared" ref="R5:S5" si="13">$B$12 *K5</f>
        <v>21.076119228156657</v>
      </c>
      <c r="S5" s="43">
        <f t="shared" si="13"/>
        <v>2.9225378222559599</v>
      </c>
    </row>
    <row r="6" spans="1:19" ht="30" customHeight="1">
      <c r="A6" s="21" t="s">
        <v>187</v>
      </c>
      <c r="B6" s="6">
        <v>54</v>
      </c>
      <c r="I6" s="42">
        <v>1.65</v>
      </c>
      <c r="J6" s="43">
        <f t="shared" si="0"/>
        <v>0.22694142499999997</v>
      </c>
      <c r="K6" s="43">
        <f t="shared" si="10"/>
        <v>0.77486008787346206</v>
      </c>
      <c r="L6" s="43">
        <f t="shared" si="2"/>
        <v>0.10558048482785437</v>
      </c>
      <c r="M6" s="43">
        <f t="shared" si="3"/>
        <v>7.8313402871756939</v>
      </c>
      <c r="N6" s="43">
        <f t="shared" ref="N6:O6" si="14">$B$10*K6</f>
        <v>20.557265976886562</v>
      </c>
      <c r="O6" s="44">
        <f t="shared" si="14"/>
        <v>2.8010813081513133</v>
      </c>
      <c r="P6" s="44">
        <f t="shared" ref="P6:Q6" si="15">$B$11*K6</f>
        <v>22.61299257457522</v>
      </c>
      <c r="Q6" s="43">
        <f t="shared" si="15"/>
        <v>3.0811894389664447</v>
      </c>
      <c r="R6" s="43">
        <f t="shared" ref="R6:S6" si="16">$B$12 *K6</f>
        <v>21.396680813033349</v>
      </c>
      <c r="S6" s="43">
        <f t="shared" si="16"/>
        <v>2.9154578604593531</v>
      </c>
    </row>
    <row r="7" spans="1:19" ht="39.65" customHeight="1">
      <c r="A7" s="21" t="s">
        <v>188</v>
      </c>
      <c r="B7" s="6">
        <v>64.8</v>
      </c>
      <c r="I7" s="42">
        <v>1.6</v>
      </c>
      <c r="J7" s="43">
        <f t="shared" si="0"/>
        <v>0.21618440000000005</v>
      </c>
      <c r="K7" s="43">
        <f t="shared" si="10"/>
        <v>0.7870018445999305</v>
      </c>
      <c r="L7" s="43">
        <f t="shared" si="2"/>
        <v>0.10537840057750757</v>
      </c>
      <c r="M7" s="43">
        <f t="shared" si="3"/>
        <v>7.6949328175705798</v>
      </c>
      <c r="N7" s="43">
        <f t="shared" ref="N7:O7" si="17">$B$10*K7</f>
        <v>20.879390353091914</v>
      </c>
      <c r="O7" s="44">
        <f t="shared" si="17"/>
        <v>2.7957199535672617</v>
      </c>
      <c r="P7" s="44">
        <f t="shared" ref="P7:Q7" si="18">$B$11*K7</f>
        <v>22.967329388401108</v>
      </c>
      <c r="Q7" s="43">
        <f t="shared" si="18"/>
        <v>3.0752919489239883</v>
      </c>
      <c r="R7" s="43">
        <f t="shared" ref="R7:S7" si="19">$B$12 *K7</f>
        <v>21.731958493806307</v>
      </c>
      <c r="S7" s="43">
        <f t="shared" si="19"/>
        <v>2.9098775856850021</v>
      </c>
    </row>
    <row r="8" spans="1:19" ht="15.75" customHeight="1">
      <c r="I8" s="42">
        <v>1.55</v>
      </c>
      <c r="J8" s="43">
        <f t="shared" si="0"/>
        <v>0.20576042500000002</v>
      </c>
      <c r="K8" s="43">
        <f t="shared" si="10"/>
        <v>0.79971917071005405</v>
      </c>
      <c r="L8" s="43">
        <f t="shared" si="2"/>
        <v>0.1052384321172183</v>
      </c>
      <c r="M8" s="43">
        <f t="shared" si="3"/>
        <v>7.5617267500852794</v>
      </c>
      <c r="N8" s="43">
        <f t="shared" ref="N8:O8" si="20">$B$10*K8</f>
        <v>21.216784754290323</v>
      </c>
      <c r="O8" s="44">
        <f t="shared" si="20"/>
        <v>2.7920065491584238</v>
      </c>
      <c r="P8" s="44">
        <f t="shared" ref="P8:Q8" si="21">$B$11*K8</f>
        <v>23.338463229719359</v>
      </c>
      <c r="Q8" s="43">
        <f t="shared" si="21"/>
        <v>3.0712072040742666</v>
      </c>
      <c r="R8" s="43">
        <f t="shared" ref="R8:S8" si="22">$B$12 *K8</f>
        <v>22.083129720498789</v>
      </c>
      <c r="S8" s="43">
        <f t="shared" si="22"/>
        <v>2.9060125518349293</v>
      </c>
    </row>
    <row r="9" spans="1:19" ht="13">
      <c r="A9" s="112" t="s">
        <v>189</v>
      </c>
      <c r="B9" s="113"/>
      <c r="D9" s="112" t="s">
        <v>190</v>
      </c>
      <c r="E9" s="113"/>
      <c r="F9" s="113"/>
      <c r="I9" s="42">
        <v>1.5</v>
      </c>
      <c r="J9" s="43">
        <f t="shared" si="0"/>
        <v>0.19566950000000002</v>
      </c>
      <c r="K9" s="43">
        <f t="shared" si="10"/>
        <v>0.8130596296931164</v>
      </c>
      <c r="L9" s="43">
        <f t="shared" si="2"/>
        <v>0.10516962584031715</v>
      </c>
      <c r="M9" s="43">
        <f t="shared" si="3"/>
        <v>7.4320587068467976</v>
      </c>
      <c r="N9" s="43">
        <f t="shared" ref="N9:O9" si="23">$B$10*K9</f>
        <v>21.570711053838409</v>
      </c>
      <c r="O9" s="44">
        <f t="shared" si="23"/>
        <v>2.7901810983999287</v>
      </c>
      <c r="P9" s="44">
        <f t="shared" ref="P9:Q9" si="24">$B$11*K9</f>
        <v>23.727782159222254</v>
      </c>
      <c r="Q9" s="43">
        <f t="shared" si="24"/>
        <v>3.069199208239922</v>
      </c>
      <c r="R9" s="43">
        <f t="shared" ref="R9:S9" si="25">$B$12 *K9</f>
        <v>22.451507892541848</v>
      </c>
      <c r="S9" s="43">
        <f t="shared" si="25"/>
        <v>2.9041125624460999</v>
      </c>
    </row>
    <row r="10" spans="1:19" ht="15.75" customHeight="1">
      <c r="A10" s="6" t="s">
        <v>174</v>
      </c>
      <c r="B10" s="45">
        <f>((2*B1*9.81)/(B5*B4))^0.5</f>
        <v>26.530294047412145</v>
      </c>
      <c r="D10" s="6" t="s">
        <v>13</v>
      </c>
      <c r="E10">
        <v>1.1000000000000001</v>
      </c>
      <c r="I10" s="42">
        <v>1.45</v>
      </c>
      <c r="J10" s="43">
        <f t="shared" si="0"/>
        <v>0.185911625</v>
      </c>
      <c r="K10" s="43">
        <f t="shared" si="10"/>
        <v>0.82707646329012585</v>
      </c>
      <c r="L10" s="43">
        <f t="shared" si="2"/>
        <v>0.10518251061715128</v>
      </c>
      <c r="M10" s="43">
        <f t="shared" si="3"/>
        <v>7.3063111390124238</v>
      </c>
      <c r="N10" s="43">
        <f t="shared" ref="N10:O10" si="26">$B$10*K10</f>
        <v>21.942581770780716</v>
      </c>
      <c r="O10" s="44">
        <f t="shared" si="26"/>
        <v>2.7905229353180734</v>
      </c>
      <c r="P10" s="44">
        <f t="shared" ref="P10:Q10" si="27">$B$11*K10</f>
        <v>24.136839947858789</v>
      </c>
      <c r="Q10" s="43">
        <f t="shared" si="27"/>
        <v>3.0695752288498812</v>
      </c>
      <c r="R10" s="43">
        <f t="shared" ref="R10:S10" si="28">$B$12 *K10</f>
        <v>22.838563206369795</v>
      </c>
      <c r="S10" s="43">
        <f t="shared" si="28"/>
        <v>2.9044683575910324</v>
      </c>
    </row>
    <row r="11" spans="1:19" ht="15.75" customHeight="1">
      <c r="A11" s="6" t="s">
        <v>191</v>
      </c>
      <c r="B11" s="45">
        <f>((2*B2*9.81)/(B5*B4))^0.5</f>
        <v>29.183323452153363</v>
      </c>
      <c r="D11" s="6" t="s">
        <v>14</v>
      </c>
      <c r="E11" s="46">
        <f>0.05869*E10^2-0.002467*E10+0.005677</f>
        <v>7.3978200000000008E-2</v>
      </c>
      <c r="I11" s="42">
        <v>1.4</v>
      </c>
      <c r="J11" s="43">
        <f t="shared" si="0"/>
        <v>0.17648679999999997</v>
      </c>
      <c r="K11" s="43">
        <f t="shared" si="10"/>
        <v>0.84182949284936615</v>
      </c>
      <c r="L11" s="43">
        <f t="shared" si="2"/>
        <v>0.10528939719239488</v>
      </c>
      <c r="M11" s="43">
        <f t="shared" si="3"/>
        <v>7.1849204900923818</v>
      </c>
      <c r="N11" s="43">
        <f t="shared" ref="N11:O11" si="29">$B$10*K11</f>
        <v>22.333983983077523</v>
      </c>
      <c r="O11" s="44">
        <f t="shared" si="29"/>
        <v>2.7933586675890072</v>
      </c>
      <c r="P11" s="44">
        <f t="shared" ref="P11:Q11" si="30">$B$11*K11</f>
        <v>24.567382381385279</v>
      </c>
      <c r="Q11" s="43">
        <f t="shared" si="30"/>
        <v>3.072694534347908</v>
      </c>
      <c r="R11" s="43">
        <f t="shared" ref="R11:S11" si="31">$B$12 *K11</f>
        <v>23.24594754509684</v>
      </c>
      <c r="S11" s="43">
        <f t="shared" si="31"/>
        <v>2.9074198813170278</v>
      </c>
    </row>
    <row r="12" spans="1:19" ht="15.75" customHeight="1">
      <c r="A12" s="6" t="s">
        <v>192</v>
      </c>
      <c r="B12" s="45">
        <f>((2*B3*9.81)/(B5*B4))^0.5</f>
        <v>27.613605537168301</v>
      </c>
      <c r="D12" s="6" t="s">
        <v>170</v>
      </c>
      <c r="E12">
        <f>DEGREES( ATAN(E11/E10))</f>
        <v>3.8475141212024053</v>
      </c>
      <c r="I12" s="42">
        <v>1.35</v>
      </c>
      <c r="J12" s="43">
        <f t="shared" si="0"/>
        <v>0.16739502500000003</v>
      </c>
      <c r="K12" s="43">
        <f t="shared" si="10"/>
        <v>0.8573862018011964</v>
      </c>
      <c r="L12" s="43">
        <f t="shared" si="2"/>
        <v>0.10550475092040272</v>
      </c>
      <c r="M12" s="43">
        <f t="shared" si="3"/>
        <v>7.0683871687624471</v>
      </c>
      <c r="N12" s="43">
        <f t="shared" ref="N12:O12" si="32">$B$10*K12</f>
        <v>22.746708045979588</v>
      </c>
      <c r="O12" s="44">
        <f t="shared" si="32"/>
        <v>2.7990720653172612</v>
      </c>
      <c r="P12" s="44">
        <f t="shared" ref="P12:Q12" si="33">$B$11*K12</f>
        <v>25.021378850577552</v>
      </c>
      <c r="Q12" s="43">
        <f t="shared" si="33"/>
        <v>3.0789792718489877</v>
      </c>
      <c r="R12" s="43">
        <f t="shared" ref="R12:S12" si="34">$B$12 *K12</f>
        <v>23.675524369549215</v>
      </c>
      <c r="S12" s="43">
        <f t="shared" si="34"/>
        <v>2.9133665742131951</v>
      </c>
    </row>
    <row r="13" spans="1:19" ht="15.75" customHeight="1">
      <c r="D13" s="6" t="s">
        <v>172</v>
      </c>
      <c r="E13">
        <f>((1)/( (E10^2+E11^2)^0.5))^0.5</f>
        <v>0.95238750980957443</v>
      </c>
      <c r="I13" s="42">
        <v>1.3</v>
      </c>
      <c r="J13" s="43">
        <f t="shared" si="0"/>
        <v>0.15863630000000001</v>
      </c>
      <c r="K13" s="43">
        <f t="shared" si="10"/>
        <v>0.87382304385605103</v>
      </c>
      <c r="L13" s="43">
        <f t="shared" si="2"/>
        <v>0.10584565925268269</v>
      </c>
      <c r="M13" s="43">
        <f t="shared" si="3"/>
        <v>6.9572878168138326</v>
      </c>
      <c r="N13" s="43">
        <f t="shared" ref="N13:O13" si="35">$B$10*K13</f>
        <v>23.182782298905753</v>
      </c>
      <c r="O13" s="44">
        <f t="shared" si="35"/>
        <v>2.8081164636158618</v>
      </c>
      <c r="P13" s="44">
        <f t="shared" ref="P13:Q13" si="36">$B$11*K13</f>
        <v>25.50106052879633</v>
      </c>
      <c r="Q13" s="43">
        <f t="shared" si="36"/>
        <v>3.0889281099774482</v>
      </c>
      <c r="R13" s="43">
        <f t="shared" ref="R13:S13" si="37">$B$12 *K13</f>
        <v>24.129404842328711</v>
      </c>
      <c r="S13" s="43">
        <f t="shared" si="37"/>
        <v>2.9227802824251077</v>
      </c>
    </row>
    <row r="14" spans="1:19" ht="15.75" customHeight="1">
      <c r="D14" s="6" t="s">
        <v>173</v>
      </c>
      <c r="E14" s="46">
        <f>((E11^2)/( ((E10^2+E11^2)^3)^0.5))^0.5</f>
        <v>6.3906470659181133E-2</v>
      </c>
      <c r="I14" s="42">
        <v>1.25</v>
      </c>
      <c r="J14" s="43">
        <f t="shared" si="0"/>
        <v>0.15021062500000001</v>
      </c>
      <c r="K14" s="43">
        <f t="shared" si="10"/>
        <v>0.89122703469093112</v>
      </c>
      <c r="L14" s="43">
        <f t="shared" si="2"/>
        <v>0.10633242273961883</v>
      </c>
      <c r="M14" s="43">
        <f t="shared" si="3"/>
        <v>6.8522905127131573</v>
      </c>
      <c r="N14" s="43">
        <f t="shared" ref="N14:O14" si="38">$B$10*K14</f>
        <v>23.644515293353589</v>
      </c>
      <c r="O14" s="44">
        <f t="shared" si="38"/>
        <v>2.8210304420558212</v>
      </c>
      <c r="P14" s="44">
        <f t="shared" ref="P14:Q14" si="39">$B$11*K14</f>
        <v>26.008966822688951</v>
      </c>
      <c r="Q14" s="43">
        <f t="shared" si="39"/>
        <v>3.1031334862614037</v>
      </c>
      <c r="R14" s="43">
        <f t="shared" ref="R14:S14" si="40">$B$12 *K14</f>
        <v>24.60999178001558</v>
      </c>
      <c r="S14" s="43">
        <f t="shared" si="40"/>
        <v>2.9362215773432592</v>
      </c>
    </row>
    <row r="15" spans="1:19" ht="15.75" customHeight="1">
      <c r="A15" s="6" t="s">
        <v>193</v>
      </c>
      <c r="B15" s="6">
        <v>4.8449</v>
      </c>
      <c r="E15" s="47"/>
      <c r="I15" s="42">
        <v>1.2</v>
      </c>
      <c r="J15" s="43">
        <f t="shared" si="0"/>
        <v>0.14211799999999999</v>
      </c>
      <c r="K15" s="43">
        <f t="shared" si="10"/>
        <v>0.90969770262800209</v>
      </c>
      <c r="L15" s="43">
        <f t="shared" si="2"/>
        <v>0.10698930858633117</v>
      </c>
      <c r="M15" s="43">
        <f t="shared" si="3"/>
        <v>6.7541737638734656</v>
      </c>
      <c r="N15" s="43">
        <f t="shared" ref="N15:O15" si="41">$B$10*K15</f>
        <v>24.134547544976186</v>
      </c>
      <c r="O15" s="44">
        <f t="shared" si="41"/>
        <v>2.838457816724683</v>
      </c>
      <c r="P15" s="44">
        <f t="shared" ref="P15:Q15" si="42">$B$11*K15</f>
        <v>26.548002299473811</v>
      </c>
      <c r="Q15" s="43">
        <f t="shared" si="42"/>
        <v>3.1223035983971514</v>
      </c>
      <c r="R15" s="43">
        <f t="shared" ref="R15:S15" si="43">$B$12 *K15</f>
        <v>25.120033518437882</v>
      </c>
      <c r="S15" s="43">
        <f t="shared" si="43"/>
        <v>2.9543605639973225</v>
      </c>
    </row>
    <row r="16" spans="1:19" ht="15.75" customHeight="1">
      <c r="A16" s="6" t="s">
        <v>194</v>
      </c>
      <c r="B16" s="6">
        <f>0.05</f>
        <v>0.05</v>
      </c>
      <c r="D16" s="6" t="s">
        <v>195</v>
      </c>
      <c r="I16" s="42">
        <v>1.1499999999999999</v>
      </c>
      <c r="J16" s="43">
        <f t="shared" si="0"/>
        <v>0.134358425</v>
      </c>
      <c r="K16" s="43">
        <f t="shared" si="10"/>
        <v>0.92934949797693056</v>
      </c>
      <c r="L16" s="43">
        <f t="shared" si="2"/>
        <v>0.10784552035517243</v>
      </c>
      <c r="M16" s="43">
        <f t="shared" si="3"/>
        <v>6.663850436168925</v>
      </c>
      <c r="N16" s="43">
        <f t="shared" ref="N16:O16" si="44">$B$10*K16</f>
        <v>24.655915454142825</v>
      </c>
      <c r="O16" s="44">
        <f t="shared" si="44"/>
        <v>2.8611733667188965</v>
      </c>
      <c r="P16" s="44">
        <f t="shared" ref="P16:Q16" si="45">$B$11*K16</f>
        <v>27.121506999557113</v>
      </c>
      <c r="Q16" s="43">
        <f t="shared" si="45"/>
        <v>3.1472907033907864</v>
      </c>
      <c r="R16" s="43">
        <f t="shared" ref="R16:S16" si="46">$B$12 *K16</f>
        <v>25.662690443300349</v>
      </c>
      <c r="S16" s="43">
        <f t="shared" si="46"/>
        <v>2.9780036580383862</v>
      </c>
    </row>
    <row r="17" spans="2:21" ht="15.75" customHeight="1">
      <c r="D17" s="6" t="s">
        <v>196</v>
      </c>
      <c r="I17" s="42">
        <v>1.1000000000000001</v>
      </c>
      <c r="J17" s="43">
        <f t="shared" si="0"/>
        <v>0.12693190000000001</v>
      </c>
      <c r="K17" s="43">
        <f t="shared" si="10"/>
        <v>0.95031479402781849</v>
      </c>
      <c r="L17" s="43">
        <f t="shared" si="2"/>
        <v>0.10893645828625478</v>
      </c>
      <c r="M17" s="43">
        <f t="shared" si="3"/>
        <v>6.5823981848863085</v>
      </c>
      <c r="N17" s="43">
        <f t="shared" ref="N17:O17" si="47">$B$10*K17</f>
        <v>25.212130923163933</v>
      </c>
      <c r="O17" s="44">
        <f t="shared" si="47"/>
        <v>2.8901162708179866</v>
      </c>
      <c r="P17" s="44">
        <f t="shared" ref="P17:Q17" si="48">$B$11*K17</f>
        <v>27.733344015480327</v>
      </c>
      <c r="Q17" s="43">
        <f t="shared" si="48"/>
        <v>3.1791278978997859</v>
      </c>
      <c r="R17" s="43">
        <f t="shared" ref="R17:S17" si="49">$B$12 *K17</f>
        <v>26.24161785841952</v>
      </c>
      <c r="S17" s="43">
        <f t="shared" si="49"/>
        <v>3.0081283877328286</v>
      </c>
    </row>
    <row r="18" spans="2:21" ht="15.75" customHeight="1">
      <c r="I18" s="42">
        <v>1.05</v>
      </c>
      <c r="J18" s="43">
        <f t="shared" si="0"/>
        <v>0.119838425</v>
      </c>
      <c r="K18" s="43">
        <f t="shared" si="10"/>
        <v>0.97274765918828132</v>
      </c>
      <c r="L18" s="43">
        <f t="shared" si="2"/>
        <v>0.11030537509203542</v>
      </c>
      <c r="M18" s="43">
        <f t="shared" si="3"/>
        <v>6.5110985440956126</v>
      </c>
      <c r="N18" s="43">
        <f t="shared" ref="N18:O18" si="50">$B$10*K18</f>
        <v>25.807281432196959</v>
      </c>
      <c r="O18" s="44">
        <f t="shared" si="50"/>
        <v>2.9264340362017913</v>
      </c>
      <c r="P18" s="44">
        <f t="shared" ref="P18:Q18" si="51">$B$11*K18</f>
        <v>28.388009575416657</v>
      </c>
      <c r="Q18" s="43">
        <f t="shared" si="51"/>
        <v>3.2190774398219708</v>
      </c>
      <c r="R18" s="43">
        <f t="shared" ref="R18:S18" si="52">$B$12 *K18</f>
        <v>26.861070148029029</v>
      </c>
      <c r="S18" s="43">
        <f t="shared" si="52"/>
        <v>3.0459291164208557</v>
      </c>
    </row>
    <row r="19" spans="2:21" ht="13">
      <c r="B19" s="48" t="s">
        <v>197</v>
      </c>
      <c r="C19" s="48" t="s">
        <v>198</v>
      </c>
      <c r="D19" s="48" t="s">
        <v>199</v>
      </c>
      <c r="E19" s="48" t="s">
        <v>200</v>
      </c>
      <c r="F19" s="48" t="s">
        <v>201</v>
      </c>
      <c r="G19" s="48" t="s">
        <v>202</v>
      </c>
      <c r="I19" s="42">
        <v>1</v>
      </c>
      <c r="J19" s="43">
        <f t="shared" si="0"/>
        <v>0.11307800000000001</v>
      </c>
      <c r="K19" s="43">
        <f t="shared" si="10"/>
        <v>0.99682864557021067</v>
      </c>
      <c r="L19" s="43">
        <f t="shared" si="2"/>
        <v>0.11200557698684062</v>
      </c>
      <c r="M19" s="43">
        <f t="shared" si="3"/>
        <v>6.4514876893083821</v>
      </c>
      <c r="N19" s="43">
        <f t="shared" ref="N19:O19" si="53">$B$10*K19</f>
        <v>26.446157081861269</v>
      </c>
      <c r="O19" s="44">
        <f t="shared" si="53"/>
        <v>2.9715408924109403</v>
      </c>
      <c r="P19" s="44">
        <f t="shared" ref="P19:Q19" si="54">$B$11*K19</f>
        <v>29.090772790047403</v>
      </c>
      <c r="Q19" s="43">
        <f t="shared" si="54"/>
        <v>3.2686949816520348</v>
      </c>
      <c r="R19" s="43">
        <f t="shared" ref="R19:S19" si="55">$B$12 *K19</f>
        <v>27.526033006925548</v>
      </c>
      <c r="S19" s="43">
        <f t="shared" si="55"/>
        <v>3.0928778208775527</v>
      </c>
    </row>
    <row r="20" spans="2:21" ht="15.75" customHeight="1">
      <c r="B20" s="120" t="s">
        <v>203</v>
      </c>
      <c r="C20" s="49" t="s">
        <v>204</v>
      </c>
      <c r="D20" s="50">
        <f>(1/SQRT(PI()* B15*B16))^(1/2)</f>
        <v>1.0706532172356522</v>
      </c>
      <c r="E20" s="50">
        <v>27.466053651054899</v>
      </c>
      <c r="F20" s="50">
        <f t="shared" ref="F20:F21" si="56">$B$10 *D20</f>
        <v>28.404744676069686</v>
      </c>
      <c r="G20" s="50">
        <f t="shared" ref="G20:G31" si="57">ABS(E20-F20)/F20 *100</f>
        <v>3.3046979852123495</v>
      </c>
      <c r="I20" s="42">
        <v>0.95000000000000295</v>
      </c>
      <c r="J20" s="43">
        <f t="shared" si="0"/>
        <v>0.10665062500000037</v>
      </c>
      <c r="K20" s="43">
        <f t="shared" si="10"/>
        <v>1.022770933849914</v>
      </c>
      <c r="L20" s="43">
        <f t="shared" si="2"/>
        <v>0.1141033871968304</v>
      </c>
      <c r="M20" s="43">
        <f t="shared" si="3"/>
        <v>6.4054231497687084</v>
      </c>
      <c r="N20" s="43">
        <f t="shared" ref="N20:O20" si="58">$B$10*K20</f>
        <v>27.134413618184535</v>
      </c>
      <c r="O20" s="44">
        <f t="shared" si="58"/>
        <v>3.0271964141376326</v>
      </c>
      <c r="P20" s="44">
        <f t="shared" ref="P20:Q20" si="59">$B$11*K20</f>
        <v>29.847854980002992</v>
      </c>
      <c r="Q20" s="43">
        <f t="shared" si="59"/>
        <v>3.3299160555513962</v>
      </c>
      <c r="R20" s="43">
        <f t="shared" ref="R20:S20" si="60">$B$12 *K20</f>
        <v>28.242393122212778</v>
      </c>
      <c r="S20" s="43">
        <f t="shared" si="60"/>
        <v>3.1508059245080546</v>
      </c>
    </row>
    <row r="21" spans="2:21" ht="15.75" customHeight="1">
      <c r="B21" s="113"/>
      <c r="C21" s="49" t="s">
        <v>205</v>
      </c>
      <c r="D21" s="50">
        <f>SQRT(4* SQRT(B16)/(PI()* B15)^(3/2))</f>
        <v>0.12272879752017674</v>
      </c>
      <c r="E21" s="50">
        <v>3.0442391827350095</v>
      </c>
      <c r="F21" s="50">
        <f t="shared" si="56"/>
        <v>3.2560310862955952</v>
      </c>
      <c r="G21" s="50">
        <f t="shared" si="57"/>
        <v>6.5046032407983736</v>
      </c>
      <c r="I21" s="42">
        <v>0.90000000000000402</v>
      </c>
      <c r="J21" s="43">
        <f t="shared" si="0"/>
        <v>0.10055630000000049</v>
      </c>
      <c r="K21" s="43">
        <f t="shared" si="10"/>
        <v>1.0508283121733688</v>
      </c>
      <c r="L21" s="43">
        <f t="shared" si="2"/>
        <v>0.11668219248323783</v>
      </c>
      <c r="M21" s="43">
        <f t="shared" si="3"/>
        <v>6.3751726341754491</v>
      </c>
      <c r="N21" s="43">
        <f t="shared" ref="N21:O21" si="61">$B$10*K21</f>
        <v>27.878784115305276</v>
      </c>
      <c r="O21" s="44">
        <f t="shared" si="61"/>
        <v>3.0956128766770425</v>
      </c>
      <c r="P21" s="44">
        <f t="shared" ref="P21:Q21" si="62">$B$11*K21</f>
        <v>30.666662526835811</v>
      </c>
      <c r="Q21" s="43">
        <f t="shared" si="62"/>
        <v>3.4051741643447473</v>
      </c>
      <c r="R21" s="43">
        <f t="shared" ref="R21:S21" si="63">$B$12 *K21</f>
        <v>29.017158499643756</v>
      </c>
      <c r="S21" s="43">
        <f t="shared" si="63"/>
        <v>3.2220160364440735</v>
      </c>
    </row>
    <row r="22" spans="2:21" ht="13">
      <c r="B22" s="113"/>
      <c r="C22" s="49" t="s">
        <v>206</v>
      </c>
      <c r="D22" s="50">
        <f>(1/SQRT(3*PI()* B15*B16))^(1/2)</f>
        <v>0.81352052141333531</v>
      </c>
      <c r="E22" s="50">
        <v>18.829999999999998</v>
      </c>
      <c r="F22" s="51">
        <f>F20/(3)^(0.25)</f>
        <v>21.58293864669983</v>
      </c>
      <c r="G22" s="50">
        <f t="shared" si="57"/>
        <v>12.755161341853574</v>
      </c>
      <c r="I22" s="52">
        <v>0.85000000000000397</v>
      </c>
      <c r="J22" s="53">
        <f t="shared" si="0"/>
        <v>9.4795025000000449E-2</v>
      </c>
      <c r="K22" s="53">
        <f t="shared" si="10"/>
        <v>1.0813056717843916</v>
      </c>
      <c r="L22" s="53">
        <f t="shared" si="2"/>
        <v>0.119848054488644</v>
      </c>
      <c r="M22" s="53">
        <f t="shared" si="3"/>
        <v>6.3635340119516766</v>
      </c>
      <c r="N22" s="53">
        <f t="shared" ref="N22:O22" si="64">$B$10*K22</f>
        <v>28.687357427574437</v>
      </c>
      <c r="O22" s="54">
        <f t="shared" si="64"/>
        <v>3.1796041265939983</v>
      </c>
      <c r="P22" s="54">
        <f t="shared" ref="P22:Q22" si="65">$B$11*K22</f>
        <v>31.556093170331884</v>
      </c>
      <c r="Q22" s="53">
        <f t="shared" si="65"/>
        <v>3.4975645392533985</v>
      </c>
      <c r="R22" s="53">
        <f t="shared" ref="R22:S22" si="66">$B$12 *K22</f>
        <v>29.858748285756967</v>
      </c>
      <c r="S22" s="53">
        <f t="shared" si="66"/>
        <v>3.3094369010464679</v>
      </c>
      <c r="U22" s="32">
        <f t="array" ref="U22:U27">TRANSPOSE(N22:S22)</f>
        <v>28.687357427574437</v>
      </c>
    </row>
    <row r="23" spans="2:21" ht="15.75" customHeight="1">
      <c r="B23" s="113"/>
      <c r="C23" s="49" t="s">
        <v>207</v>
      </c>
      <c r="D23" s="51">
        <f>SQRT(16* SQRT(B16)/(3*SQRT(PI()* B15)^3))</f>
        <v>0.14171500857118624</v>
      </c>
      <c r="E23" s="50">
        <v>2.6</v>
      </c>
      <c r="F23" s="50">
        <f>2 * F21 /(3^(0.75))</f>
        <v>2.856785265359405</v>
      </c>
      <c r="G23" s="50">
        <f t="shared" si="57"/>
        <v>8.9886092760667982</v>
      </c>
      <c r="I23" s="42">
        <v>0.80000000000000404</v>
      </c>
      <c r="J23" s="43">
        <f t="shared" si="0"/>
        <v>8.9366800000000413E-2</v>
      </c>
      <c r="K23" s="43">
        <f t="shared" si="10"/>
        <v>1.1145730123495452</v>
      </c>
      <c r="L23" s="43">
        <f t="shared" si="2"/>
        <v>0.12373762513786941</v>
      </c>
      <c r="M23" s="43">
        <f t="shared" si="3"/>
        <v>6.3739999743886893</v>
      </c>
      <c r="N23" s="43">
        <f t="shared" ref="N23:O23" si="67">$B$10*K23</f>
        <v>29.569949754943362</v>
      </c>
      <c r="O23" s="44">
        <f t="shared" si="67"/>
        <v>3.2827955796361321</v>
      </c>
      <c r="P23" s="44">
        <f t="shared" ref="P23:Q23" si="68">$B$11*K23</f>
        <v>32.526944730437705</v>
      </c>
      <c r="Q23" s="43">
        <f t="shared" si="68"/>
        <v>3.6110751375997459</v>
      </c>
      <c r="R23" s="43">
        <f t="shared" ref="R23:S23" si="69">$B$12 *K23</f>
        <v>30.777379505393753</v>
      </c>
      <c r="S23" s="43">
        <f t="shared" si="69"/>
        <v>3.4168419706631266</v>
      </c>
      <c r="U23" s="32">
        <v>3.1796041265939983</v>
      </c>
    </row>
    <row r="24" spans="2:21" ht="15.75" customHeight="1">
      <c r="B24" s="120" t="s">
        <v>208</v>
      </c>
      <c r="C24" s="49" t="s">
        <v>204</v>
      </c>
      <c r="D24" s="50">
        <f t="shared" ref="D24:D27" si="70">D20</f>
        <v>1.0706532172356522</v>
      </c>
      <c r="E24" s="50">
        <v>31.556093170331884</v>
      </c>
      <c r="F24" s="50">
        <f t="shared" ref="F24:F25" si="71">$B$11*D24</f>
        <v>31.24521914367666</v>
      </c>
      <c r="G24" s="50">
        <f t="shared" si="57"/>
        <v>0.99494909997498904</v>
      </c>
      <c r="I24" s="42">
        <v>0.750000000000004</v>
      </c>
      <c r="J24" s="43">
        <f t="shared" si="0"/>
        <v>8.4271625000000391E-2</v>
      </c>
      <c r="K24" s="43">
        <f t="shared" si="10"/>
        <v>1.1510844299466771</v>
      </c>
      <c r="L24" s="43">
        <f t="shared" si="2"/>
        <v>0.1285295263111052</v>
      </c>
      <c r="M24" s="43">
        <f t="shared" si="3"/>
        <v>6.4109880432155784</v>
      </c>
      <c r="N24" s="43">
        <f t="shared" ref="N24:O24" si="72">$B$10*K24</f>
        <v>30.538608399883131</v>
      </c>
      <c r="O24" s="44">
        <f t="shared" si="72"/>
        <v>3.4099261268082168</v>
      </c>
      <c r="P24" s="44">
        <f t="shared" ref="P24:Q24" si="73">$B$11*K24</f>
        <v>33.592469239871448</v>
      </c>
      <c r="Q24" s="43">
        <f t="shared" si="73"/>
        <v>3.7509187394890393</v>
      </c>
      <c r="R24" s="43">
        <f t="shared" ref="R24:S24" si="74">$B$12 *K24</f>
        <v>31.78559138852378</v>
      </c>
      <c r="S24" s="43">
        <f t="shared" si="74"/>
        <v>3.5491636394339534</v>
      </c>
      <c r="U24" s="32">
        <v>31.556093170331884</v>
      </c>
    </row>
    <row r="25" spans="2:21" ht="15.75" customHeight="1">
      <c r="B25" s="113"/>
      <c r="C25" s="49" t="s">
        <v>205</v>
      </c>
      <c r="D25" s="50">
        <f t="shared" si="70"/>
        <v>0.12272879752017674</v>
      </c>
      <c r="E25" s="50">
        <v>3.4975645392533985</v>
      </c>
      <c r="F25" s="50">
        <f t="shared" si="71"/>
        <v>3.5816341949251553</v>
      </c>
      <c r="G25" s="50">
        <f t="shared" si="57"/>
        <v>2.3472429370614054</v>
      </c>
      <c r="I25" s="42">
        <v>0.70000000000000395</v>
      </c>
      <c r="J25" s="43">
        <f t="shared" si="0"/>
        <v>7.9509500000000372E-2</v>
      </c>
      <c r="K25" s="43">
        <f t="shared" si="10"/>
        <v>1.191404320876652</v>
      </c>
      <c r="L25" s="43">
        <f t="shared" si="2"/>
        <v>0.13446106131301502</v>
      </c>
      <c r="M25" s="43">
        <f t="shared" si="3"/>
        <v>6.4801682746712634</v>
      </c>
      <c r="N25" s="43">
        <f t="shared" ref="N25:O25" si="75">$B$10*K25</f>
        <v>31.60830696221495</v>
      </c>
      <c r="O25" s="44">
        <f t="shared" si="75"/>
        <v>3.567291494561402</v>
      </c>
      <c r="P25" s="44">
        <f t="shared" ref="P25:Q25" si="76">$B$11*K25</f>
        <v>34.769137658436449</v>
      </c>
      <c r="Q25" s="43">
        <f t="shared" si="76"/>
        <v>3.9240206440175425</v>
      </c>
      <c r="R25" s="43">
        <f t="shared" ref="R25:S25" si="77">$B$12 *K25</f>
        <v>32.898968951965756</v>
      </c>
      <c r="S25" s="43">
        <f t="shared" si="77"/>
        <v>3.712954707206598</v>
      </c>
      <c r="U25" s="32">
        <v>3.4975645392533985</v>
      </c>
    </row>
    <row r="26" spans="2:21" ht="15.75" customHeight="1">
      <c r="B26" s="113"/>
      <c r="C26" s="49" t="s">
        <v>206</v>
      </c>
      <c r="D26" s="50">
        <f t="shared" si="70"/>
        <v>0.81352052141333531</v>
      </c>
      <c r="E26" s="50">
        <v>21.63</v>
      </c>
      <c r="F26" s="50">
        <f>F24/(3)^(0.25)</f>
        <v>23.741232511369819</v>
      </c>
      <c r="G26" s="50">
        <f t="shared" si="57"/>
        <v>8.892682847694358</v>
      </c>
      <c r="I26" s="42">
        <v>0.65000000000000502</v>
      </c>
      <c r="J26" s="43">
        <f t="shared" si="0"/>
        <v>7.5080425000000423E-2</v>
      </c>
      <c r="K26" s="43">
        <f t="shared" si="10"/>
        <v>1.2362442704066823</v>
      </c>
      <c r="L26" s="43">
        <f t="shared" si="2"/>
        <v>0.14185335038629349</v>
      </c>
      <c r="M26" s="43">
        <f t="shared" si="3"/>
        <v>6.5889406640068078</v>
      </c>
      <c r="N26" s="43">
        <f t="shared" ref="N26:O26" si="78">$B$10*K26</f>
        <v>32.797924008317771</v>
      </c>
      <c r="O26" s="44">
        <f t="shared" si="78"/>
        <v>3.7634110973589512</v>
      </c>
      <c r="P26" s="44">
        <f t="shared" ref="P26:Q26" si="79">$B$11*K26</f>
        <v>36.077716409149552</v>
      </c>
      <c r="Q26" s="43">
        <f t="shared" si="79"/>
        <v>4.1397522070948467</v>
      </c>
      <c r="R26" s="43">
        <f t="shared" ref="R26:S26" si="80">$B$12 *K26</f>
        <v>34.137161630594548</v>
      </c>
      <c r="S26" s="43">
        <f t="shared" si="80"/>
        <v>3.917082461692829</v>
      </c>
      <c r="U26" s="32">
        <v>29.858748285756967</v>
      </c>
    </row>
    <row r="27" spans="2:21" ht="15.75" customHeight="1">
      <c r="B27" s="113"/>
      <c r="C27" s="49" t="s">
        <v>207</v>
      </c>
      <c r="D27" s="50">
        <f t="shared" si="70"/>
        <v>0.14171500857118624</v>
      </c>
      <c r="E27" s="50">
        <v>3.06</v>
      </c>
      <c r="F27" s="50">
        <f>2 * F25 /(3^(3/4))</f>
        <v>3.142463791895346</v>
      </c>
      <c r="G27" s="50">
        <f t="shared" si="57"/>
        <v>2.6241763583092452</v>
      </c>
      <c r="I27" s="42">
        <v>0.60000000000000497</v>
      </c>
      <c r="J27" s="43">
        <f t="shared" si="0"/>
        <v>7.0984400000000392E-2</v>
      </c>
      <c r="K27" s="43">
        <f t="shared" si="10"/>
        <v>1.2865161648754608</v>
      </c>
      <c r="L27" s="43">
        <f t="shared" si="2"/>
        <v>0.15115017629442884</v>
      </c>
      <c r="M27" s="43">
        <f t="shared" si="3"/>
        <v>6.7471484230576637</v>
      </c>
      <c r="N27" s="43">
        <f t="shared" ref="N27:O27" si="81">$B$10*K27</f>
        <v>34.131652150894944</v>
      </c>
      <c r="O27" s="44">
        <f t="shared" si="81"/>
        <v>4.0100586224093817</v>
      </c>
      <c r="P27" s="44">
        <f t="shared" ref="P27:Q27" si="82">$B$11*K27</f>
        <v>37.544817365984436</v>
      </c>
      <c r="Q27" s="43">
        <f t="shared" si="82"/>
        <v>4.4110644846503204</v>
      </c>
      <c r="R27" s="43">
        <f t="shared" ref="R27:S27" si="83">$B$12 *K27</f>
        <v>35.525349894061549</v>
      </c>
      <c r="S27" s="43">
        <f t="shared" si="83"/>
        <v>4.1738013450678046</v>
      </c>
      <c r="U27" s="32">
        <v>3.3094369010464679</v>
      </c>
    </row>
    <row r="28" spans="2:21" ht="15.75" customHeight="1">
      <c r="B28" s="120" t="s">
        <v>209</v>
      </c>
      <c r="C28" s="49" t="s">
        <v>204</v>
      </c>
      <c r="D28" s="50">
        <f t="shared" ref="D28:D31" si="84">D20</f>
        <v>1.0706532172356522</v>
      </c>
      <c r="E28" s="50">
        <v>29.858748285756967</v>
      </c>
      <c r="F28" s="50">
        <f t="shared" ref="F28:F29" si="85">$B$12*D28</f>
        <v>29.564595607845462</v>
      </c>
      <c r="G28" s="50">
        <f t="shared" si="57"/>
        <v>0.99494909997499426</v>
      </c>
      <c r="I28" s="42">
        <v>0.55000000000000504</v>
      </c>
      <c r="J28" s="43">
        <f t="shared" si="0"/>
        <v>6.7221425000000362E-2</v>
      </c>
      <c r="K28" s="43">
        <f t="shared" si="10"/>
        <v>1.3434106467293532</v>
      </c>
      <c r="L28" s="43">
        <f t="shared" si="2"/>
        <v>0.16297990943542356</v>
      </c>
      <c r="M28" s="43">
        <f t="shared" si="3"/>
        <v>6.968174913783824</v>
      </c>
      <c r="N28" s="43">
        <f t="shared" ref="N28:O28" si="86">$B$10*K28</f>
        <v>35.641079484153856</v>
      </c>
      <c r="O28" s="44">
        <f t="shared" si="86"/>
        <v>4.3239049211423879</v>
      </c>
      <c r="P28" s="44">
        <f t="shared" ref="P28:Q28" si="87">$B$11*K28</f>
        <v>39.205187432569247</v>
      </c>
      <c r="Q28" s="43">
        <f t="shared" si="87"/>
        <v>4.7562954132566277</v>
      </c>
      <c r="R28" s="43">
        <f t="shared" ref="R28:S28" si="88">$B$12 *K28</f>
        <v>37.096411673216515</v>
      </c>
      <c r="S28" s="43">
        <f t="shared" si="88"/>
        <v>4.5004629296332004</v>
      </c>
    </row>
    <row r="29" spans="2:21" ht="15.75" customHeight="1">
      <c r="B29" s="113"/>
      <c r="C29" s="49" t="s">
        <v>205</v>
      </c>
      <c r="D29" s="50">
        <f t="shared" si="84"/>
        <v>0.12272879752017674</v>
      </c>
      <c r="E29" s="50">
        <v>3.3094369010464679</v>
      </c>
      <c r="F29" s="50">
        <f t="shared" si="85"/>
        <v>3.3889846027731596</v>
      </c>
      <c r="G29" s="50">
        <f t="shared" si="57"/>
        <v>2.3472429370614103</v>
      </c>
      <c r="I29" s="42">
        <v>0.500000000000005</v>
      </c>
      <c r="J29" s="43">
        <f t="shared" si="0"/>
        <v>6.379150000000032E-2</v>
      </c>
      <c r="K29" s="43">
        <f t="shared" si="10"/>
        <v>1.4085164664677177</v>
      </c>
      <c r="L29" s="43">
        <f t="shared" si="2"/>
        <v>0.17825782365100476</v>
      </c>
      <c r="M29" s="43">
        <f t="shared" si="3"/>
        <v>7.2706878771780055</v>
      </c>
      <c r="N29" s="43">
        <f t="shared" ref="N29:O29" si="89">$B$10*K29</f>
        <v>37.368356026010481</v>
      </c>
      <c r="O29" s="44">
        <f t="shared" si="89"/>
        <v>4.7292324777128956</v>
      </c>
      <c r="P29" s="44">
        <f t="shared" ref="P29:Q29" si="90">$B$11*K29</f>
        <v>41.105191628611529</v>
      </c>
      <c r="Q29" s="43">
        <f t="shared" si="90"/>
        <v>5.2021557254841859</v>
      </c>
      <c r="R29" s="43">
        <f t="shared" ref="R29:S29" si="91">$B$12 *K29</f>
        <v>38.894218097645698</v>
      </c>
      <c r="S29" s="43">
        <f t="shared" si="91"/>
        <v>4.9223412262129553</v>
      </c>
    </row>
    <row r="30" spans="2:21" ht="15.75" customHeight="1">
      <c r="B30" s="113"/>
      <c r="C30" s="49" t="s">
        <v>206</v>
      </c>
      <c r="D30" s="50">
        <f t="shared" si="84"/>
        <v>0.81352052141333531</v>
      </c>
      <c r="E30" s="50">
        <v>20.45</v>
      </c>
      <c r="F30" s="50">
        <f>F28/(3)^(0.25)</f>
        <v>22.464234774699314</v>
      </c>
      <c r="G30" s="50">
        <f t="shared" si="57"/>
        <v>8.9664072464550504</v>
      </c>
      <c r="I30" s="42">
        <v>0.45000000000000601</v>
      </c>
      <c r="J30" s="43">
        <f t="shared" si="0"/>
        <v>6.0694625000000349E-2</v>
      </c>
      <c r="K30" s="43">
        <f t="shared" si="10"/>
        <v>1.4840083527582877</v>
      </c>
      <c r="L30" s="43">
        <f t="shared" si="2"/>
        <v>0.19836236091353687</v>
      </c>
      <c r="M30" s="43">
        <f t="shared" si="3"/>
        <v>7.6815232895791423</v>
      </c>
      <c r="N30" s="43">
        <f t="shared" ref="N30:O30" si="92">$B$10*K30</f>
        <v>39.371177967493104</v>
      </c>
      <c r="O30" s="44">
        <f t="shared" si="92"/>
        <v>5.2626117629750269</v>
      </c>
      <c r="P30" s="44">
        <f t="shared" ref="P30:Q30" si="93">$B$11*K30</f>
        <v>43.308295764242416</v>
      </c>
      <c r="Q30" s="43">
        <f t="shared" si="93"/>
        <v>5.7888729392725304</v>
      </c>
      <c r="R30" s="43">
        <f t="shared" ref="R30:S30" si="94">$B$12 *K30</f>
        <v>40.978821266930261</v>
      </c>
      <c r="S30" s="43">
        <f t="shared" si="94"/>
        <v>5.4774999876878185</v>
      </c>
    </row>
    <row r="31" spans="2:21" ht="15.75" customHeight="1">
      <c r="B31" s="113"/>
      <c r="C31" s="49" t="s">
        <v>207</v>
      </c>
      <c r="D31" s="50">
        <f t="shared" si="84"/>
        <v>0.14171500857118624</v>
      </c>
      <c r="E31" s="50">
        <v>2.91</v>
      </c>
      <c r="F31" s="50">
        <f>2 * F29 /(3^(3/4))</f>
        <v>2.9734363773372539</v>
      </c>
      <c r="G31" s="50">
        <f t="shared" si="57"/>
        <v>2.1334365120689656</v>
      </c>
      <c r="I31" s="42">
        <v>0.40000000000000602</v>
      </c>
      <c r="J31" s="43">
        <f t="shared" si="0"/>
        <v>5.793080000000031E-2</v>
      </c>
      <c r="K31" s="43">
        <f t="shared" si="10"/>
        <v>1.572954797172557</v>
      </c>
      <c r="L31" s="43">
        <f t="shared" si="2"/>
        <v>0.22545415977334696</v>
      </c>
      <c r="M31" s="43">
        <f t="shared" si="3"/>
        <v>8.2406789325429255</v>
      </c>
      <c r="N31" s="43">
        <f t="shared" ref="N31:O31" si="95">$B$10*K31</f>
        <v>41.730953292275466</v>
      </c>
      <c r="O31" s="44">
        <f t="shared" si="95"/>
        <v>5.9813651529991336</v>
      </c>
      <c r="P31" s="44">
        <f t="shared" ref="P31:Q31" si="96">$B$11*K31</f>
        <v>45.904048621503023</v>
      </c>
      <c r="Q31" s="43">
        <f t="shared" si="96"/>
        <v>6.5795016682990477</v>
      </c>
      <c r="R31" s="43">
        <f t="shared" ref="R31:S31" si="97">$B$12 *K31</f>
        <v>43.434953296919559</v>
      </c>
      <c r="S31" s="43">
        <f t="shared" si="97"/>
        <v>6.2256022346949207</v>
      </c>
    </row>
    <row r="32" spans="2:21" ht="15.75" customHeight="1">
      <c r="I32" s="42">
        <v>0.35000000000000597</v>
      </c>
      <c r="J32" s="43">
        <f t="shared" si="0"/>
        <v>5.5500025000000272E-2</v>
      </c>
      <c r="K32" s="43">
        <f t="shared" si="10"/>
        <v>1.6798467434371829</v>
      </c>
      <c r="L32" s="43">
        <f t="shared" si="2"/>
        <v>0.26308868128284529</v>
      </c>
      <c r="M32" s="43">
        <f t="shared" si="3"/>
        <v>9.0104551461072599</v>
      </c>
      <c r="N32" s="43">
        <f t="shared" ref="N32:O32" si="98">$B$10*K32</f>
        <v>44.566828057976167</v>
      </c>
      <c r="O32" s="44">
        <f t="shared" si="98"/>
        <v>6.9798200749797816</v>
      </c>
      <c r="P32" s="44">
        <f t="shared" ref="P32:Q32" si="99">$B$11*K32</f>
        <v>49.023510863773794</v>
      </c>
      <c r="Q32" s="43">
        <f t="shared" si="99"/>
        <v>7.6778020824777604</v>
      </c>
      <c r="R32" s="43">
        <f t="shared" ref="R32:S32" si="100">$B$12 *K32</f>
        <v>46.386625336171129</v>
      </c>
      <c r="S32" s="43">
        <f t="shared" si="100"/>
        <v>7.2648270662382828</v>
      </c>
    </row>
    <row r="33" spans="9:19" ht="15.75" customHeight="1">
      <c r="I33" s="42">
        <v>0.30000000000000598</v>
      </c>
      <c r="J33" s="43">
        <f t="shared" si="0"/>
        <v>5.3402300000000229E-2</v>
      </c>
      <c r="K33" s="43">
        <f t="shared" si="10"/>
        <v>1.8115587021800821</v>
      </c>
      <c r="L33" s="43">
        <f t="shared" si="2"/>
        <v>0.31748060331616601</v>
      </c>
      <c r="M33" s="43">
        <f t="shared" si="3"/>
        <v>10.093365608733171</v>
      </c>
      <c r="N33" s="43">
        <f t="shared" ref="N33:O33" si="101">$B$10*K33</f>
        <v>48.061185052985905</v>
      </c>
      <c r="O33" s="44">
        <f t="shared" si="101"/>
        <v>8.4228537603276958</v>
      </c>
      <c r="P33" s="44">
        <f t="shared" ref="P33:Q33" si="102">$B$11*K33</f>
        <v>52.867303558284497</v>
      </c>
      <c r="Q33" s="43">
        <f t="shared" si="102"/>
        <v>9.2651391363604656</v>
      </c>
      <c r="R33" s="43">
        <f t="shared" ref="R33:S33" si="103">$B$12 *K33</f>
        <v>50.023667409425336</v>
      </c>
      <c r="S33" s="43">
        <f t="shared" si="103"/>
        <v>8.7667841456748139</v>
      </c>
    </row>
    <row r="34" spans="9:19" ht="15.75" customHeight="1">
      <c r="I34" s="42">
        <v>0.250000000000006</v>
      </c>
      <c r="J34" s="43">
        <f t="shared" si="0"/>
        <v>5.1637625000000187E-2</v>
      </c>
      <c r="K34" s="43">
        <f t="shared" si="10"/>
        <v>1.9792196484286184</v>
      </c>
      <c r="L34" s="43">
        <f t="shared" si="2"/>
        <v>0.40035775049983152</v>
      </c>
      <c r="M34" s="43">
        <f t="shared" si="3"/>
        <v>11.670354458922706</v>
      </c>
      <c r="N34" s="43">
        <f t="shared" ref="N34:O34" si="104">$B$10*K34</f>
        <v>52.509279257226936</v>
      </c>
      <c r="O34" s="44">
        <f t="shared" si="104"/>
        <v>10.621608844920997</v>
      </c>
      <c r="P34" s="44">
        <f t="shared" ref="P34:Q34" si="105">$B$11*K34</f>
        <v>57.760207182949635</v>
      </c>
      <c r="Q34" s="43">
        <f t="shared" si="105"/>
        <v>11.683769729413099</v>
      </c>
      <c r="R34" s="43">
        <f t="shared" ref="R34:S34" si="106">$B$12 *K34</f>
        <v>54.653390643120794</v>
      </c>
      <c r="S34" s="43">
        <f t="shared" si="106"/>
        <v>11.055320996050392</v>
      </c>
    </row>
    <row r="35" spans="9:19" ht="15.75" customHeight="1">
      <c r="I35" s="42">
        <v>0.20000000000000601</v>
      </c>
      <c r="J35" s="43">
        <f t="shared" si="0"/>
        <v>5.0206000000000153E-2</v>
      </c>
      <c r="K35" s="43">
        <f t="shared" si="10"/>
        <v>2.2021659618497558</v>
      </c>
      <c r="L35" s="43">
        <f t="shared" si="2"/>
        <v>0.53617401000225151</v>
      </c>
      <c r="M35" s="43">
        <f t="shared" si="3"/>
        <v>14.091773195470658</v>
      </c>
      <c r="N35" s="43">
        <f t="shared" ref="N35:O35" si="107">$B$10*K35</f>
        <v>58.424110509076215</v>
      </c>
      <c r="O35" s="44">
        <f t="shared" si="107"/>
        <v>14.224854145939833</v>
      </c>
      <c r="P35" s="44">
        <f t="shared" ref="P35:Q35" si="108">$B$11*K35</f>
        <v>64.266521559983843</v>
      </c>
      <c r="Q35" s="43">
        <f t="shared" si="108"/>
        <v>15.647339560533819</v>
      </c>
      <c r="R35" s="43">
        <f t="shared" ref="R35:S35" si="109">$B$12 *K35</f>
        <v>60.809742197897975</v>
      </c>
      <c r="S35" s="43">
        <f t="shared" si="109"/>
        <v>14.805697611483904</v>
      </c>
    </row>
    <row r="36" spans="9:19" ht="15.75" customHeight="1">
      <c r="I36" s="42">
        <v>0.15000000000000699</v>
      </c>
      <c r="J36" s="43">
        <f t="shared" si="0"/>
        <v>4.9107425000000128E-2</v>
      </c>
      <c r="K36" s="43">
        <f t="shared" si="10"/>
        <v>2.5170964639572322</v>
      </c>
      <c r="L36" s="43">
        <f t="shared" si="2"/>
        <v>0.78315322502966067</v>
      </c>
      <c r="M36" s="43">
        <f t="shared" si="3"/>
        <v>18.127558346391133</v>
      </c>
      <c r="N36" s="43">
        <f t="shared" ref="N36:O36" si="110">$B$10*K36</f>
        <v>66.779309334486712</v>
      </c>
      <c r="O36" s="44">
        <f t="shared" si="110"/>
        <v>20.777285344216029</v>
      </c>
      <c r="P36" s="44">
        <f t="shared" ref="P36:Q36" si="111">$B$11*K36</f>
        <v>73.457240267935404</v>
      </c>
      <c r="Q36" s="43">
        <f t="shared" si="111"/>
        <v>22.855013878637635</v>
      </c>
      <c r="R36" s="43">
        <f t="shared" ref="R36:S36" si="112">$B$12 *K36</f>
        <v>69.506108854716175</v>
      </c>
      <c r="S36" s="43">
        <f t="shared" si="112"/>
        <v>21.625684231130251</v>
      </c>
    </row>
    <row r="37" spans="9:19" ht="12.5">
      <c r="I37" s="42">
        <v>0.100000000000007</v>
      </c>
      <c r="J37" s="43">
        <f t="shared" si="0"/>
        <v>4.8341900000000083E-2</v>
      </c>
      <c r="K37" s="43">
        <f t="shared" si="10"/>
        <v>3.0005311728288513</v>
      </c>
      <c r="L37" s="43">
        <f t="shared" si="2"/>
        <v>1.3059247261638165</v>
      </c>
      <c r="M37" s="43">
        <f t="shared" si="3"/>
        <v>25.800005198688417</v>
      </c>
      <c r="N37" s="43">
        <f t="shared" ref="N37:O37" si="113">$B$10*K37</f>
        <v>79.604974313575852</v>
      </c>
      <c r="O37" s="44">
        <f t="shared" si="113"/>
        <v>34.646566988912234</v>
      </c>
      <c r="P37" s="44">
        <f t="shared" ref="P37:Q37" si="114">$B$11*K37</f>
        <v>87.565471744933447</v>
      </c>
      <c r="Q37" s="43">
        <f t="shared" si="114"/>
        <v>38.111223687803466</v>
      </c>
      <c r="R37" s="43">
        <f t="shared" ref="R37:S37" si="115">$B$12 *K37</f>
        <v>82.855484208472859</v>
      </c>
      <c r="S37" s="43">
        <f t="shared" si="115"/>
        <v>36.061290249522159</v>
      </c>
    </row>
    <row r="38" spans="9:19" ht="12.5">
      <c r="I38" s="55"/>
      <c r="J38" s="43"/>
      <c r="K38" s="55"/>
      <c r="L38" s="55"/>
      <c r="M38" s="55"/>
      <c r="N38" s="43"/>
      <c r="O38" s="43"/>
      <c r="P38" s="56"/>
      <c r="Q38" s="55"/>
      <c r="R38" s="55"/>
      <c r="S38" s="55"/>
    </row>
    <row r="39" spans="9:19" ht="12.5">
      <c r="I39" s="55"/>
      <c r="J39" s="43"/>
      <c r="K39" s="55"/>
      <c r="L39" s="55"/>
      <c r="M39" s="55"/>
      <c r="N39" s="43"/>
      <c r="O39" s="43"/>
      <c r="P39" s="56"/>
      <c r="Q39" s="55"/>
      <c r="R39" s="55"/>
      <c r="S39" s="55"/>
    </row>
    <row r="40" spans="9:19" ht="12.5">
      <c r="I40" s="55"/>
      <c r="J40" s="43"/>
      <c r="K40" s="55"/>
      <c r="L40" s="55"/>
      <c r="M40" s="55"/>
      <c r="N40" s="43"/>
      <c r="O40" s="43"/>
      <c r="P40" s="55"/>
      <c r="Q40" s="55"/>
      <c r="R40" s="55"/>
      <c r="S40" s="55"/>
    </row>
    <row r="41" spans="9:19" ht="12.5">
      <c r="I41" s="55"/>
      <c r="J41" s="43"/>
      <c r="K41" s="55"/>
      <c r="L41" s="55"/>
      <c r="M41" s="55"/>
      <c r="N41" s="43"/>
      <c r="O41" s="43"/>
      <c r="P41" s="55"/>
      <c r="Q41" s="55"/>
      <c r="R41" s="55"/>
      <c r="S41" s="55"/>
    </row>
    <row r="42" spans="9:19" ht="12.5">
      <c r="I42" s="55"/>
      <c r="J42" s="43"/>
      <c r="K42" s="55"/>
      <c r="L42" s="55"/>
      <c r="M42" s="55"/>
      <c r="N42" s="43"/>
      <c r="O42" s="43"/>
      <c r="P42" s="55"/>
      <c r="Q42" s="55"/>
      <c r="R42" s="55"/>
      <c r="S42" s="55"/>
    </row>
    <row r="43" spans="9:19" ht="12.5">
      <c r="I43" s="55"/>
      <c r="J43" s="43"/>
      <c r="K43" s="55"/>
      <c r="L43" s="55"/>
      <c r="M43" s="55"/>
      <c r="N43" s="43"/>
      <c r="O43" s="43"/>
      <c r="P43" s="55"/>
      <c r="Q43" s="55"/>
      <c r="R43" s="55"/>
      <c r="S43" s="55"/>
    </row>
    <row r="44" spans="9:19" ht="12.5">
      <c r="I44" s="55"/>
      <c r="J44" s="43"/>
      <c r="K44" s="55"/>
      <c r="L44" s="55"/>
      <c r="M44" s="55"/>
      <c r="N44" s="43"/>
      <c r="O44" s="43"/>
      <c r="P44" s="55"/>
      <c r="Q44" s="55"/>
      <c r="R44" s="55"/>
      <c r="S44" s="55"/>
    </row>
    <row r="45" spans="9:19" ht="12.5">
      <c r="I45" s="55"/>
      <c r="J45" s="55"/>
      <c r="K45" s="55"/>
      <c r="L45" s="55"/>
      <c r="M45" s="55"/>
      <c r="N45" s="43"/>
      <c r="O45" s="43"/>
      <c r="P45" s="55"/>
      <c r="Q45" s="55"/>
      <c r="R45" s="55"/>
      <c r="S45" s="55"/>
    </row>
    <row r="46" spans="9:19" ht="12.5">
      <c r="I46" s="55"/>
      <c r="J46" s="55"/>
      <c r="K46" s="55"/>
      <c r="L46" s="55"/>
      <c r="M46" s="55"/>
      <c r="N46" s="43"/>
      <c r="O46" s="43"/>
      <c r="P46" s="55"/>
      <c r="Q46" s="55"/>
      <c r="R46" s="55"/>
      <c r="S46" s="55"/>
    </row>
    <row r="47" spans="9:19" ht="12.5">
      <c r="I47" s="55"/>
      <c r="J47" s="55"/>
      <c r="K47" s="55"/>
      <c r="L47" s="55"/>
      <c r="M47" s="55"/>
      <c r="N47" s="43"/>
      <c r="O47" s="43"/>
      <c r="P47" s="55"/>
      <c r="Q47" s="55"/>
      <c r="R47" s="55"/>
      <c r="S47" s="55"/>
    </row>
    <row r="48" spans="9:19" ht="12.5">
      <c r="I48" s="55"/>
      <c r="J48" s="55"/>
      <c r="K48" s="55"/>
      <c r="L48" s="55"/>
      <c r="M48" s="55"/>
      <c r="N48" s="43"/>
      <c r="O48" s="43"/>
      <c r="P48" s="55"/>
      <c r="Q48" s="55"/>
      <c r="R48" s="55"/>
      <c r="S48" s="55"/>
    </row>
    <row r="49" spans="9:19" ht="12.5">
      <c r="I49" s="55"/>
      <c r="J49" s="55"/>
      <c r="K49" s="55"/>
      <c r="L49" s="55"/>
      <c r="M49" s="55"/>
      <c r="N49" s="43"/>
      <c r="O49" s="43"/>
      <c r="P49" s="55"/>
      <c r="Q49" s="55"/>
      <c r="R49" s="55"/>
      <c r="S49" s="55"/>
    </row>
    <row r="50" spans="9:19" ht="12.5">
      <c r="I50" s="55"/>
      <c r="J50" s="55"/>
      <c r="K50" s="55"/>
      <c r="L50" s="55"/>
      <c r="M50" s="55"/>
      <c r="N50" s="43"/>
      <c r="O50" s="43"/>
      <c r="P50" s="55"/>
      <c r="Q50" s="55"/>
      <c r="R50" s="55"/>
      <c r="S50" s="55"/>
    </row>
    <row r="51" spans="9:19" ht="12.5">
      <c r="I51" s="55"/>
      <c r="J51" s="55"/>
      <c r="K51" s="55"/>
      <c r="L51" s="55"/>
      <c r="M51" s="55"/>
      <c r="N51" s="43"/>
      <c r="O51" s="43"/>
      <c r="P51" s="55"/>
      <c r="Q51" s="55"/>
      <c r="R51" s="55"/>
      <c r="S51" s="55"/>
    </row>
    <row r="52" spans="9:19" ht="12.5">
      <c r="I52" s="55"/>
      <c r="J52" s="55"/>
      <c r="K52" s="55"/>
      <c r="L52" s="55"/>
      <c r="M52" s="55"/>
      <c r="N52" s="43"/>
      <c r="O52" s="43"/>
      <c r="P52" s="55"/>
      <c r="Q52" s="55"/>
      <c r="R52" s="55"/>
      <c r="S52" s="55"/>
    </row>
    <row r="53" spans="9:19" ht="12.5">
      <c r="I53" s="55"/>
      <c r="J53" s="55"/>
      <c r="K53" s="55"/>
      <c r="L53" s="55"/>
      <c r="M53" s="55"/>
      <c r="N53" s="43"/>
      <c r="O53" s="43"/>
      <c r="P53" s="55"/>
      <c r="Q53" s="55"/>
      <c r="R53" s="55"/>
      <c r="S53" s="55"/>
    </row>
    <row r="54" spans="9:19" ht="12.5">
      <c r="I54" s="55"/>
      <c r="J54" s="55"/>
      <c r="K54" s="55"/>
      <c r="L54" s="55"/>
      <c r="M54" s="55"/>
      <c r="N54" s="43"/>
      <c r="O54" s="43"/>
      <c r="P54" s="55"/>
      <c r="Q54" s="55"/>
      <c r="R54" s="55"/>
      <c r="S54" s="55"/>
    </row>
    <row r="55" spans="9:19" ht="12.5">
      <c r="I55" s="55"/>
      <c r="J55" s="55"/>
      <c r="K55" s="55"/>
      <c r="L55" s="55"/>
      <c r="M55" s="55"/>
      <c r="N55" s="43"/>
      <c r="O55" s="43"/>
      <c r="P55" s="55"/>
      <c r="Q55" s="55"/>
      <c r="R55" s="55"/>
      <c r="S55" s="55"/>
    </row>
    <row r="56" spans="9:19" ht="12.5">
      <c r="I56" s="55"/>
      <c r="J56" s="55"/>
      <c r="K56" s="55"/>
      <c r="L56" s="55"/>
      <c r="M56" s="55"/>
      <c r="N56" s="43"/>
      <c r="O56" s="43"/>
      <c r="P56" s="55"/>
      <c r="Q56" s="55"/>
      <c r="R56" s="55"/>
      <c r="S56" s="55"/>
    </row>
    <row r="57" spans="9:19" ht="12.5">
      <c r="I57" s="55"/>
      <c r="J57" s="55"/>
      <c r="K57" s="55"/>
      <c r="L57" s="55"/>
      <c r="M57" s="55"/>
      <c r="N57" s="43"/>
      <c r="O57" s="43"/>
      <c r="P57" s="55"/>
      <c r="Q57" s="55"/>
      <c r="R57" s="55"/>
      <c r="S57" s="55"/>
    </row>
    <row r="58" spans="9:19" ht="12.5">
      <c r="I58" s="55"/>
      <c r="J58" s="55"/>
      <c r="K58" s="55"/>
      <c r="L58" s="55"/>
      <c r="M58" s="55"/>
      <c r="N58" s="43"/>
      <c r="O58" s="43"/>
      <c r="P58" s="55"/>
      <c r="Q58" s="55"/>
      <c r="R58" s="55"/>
      <c r="S58" s="55"/>
    </row>
    <row r="59" spans="9:19" ht="12.5">
      <c r="I59" s="55"/>
      <c r="J59" s="55"/>
      <c r="K59" s="55"/>
      <c r="L59" s="55"/>
      <c r="M59" s="55"/>
      <c r="N59" s="43"/>
      <c r="O59" s="43"/>
      <c r="P59" s="55"/>
      <c r="Q59" s="55"/>
      <c r="R59" s="55"/>
      <c r="S59" s="55"/>
    </row>
    <row r="60" spans="9:19" ht="12.5">
      <c r="I60" s="55"/>
      <c r="J60" s="55"/>
      <c r="K60" s="55"/>
      <c r="L60" s="55"/>
      <c r="M60" s="55"/>
      <c r="N60" s="43"/>
      <c r="O60" s="43"/>
      <c r="P60" s="55"/>
      <c r="Q60" s="55"/>
      <c r="R60" s="55"/>
      <c r="S60" s="55"/>
    </row>
    <row r="61" spans="9:19" ht="12.5">
      <c r="I61" s="55"/>
      <c r="J61" s="55"/>
      <c r="K61" s="55"/>
      <c r="L61" s="55"/>
      <c r="M61" s="55"/>
      <c r="N61" s="43"/>
      <c r="O61" s="43"/>
      <c r="P61" s="55"/>
      <c r="Q61" s="55"/>
      <c r="R61" s="55"/>
      <c r="S61" s="55"/>
    </row>
    <row r="62" spans="9:19" ht="12.5">
      <c r="I62" s="55"/>
      <c r="J62" s="55"/>
      <c r="K62" s="55"/>
      <c r="L62" s="55"/>
      <c r="M62" s="55"/>
      <c r="N62" s="43"/>
      <c r="O62" s="43"/>
      <c r="P62" s="55"/>
      <c r="Q62" s="55"/>
      <c r="R62" s="55"/>
      <c r="S62" s="55"/>
    </row>
    <row r="63" spans="9:19" ht="12.5">
      <c r="I63" s="55"/>
      <c r="J63" s="55"/>
      <c r="K63" s="55"/>
      <c r="L63" s="55"/>
      <c r="M63" s="55"/>
      <c r="N63" s="43"/>
      <c r="O63" s="43"/>
      <c r="P63" s="55"/>
      <c r="Q63" s="55"/>
      <c r="R63" s="55"/>
      <c r="S63" s="55"/>
    </row>
    <row r="64" spans="9:19" ht="12.5">
      <c r="I64" s="55"/>
      <c r="J64" s="55"/>
      <c r="K64" s="55"/>
      <c r="L64" s="55"/>
      <c r="M64" s="55"/>
      <c r="N64" s="43"/>
      <c r="O64" s="43"/>
      <c r="P64" s="55"/>
      <c r="Q64" s="55"/>
      <c r="R64" s="55"/>
      <c r="S64" s="55"/>
    </row>
    <row r="65" spans="9:19" ht="12.5">
      <c r="I65" s="55"/>
      <c r="J65" s="55"/>
      <c r="K65" s="55"/>
      <c r="L65" s="55"/>
      <c r="M65" s="55"/>
      <c r="N65" s="43"/>
      <c r="O65" s="43"/>
      <c r="P65" s="55"/>
      <c r="Q65" s="55"/>
      <c r="R65" s="55"/>
      <c r="S65" s="55"/>
    </row>
    <row r="66" spans="9:19" ht="12.5">
      <c r="I66" s="55"/>
      <c r="J66" s="55"/>
      <c r="K66" s="55"/>
      <c r="L66" s="55"/>
      <c r="M66" s="55"/>
      <c r="N66" s="43"/>
      <c r="O66" s="43"/>
      <c r="P66" s="55"/>
      <c r="Q66" s="55"/>
      <c r="R66" s="55"/>
      <c r="S66" s="55"/>
    </row>
    <row r="67" spans="9:19" ht="12.5">
      <c r="I67" s="55"/>
      <c r="J67" s="55"/>
      <c r="K67" s="55"/>
      <c r="L67" s="55"/>
      <c r="M67" s="55"/>
      <c r="N67" s="43"/>
      <c r="O67" s="43"/>
      <c r="P67" s="55"/>
      <c r="Q67" s="55"/>
      <c r="R67" s="55"/>
      <c r="S67" s="55"/>
    </row>
    <row r="68" spans="9:19" ht="12.5">
      <c r="I68" s="55"/>
      <c r="J68" s="55"/>
      <c r="K68" s="55"/>
      <c r="L68" s="55"/>
      <c r="M68" s="55"/>
      <c r="N68" s="43"/>
      <c r="O68" s="43"/>
      <c r="P68" s="55"/>
      <c r="Q68" s="55"/>
      <c r="R68" s="55"/>
      <c r="S68" s="55"/>
    </row>
    <row r="69" spans="9:19" ht="12.5">
      <c r="I69" s="55"/>
      <c r="J69" s="55"/>
      <c r="K69" s="55"/>
      <c r="L69" s="55"/>
      <c r="M69" s="55"/>
      <c r="N69" s="43"/>
      <c r="O69" s="43"/>
      <c r="P69" s="55"/>
      <c r="Q69" s="55"/>
      <c r="R69" s="55"/>
      <c r="S69" s="55"/>
    </row>
    <row r="70" spans="9:19" ht="12.5">
      <c r="I70" s="55"/>
      <c r="J70" s="55"/>
      <c r="K70" s="55"/>
      <c r="L70" s="55"/>
      <c r="M70" s="55"/>
      <c r="N70" s="43"/>
      <c r="O70" s="43"/>
      <c r="P70" s="55"/>
      <c r="Q70" s="55"/>
      <c r="R70" s="55"/>
      <c r="S70" s="55"/>
    </row>
    <row r="71" spans="9:19" ht="12.5">
      <c r="I71" s="55"/>
      <c r="J71" s="55"/>
      <c r="K71" s="55"/>
      <c r="L71" s="55"/>
      <c r="M71" s="55"/>
      <c r="N71" s="43"/>
      <c r="O71" s="43"/>
      <c r="P71" s="55"/>
      <c r="Q71" s="55"/>
      <c r="R71" s="55"/>
      <c r="S71" s="55"/>
    </row>
    <row r="72" spans="9:19" ht="12.5">
      <c r="I72" s="55"/>
      <c r="J72" s="55"/>
      <c r="K72" s="55"/>
      <c r="L72" s="55"/>
      <c r="M72" s="55"/>
      <c r="N72" s="43"/>
      <c r="O72" s="43"/>
      <c r="P72" s="55"/>
      <c r="Q72" s="55"/>
      <c r="R72" s="55"/>
      <c r="S72" s="55"/>
    </row>
    <row r="73" spans="9:19" ht="12.5">
      <c r="I73" s="55"/>
      <c r="J73" s="55"/>
      <c r="K73" s="55"/>
      <c r="L73" s="55"/>
      <c r="M73" s="55"/>
      <c r="N73" s="43"/>
      <c r="O73" s="43"/>
      <c r="P73" s="55"/>
      <c r="Q73" s="55"/>
      <c r="R73" s="55"/>
      <c r="S73" s="55"/>
    </row>
    <row r="74" spans="9:19" ht="12.5">
      <c r="I74" s="55"/>
      <c r="J74" s="55"/>
      <c r="K74" s="55"/>
      <c r="L74" s="55"/>
      <c r="M74" s="55"/>
      <c r="N74" s="43"/>
      <c r="O74" s="43"/>
      <c r="P74" s="55"/>
      <c r="Q74" s="55"/>
      <c r="R74" s="55"/>
      <c r="S74" s="55"/>
    </row>
    <row r="75" spans="9:19" ht="12.5">
      <c r="I75" s="55"/>
      <c r="J75" s="55"/>
      <c r="K75" s="55"/>
      <c r="L75" s="55"/>
      <c r="M75" s="55"/>
      <c r="N75" s="43"/>
      <c r="O75" s="43"/>
      <c r="P75" s="55"/>
      <c r="Q75" s="55"/>
      <c r="R75" s="55"/>
      <c r="S75" s="55"/>
    </row>
    <row r="76" spans="9:19" ht="12.5">
      <c r="I76" s="55"/>
      <c r="J76" s="55"/>
      <c r="K76" s="55"/>
      <c r="L76" s="55"/>
      <c r="M76" s="55"/>
      <c r="N76" s="43"/>
      <c r="O76" s="43"/>
      <c r="P76" s="55"/>
      <c r="Q76" s="55"/>
      <c r="R76" s="55"/>
      <c r="S76" s="55"/>
    </row>
    <row r="77" spans="9:19" ht="12.5">
      <c r="I77" s="55"/>
      <c r="J77" s="55"/>
      <c r="K77" s="55"/>
      <c r="L77" s="55"/>
      <c r="M77" s="55"/>
      <c r="N77" s="43"/>
      <c r="O77" s="43"/>
      <c r="P77" s="55"/>
      <c r="Q77" s="55"/>
      <c r="R77" s="55"/>
      <c r="S77" s="55"/>
    </row>
    <row r="78" spans="9:19" ht="12.5">
      <c r="I78" s="55"/>
      <c r="J78" s="55"/>
      <c r="K78" s="55"/>
      <c r="L78" s="55"/>
      <c r="M78" s="55"/>
      <c r="N78" s="43"/>
      <c r="O78" s="43"/>
      <c r="P78" s="55"/>
      <c r="Q78" s="55"/>
      <c r="R78" s="55"/>
      <c r="S78" s="55"/>
    </row>
    <row r="79" spans="9:19" ht="12.5">
      <c r="I79" s="55"/>
      <c r="J79" s="55"/>
      <c r="K79" s="55"/>
      <c r="L79" s="55"/>
      <c r="M79" s="55"/>
      <c r="N79" s="43"/>
      <c r="O79" s="43"/>
      <c r="P79" s="55"/>
      <c r="Q79" s="55"/>
      <c r="R79" s="55"/>
      <c r="S79" s="55"/>
    </row>
    <row r="80" spans="9:19" ht="12.5">
      <c r="I80" s="55"/>
      <c r="J80" s="55"/>
      <c r="K80" s="55"/>
      <c r="L80" s="55"/>
      <c r="M80" s="55"/>
      <c r="N80" s="43"/>
      <c r="O80" s="43"/>
      <c r="P80" s="55"/>
      <c r="Q80" s="55"/>
      <c r="R80" s="55"/>
      <c r="S80" s="55"/>
    </row>
    <row r="81" spans="9:19" ht="12.5">
      <c r="I81" s="55"/>
      <c r="J81" s="55"/>
      <c r="K81" s="55"/>
      <c r="L81" s="55"/>
      <c r="M81" s="55"/>
      <c r="N81" s="43"/>
      <c r="O81" s="43"/>
      <c r="P81" s="55"/>
      <c r="Q81" s="55"/>
      <c r="R81" s="55"/>
      <c r="S81" s="55"/>
    </row>
    <row r="82" spans="9:19" ht="12.5">
      <c r="I82" s="55"/>
      <c r="J82" s="55"/>
      <c r="K82" s="55"/>
      <c r="L82" s="55"/>
      <c r="M82" s="55"/>
      <c r="N82" s="43"/>
      <c r="O82" s="43"/>
      <c r="P82" s="55"/>
      <c r="Q82" s="55"/>
      <c r="R82" s="55"/>
      <c r="S82" s="55"/>
    </row>
    <row r="83" spans="9:19" ht="12.5">
      <c r="I83" s="55"/>
      <c r="J83" s="55"/>
      <c r="K83" s="55"/>
      <c r="L83" s="55"/>
      <c r="M83" s="55"/>
      <c r="N83" s="43"/>
      <c r="O83" s="43"/>
      <c r="P83" s="55"/>
      <c r="Q83" s="55"/>
      <c r="R83" s="55"/>
      <c r="S83" s="55"/>
    </row>
    <row r="84" spans="9:19" ht="12.5">
      <c r="I84" s="55"/>
      <c r="J84" s="55"/>
      <c r="K84" s="55"/>
      <c r="L84" s="55"/>
      <c r="M84" s="55"/>
      <c r="N84" s="43"/>
      <c r="O84" s="43"/>
      <c r="P84" s="55"/>
      <c r="Q84" s="55"/>
      <c r="R84" s="55"/>
      <c r="S84" s="55"/>
    </row>
    <row r="85" spans="9:19" ht="12.5">
      <c r="I85" s="55"/>
      <c r="J85" s="55"/>
      <c r="K85" s="55"/>
      <c r="L85" s="55"/>
      <c r="M85" s="55"/>
      <c r="N85" s="43"/>
      <c r="O85" s="43"/>
      <c r="P85" s="55"/>
      <c r="Q85" s="55"/>
      <c r="R85" s="55"/>
      <c r="S85" s="55"/>
    </row>
    <row r="86" spans="9:19" ht="12.5">
      <c r="I86" s="55"/>
      <c r="J86" s="55"/>
      <c r="K86" s="55"/>
      <c r="L86" s="55"/>
      <c r="M86" s="55"/>
      <c r="N86" s="43"/>
      <c r="O86" s="43"/>
      <c r="P86" s="55"/>
      <c r="Q86" s="55"/>
      <c r="R86" s="55"/>
      <c r="S86" s="55"/>
    </row>
    <row r="87" spans="9:19" ht="12.5">
      <c r="I87" s="55"/>
      <c r="J87" s="55"/>
      <c r="K87" s="55"/>
      <c r="L87" s="55"/>
      <c r="M87" s="55"/>
      <c r="N87" s="43"/>
      <c r="O87" s="43"/>
      <c r="P87" s="55"/>
      <c r="Q87" s="55"/>
      <c r="R87" s="55"/>
      <c r="S87" s="55"/>
    </row>
    <row r="88" spans="9:19" ht="12.5">
      <c r="I88" s="55"/>
      <c r="J88" s="55"/>
      <c r="K88" s="55"/>
      <c r="L88" s="55"/>
      <c r="M88" s="55"/>
      <c r="N88" s="43"/>
      <c r="O88" s="43"/>
      <c r="P88" s="55"/>
      <c r="Q88" s="55"/>
      <c r="R88" s="55"/>
      <c r="S88" s="55"/>
    </row>
    <row r="89" spans="9:19" ht="12.5">
      <c r="I89" s="55"/>
      <c r="J89" s="55"/>
      <c r="K89" s="55"/>
      <c r="L89" s="55"/>
      <c r="M89" s="55"/>
      <c r="N89" s="43"/>
      <c r="O89" s="43"/>
      <c r="P89" s="55"/>
      <c r="Q89" s="55"/>
      <c r="R89" s="55"/>
      <c r="S89" s="55"/>
    </row>
    <row r="90" spans="9:19" ht="12.5">
      <c r="I90" s="55"/>
      <c r="J90" s="55"/>
      <c r="K90" s="55"/>
      <c r="L90" s="55"/>
      <c r="M90" s="55"/>
      <c r="N90" s="43"/>
      <c r="O90" s="43"/>
      <c r="P90" s="55"/>
      <c r="Q90" s="55"/>
      <c r="R90" s="55"/>
      <c r="S90" s="55"/>
    </row>
    <row r="91" spans="9:19" ht="12.5">
      <c r="I91" s="55"/>
      <c r="J91" s="55"/>
      <c r="K91" s="55"/>
      <c r="L91" s="55"/>
      <c r="M91" s="55"/>
      <c r="N91" s="43"/>
      <c r="O91" s="43"/>
      <c r="P91" s="55"/>
      <c r="Q91" s="55"/>
      <c r="R91" s="55"/>
      <c r="S91" s="55"/>
    </row>
    <row r="92" spans="9:19" ht="12.5">
      <c r="I92" s="55"/>
      <c r="J92" s="55"/>
      <c r="K92" s="55"/>
      <c r="L92" s="55"/>
      <c r="M92" s="55"/>
      <c r="N92" s="43"/>
      <c r="O92" s="43"/>
      <c r="P92" s="55"/>
      <c r="Q92" s="55"/>
      <c r="R92" s="55"/>
      <c r="S92" s="55"/>
    </row>
    <row r="93" spans="9:19" ht="12.5">
      <c r="I93" s="55"/>
      <c r="J93" s="55"/>
      <c r="K93" s="55"/>
      <c r="L93" s="55"/>
      <c r="M93" s="55"/>
      <c r="N93" s="43"/>
      <c r="O93" s="43"/>
      <c r="P93" s="55"/>
      <c r="Q93" s="55"/>
      <c r="R93" s="55"/>
      <c r="S93" s="55"/>
    </row>
    <row r="94" spans="9:19" ht="12.5">
      <c r="I94" s="55"/>
      <c r="J94" s="55"/>
      <c r="K94" s="55"/>
      <c r="L94" s="55"/>
      <c r="M94" s="55"/>
      <c r="N94" s="43"/>
      <c r="O94" s="43"/>
      <c r="P94" s="55"/>
      <c r="Q94" s="55"/>
      <c r="R94" s="55"/>
      <c r="S94" s="55"/>
    </row>
    <row r="95" spans="9:19" ht="12.5">
      <c r="I95" s="55"/>
      <c r="J95" s="55"/>
      <c r="K95" s="55"/>
      <c r="L95" s="55"/>
      <c r="M95" s="55"/>
      <c r="N95" s="43"/>
      <c r="O95" s="43"/>
      <c r="P95" s="55"/>
      <c r="Q95" s="55"/>
      <c r="R95" s="55"/>
      <c r="S95" s="55"/>
    </row>
    <row r="96" spans="9:19" ht="12.5">
      <c r="I96" s="55"/>
      <c r="J96" s="55"/>
      <c r="K96" s="55"/>
      <c r="L96" s="55"/>
      <c r="M96" s="55"/>
      <c r="N96" s="43"/>
      <c r="O96" s="43"/>
      <c r="P96" s="55"/>
      <c r="Q96" s="55"/>
      <c r="R96" s="55"/>
      <c r="S96" s="55"/>
    </row>
    <row r="97" spans="9:19" ht="12.5">
      <c r="I97" s="55"/>
      <c r="J97" s="55"/>
      <c r="K97" s="55"/>
      <c r="L97" s="55"/>
      <c r="M97" s="55"/>
      <c r="N97" s="43"/>
      <c r="O97" s="43"/>
      <c r="P97" s="55"/>
      <c r="Q97" s="55"/>
      <c r="R97" s="55"/>
      <c r="S97" s="55"/>
    </row>
    <row r="98" spans="9:19" ht="12.5">
      <c r="I98" s="55"/>
      <c r="J98" s="55"/>
      <c r="K98" s="55"/>
      <c r="L98" s="55"/>
      <c r="M98" s="55"/>
      <c r="N98" s="43"/>
      <c r="O98" s="43"/>
      <c r="P98" s="55"/>
      <c r="Q98" s="55"/>
      <c r="R98" s="55"/>
      <c r="S98" s="55"/>
    </row>
    <row r="99" spans="9:19" ht="12.5">
      <c r="I99" s="55"/>
      <c r="J99" s="55"/>
      <c r="K99" s="55"/>
      <c r="L99" s="55"/>
      <c r="M99" s="55"/>
      <c r="N99" s="43"/>
      <c r="O99" s="43"/>
      <c r="P99" s="55"/>
      <c r="Q99" s="55"/>
      <c r="R99" s="55"/>
      <c r="S99" s="55"/>
    </row>
    <row r="100" spans="9:19" ht="12.5">
      <c r="I100" s="55"/>
      <c r="J100" s="55"/>
      <c r="K100" s="55"/>
      <c r="L100" s="55"/>
      <c r="M100" s="55"/>
      <c r="N100" s="43"/>
      <c r="O100" s="43"/>
      <c r="P100" s="55"/>
      <c r="Q100" s="55"/>
      <c r="R100" s="55"/>
      <c r="S100" s="55"/>
    </row>
    <row r="101" spans="9:19" ht="12.5">
      <c r="I101" s="55"/>
      <c r="J101" s="55"/>
      <c r="K101" s="55"/>
      <c r="L101" s="55"/>
      <c r="M101" s="55"/>
      <c r="N101" s="43"/>
      <c r="O101" s="43"/>
      <c r="P101" s="55"/>
      <c r="Q101" s="55"/>
      <c r="R101" s="55"/>
      <c r="S101" s="55"/>
    </row>
    <row r="102" spans="9:19" ht="12.5">
      <c r="I102" s="55"/>
      <c r="J102" s="55"/>
      <c r="K102" s="55"/>
      <c r="L102" s="55"/>
      <c r="M102" s="55"/>
      <c r="N102" s="43"/>
      <c r="O102" s="43"/>
      <c r="P102" s="55"/>
      <c r="Q102" s="55"/>
      <c r="R102" s="55"/>
      <c r="S102" s="55"/>
    </row>
    <row r="103" spans="9:19" ht="12.5">
      <c r="I103" s="55"/>
      <c r="J103" s="55"/>
      <c r="K103" s="55"/>
      <c r="L103" s="55"/>
      <c r="M103" s="55"/>
      <c r="N103" s="43"/>
      <c r="O103" s="43"/>
      <c r="P103" s="55"/>
      <c r="Q103" s="55"/>
      <c r="R103" s="55"/>
      <c r="S103" s="55"/>
    </row>
    <row r="104" spans="9:19" ht="12.5">
      <c r="I104" s="55"/>
      <c r="J104" s="55"/>
      <c r="K104" s="55"/>
      <c r="L104" s="55"/>
      <c r="M104" s="55"/>
      <c r="N104" s="43"/>
      <c r="O104" s="43"/>
      <c r="P104" s="55"/>
      <c r="Q104" s="55"/>
      <c r="R104" s="55"/>
      <c r="S104" s="55"/>
    </row>
    <row r="105" spans="9:19" ht="12.5">
      <c r="I105" s="55"/>
      <c r="J105" s="55"/>
      <c r="K105" s="55"/>
      <c r="L105" s="55"/>
      <c r="M105" s="55"/>
      <c r="N105" s="43"/>
      <c r="O105" s="43"/>
      <c r="P105" s="55"/>
      <c r="Q105" s="55"/>
      <c r="R105" s="55"/>
      <c r="S105" s="55"/>
    </row>
    <row r="106" spans="9:19" ht="12.5">
      <c r="I106" s="55"/>
      <c r="J106" s="55"/>
      <c r="K106" s="55"/>
      <c r="L106" s="55"/>
      <c r="M106" s="55"/>
      <c r="N106" s="43"/>
      <c r="O106" s="43"/>
      <c r="P106" s="55"/>
      <c r="Q106" s="55"/>
      <c r="R106" s="55"/>
      <c r="S106" s="55"/>
    </row>
    <row r="107" spans="9:19" ht="12.5">
      <c r="I107" s="55"/>
      <c r="J107" s="55"/>
      <c r="K107" s="55"/>
      <c r="L107" s="55"/>
      <c r="M107" s="55"/>
      <c r="N107" s="43"/>
      <c r="O107" s="43"/>
      <c r="P107" s="55"/>
      <c r="Q107" s="55"/>
      <c r="R107" s="55"/>
      <c r="S107" s="55"/>
    </row>
    <row r="108" spans="9:19" ht="12.5">
      <c r="I108" s="55"/>
      <c r="J108" s="55"/>
      <c r="K108" s="55"/>
      <c r="L108" s="55"/>
      <c r="M108" s="55"/>
      <c r="N108" s="43"/>
      <c r="O108" s="43"/>
      <c r="P108" s="55"/>
      <c r="Q108" s="55"/>
      <c r="R108" s="55"/>
      <c r="S108" s="55"/>
    </row>
    <row r="109" spans="9:19" ht="12.5">
      <c r="I109" s="55"/>
      <c r="J109" s="55"/>
      <c r="K109" s="55"/>
      <c r="L109" s="55"/>
      <c r="M109" s="55"/>
      <c r="N109" s="43"/>
      <c r="O109" s="43"/>
      <c r="P109" s="55"/>
      <c r="Q109" s="55"/>
      <c r="R109" s="55"/>
      <c r="S109" s="55"/>
    </row>
    <row r="110" spans="9:19" ht="12.5">
      <c r="I110" s="55"/>
      <c r="J110" s="55"/>
      <c r="K110" s="55"/>
      <c r="L110" s="55"/>
      <c r="M110" s="55"/>
      <c r="N110" s="43"/>
      <c r="O110" s="43"/>
      <c r="P110" s="55"/>
      <c r="Q110" s="55"/>
      <c r="R110" s="55"/>
      <c r="S110" s="55"/>
    </row>
    <row r="111" spans="9:19" ht="12.5">
      <c r="I111" s="55"/>
      <c r="J111" s="55"/>
      <c r="K111" s="55"/>
      <c r="L111" s="55"/>
      <c r="M111" s="55"/>
      <c r="N111" s="43"/>
      <c r="O111" s="43"/>
      <c r="P111" s="55"/>
      <c r="Q111" s="55"/>
      <c r="R111" s="55"/>
      <c r="S111" s="55"/>
    </row>
    <row r="112" spans="9:19" ht="12.5">
      <c r="I112" s="55"/>
      <c r="J112" s="55"/>
      <c r="K112" s="55"/>
      <c r="L112" s="55"/>
      <c r="M112" s="55"/>
      <c r="N112" s="43"/>
      <c r="O112" s="43"/>
      <c r="P112" s="55"/>
      <c r="Q112" s="55"/>
      <c r="R112" s="55"/>
      <c r="S112" s="55"/>
    </row>
    <row r="113" spans="9:19" ht="12.5">
      <c r="I113" s="55"/>
      <c r="J113" s="55"/>
      <c r="K113" s="55"/>
      <c r="L113" s="55"/>
      <c r="M113" s="55"/>
      <c r="N113" s="43"/>
      <c r="O113" s="43"/>
      <c r="P113" s="55"/>
      <c r="Q113" s="55"/>
      <c r="R113" s="55"/>
      <c r="S113" s="55"/>
    </row>
    <row r="114" spans="9:19" ht="12.5">
      <c r="I114" s="55"/>
      <c r="J114" s="55"/>
      <c r="K114" s="55"/>
      <c r="L114" s="55"/>
      <c r="M114" s="55"/>
      <c r="N114" s="43"/>
      <c r="O114" s="43"/>
      <c r="P114" s="55"/>
      <c r="Q114" s="55"/>
      <c r="R114" s="55"/>
      <c r="S114" s="55"/>
    </row>
    <row r="115" spans="9:19" ht="12.5">
      <c r="I115" s="55"/>
      <c r="J115" s="55"/>
      <c r="K115" s="55"/>
      <c r="L115" s="55"/>
      <c r="M115" s="55"/>
      <c r="N115" s="43"/>
      <c r="O115" s="43"/>
      <c r="P115" s="55"/>
      <c r="Q115" s="55"/>
      <c r="R115" s="55"/>
      <c r="S115" s="55"/>
    </row>
    <row r="116" spans="9:19" ht="12.5">
      <c r="I116" s="55"/>
      <c r="J116" s="55"/>
      <c r="K116" s="55"/>
      <c r="L116" s="55"/>
      <c r="M116" s="55"/>
      <c r="N116" s="43"/>
      <c r="O116" s="43"/>
      <c r="P116" s="55"/>
      <c r="Q116" s="55"/>
      <c r="R116" s="55"/>
      <c r="S116" s="55"/>
    </row>
    <row r="117" spans="9:19" ht="12.5">
      <c r="I117" s="55"/>
      <c r="J117" s="55"/>
      <c r="K117" s="55"/>
      <c r="L117" s="55"/>
      <c r="M117" s="55"/>
      <c r="N117" s="43"/>
      <c r="O117" s="43"/>
      <c r="P117" s="55"/>
      <c r="Q117" s="55"/>
      <c r="R117" s="55"/>
      <c r="S117" s="55"/>
    </row>
    <row r="118" spans="9:19" ht="12.5">
      <c r="I118" s="55"/>
      <c r="J118" s="55"/>
      <c r="K118" s="55"/>
      <c r="L118" s="55"/>
      <c r="M118" s="55"/>
      <c r="N118" s="43"/>
      <c r="O118" s="43"/>
      <c r="P118" s="55"/>
      <c r="Q118" s="55"/>
      <c r="R118" s="55"/>
      <c r="S118" s="55"/>
    </row>
    <row r="119" spans="9:19" ht="12.5">
      <c r="I119" s="55"/>
      <c r="J119" s="55"/>
      <c r="K119" s="55"/>
      <c r="L119" s="55"/>
      <c r="M119" s="55"/>
      <c r="N119" s="43"/>
      <c r="O119" s="43"/>
      <c r="P119" s="55"/>
      <c r="Q119" s="55"/>
      <c r="R119" s="55"/>
      <c r="S119" s="55"/>
    </row>
    <row r="120" spans="9:19" ht="12.5">
      <c r="I120" s="55"/>
      <c r="J120" s="55"/>
      <c r="K120" s="55"/>
      <c r="L120" s="55"/>
      <c r="M120" s="55"/>
      <c r="N120" s="43"/>
      <c r="O120" s="43"/>
      <c r="P120" s="55"/>
      <c r="Q120" s="55"/>
      <c r="R120" s="55"/>
      <c r="S120" s="55"/>
    </row>
    <row r="121" spans="9:19" ht="12.5">
      <c r="I121" s="55"/>
      <c r="J121" s="55"/>
      <c r="K121" s="55"/>
      <c r="L121" s="55"/>
      <c r="M121" s="55"/>
      <c r="N121" s="43"/>
      <c r="O121" s="43"/>
      <c r="P121" s="55"/>
      <c r="Q121" s="55"/>
      <c r="R121" s="55"/>
      <c r="S121" s="55"/>
    </row>
    <row r="122" spans="9:19" ht="12.5">
      <c r="I122" s="55"/>
      <c r="J122" s="55"/>
      <c r="K122" s="55"/>
      <c r="L122" s="55"/>
      <c r="M122" s="55"/>
      <c r="N122" s="43"/>
      <c r="O122" s="43"/>
      <c r="P122" s="55"/>
      <c r="Q122" s="55"/>
      <c r="R122" s="55"/>
      <c r="S122" s="55"/>
    </row>
    <row r="123" spans="9:19" ht="12.5">
      <c r="I123" s="55"/>
      <c r="J123" s="55"/>
      <c r="K123" s="55"/>
      <c r="L123" s="55"/>
      <c r="M123" s="55"/>
      <c r="N123" s="43"/>
      <c r="O123" s="43"/>
      <c r="P123" s="55"/>
      <c r="Q123" s="55"/>
      <c r="R123" s="55"/>
      <c r="S123" s="55"/>
    </row>
    <row r="124" spans="9:19" ht="12.5">
      <c r="I124" s="55"/>
      <c r="J124" s="55"/>
      <c r="K124" s="55"/>
      <c r="L124" s="55"/>
      <c r="M124" s="55"/>
      <c r="N124" s="43"/>
      <c r="O124" s="43"/>
      <c r="P124" s="55"/>
      <c r="Q124" s="55"/>
      <c r="R124" s="55"/>
      <c r="S124" s="55"/>
    </row>
    <row r="125" spans="9:19" ht="12.5">
      <c r="I125" s="55"/>
      <c r="J125" s="55"/>
      <c r="K125" s="55"/>
      <c r="L125" s="55"/>
      <c r="M125" s="55"/>
      <c r="N125" s="43"/>
      <c r="O125" s="43"/>
      <c r="P125" s="55"/>
      <c r="Q125" s="55"/>
      <c r="R125" s="55"/>
      <c r="S125" s="55"/>
    </row>
    <row r="126" spans="9:19" ht="12.5">
      <c r="I126" s="55"/>
      <c r="J126" s="55"/>
      <c r="K126" s="55"/>
      <c r="L126" s="55"/>
      <c r="M126" s="55"/>
      <c r="N126" s="43"/>
      <c r="O126" s="43"/>
      <c r="P126" s="55"/>
      <c r="Q126" s="55"/>
      <c r="R126" s="55"/>
      <c r="S126" s="55"/>
    </row>
    <row r="127" spans="9:19" ht="12.5">
      <c r="I127" s="55"/>
      <c r="J127" s="55"/>
      <c r="K127" s="55"/>
      <c r="L127" s="55"/>
      <c r="M127" s="55"/>
      <c r="N127" s="43"/>
      <c r="O127" s="43"/>
      <c r="P127" s="55"/>
      <c r="Q127" s="55"/>
      <c r="R127" s="55"/>
      <c r="S127" s="55"/>
    </row>
    <row r="128" spans="9:19" ht="12.5">
      <c r="I128" s="55"/>
      <c r="J128" s="55"/>
      <c r="K128" s="55"/>
      <c r="L128" s="55"/>
      <c r="M128" s="55"/>
      <c r="N128" s="43"/>
      <c r="O128" s="43"/>
      <c r="P128" s="55"/>
      <c r="Q128" s="55"/>
      <c r="R128" s="55"/>
      <c r="S128" s="55"/>
    </row>
    <row r="129" spans="9:19" ht="12.5">
      <c r="I129" s="55"/>
      <c r="J129" s="55"/>
      <c r="K129" s="55"/>
      <c r="L129" s="55"/>
      <c r="M129" s="55"/>
      <c r="N129" s="43"/>
      <c r="O129" s="43"/>
      <c r="P129" s="55"/>
      <c r="Q129" s="55"/>
      <c r="R129" s="55"/>
      <c r="S129" s="55"/>
    </row>
    <row r="130" spans="9:19" ht="12.5">
      <c r="I130" s="55"/>
      <c r="J130" s="55"/>
      <c r="K130" s="55"/>
      <c r="L130" s="55"/>
      <c r="M130" s="55"/>
      <c r="N130" s="43"/>
      <c r="O130" s="43"/>
      <c r="P130" s="55"/>
      <c r="Q130" s="55"/>
      <c r="R130" s="55"/>
      <c r="S130" s="55"/>
    </row>
    <row r="131" spans="9:19" ht="12.5">
      <c r="I131" s="55"/>
      <c r="J131" s="55"/>
      <c r="K131" s="55"/>
      <c r="L131" s="55"/>
      <c r="M131" s="55"/>
      <c r="N131" s="43"/>
      <c r="O131" s="43"/>
      <c r="P131" s="55"/>
      <c r="Q131" s="55"/>
      <c r="R131" s="55"/>
      <c r="S131" s="55"/>
    </row>
    <row r="132" spans="9:19" ht="12.5">
      <c r="I132" s="55"/>
      <c r="J132" s="55"/>
      <c r="K132" s="55"/>
      <c r="L132" s="55"/>
      <c r="M132" s="55"/>
      <c r="N132" s="43"/>
      <c r="O132" s="43"/>
      <c r="P132" s="55"/>
      <c r="Q132" s="55"/>
      <c r="R132" s="55"/>
      <c r="S132" s="55"/>
    </row>
    <row r="133" spans="9:19" ht="12.5">
      <c r="I133" s="55"/>
      <c r="J133" s="55"/>
      <c r="K133" s="55"/>
      <c r="L133" s="55"/>
      <c r="M133" s="55"/>
      <c r="N133" s="43"/>
      <c r="O133" s="43"/>
      <c r="P133" s="55"/>
      <c r="Q133" s="55"/>
      <c r="R133" s="55"/>
      <c r="S133" s="55"/>
    </row>
    <row r="134" spans="9:19" ht="12.5">
      <c r="I134" s="55"/>
      <c r="J134" s="55"/>
      <c r="K134" s="55"/>
      <c r="L134" s="55"/>
      <c r="M134" s="55"/>
      <c r="N134" s="43"/>
      <c r="O134" s="43"/>
      <c r="P134" s="55"/>
      <c r="Q134" s="55"/>
      <c r="R134" s="55"/>
      <c r="S134" s="55"/>
    </row>
    <row r="135" spans="9:19" ht="12.5">
      <c r="I135" s="55"/>
      <c r="J135" s="55"/>
      <c r="K135" s="55"/>
      <c r="L135" s="55"/>
      <c r="M135" s="55"/>
      <c r="N135" s="43"/>
      <c r="O135" s="43"/>
      <c r="P135" s="55"/>
      <c r="Q135" s="55"/>
      <c r="R135" s="55"/>
      <c r="S135" s="55"/>
    </row>
    <row r="136" spans="9:19" ht="12.5">
      <c r="I136" s="55"/>
      <c r="J136" s="55"/>
      <c r="K136" s="55"/>
      <c r="L136" s="55"/>
      <c r="M136" s="55"/>
      <c r="N136" s="43"/>
      <c r="O136" s="43"/>
      <c r="P136" s="55"/>
      <c r="Q136" s="55"/>
      <c r="R136" s="55"/>
      <c r="S136" s="55"/>
    </row>
    <row r="137" spans="9:19" ht="12.5">
      <c r="I137" s="55"/>
      <c r="J137" s="55"/>
      <c r="K137" s="55"/>
      <c r="L137" s="55"/>
      <c r="M137" s="55"/>
      <c r="N137" s="43"/>
      <c r="O137" s="43"/>
      <c r="P137" s="55"/>
      <c r="Q137" s="55"/>
      <c r="R137" s="55"/>
      <c r="S137" s="55"/>
    </row>
    <row r="138" spans="9:19" ht="12.5">
      <c r="I138" s="55"/>
      <c r="J138" s="55"/>
      <c r="K138" s="55"/>
      <c r="L138" s="55"/>
      <c r="M138" s="55"/>
      <c r="N138" s="43"/>
      <c r="O138" s="43"/>
      <c r="P138" s="55"/>
      <c r="Q138" s="55"/>
      <c r="R138" s="55"/>
      <c r="S138" s="55"/>
    </row>
    <row r="139" spans="9:19" ht="12.5">
      <c r="I139" s="55"/>
      <c r="J139" s="55"/>
      <c r="K139" s="55"/>
      <c r="L139" s="55"/>
      <c r="M139" s="55"/>
      <c r="N139" s="43"/>
      <c r="O139" s="43"/>
      <c r="P139" s="55"/>
      <c r="Q139" s="55"/>
      <c r="R139" s="55"/>
      <c r="S139" s="55"/>
    </row>
    <row r="140" spans="9:19" ht="12.5">
      <c r="I140" s="55"/>
      <c r="J140" s="55"/>
      <c r="K140" s="55"/>
      <c r="L140" s="55"/>
      <c r="M140" s="55"/>
      <c r="N140" s="43"/>
      <c r="O140" s="43"/>
      <c r="P140" s="55"/>
      <c r="Q140" s="55"/>
      <c r="R140" s="55"/>
      <c r="S140" s="55"/>
    </row>
    <row r="141" spans="9:19" ht="12.5">
      <c r="I141" s="55"/>
      <c r="J141" s="55"/>
      <c r="K141" s="55"/>
      <c r="L141" s="55"/>
      <c r="M141" s="55"/>
      <c r="N141" s="43"/>
      <c r="O141" s="43"/>
      <c r="P141" s="55"/>
      <c r="Q141" s="55"/>
      <c r="R141" s="55"/>
      <c r="S141" s="55"/>
    </row>
    <row r="142" spans="9:19" ht="12.5">
      <c r="I142" s="55"/>
      <c r="J142" s="55"/>
      <c r="K142" s="55"/>
      <c r="L142" s="55"/>
      <c r="M142" s="55"/>
      <c r="N142" s="43"/>
      <c r="O142" s="43"/>
      <c r="P142" s="55"/>
      <c r="Q142" s="55"/>
      <c r="R142" s="55"/>
      <c r="S142" s="55"/>
    </row>
    <row r="143" spans="9:19" ht="12.5">
      <c r="I143" s="55"/>
      <c r="J143" s="55"/>
      <c r="K143" s="55"/>
      <c r="L143" s="55"/>
      <c r="M143" s="55"/>
      <c r="N143" s="43"/>
      <c r="O143" s="43"/>
      <c r="P143" s="55"/>
      <c r="Q143" s="55"/>
      <c r="R143" s="55"/>
      <c r="S143" s="55"/>
    </row>
    <row r="144" spans="9:19" ht="12.5">
      <c r="I144" s="55"/>
      <c r="J144" s="55"/>
      <c r="K144" s="55"/>
      <c r="L144" s="55"/>
      <c r="M144" s="55"/>
      <c r="N144" s="43"/>
      <c r="O144" s="43"/>
      <c r="P144" s="55"/>
      <c r="Q144" s="55"/>
      <c r="R144" s="55"/>
      <c r="S144" s="55"/>
    </row>
    <row r="145" spans="9:19" ht="12.5">
      <c r="I145" s="55"/>
      <c r="J145" s="55"/>
      <c r="K145" s="55"/>
      <c r="L145" s="55"/>
      <c r="M145" s="55"/>
      <c r="N145" s="43"/>
      <c r="O145" s="43"/>
      <c r="P145" s="55"/>
      <c r="Q145" s="55"/>
      <c r="R145" s="55"/>
      <c r="S145" s="55"/>
    </row>
    <row r="146" spans="9:19" ht="12.5">
      <c r="I146" s="55"/>
      <c r="J146" s="55"/>
      <c r="K146" s="55"/>
      <c r="L146" s="55"/>
      <c r="M146" s="55"/>
      <c r="N146" s="43"/>
      <c r="O146" s="43"/>
      <c r="P146" s="55"/>
      <c r="Q146" s="55"/>
      <c r="R146" s="55"/>
      <c r="S146" s="55"/>
    </row>
    <row r="147" spans="9:19" ht="12.5">
      <c r="I147" s="55"/>
      <c r="J147" s="55"/>
      <c r="K147" s="55"/>
      <c r="L147" s="55"/>
      <c r="M147" s="55"/>
      <c r="N147" s="43"/>
      <c r="O147" s="43"/>
      <c r="P147" s="55"/>
      <c r="Q147" s="55"/>
      <c r="R147" s="55"/>
      <c r="S147" s="55"/>
    </row>
    <row r="148" spans="9:19" ht="12.5">
      <c r="I148" s="55"/>
      <c r="J148" s="55"/>
      <c r="K148" s="55"/>
      <c r="L148" s="55"/>
      <c r="M148" s="55"/>
      <c r="N148" s="43"/>
      <c r="O148" s="43"/>
      <c r="P148" s="55"/>
      <c r="Q148" s="55"/>
      <c r="R148" s="55"/>
      <c r="S148" s="55"/>
    </row>
    <row r="149" spans="9:19" ht="12.5">
      <c r="I149" s="55"/>
      <c r="J149" s="55"/>
      <c r="K149" s="55"/>
      <c r="L149" s="55"/>
      <c r="M149" s="55"/>
      <c r="N149" s="43"/>
      <c r="O149" s="43"/>
      <c r="P149" s="55"/>
      <c r="Q149" s="55"/>
      <c r="R149" s="55"/>
      <c r="S149" s="55"/>
    </row>
    <row r="150" spans="9:19" ht="12.5">
      <c r="I150" s="55"/>
      <c r="J150" s="55"/>
      <c r="K150" s="55"/>
      <c r="L150" s="55"/>
      <c r="M150" s="55"/>
      <c r="N150" s="43"/>
      <c r="O150" s="43"/>
      <c r="P150" s="55"/>
      <c r="Q150" s="55"/>
      <c r="R150" s="55"/>
      <c r="S150" s="55"/>
    </row>
    <row r="151" spans="9:19" ht="12.5">
      <c r="I151" s="55"/>
      <c r="J151" s="55"/>
      <c r="K151" s="55"/>
      <c r="L151" s="55"/>
      <c r="M151" s="55"/>
      <c r="N151" s="43"/>
      <c r="O151" s="43"/>
      <c r="P151" s="55"/>
      <c r="Q151" s="55"/>
      <c r="R151" s="55"/>
      <c r="S151" s="55"/>
    </row>
    <row r="152" spans="9:19" ht="12.5">
      <c r="I152" s="55"/>
      <c r="J152" s="55"/>
      <c r="K152" s="55"/>
      <c r="L152" s="55"/>
      <c r="M152" s="55"/>
      <c r="N152" s="43"/>
      <c r="O152" s="43"/>
      <c r="P152" s="55"/>
      <c r="Q152" s="55"/>
      <c r="R152" s="55"/>
      <c r="S152" s="55"/>
    </row>
    <row r="153" spans="9:19" ht="12.5">
      <c r="I153" s="55"/>
      <c r="J153" s="55"/>
      <c r="K153" s="55"/>
      <c r="L153" s="55"/>
      <c r="M153" s="55"/>
      <c r="N153" s="43"/>
      <c r="O153" s="43"/>
      <c r="P153" s="55"/>
      <c r="Q153" s="55"/>
      <c r="R153" s="55"/>
      <c r="S153" s="55"/>
    </row>
    <row r="154" spans="9:19" ht="12.5">
      <c r="I154" s="55"/>
      <c r="J154" s="55"/>
      <c r="K154" s="55"/>
      <c r="L154" s="55"/>
      <c r="M154" s="55"/>
      <c r="N154" s="43"/>
      <c r="O154" s="43"/>
      <c r="P154" s="55"/>
      <c r="Q154" s="55"/>
      <c r="R154" s="55"/>
      <c r="S154" s="55"/>
    </row>
    <row r="155" spans="9:19" ht="12.5">
      <c r="I155" s="55"/>
      <c r="J155" s="55"/>
      <c r="K155" s="55"/>
      <c r="L155" s="55"/>
      <c r="M155" s="55"/>
      <c r="N155" s="43"/>
      <c r="O155" s="43"/>
      <c r="P155" s="55"/>
      <c r="Q155" s="55"/>
      <c r="R155" s="55"/>
      <c r="S155" s="55"/>
    </row>
    <row r="156" spans="9:19" ht="12.5">
      <c r="I156" s="55"/>
      <c r="J156" s="55"/>
      <c r="K156" s="55"/>
      <c r="L156" s="55"/>
      <c r="M156" s="55"/>
      <c r="N156" s="43"/>
      <c r="O156" s="43"/>
      <c r="P156" s="55"/>
      <c r="Q156" s="55"/>
      <c r="R156" s="55"/>
      <c r="S156" s="55"/>
    </row>
    <row r="157" spans="9:19" ht="12.5">
      <c r="I157" s="55"/>
      <c r="J157" s="55"/>
      <c r="K157" s="55"/>
      <c r="L157" s="55"/>
      <c r="M157" s="55"/>
      <c r="N157" s="43"/>
      <c r="O157" s="43"/>
      <c r="P157" s="55"/>
      <c r="Q157" s="55"/>
      <c r="R157" s="55"/>
      <c r="S157" s="55"/>
    </row>
    <row r="158" spans="9:19" ht="12.5">
      <c r="I158" s="55"/>
      <c r="J158" s="55"/>
      <c r="K158" s="55"/>
      <c r="L158" s="55"/>
      <c r="M158" s="55"/>
      <c r="N158" s="43"/>
      <c r="O158" s="43"/>
      <c r="P158" s="55"/>
      <c r="Q158" s="55"/>
      <c r="R158" s="55"/>
      <c r="S158" s="55"/>
    </row>
    <row r="159" spans="9:19" ht="12.5">
      <c r="I159" s="55"/>
      <c r="J159" s="55"/>
      <c r="K159" s="55"/>
      <c r="L159" s="55"/>
      <c r="M159" s="55"/>
      <c r="N159" s="43"/>
      <c r="O159" s="43"/>
      <c r="P159" s="55"/>
      <c r="Q159" s="55"/>
      <c r="R159" s="55"/>
      <c r="S159" s="55"/>
    </row>
    <row r="160" spans="9:19" ht="12.5">
      <c r="I160" s="55"/>
      <c r="J160" s="55"/>
      <c r="K160" s="55"/>
      <c r="L160" s="55"/>
      <c r="M160" s="55"/>
      <c r="N160" s="43"/>
      <c r="O160" s="43"/>
      <c r="P160" s="55"/>
      <c r="Q160" s="55"/>
      <c r="R160" s="55"/>
      <c r="S160" s="55"/>
    </row>
    <row r="161" spans="9:19" ht="12.5">
      <c r="I161" s="55"/>
      <c r="J161" s="55"/>
      <c r="K161" s="55"/>
      <c r="L161" s="55"/>
      <c r="M161" s="55"/>
      <c r="N161" s="43"/>
      <c r="O161" s="43"/>
      <c r="P161" s="55"/>
      <c r="Q161" s="55"/>
      <c r="R161" s="55"/>
      <c r="S161" s="55"/>
    </row>
    <row r="162" spans="9:19" ht="12.5">
      <c r="I162" s="55"/>
      <c r="J162" s="55"/>
      <c r="K162" s="55"/>
      <c r="L162" s="55"/>
      <c r="M162" s="55"/>
      <c r="N162" s="43"/>
      <c r="O162" s="43"/>
      <c r="P162" s="55"/>
      <c r="Q162" s="55"/>
      <c r="R162" s="55"/>
      <c r="S162" s="55"/>
    </row>
    <row r="163" spans="9:19" ht="12.5">
      <c r="I163" s="55"/>
      <c r="J163" s="55"/>
      <c r="K163" s="55"/>
      <c r="L163" s="55"/>
      <c r="M163" s="55"/>
      <c r="N163" s="43"/>
      <c r="O163" s="43"/>
      <c r="P163" s="55"/>
      <c r="Q163" s="55"/>
      <c r="R163" s="55"/>
      <c r="S163" s="55"/>
    </row>
    <row r="164" spans="9:19" ht="12.5">
      <c r="I164" s="55"/>
      <c r="J164" s="55"/>
      <c r="K164" s="55"/>
      <c r="L164" s="55"/>
      <c r="M164" s="55"/>
      <c r="N164" s="43"/>
      <c r="O164" s="43"/>
      <c r="P164" s="55"/>
      <c r="Q164" s="55"/>
      <c r="R164" s="55"/>
      <c r="S164" s="55"/>
    </row>
    <row r="165" spans="9:19" ht="12.5">
      <c r="I165" s="55"/>
      <c r="J165" s="55"/>
      <c r="K165" s="55"/>
      <c r="L165" s="55"/>
      <c r="M165" s="55"/>
      <c r="N165" s="43"/>
      <c r="O165" s="43"/>
      <c r="P165" s="55"/>
      <c r="Q165" s="55"/>
      <c r="R165" s="55"/>
      <c r="S165" s="55"/>
    </row>
    <row r="166" spans="9:19" ht="12.5">
      <c r="I166" s="55"/>
      <c r="J166" s="55"/>
      <c r="K166" s="55"/>
      <c r="L166" s="55"/>
      <c r="M166" s="55"/>
      <c r="N166" s="43"/>
      <c r="O166" s="43"/>
      <c r="P166" s="55"/>
      <c r="Q166" s="55"/>
      <c r="R166" s="55"/>
      <c r="S166" s="55"/>
    </row>
    <row r="167" spans="9:19" ht="12.5">
      <c r="I167" s="55"/>
      <c r="J167" s="55"/>
      <c r="K167" s="55"/>
      <c r="L167" s="55"/>
      <c r="M167" s="55"/>
      <c r="N167" s="43"/>
      <c r="O167" s="43"/>
      <c r="P167" s="55"/>
      <c r="Q167" s="55"/>
      <c r="R167" s="55"/>
      <c r="S167" s="55"/>
    </row>
    <row r="168" spans="9:19" ht="12.5">
      <c r="I168" s="55"/>
      <c r="J168" s="55"/>
      <c r="K168" s="55"/>
      <c r="L168" s="55"/>
      <c r="M168" s="55"/>
      <c r="N168" s="43"/>
      <c r="O168" s="43"/>
      <c r="P168" s="55"/>
      <c r="Q168" s="55"/>
      <c r="R168" s="55"/>
      <c r="S168" s="55"/>
    </row>
    <row r="169" spans="9:19" ht="12.5">
      <c r="I169" s="55"/>
      <c r="J169" s="55"/>
      <c r="K169" s="55"/>
      <c r="L169" s="55"/>
      <c r="M169" s="55"/>
      <c r="N169" s="43"/>
      <c r="O169" s="43"/>
      <c r="P169" s="55"/>
      <c r="Q169" s="55"/>
      <c r="R169" s="55"/>
      <c r="S169" s="55"/>
    </row>
    <row r="170" spans="9:19" ht="12.5">
      <c r="I170" s="55"/>
      <c r="J170" s="55"/>
      <c r="K170" s="55"/>
      <c r="L170" s="55"/>
      <c r="M170" s="55"/>
      <c r="N170" s="43"/>
      <c r="O170" s="43"/>
      <c r="P170" s="55"/>
      <c r="Q170" s="55"/>
      <c r="R170" s="55"/>
      <c r="S170" s="55"/>
    </row>
    <row r="171" spans="9:19" ht="12.5">
      <c r="I171" s="55"/>
      <c r="J171" s="55"/>
      <c r="K171" s="55"/>
      <c r="L171" s="55"/>
      <c r="M171" s="55"/>
      <c r="N171" s="43"/>
      <c r="O171" s="43"/>
      <c r="P171" s="55"/>
      <c r="Q171" s="55"/>
      <c r="R171" s="55"/>
      <c r="S171" s="55"/>
    </row>
    <row r="172" spans="9:19" ht="12.5">
      <c r="I172" s="55"/>
      <c r="J172" s="55"/>
      <c r="K172" s="55"/>
      <c r="L172" s="55"/>
      <c r="M172" s="55"/>
      <c r="N172" s="43"/>
      <c r="O172" s="43"/>
      <c r="P172" s="55"/>
      <c r="Q172" s="55"/>
      <c r="R172" s="55"/>
      <c r="S172" s="55"/>
    </row>
    <row r="173" spans="9:19" ht="12.5">
      <c r="I173" s="55"/>
      <c r="J173" s="55"/>
      <c r="K173" s="55"/>
      <c r="L173" s="55"/>
      <c r="M173" s="55"/>
      <c r="N173" s="43"/>
      <c r="O173" s="43"/>
      <c r="P173" s="55"/>
      <c r="Q173" s="55"/>
      <c r="R173" s="55"/>
      <c r="S173" s="55"/>
    </row>
    <row r="174" spans="9:19" ht="12.5">
      <c r="I174" s="55"/>
      <c r="J174" s="55"/>
      <c r="K174" s="55"/>
      <c r="L174" s="55"/>
      <c r="M174" s="55"/>
      <c r="N174" s="43"/>
      <c r="O174" s="43"/>
      <c r="P174" s="55"/>
      <c r="Q174" s="55"/>
      <c r="R174" s="55"/>
      <c r="S174" s="55"/>
    </row>
    <row r="175" spans="9:19" ht="12.5">
      <c r="I175" s="55"/>
      <c r="J175" s="55"/>
      <c r="K175" s="55"/>
      <c r="L175" s="55"/>
      <c r="M175" s="55"/>
      <c r="N175" s="43"/>
      <c r="O175" s="43"/>
      <c r="P175" s="55"/>
      <c r="Q175" s="55"/>
      <c r="R175" s="55"/>
      <c r="S175" s="55"/>
    </row>
    <row r="176" spans="9:19" ht="12.5">
      <c r="I176" s="55"/>
      <c r="J176" s="55"/>
      <c r="K176" s="55"/>
      <c r="L176" s="55"/>
      <c r="M176" s="55"/>
      <c r="N176" s="43"/>
      <c r="O176" s="43"/>
      <c r="P176" s="55"/>
      <c r="Q176" s="55"/>
      <c r="R176" s="55"/>
      <c r="S176" s="55"/>
    </row>
    <row r="177" spans="9:19" ht="12.5">
      <c r="I177" s="55"/>
      <c r="J177" s="55"/>
      <c r="K177" s="55"/>
      <c r="L177" s="55"/>
      <c r="M177" s="55"/>
      <c r="N177" s="43"/>
      <c r="O177" s="43"/>
      <c r="P177" s="55"/>
      <c r="Q177" s="55"/>
      <c r="R177" s="55"/>
      <c r="S177" s="55"/>
    </row>
    <row r="178" spans="9:19" ht="12.5">
      <c r="I178" s="55"/>
      <c r="J178" s="55"/>
      <c r="K178" s="55"/>
      <c r="L178" s="55"/>
      <c r="M178" s="55"/>
      <c r="N178" s="43"/>
      <c r="O178" s="43"/>
      <c r="P178" s="55"/>
      <c r="Q178" s="55"/>
      <c r="R178" s="55"/>
      <c r="S178" s="55"/>
    </row>
    <row r="179" spans="9:19" ht="12.5">
      <c r="I179" s="55"/>
      <c r="J179" s="55"/>
      <c r="K179" s="55"/>
      <c r="L179" s="55"/>
      <c r="M179" s="55"/>
      <c r="N179" s="43"/>
      <c r="O179" s="43"/>
      <c r="P179" s="55"/>
      <c r="Q179" s="55"/>
      <c r="R179" s="55"/>
      <c r="S179" s="55"/>
    </row>
    <row r="180" spans="9:19" ht="12.5">
      <c r="I180" s="55"/>
      <c r="J180" s="55"/>
      <c r="K180" s="55"/>
      <c r="L180" s="55"/>
      <c r="M180" s="55"/>
      <c r="N180" s="43"/>
      <c r="O180" s="43"/>
      <c r="P180" s="55"/>
      <c r="Q180" s="55"/>
      <c r="R180" s="55"/>
      <c r="S180" s="55"/>
    </row>
    <row r="181" spans="9:19" ht="12.5">
      <c r="I181" s="55"/>
      <c r="J181" s="55"/>
      <c r="K181" s="55"/>
      <c r="L181" s="55"/>
      <c r="M181" s="55"/>
      <c r="N181" s="43"/>
      <c r="O181" s="43"/>
      <c r="P181" s="55"/>
      <c r="Q181" s="55"/>
      <c r="R181" s="55"/>
      <c r="S181" s="55"/>
    </row>
    <row r="182" spans="9:19" ht="12.5">
      <c r="I182" s="55"/>
      <c r="J182" s="55"/>
      <c r="K182" s="55"/>
      <c r="L182" s="55"/>
      <c r="M182" s="55"/>
      <c r="N182" s="43"/>
      <c r="O182" s="43"/>
      <c r="P182" s="55"/>
      <c r="Q182" s="55"/>
      <c r="R182" s="55"/>
      <c r="S182" s="55"/>
    </row>
    <row r="183" spans="9:19" ht="12.5">
      <c r="I183" s="55"/>
      <c r="J183" s="55"/>
      <c r="K183" s="55"/>
      <c r="L183" s="55"/>
      <c r="M183" s="55"/>
      <c r="N183" s="43"/>
      <c r="O183" s="43"/>
      <c r="P183" s="55"/>
      <c r="Q183" s="55"/>
      <c r="R183" s="55"/>
      <c r="S183" s="55"/>
    </row>
    <row r="184" spans="9:19" ht="12.5">
      <c r="I184" s="55"/>
      <c r="J184" s="55"/>
      <c r="K184" s="55"/>
      <c r="L184" s="55"/>
      <c r="M184" s="55"/>
      <c r="N184" s="43"/>
      <c r="O184" s="43"/>
      <c r="P184" s="55"/>
      <c r="Q184" s="55"/>
      <c r="R184" s="55"/>
      <c r="S184" s="55"/>
    </row>
    <row r="185" spans="9:19" ht="12.5">
      <c r="I185" s="55"/>
      <c r="J185" s="55"/>
      <c r="K185" s="55"/>
      <c r="L185" s="55"/>
      <c r="M185" s="55"/>
      <c r="N185" s="43"/>
      <c r="O185" s="43"/>
      <c r="P185" s="55"/>
      <c r="Q185" s="55"/>
      <c r="R185" s="55"/>
      <c r="S185" s="55"/>
    </row>
    <row r="186" spans="9:19" ht="12.5">
      <c r="I186" s="55"/>
      <c r="J186" s="55"/>
      <c r="K186" s="55"/>
      <c r="L186" s="55"/>
      <c r="M186" s="55"/>
      <c r="N186" s="43"/>
      <c r="O186" s="43"/>
      <c r="P186" s="55"/>
      <c r="Q186" s="55"/>
      <c r="R186" s="55"/>
      <c r="S186" s="55"/>
    </row>
    <row r="187" spans="9:19" ht="12.5">
      <c r="I187" s="55"/>
      <c r="J187" s="55"/>
      <c r="K187" s="55"/>
      <c r="L187" s="55"/>
      <c r="M187" s="55"/>
      <c r="N187" s="43"/>
      <c r="O187" s="43"/>
      <c r="P187" s="55"/>
      <c r="Q187" s="55"/>
      <c r="R187" s="55"/>
      <c r="S187" s="55"/>
    </row>
    <row r="188" spans="9:19" ht="12.5">
      <c r="I188" s="55"/>
      <c r="J188" s="55"/>
      <c r="K188" s="55"/>
      <c r="L188" s="55"/>
      <c r="M188" s="55"/>
      <c r="N188" s="43"/>
      <c r="O188" s="43"/>
      <c r="P188" s="55"/>
      <c r="Q188" s="55"/>
      <c r="R188" s="55"/>
      <c r="S188" s="55"/>
    </row>
    <row r="189" spans="9:19" ht="12.5">
      <c r="I189" s="55"/>
      <c r="J189" s="55"/>
      <c r="K189" s="55"/>
      <c r="L189" s="55"/>
      <c r="M189" s="55"/>
      <c r="N189" s="43"/>
      <c r="O189" s="43"/>
      <c r="P189" s="55"/>
      <c r="Q189" s="55"/>
      <c r="R189" s="55"/>
      <c r="S189" s="55"/>
    </row>
    <row r="190" spans="9:19" ht="12.5">
      <c r="I190" s="55"/>
      <c r="J190" s="55"/>
      <c r="K190" s="55"/>
      <c r="L190" s="55"/>
      <c r="M190" s="55"/>
      <c r="N190" s="43"/>
      <c r="O190" s="43"/>
      <c r="P190" s="55"/>
      <c r="Q190" s="55"/>
      <c r="R190" s="55"/>
      <c r="S190" s="55"/>
    </row>
    <row r="191" spans="9:19" ht="12.5">
      <c r="I191" s="55"/>
      <c r="J191" s="55"/>
      <c r="K191" s="55"/>
      <c r="L191" s="55"/>
      <c r="M191" s="55"/>
      <c r="N191" s="43"/>
      <c r="O191" s="43"/>
      <c r="P191" s="55"/>
      <c r="Q191" s="55"/>
      <c r="R191" s="55"/>
      <c r="S191" s="55"/>
    </row>
    <row r="192" spans="9:19" ht="12.5">
      <c r="I192" s="55"/>
      <c r="J192" s="55"/>
      <c r="K192" s="55"/>
      <c r="L192" s="55"/>
      <c r="M192" s="55"/>
      <c r="N192" s="43"/>
      <c r="O192" s="43"/>
      <c r="P192" s="55"/>
      <c r="Q192" s="55"/>
      <c r="R192" s="55"/>
      <c r="S192" s="55"/>
    </row>
    <row r="193" spans="9:19" ht="12.5">
      <c r="I193" s="55"/>
      <c r="J193" s="55"/>
      <c r="K193" s="55"/>
      <c r="L193" s="55"/>
      <c r="M193" s="55"/>
      <c r="N193" s="43"/>
      <c r="O193" s="43"/>
      <c r="P193" s="55"/>
      <c r="Q193" s="55"/>
      <c r="R193" s="55"/>
      <c r="S193" s="55"/>
    </row>
    <row r="194" spans="9:19" ht="12.5">
      <c r="I194" s="55"/>
      <c r="J194" s="55"/>
      <c r="K194" s="55"/>
      <c r="L194" s="55"/>
      <c r="M194" s="55"/>
      <c r="N194" s="43"/>
      <c r="O194" s="43"/>
      <c r="P194" s="55"/>
      <c r="Q194" s="55"/>
      <c r="R194" s="55"/>
      <c r="S194" s="55"/>
    </row>
    <row r="195" spans="9:19" ht="12.5">
      <c r="I195" s="55"/>
      <c r="J195" s="55"/>
      <c r="K195" s="55"/>
      <c r="L195" s="55"/>
      <c r="M195" s="55"/>
      <c r="N195" s="43"/>
      <c r="O195" s="43"/>
      <c r="P195" s="55"/>
      <c r="Q195" s="55"/>
      <c r="R195" s="55"/>
      <c r="S195" s="55"/>
    </row>
    <row r="196" spans="9:19" ht="12.5">
      <c r="I196" s="55"/>
      <c r="J196" s="55"/>
      <c r="K196" s="55"/>
      <c r="L196" s="55"/>
      <c r="M196" s="55"/>
      <c r="N196" s="43"/>
      <c r="O196" s="43"/>
      <c r="P196" s="55"/>
      <c r="Q196" s="55"/>
      <c r="R196" s="55"/>
      <c r="S196" s="55"/>
    </row>
    <row r="197" spans="9:19" ht="12.5">
      <c r="I197" s="55"/>
      <c r="J197" s="55"/>
      <c r="K197" s="55"/>
      <c r="L197" s="55"/>
      <c r="M197" s="55"/>
      <c r="N197" s="43"/>
      <c r="O197" s="43"/>
      <c r="P197" s="55"/>
      <c r="Q197" s="55"/>
      <c r="R197" s="55"/>
      <c r="S197" s="55"/>
    </row>
    <row r="198" spans="9:19" ht="12.5">
      <c r="I198" s="55"/>
      <c r="J198" s="55"/>
      <c r="K198" s="55"/>
      <c r="L198" s="55"/>
      <c r="M198" s="55"/>
      <c r="N198" s="43"/>
      <c r="O198" s="43"/>
      <c r="P198" s="55"/>
      <c r="Q198" s="55"/>
      <c r="R198" s="55"/>
      <c r="S198" s="55"/>
    </row>
    <row r="199" spans="9:19" ht="12.5">
      <c r="I199" s="55"/>
      <c r="J199" s="55"/>
      <c r="K199" s="55"/>
      <c r="L199" s="55"/>
      <c r="M199" s="55"/>
      <c r="N199" s="43"/>
      <c r="O199" s="43"/>
      <c r="P199" s="55"/>
      <c r="Q199" s="55"/>
      <c r="R199" s="55"/>
      <c r="S199" s="55"/>
    </row>
    <row r="200" spans="9:19" ht="12.5">
      <c r="I200" s="55"/>
      <c r="J200" s="55"/>
      <c r="K200" s="55"/>
      <c r="L200" s="55"/>
      <c r="M200" s="55"/>
      <c r="N200" s="43"/>
      <c r="O200" s="43"/>
      <c r="P200" s="55"/>
      <c r="Q200" s="55"/>
      <c r="R200" s="55"/>
      <c r="S200" s="55"/>
    </row>
    <row r="201" spans="9:19" ht="12.5">
      <c r="I201" s="55"/>
      <c r="J201" s="55"/>
      <c r="K201" s="55"/>
      <c r="L201" s="55"/>
      <c r="M201" s="55"/>
      <c r="N201" s="43"/>
      <c r="O201" s="43"/>
      <c r="P201" s="55"/>
      <c r="Q201" s="55"/>
      <c r="R201" s="55"/>
      <c r="S201" s="55"/>
    </row>
    <row r="202" spans="9:19" ht="12.5">
      <c r="I202" s="55"/>
      <c r="J202" s="55"/>
      <c r="K202" s="55"/>
      <c r="L202" s="55"/>
      <c r="M202" s="55"/>
      <c r="N202" s="43"/>
      <c r="O202" s="43"/>
      <c r="P202" s="55"/>
      <c r="Q202" s="55"/>
      <c r="R202" s="55"/>
      <c r="S202" s="55"/>
    </row>
    <row r="203" spans="9:19" ht="12.5">
      <c r="I203" s="55"/>
      <c r="J203" s="55"/>
      <c r="K203" s="55"/>
      <c r="L203" s="55"/>
      <c r="M203" s="55"/>
      <c r="N203" s="43"/>
      <c r="O203" s="43"/>
      <c r="P203" s="55"/>
      <c r="Q203" s="55"/>
      <c r="R203" s="55"/>
      <c r="S203" s="55"/>
    </row>
    <row r="204" spans="9:19" ht="12.5">
      <c r="I204" s="55"/>
      <c r="J204" s="55"/>
      <c r="K204" s="55"/>
      <c r="L204" s="55"/>
      <c r="M204" s="55"/>
      <c r="N204" s="43"/>
      <c r="O204" s="43"/>
      <c r="P204" s="55"/>
      <c r="Q204" s="55"/>
      <c r="R204" s="55"/>
      <c r="S204" s="55"/>
    </row>
    <row r="205" spans="9:19" ht="12.5">
      <c r="I205" s="55"/>
      <c r="J205" s="55"/>
      <c r="K205" s="55"/>
      <c r="L205" s="55"/>
      <c r="M205" s="55"/>
      <c r="N205" s="43"/>
      <c r="O205" s="43"/>
      <c r="P205" s="55"/>
      <c r="Q205" s="55"/>
      <c r="R205" s="55"/>
      <c r="S205" s="55"/>
    </row>
    <row r="206" spans="9:19" ht="12.5">
      <c r="I206" s="55"/>
      <c r="J206" s="55"/>
      <c r="K206" s="55"/>
      <c r="L206" s="55"/>
      <c r="M206" s="55"/>
      <c r="N206" s="43"/>
      <c r="O206" s="43"/>
      <c r="P206" s="55"/>
      <c r="Q206" s="55"/>
      <c r="R206" s="55"/>
      <c r="S206" s="55"/>
    </row>
    <row r="207" spans="9:19" ht="12.5">
      <c r="I207" s="55"/>
      <c r="J207" s="55"/>
      <c r="K207" s="55"/>
      <c r="L207" s="55"/>
      <c r="M207" s="55"/>
      <c r="N207" s="43"/>
      <c r="O207" s="43"/>
      <c r="P207" s="55"/>
      <c r="Q207" s="55"/>
      <c r="R207" s="55"/>
      <c r="S207" s="55"/>
    </row>
    <row r="208" spans="9:19" ht="12.5">
      <c r="I208" s="55"/>
      <c r="J208" s="55"/>
      <c r="K208" s="55"/>
      <c r="L208" s="55"/>
      <c r="M208" s="55"/>
      <c r="N208" s="43"/>
      <c r="O208" s="43"/>
      <c r="P208" s="55"/>
      <c r="Q208" s="55"/>
      <c r="R208" s="55"/>
      <c r="S208" s="55"/>
    </row>
    <row r="209" spans="9:19" ht="12.5">
      <c r="I209" s="55"/>
      <c r="J209" s="55"/>
      <c r="K209" s="55"/>
      <c r="L209" s="55"/>
      <c r="M209" s="55"/>
      <c r="N209" s="43"/>
      <c r="O209" s="43"/>
      <c r="P209" s="55"/>
      <c r="Q209" s="55"/>
      <c r="R209" s="55"/>
      <c r="S209" s="55"/>
    </row>
    <row r="210" spans="9:19" ht="12.5">
      <c r="I210" s="55"/>
      <c r="J210" s="55"/>
      <c r="K210" s="55"/>
      <c r="L210" s="55"/>
      <c r="M210" s="55"/>
      <c r="N210" s="43"/>
      <c r="O210" s="43"/>
      <c r="P210" s="55"/>
      <c r="Q210" s="55"/>
      <c r="R210" s="55"/>
      <c r="S210" s="55"/>
    </row>
    <row r="211" spans="9:19" ht="12.5">
      <c r="I211" s="55"/>
      <c r="J211" s="55"/>
      <c r="K211" s="55"/>
      <c r="L211" s="55"/>
      <c r="M211" s="55"/>
      <c r="N211" s="43"/>
      <c r="O211" s="43"/>
      <c r="P211" s="55"/>
      <c r="Q211" s="55"/>
      <c r="R211" s="55"/>
      <c r="S211" s="55"/>
    </row>
    <row r="212" spans="9:19" ht="12.5">
      <c r="I212" s="55"/>
      <c r="J212" s="55"/>
      <c r="K212" s="55"/>
      <c r="L212" s="55"/>
      <c r="M212" s="55"/>
      <c r="N212" s="43"/>
      <c r="O212" s="43"/>
      <c r="P212" s="55"/>
      <c r="Q212" s="55"/>
      <c r="R212" s="55"/>
      <c r="S212" s="55"/>
    </row>
    <row r="213" spans="9:19" ht="12.5">
      <c r="I213" s="55"/>
      <c r="J213" s="55"/>
      <c r="K213" s="55"/>
      <c r="L213" s="55"/>
      <c r="M213" s="55"/>
      <c r="N213" s="43"/>
      <c r="O213" s="43"/>
      <c r="P213" s="55"/>
      <c r="Q213" s="55"/>
      <c r="R213" s="55"/>
      <c r="S213" s="55"/>
    </row>
    <row r="214" spans="9:19" ht="12.5">
      <c r="I214" s="55"/>
      <c r="J214" s="55"/>
      <c r="K214" s="55"/>
      <c r="L214" s="55"/>
      <c r="M214" s="55"/>
      <c r="N214" s="43"/>
      <c r="O214" s="43"/>
      <c r="P214" s="55"/>
      <c r="Q214" s="55"/>
      <c r="R214" s="55"/>
      <c r="S214" s="55"/>
    </row>
    <row r="215" spans="9:19" ht="12.5">
      <c r="I215" s="55"/>
      <c r="J215" s="55"/>
      <c r="K215" s="55"/>
      <c r="L215" s="55"/>
      <c r="M215" s="55"/>
      <c r="N215" s="43"/>
      <c r="O215" s="43"/>
      <c r="P215" s="55"/>
      <c r="Q215" s="55"/>
      <c r="R215" s="55"/>
      <c r="S215" s="55"/>
    </row>
    <row r="216" spans="9:19" ht="12.5">
      <c r="I216" s="55"/>
      <c r="J216" s="55"/>
      <c r="K216" s="55"/>
      <c r="L216" s="55"/>
      <c r="M216" s="55"/>
      <c r="N216" s="43"/>
      <c r="O216" s="43"/>
      <c r="P216" s="55"/>
      <c r="Q216" s="55"/>
      <c r="R216" s="55"/>
      <c r="S216" s="55"/>
    </row>
    <row r="217" spans="9:19" ht="12.5">
      <c r="I217" s="55"/>
      <c r="J217" s="55"/>
      <c r="K217" s="55"/>
      <c r="L217" s="55"/>
      <c r="M217" s="55"/>
      <c r="N217" s="43"/>
      <c r="O217" s="43"/>
      <c r="P217" s="55"/>
      <c r="Q217" s="55"/>
      <c r="R217" s="55"/>
      <c r="S217" s="55"/>
    </row>
    <row r="218" spans="9:19" ht="12.5">
      <c r="I218" s="55"/>
      <c r="J218" s="55"/>
      <c r="K218" s="55"/>
      <c r="L218" s="55"/>
      <c r="M218" s="55"/>
      <c r="N218" s="43"/>
      <c r="O218" s="43"/>
      <c r="P218" s="55"/>
      <c r="Q218" s="55"/>
      <c r="R218" s="55"/>
      <c r="S218" s="55"/>
    </row>
    <row r="219" spans="9:19" ht="12.5">
      <c r="I219" s="55"/>
      <c r="J219" s="55"/>
      <c r="K219" s="55"/>
      <c r="L219" s="55"/>
      <c r="M219" s="55"/>
      <c r="N219" s="43"/>
      <c r="O219" s="43"/>
      <c r="P219" s="55"/>
      <c r="Q219" s="55"/>
      <c r="R219" s="55"/>
      <c r="S219" s="55"/>
    </row>
    <row r="220" spans="9:19" ht="12.5">
      <c r="I220" s="55"/>
      <c r="J220" s="55"/>
      <c r="K220" s="55"/>
      <c r="L220" s="55"/>
      <c r="M220" s="55"/>
      <c r="N220" s="43"/>
      <c r="O220" s="43"/>
      <c r="P220" s="55"/>
      <c r="Q220" s="55"/>
      <c r="R220" s="55"/>
      <c r="S220" s="55"/>
    </row>
    <row r="221" spans="9:19" ht="12.5">
      <c r="I221" s="55"/>
      <c r="J221" s="55"/>
      <c r="K221" s="55"/>
      <c r="L221" s="55"/>
      <c r="M221" s="55"/>
      <c r="N221" s="43"/>
      <c r="O221" s="43"/>
      <c r="P221" s="55"/>
      <c r="Q221" s="55"/>
      <c r="R221" s="55"/>
      <c r="S221" s="55"/>
    </row>
    <row r="222" spans="9:19" ht="12.5">
      <c r="I222" s="55"/>
      <c r="J222" s="55"/>
      <c r="K222" s="55"/>
      <c r="L222" s="55"/>
      <c r="M222" s="55"/>
      <c r="N222" s="43"/>
      <c r="O222" s="43"/>
      <c r="P222" s="55"/>
      <c r="Q222" s="55"/>
      <c r="R222" s="55"/>
      <c r="S222" s="55"/>
    </row>
    <row r="223" spans="9:19" ht="12.5">
      <c r="I223" s="55"/>
      <c r="J223" s="55"/>
      <c r="K223" s="55"/>
      <c r="L223" s="55"/>
      <c r="M223" s="55"/>
      <c r="N223" s="43"/>
      <c r="O223" s="43"/>
      <c r="P223" s="55"/>
      <c r="Q223" s="55"/>
      <c r="R223" s="55"/>
      <c r="S223" s="55"/>
    </row>
    <row r="224" spans="9:19" ht="12.5">
      <c r="I224" s="55"/>
      <c r="J224" s="55"/>
      <c r="K224" s="55"/>
      <c r="L224" s="55"/>
      <c r="M224" s="55"/>
      <c r="N224" s="43"/>
      <c r="O224" s="43"/>
      <c r="P224" s="55"/>
      <c r="Q224" s="55"/>
      <c r="R224" s="55"/>
      <c r="S224" s="55"/>
    </row>
    <row r="225" spans="9:19" ht="12.5">
      <c r="I225" s="55"/>
      <c r="J225" s="55"/>
      <c r="K225" s="55"/>
      <c r="L225" s="55"/>
      <c r="M225" s="55"/>
      <c r="N225" s="43"/>
      <c r="O225" s="43"/>
      <c r="P225" s="55"/>
      <c r="Q225" s="55"/>
      <c r="R225" s="55"/>
      <c r="S225" s="55"/>
    </row>
    <row r="226" spans="9:19" ht="12.5">
      <c r="I226" s="55"/>
      <c r="J226" s="55"/>
      <c r="K226" s="55"/>
      <c r="L226" s="55"/>
      <c r="M226" s="55"/>
      <c r="N226" s="43"/>
      <c r="O226" s="43"/>
      <c r="P226" s="55"/>
      <c r="Q226" s="55"/>
      <c r="R226" s="55"/>
      <c r="S226" s="55"/>
    </row>
    <row r="227" spans="9:19" ht="12.5">
      <c r="I227" s="55"/>
      <c r="J227" s="55"/>
      <c r="K227" s="55"/>
      <c r="L227" s="55"/>
      <c r="M227" s="55"/>
      <c r="N227" s="43"/>
      <c r="O227" s="43"/>
      <c r="P227" s="55"/>
      <c r="Q227" s="55"/>
      <c r="R227" s="55"/>
      <c r="S227" s="55"/>
    </row>
    <row r="228" spans="9:19" ht="12.5">
      <c r="I228" s="55"/>
      <c r="J228" s="55"/>
      <c r="K228" s="55"/>
      <c r="L228" s="55"/>
      <c r="M228" s="55"/>
      <c r="N228" s="43"/>
      <c r="O228" s="43"/>
      <c r="P228" s="55"/>
      <c r="Q228" s="55"/>
      <c r="R228" s="55"/>
      <c r="S228" s="55"/>
    </row>
    <row r="229" spans="9:19" ht="12.5">
      <c r="I229" s="55"/>
      <c r="J229" s="55"/>
      <c r="K229" s="55"/>
      <c r="L229" s="55"/>
      <c r="M229" s="55"/>
      <c r="N229" s="43"/>
      <c r="O229" s="43"/>
      <c r="P229" s="55"/>
      <c r="Q229" s="55"/>
      <c r="R229" s="55"/>
      <c r="S229" s="55"/>
    </row>
    <row r="230" spans="9:19" ht="12.5">
      <c r="I230" s="55"/>
      <c r="J230" s="55"/>
      <c r="K230" s="55"/>
      <c r="L230" s="55"/>
      <c r="M230" s="55"/>
      <c r="N230" s="43"/>
      <c r="O230" s="43"/>
      <c r="P230" s="55"/>
      <c r="Q230" s="55"/>
      <c r="R230" s="55"/>
      <c r="S230" s="55"/>
    </row>
    <row r="231" spans="9:19" ht="12.5">
      <c r="I231" s="55"/>
      <c r="J231" s="55"/>
      <c r="K231" s="55"/>
      <c r="L231" s="55"/>
      <c r="M231" s="55"/>
      <c r="N231" s="43"/>
      <c r="O231" s="43"/>
      <c r="P231" s="55"/>
      <c r="Q231" s="55"/>
      <c r="R231" s="55"/>
      <c r="S231" s="55"/>
    </row>
    <row r="232" spans="9:19" ht="12.5">
      <c r="I232" s="55"/>
      <c r="J232" s="55"/>
      <c r="K232" s="55"/>
      <c r="L232" s="55"/>
      <c r="M232" s="55"/>
      <c r="N232" s="43"/>
      <c r="O232" s="43"/>
      <c r="P232" s="55"/>
      <c r="Q232" s="55"/>
      <c r="R232" s="55"/>
      <c r="S232" s="55"/>
    </row>
    <row r="233" spans="9:19" ht="12.5">
      <c r="I233" s="55"/>
      <c r="J233" s="55"/>
      <c r="K233" s="55"/>
      <c r="L233" s="55"/>
      <c r="M233" s="55"/>
      <c r="N233" s="43"/>
      <c r="O233" s="43"/>
      <c r="P233" s="55"/>
      <c r="Q233" s="55"/>
      <c r="R233" s="55"/>
      <c r="S233" s="55"/>
    </row>
    <row r="234" spans="9:19" ht="12.5">
      <c r="I234" s="55"/>
      <c r="J234" s="55"/>
      <c r="K234" s="55"/>
      <c r="L234" s="55"/>
      <c r="M234" s="55"/>
      <c r="N234" s="43"/>
      <c r="O234" s="43"/>
      <c r="P234" s="55"/>
      <c r="Q234" s="55"/>
      <c r="R234" s="55"/>
      <c r="S234" s="55"/>
    </row>
    <row r="235" spans="9:19" ht="12.5">
      <c r="I235" s="55"/>
      <c r="J235" s="55"/>
      <c r="K235" s="55"/>
      <c r="L235" s="55"/>
      <c r="M235" s="55"/>
      <c r="N235" s="43"/>
      <c r="O235" s="43"/>
      <c r="P235" s="55"/>
      <c r="Q235" s="55"/>
      <c r="R235" s="55"/>
      <c r="S235" s="55"/>
    </row>
    <row r="236" spans="9:19" ht="12.5">
      <c r="I236" s="55"/>
      <c r="J236" s="55"/>
      <c r="K236" s="55"/>
      <c r="L236" s="55"/>
      <c r="M236" s="55"/>
      <c r="N236" s="43"/>
      <c r="O236" s="43"/>
      <c r="P236" s="55"/>
      <c r="Q236" s="55"/>
      <c r="R236" s="55"/>
      <c r="S236" s="55"/>
    </row>
    <row r="237" spans="9:19" ht="12.5">
      <c r="I237" s="55"/>
      <c r="J237" s="55"/>
      <c r="K237" s="55"/>
      <c r="L237" s="55"/>
      <c r="M237" s="55"/>
      <c r="N237" s="43"/>
      <c r="O237" s="43"/>
      <c r="P237" s="55"/>
      <c r="Q237" s="55"/>
      <c r="R237" s="55"/>
      <c r="S237" s="55"/>
    </row>
    <row r="238" spans="9:19" ht="12.5">
      <c r="I238" s="55"/>
      <c r="J238" s="55"/>
      <c r="K238" s="55"/>
      <c r="L238" s="55"/>
      <c r="M238" s="55"/>
      <c r="N238" s="43"/>
      <c r="O238" s="43"/>
      <c r="P238" s="55"/>
      <c r="Q238" s="55"/>
      <c r="R238" s="55"/>
      <c r="S238" s="55"/>
    </row>
    <row r="239" spans="9:19" ht="12.5">
      <c r="I239" s="55"/>
      <c r="J239" s="55"/>
      <c r="K239" s="55"/>
      <c r="L239" s="55"/>
      <c r="M239" s="55"/>
      <c r="N239" s="43"/>
      <c r="O239" s="43"/>
      <c r="P239" s="55"/>
      <c r="Q239" s="55"/>
      <c r="R239" s="55"/>
      <c r="S239" s="55"/>
    </row>
    <row r="240" spans="9:19" ht="12.5">
      <c r="I240" s="55"/>
      <c r="J240" s="55"/>
      <c r="K240" s="55"/>
      <c r="L240" s="55"/>
      <c r="M240" s="55"/>
      <c r="N240" s="43"/>
      <c r="O240" s="43"/>
      <c r="P240" s="55"/>
      <c r="Q240" s="55"/>
      <c r="R240" s="55"/>
      <c r="S240" s="55"/>
    </row>
    <row r="241" spans="9:19" ht="12.5">
      <c r="I241" s="55"/>
      <c r="J241" s="55"/>
      <c r="K241" s="55"/>
      <c r="L241" s="55"/>
      <c r="M241" s="55"/>
      <c r="N241" s="43"/>
      <c r="O241" s="43"/>
      <c r="P241" s="55"/>
      <c r="Q241" s="55"/>
      <c r="R241" s="55"/>
      <c r="S241" s="55"/>
    </row>
    <row r="242" spans="9:19" ht="12.5">
      <c r="I242" s="55"/>
      <c r="J242" s="55"/>
      <c r="K242" s="55"/>
      <c r="L242" s="55"/>
      <c r="M242" s="55"/>
      <c r="N242" s="43"/>
      <c r="O242" s="43"/>
      <c r="P242" s="55"/>
      <c r="Q242" s="55"/>
      <c r="R242" s="55"/>
      <c r="S242" s="55"/>
    </row>
    <row r="243" spans="9:19" ht="12.5">
      <c r="I243" s="55"/>
      <c r="J243" s="55"/>
      <c r="K243" s="55"/>
      <c r="L243" s="55"/>
      <c r="M243" s="55"/>
      <c r="N243" s="43"/>
      <c r="O243" s="43"/>
      <c r="P243" s="55"/>
      <c r="Q243" s="55"/>
      <c r="R243" s="55"/>
      <c r="S243" s="55"/>
    </row>
    <row r="244" spans="9:19" ht="12.5">
      <c r="I244" s="55"/>
      <c r="J244" s="55"/>
      <c r="K244" s="55"/>
      <c r="L244" s="55"/>
      <c r="M244" s="55"/>
      <c r="N244" s="43"/>
      <c r="O244" s="43"/>
      <c r="P244" s="55"/>
      <c r="Q244" s="55"/>
      <c r="R244" s="55"/>
      <c r="S244" s="55"/>
    </row>
    <row r="245" spans="9:19" ht="12.5">
      <c r="I245" s="55"/>
      <c r="J245" s="55"/>
      <c r="K245" s="55"/>
      <c r="L245" s="55"/>
      <c r="M245" s="55"/>
      <c r="N245" s="43"/>
      <c r="O245" s="43"/>
      <c r="P245" s="55"/>
      <c r="Q245" s="55"/>
      <c r="R245" s="55"/>
      <c r="S245" s="55"/>
    </row>
    <row r="246" spans="9:19" ht="12.5">
      <c r="I246" s="55"/>
      <c r="J246" s="55"/>
      <c r="K246" s="55"/>
      <c r="L246" s="55"/>
      <c r="M246" s="55"/>
      <c r="N246" s="43"/>
      <c r="O246" s="43"/>
      <c r="P246" s="55"/>
      <c r="Q246" s="55"/>
      <c r="R246" s="55"/>
      <c r="S246" s="55"/>
    </row>
    <row r="247" spans="9:19" ht="12.5">
      <c r="I247" s="55"/>
      <c r="J247" s="55"/>
      <c r="K247" s="55"/>
      <c r="L247" s="55"/>
      <c r="M247" s="55"/>
      <c r="N247" s="43"/>
      <c r="O247" s="43"/>
      <c r="P247" s="55"/>
      <c r="Q247" s="55"/>
      <c r="R247" s="55"/>
      <c r="S247" s="55"/>
    </row>
    <row r="248" spans="9:19" ht="12.5">
      <c r="I248" s="55"/>
      <c r="J248" s="55"/>
      <c r="K248" s="55"/>
      <c r="L248" s="55"/>
      <c r="M248" s="55"/>
      <c r="N248" s="43"/>
      <c r="O248" s="43"/>
      <c r="P248" s="55"/>
      <c r="Q248" s="55"/>
      <c r="R248" s="55"/>
      <c r="S248" s="55"/>
    </row>
    <row r="249" spans="9:19" ht="12.5">
      <c r="I249" s="55"/>
      <c r="J249" s="55"/>
      <c r="K249" s="55"/>
      <c r="L249" s="55"/>
      <c r="M249" s="55"/>
      <c r="N249" s="43"/>
      <c r="O249" s="43"/>
      <c r="P249" s="55"/>
      <c r="Q249" s="55"/>
      <c r="R249" s="55"/>
      <c r="S249" s="55"/>
    </row>
    <row r="250" spans="9:19" ht="12.5">
      <c r="I250" s="55"/>
      <c r="J250" s="55"/>
      <c r="K250" s="55"/>
      <c r="L250" s="55"/>
      <c r="M250" s="55"/>
      <c r="N250" s="43"/>
      <c r="O250" s="43"/>
      <c r="P250" s="55"/>
      <c r="Q250" s="55"/>
      <c r="R250" s="55"/>
      <c r="S250" s="55"/>
    </row>
    <row r="251" spans="9:19" ht="12.5">
      <c r="I251" s="55"/>
      <c r="J251" s="55"/>
      <c r="K251" s="55"/>
      <c r="L251" s="55"/>
      <c r="M251" s="55"/>
      <c r="N251" s="43"/>
      <c r="O251" s="43"/>
      <c r="P251" s="55"/>
      <c r="Q251" s="55"/>
      <c r="R251" s="55"/>
      <c r="S251" s="55"/>
    </row>
    <row r="252" spans="9:19" ht="12.5">
      <c r="I252" s="55"/>
      <c r="J252" s="55"/>
      <c r="K252" s="55"/>
      <c r="L252" s="55"/>
      <c r="M252" s="55"/>
      <c r="N252" s="43"/>
      <c r="O252" s="43"/>
      <c r="P252" s="55"/>
      <c r="Q252" s="55"/>
      <c r="R252" s="55"/>
      <c r="S252" s="55"/>
    </row>
    <row r="253" spans="9:19" ht="12.5">
      <c r="I253" s="55"/>
      <c r="J253" s="55"/>
      <c r="K253" s="55"/>
      <c r="L253" s="55"/>
      <c r="M253" s="55"/>
      <c r="N253" s="43"/>
      <c r="O253" s="43"/>
      <c r="P253" s="55"/>
      <c r="Q253" s="55"/>
      <c r="R253" s="55"/>
      <c r="S253" s="55"/>
    </row>
    <row r="254" spans="9:19" ht="12.5">
      <c r="I254" s="55"/>
      <c r="J254" s="55"/>
      <c r="K254" s="55"/>
      <c r="L254" s="55"/>
      <c r="M254" s="55"/>
      <c r="N254" s="43"/>
      <c r="O254" s="43"/>
      <c r="P254" s="55"/>
      <c r="Q254" s="55"/>
      <c r="R254" s="55"/>
      <c r="S254" s="55"/>
    </row>
    <row r="255" spans="9:19" ht="12.5">
      <c r="I255" s="55"/>
      <c r="J255" s="55"/>
      <c r="K255" s="55"/>
      <c r="L255" s="55"/>
      <c r="M255" s="55"/>
      <c r="N255" s="43"/>
      <c r="O255" s="43"/>
      <c r="P255" s="55"/>
      <c r="Q255" s="55"/>
      <c r="R255" s="55"/>
      <c r="S255" s="55"/>
    </row>
    <row r="256" spans="9:19" ht="12.5">
      <c r="I256" s="55"/>
      <c r="J256" s="55"/>
      <c r="K256" s="55"/>
      <c r="L256" s="55"/>
      <c r="M256" s="55"/>
      <c r="N256" s="43"/>
      <c r="O256" s="43"/>
      <c r="P256" s="55"/>
      <c r="Q256" s="55"/>
      <c r="R256" s="55"/>
      <c r="S256" s="55"/>
    </row>
    <row r="257" spans="9:19" ht="12.5">
      <c r="I257" s="55"/>
      <c r="J257" s="55"/>
      <c r="K257" s="55"/>
      <c r="L257" s="55"/>
      <c r="M257" s="55"/>
      <c r="N257" s="43"/>
      <c r="O257" s="43"/>
      <c r="P257" s="55"/>
      <c r="Q257" s="55"/>
      <c r="R257" s="55"/>
      <c r="S257" s="55"/>
    </row>
    <row r="258" spans="9:19" ht="12.5">
      <c r="I258" s="55"/>
      <c r="J258" s="55"/>
      <c r="K258" s="55"/>
      <c r="L258" s="55"/>
      <c r="M258" s="55"/>
      <c r="N258" s="43"/>
      <c r="O258" s="43"/>
      <c r="P258" s="55"/>
      <c r="Q258" s="55"/>
      <c r="R258" s="55"/>
      <c r="S258" s="55"/>
    </row>
    <row r="259" spans="9:19" ht="12.5">
      <c r="I259" s="55"/>
      <c r="J259" s="55"/>
      <c r="K259" s="55"/>
      <c r="L259" s="55"/>
      <c r="M259" s="55"/>
      <c r="N259" s="43"/>
      <c r="O259" s="43"/>
      <c r="P259" s="55"/>
      <c r="Q259" s="55"/>
      <c r="R259" s="55"/>
      <c r="S259" s="55"/>
    </row>
    <row r="260" spans="9:19" ht="12.5">
      <c r="I260" s="55"/>
      <c r="J260" s="55"/>
      <c r="K260" s="55"/>
      <c r="L260" s="55"/>
      <c r="M260" s="55"/>
      <c r="N260" s="43"/>
      <c r="O260" s="43"/>
      <c r="P260" s="55"/>
      <c r="Q260" s="55"/>
      <c r="R260" s="55"/>
      <c r="S260" s="55"/>
    </row>
    <row r="261" spans="9:19" ht="12.5">
      <c r="I261" s="55"/>
      <c r="J261" s="55"/>
      <c r="K261" s="55"/>
      <c r="L261" s="55"/>
      <c r="M261" s="55"/>
      <c r="N261" s="43"/>
      <c r="O261" s="43"/>
      <c r="P261" s="55"/>
      <c r="Q261" s="55"/>
      <c r="R261" s="55"/>
      <c r="S261" s="55"/>
    </row>
    <row r="262" spans="9:19" ht="12.5">
      <c r="I262" s="55"/>
      <c r="J262" s="55"/>
      <c r="K262" s="55"/>
      <c r="L262" s="55"/>
      <c r="M262" s="55"/>
      <c r="N262" s="43"/>
      <c r="O262" s="43"/>
      <c r="P262" s="55"/>
      <c r="Q262" s="55"/>
      <c r="R262" s="55"/>
      <c r="S262" s="55"/>
    </row>
    <row r="263" spans="9:19" ht="12.5">
      <c r="I263" s="55"/>
      <c r="J263" s="55"/>
      <c r="K263" s="55"/>
      <c r="L263" s="55"/>
      <c r="M263" s="55"/>
      <c r="N263" s="43"/>
      <c r="O263" s="43"/>
      <c r="P263" s="55"/>
      <c r="Q263" s="55"/>
      <c r="R263" s="55"/>
      <c r="S263" s="55"/>
    </row>
    <row r="264" spans="9:19" ht="12.5">
      <c r="I264" s="55"/>
      <c r="J264" s="55"/>
      <c r="K264" s="55"/>
      <c r="L264" s="55"/>
      <c r="M264" s="55"/>
      <c r="N264" s="43"/>
      <c r="O264" s="43"/>
      <c r="P264" s="55"/>
      <c r="Q264" s="55"/>
      <c r="R264" s="55"/>
      <c r="S264" s="55"/>
    </row>
    <row r="265" spans="9:19" ht="12.5">
      <c r="I265" s="55"/>
      <c r="J265" s="55"/>
      <c r="K265" s="55"/>
      <c r="L265" s="55"/>
      <c r="M265" s="55"/>
      <c r="N265" s="43"/>
      <c r="O265" s="43"/>
      <c r="P265" s="55"/>
      <c r="Q265" s="55"/>
      <c r="R265" s="55"/>
      <c r="S265" s="55"/>
    </row>
    <row r="266" spans="9:19" ht="12.5">
      <c r="I266" s="55"/>
      <c r="J266" s="55"/>
      <c r="K266" s="55"/>
      <c r="L266" s="55"/>
      <c r="M266" s="55"/>
      <c r="N266" s="43"/>
      <c r="O266" s="43"/>
      <c r="P266" s="55"/>
      <c r="Q266" s="55"/>
      <c r="R266" s="55"/>
      <c r="S266" s="55"/>
    </row>
    <row r="267" spans="9:19" ht="12.5">
      <c r="I267" s="55"/>
      <c r="J267" s="55"/>
      <c r="K267" s="55"/>
      <c r="L267" s="55"/>
      <c r="M267" s="55"/>
      <c r="N267" s="43"/>
      <c r="O267" s="43"/>
      <c r="P267" s="55"/>
      <c r="Q267" s="55"/>
      <c r="R267" s="55"/>
      <c r="S267" s="55"/>
    </row>
    <row r="268" spans="9:19" ht="12.5">
      <c r="I268" s="55"/>
      <c r="J268" s="55"/>
      <c r="K268" s="55"/>
      <c r="L268" s="55"/>
      <c r="M268" s="55"/>
      <c r="N268" s="43"/>
      <c r="O268" s="43"/>
      <c r="P268" s="55"/>
      <c r="Q268" s="55"/>
      <c r="R268" s="55"/>
      <c r="S268" s="55"/>
    </row>
    <row r="269" spans="9:19" ht="12.5">
      <c r="I269" s="55"/>
      <c r="J269" s="55"/>
      <c r="K269" s="55"/>
      <c r="L269" s="55"/>
      <c r="M269" s="55"/>
      <c r="N269" s="43"/>
      <c r="O269" s="43"/>
      <c r="P269" s="55"/>
      <c r="Q269" s="55"/>
      <c r="R269" s="55"/>
      <c r="S269" s="55"/>
    </row>
    <row r="270" spans="9:19" ht="12.5">
      <c r="I270" s="55"/>
      <c r="J270" s="55"/>
      <c r="K270" s="55"/>
      <c r="L270" s="55"/>
      <c r="M270" s="55"/>
      <c r="N270" s="43"/>
      <c r="O270" s="43"/>
      <c r="P270" s="55"/>
      <c r="Q270" s="55"/>
      <c r="R270" s="55"/>
      <c r="S270" s="55"/>
    </row>
    <row r="271" spans="9:19" ht="12.5">
      <c r="I271" s="55"/>
      <c r="J271" s="55"/>
      <c r="K271" s="55"/>
      <c r="L271" s="55"/>
      <c r="M271" s="55"/>
      <c r="N271" s="43"/>
      <c r="O271" s="43"/>
      <c r="P271" s="55"/>
      <c r="Q271" s="55"/>
      <c r="R271" s="55"/>
      <c r="S271" s="55"/>
    </row>
    <row r="272" spans="9:19" ht="12.5">
      <c r="I272" s="55"/>
      <c r="J272" s="55"/>
      <c r="K272" s="55"/>
      <c r="L272" s="55"/>
      <c r="M272" s="55"/>
      <c r="N272" s="43"/>
      <c r="O272" s="43"/>
      <c r="P272" s="55"/>
      <c r="Q272" s="55"/>
      <c r="R272" s="55"/>
      <c r="S272" s="55"/>
    </row>
    <row r="273" spans="9:19" ht="12.5">
      <c r="I273" s="55"/>
      <c r="J273" s="55"/>
      <c r="K273" s="55"/>
      <c r="L273" s="55"/>
      <c r="M273" s="55"/>
      <c r="N273" s="43"/>
      <c r="O273" s="43"/>
      <c r="P273" s="55"/>
      <c r="Q273" s="55"/>
      <c r="R273" s="55"/>
      <c r="S273" s="55"/>
    </row>
    <row r="274" spans="9:19" ht="12.5">
      <c r="I274" s="55"/>
      <c r="J274" s="55"/>
      <c r="K274" s="55"/>
      <c r="L274" s="55"/>
      <c r="M274" s="55"/>
      <c r="N274" s="43"/>
      <c r="O274" s="43"/>
      <c r="P274" s="55"/>
      <c r="Q274" s="55"/>
      <c r="R274" s="55"/>
      <c r="S274" s="55"/>
    </row>
    <row r="275" spans="9:19" ht="12.5">
      <c r="I275" s="55"/>
      <c r="J275" s="55"/>
      <c r="K275" s="55"/>
      <c r="L275" s="55"/>
      <c r="M275" s="55"/>
      <c r="N275" s="43"/>
      <c r="O275" s="43"/>
      <c r="P275" s="55"/>
      <c r="Q275" s="55"/>
      <c r="R275" s="55"/>
      <c r="S275" s="55"/>
    </row>
    <row r="276" spans="9:19" ht="12.5">
      <c r="I276" s="55"/>
      <c r="J276" s="55"/>
      <c r="K276" s="55"/>
      <c r="L276" s="55"/>
      <c r="M276" s="55"/>
      <c r="N276" s="43"/>
      <c r="O276" s="43"/>
      <c r="P276" s="55"/>
      <c r="Q276" s="55"/>
      <c r="R276" s="55"/>
      <c r="S276" s="55"/>
    </row>
    <row r="277" spans="9:19" ht="12.5">
      <c r="I277" s="55"/>
      <c r="J277" s="55"/>
      <c r="K277" s="55"/>
      <c r="L277" s="55"/>
      <c r="M277" s="55"/>
      <c r="N277" s="43"/>
      <c r="O277" s="43"/>
      <c r="P277" s="55"/>
      <c r="Q277" s="55"/>
      <c r="R277" s="55"/>
      <c r="S277" s="55"/>
    </row>
    <row r="278" spans="9:19" ht="12.5">
      <c r="I278" s="55"/>
      <c r="J278" s="55"/>
      <c r="K278" s="55"/>
      <c r="L278" s="55"/>
      <c r="M278" s="55"/>
      <c r="N278" s="43"/>
      <c r="O278" s="43"/>
      <c r="P278" s="55"/>
      <c r="Q278" s="55"/>
      <c r="R278" s="55"/>
      <c r="S278" s="55"/>
    </row>
    <row r="279" spans="9:19" ht="12.5">
      <c r="I279" s="55"/>
      <c r="J279" s="55"/>
      <c r="K279" s="55"/>
      <c r="L279" s="55"/>
      <c r="M279" s="55"/>
      <c r="N279" s="43"/>
      <c r="O279" s="43"/>
      <c r="P279" s="55"/>
      <c r="Q279" s="55"/>
      <c r="R279" s="55"/>
      <c r="S279" s="55"/>
    </row>
    <row r="280" spans="9:19" ht="12.5">
      <c r="I280" s="55"/>
      <c r="J280" s="55"/>
      <c r="K280" s="55"/>
      <c r="L280" s="55"/>
      <c r="M280" s="55"/>
      <c r="N280" s="43"/>
      <c r="O280" s="43"/>
      <c r="P280" s="55"/>
      <c r="Q280" s="55"/>
      <c r="R280" s="55"/>
      <c r="S280" s="55"/>
    </row>
    <row r="281" spans="9:19" ht="12.5">
      <c r="I281" s="55"/>
      <c r="J281" s="55"/>
      <c r="K281" s="55"/>
      <c r="L281" s="55"/>
      <c r="M281" s="55"/>
      <c r="N281" s="43"/>
      <c r="O281" s="43"/>
      <c r="P281" s="55"/>
      <c r="Q281" s="55"/>
      <c r="R281" s="55"/>
      <c r="S281" s="55"/>
    </row>
    <row r="282" spans="9:19" ht="12.5">
      <c r="I282" s="55"/>
      <c r="J282" s="55"/>
      <c r="K282" s="55"/>
      <c r="L282" s="55"/>
      <c r="M282" s="55"/>
      <c r="N282" s="43"/>
      <c r="O282" s="43"/>
      <c r="P282" s="55"/>
      <c r="Q282" s="55"/>
      <c r="R282" s="55"/>
      <c r="S282" s="55"/>
    </row>
    <row r="283" spans="9:19" ht="12.5">
      <c r="I283" s="55"/>
      <c r="J283" s="55"/>
      <c r="K283" s="55"/>
      <c r="L283" s="55"/>
      <c r="M283" s="55"/>
      <c r="N283" s="43"/>
      <c r="O283" s="43"/>
      <c r="P283" s="55"/>
      <c r="Q283" s="55"/>
      <c r="R283" s="55"/>
      <c r="S283" s="55"/>
    </row>
    <row r="284" spans="9:19" ht="12.5">
      <c r="I284" s="55"/>
      <c r="J284" s="55"/>
      <c r="K284" s="55"/>
      <c r="L284" s="55"/>
      <c r="M284" s="55"/>
      <c r="N284" s="43"/>
      <c r="O284" s="43"/>
      <c r="P284" s="55"/>
      <c r="Q284" s="55"/>
      <c r="R284" s="55"/>
      <c r="S284" s="55"/>
    </row>
    <row r="285" spans="9:19" ht="12.5">
      <c r="I285" s="55"/>
      <c r="J285" s="55"/>
      <c r="K285" s="55"/>
      <c r="L285" s="55"/>
      <c r="M285" s="55"/>
      <c r="N285" s="43"/>
      <c r="O285" s="43"/>
      <c r="P285" s="55"/>
      <c r="Q285" s="55"/>
      <c r="R285" s="55"/>
      <c r="S285" s="55"/>
    </row>
    <row r="286" spans="9:19" ht="12.5">
      <c r="I286" s="55"/>
      <c r="J286" s="55"/>
      <c r="K286" s="55"/>
      <c r="L286" s="55"/>
      <c r="M286" s="55"/>
      <c r="N286" s="43"/>
      <c r="O286" s="43"/>
      <c r="P286" s="55"/>
      <c r="Q286" s="55"/>
      <c r="R286" s="55"/>
      <c r="S286" s="55"/>
    </row>
    <row r="287" spans="9:19" ht="12.5">
      <c r="I287" s="55"/>
      <c r="J287" s="55"/>
      <c r="K287" s="55"/>
      <c r="L287" s="55"/>
      <c r="M287" s="55"/>
      <c r="N287" s="43"/>
      <c r="O287" s="43"/>
      <c r="P287" s="55"/>
      <c r="Q287" s="55"/>
      <c r="R287" s="55"/>
      <c r="S287" s="55"/>
    </row>
    <row r="288" spans="9:19" ht="12.5">
      <c r="I288" s="55"/>
      <c r="J288" s="55"/>
      <c r="K288" s="55"/>
      <c r="L288" s="55"/>
      <c r="M288" s="55"/>
      <c r="N288" s="43"/>
      <c r="O288" s="43"/>
      <c r="P288" s="55"/>
      <c r="Q288" s="55"/>
      <c r="R288" s="55"/>
      <c r="S288" s="55"/>
    </row>
    <row r="289" spans="9:19" ht="12.5">
      <c r="I289" s="55"/>
      <c r="J289" s="55"/>
      <c r="K289" s="55"/>
      <c r="L289" s="55"/>
      <c r="M289" s="55"/>
      <c r="N289" s="43"/>
      <c r="O289" s="43"/>
      <c r="P289" s="55"/>
      <c r="Q289" s="55"/>
      <c r="R289" s="55"/>
      <c r="S289" s="55"/>
    </row>
    <row r="290" spans="9:19" ht="12.5">
      <c r="I290" s="55"/>
      <c r="J290" s="55"/>
      <c r="K290" s="55"/>
      <c r="L290" s="55"/>
      <c r="M290" s="55"/>
      <c r="N290" s="43"/>
      <c r="O290" s="43"/>
      <c r="P290" s="55"/>
      <c r="Q290" s="55"/>
      <c r="R290" s="55"/>
      <c r="S290" s="55"/>
    </row>
    <row r="291" spans="9:19" ht="12.5">
      <c r="I291" s="55"/>
      <c r="J291" s="55"/>
      <c r="K291" s="55"/>
      <c r="L291" s="55"/>
      <c r="M291" s="55"/>
      <c r="N291" s="43"/>
      <c r="O291" s="43"/>
      <c r="P291" s="55"/>
      <c r="Q291" s="55"/>
      <c r="R291" s="55"/>
      <c r="S291" s="55"/>
    </row>
    <row r="292" spans="9:19" ht="12.5">
      <c r="I292" s="55"/>
      <c r="J292" s="55"/>
      <c r="K292" s="55"/>
      <c r="L292" s="55"/>
      <c r="M292" s="55"/>
      <c r="N292" s="43"/>
      <c r="O292" s="43"/>
      <c r="P292" s="55"/>
      <c r="Q292" s="55"/>
      <c r="R292" s="55"/>
      <c r="S292" s="55"/>
    </row>
    <row r="293" spans="9:19" ht="12.5">
      <c r="I293" s="55"/>
      <c r="J293" s="55"/>
      <c r="K293" s="55"/>
      <c r="L293" s="55"/>
      <c r="M293" s="55"/>
      <c r="N293" s="43"/>
      <c r="O293" s="43"/>
      <c r="P293" s="55"/>
      <c r="Q293" s="55"/>
      <c r="R293" s="55"/>
      <c r="S293" s="55"/>
    </row>
    <row r="294" spans="9:19" ht="12.5">
      <c r="I294" s="55"/>
      <c r="J294" s="55"/>
      <c r="K294" s="55"/>
      <c r="L294" s="55"/>
      <c r="M294" s="55"/>
      <c r="N294" s="43"/>
      <c r="O294" s="43"/>
      <c r="P294" s="55"/>
      <c r="Q294" s="55"/>
      <c r="R294" s="55"/>
      <c r="S294" s="55"/>
    </row>
    <row r="295" spans="9:19" ht="12.5">
      <c r="I295" s="55"/>
      <c r="J295" s="55"/>
      <c r="K295" s="55"/>
      <c r="L295" s="55"/>
      <c r="M295" s="55"/>
      <c r="N295" s="43"/>
      <c r="O295" s="43"/>
      <c r="P295" s="55"/>
      <c r="Q295" s="55"/>
      <c r="R295" s="55"/>
      <c r="S295" s="55"/>
    </row>
    <row r="296" spans="9:19" ht="12.5">
      <c r="I296" s="55"/>
      <c r="J296" s="55"/>
      <c r="K296" s="55"/>
      <c r="L296" s="55"/>
      <c r="M296" s="55"/>
      <c r="N296" s="43"/>
      <c r="O296" s="43"/>
      <c r="P296" s="55"/>
      <c r="Q296" s="55"/>
      <c r="R296" s="55"/>
      <c r="S296" s="55"/>
    </row>
    <row r="297" spans="9:19" ht="12.5">
      <c r="I297" s="55"/>
      <c r="J297" s="55"/>
      <c r="K297" s="55"/>
      <c r="L297" s="55"/>
      <c r="M297" s="55"/>
      <c r="N297" s="43"/>
      <c r="O297" s="43"/>
      <c r="P297" s="55"/>
      <c r="Q297" s="55"/>
      <c r="R297" s="55"/>
      <c r="S297" s="55"/>
    </row>
    <row r="298" spans="9:19" ht="12.5">
      <c r="I298" s="55"/>
      <c r="J298" s="55"/>
      <c r="K298" s="55"/>
      <c r="L298" s="55"/>
      <c r="M298" s="55"/>
      <c r="N298" s="43"/>
      <c r="O298" s="43"/>
      <c r="P298" s="55"/>
      <c r="Q298" s="55"/>
      <c r="R298" s="55"/>
      <c r="S298" s="55"/>
    </row>
    <row r="299" spans="9:19" ht="12.5">
      <c r="I299" s="55"/>
      <c r="J299" s="55"/>
      <c r="K299" s="55"/>
      <c r="L299" s="55"/>
      <c r="M299" s="55"/>
      <c r="N299" s="43"/>
      <c r="O299" s="43"/>
      <c r="P299" s="55"/>
      <c r="Q299" s="55"/>
      <c r="R299" s="55"/>
      <c r="S299" s="55"/>
    </row>
    <row r="300" spans="9:19" ht="12.5">
      <c r="I300" s="55"/>
      <c r="J300" s="55"/>
      <c r="K300" s="55"/>
      <c r="L300" s="55"/>
      <c r="M300" s="55"/>
      <c r="N300" s="43"/>
      <c r="O300" s="43"/>
      <c r="P300" s="55"/>
      <c r="Q300" s="55"/>
      <c r="R300" s="55"/>
      <c r="S300" s="55"/>
    </row>
    <row r="301" spans="9:19" ht="12.5">
      <c r="I301" s="55"/>
      <c r="J301" s="55"/>
      <c r="K301" s="55"/>
      <c r="L301" s="55"/>
      <c r="M301" s="55"/>
      <c r="N301" s="43"/>
      <c r="O301" s="43"/>
      <c r="P301" s="55"/>
      <c r="Q301" s="55"/>
      <c r="R301" s="55"/>
      <c r="S301" s="55"/>
    </row>
    <row r="302" spans="9:19" ht="12.5">
      <c r="I302" s="55"/>
      <c r="J302" s="55"/>
      <c r="K302" s="55"/>
      <c r="L302" s="55"/>
      <c r="M302" s="55"/>
      <c r="N302" s="43"/>
      <c r="O302" s="43"/>
      <c r="P302" s="55"/>
      <c r="Q302" s="55"/>
      <c r="R302" s="55"/>
      <c r="S302" s="55"/>
    </row>
    <row r="303" spans="9:19" ht="12.5">
      <c r="I303" s="55"/>
      <c r="J303" s="55"/>
      <c r="K303" s="55"/>
      <c r="L303" s="55"/>
      <c r="M303" s="55"/>
      <c r="N303" s="43"/>
      <c r="O303" s="43"/>
      <c r="P303" s="55"/>
      <c r="Q303" s="55"/>
      <c r="R303" s="55"/>
      <c r="S303" s="55"/>
    </row>
    <row r="304" spans="9:19" ht="12.5">
      <c r="I304" s="55"/>
      <c r="J304" s="55"/>
      <c r="K304" s="55"/>
      <c r="L304" s="55"/>
      <c r="M304" s="55"/>
      <c r="N304" s="43"/>
      <c r="O304" s="43"/>
      <c r="P304" s="55"/>
      <c r="Q304" s="55"/>
      <c r="R304" s="55"/>
      <c r="S304" s="55"/>
    </row>
    <row r="305" spans="9:19" ht="12.5">
      <c r="I305" s="55"/>
      <c r="J305" s="55"/>
      <c r="K305" s="55"/>
      <c r="L305" s="55"/>
      <c r="M305" s="55"/>
      <c r="N305" s="43"/>
      <c r="O305" s="43"/>
      <c r="P305" s="55"/>
      <c r="Q305" s="55"/>
      <c r="R305" s="55"/>
      <c r="S305" s="55"/>
    </row>
    <row r="306" spans="9:19" ht="12.5">
      <c r="I306" s="55"/>
      <c r="J306" s="55"/>
      <c r="K306" s="55"/>
      <c r="L306" s="55"/>
      <c r="M306" s="55"/>
      <c r="N306" s="43"/>
      <c r="O306" s="43"/>
      <c r="P306" s="55"/>
      <c r="Q306" s="55"/>
      <c r="R306" s="55"/>
      <c r="S306" s="55"/>
    </row>
    <row r="307" spans="9:19" ht="12.5">
      <c r="I307" s="55"/>
      <c r="J307" s="55"/>
      <c r="K307" s="55"/>
      <c r="L307" s="55"/>
      <c r="M307" s="55"/>
      <c r="N307" s="43"/>
      <c r="O307" s="43"/>
      <c r="P307" s="55"/>
      <c r="Q307" s="55"/>
      <c r="R307" s="55"/>
      <c r="S307" s="55"/>
    </row>
    <row r="308" spans="9:19" ht="12.5">
      <c r="I308" s="55"/>
      <c r="J308" s="55"/>
      <c r="K308" s="55"/>
      <c r="L308" s="55"/>
      <c r="M308" s="55"/>
      <c r="N308" s="43"/>
      <c r="O308" s="43"/>
      <c r="P308" s="55"/>
      <c r="Q308" s="55"/>
      <c r="R308" s="55"/>
      <c r="S308" s="55"/>
    </row>
    <row r="309" spans="9:19" ht="12.5">
      <c r="I309" s="55"/>
      <c r="J309" s="55"/>
      <c r="K309" s="55"/>
      <c r="L309" s="55"/>
      <c r="M309" s="55"/>
      <c r="N309" s="43"/>
      <c r="O309" s="43"/>
      <c r="P309" s="55"/>
      <c r="Q309" s="55"/>
      <c r="R309" s="55"/>
      <c r="S309" s="55"/>
    </row>
    <row r="310" spans="9:19" ht="12.5">
      <c r="I310" s="55"/>
      <c r="J310" s="55"/>
      <c r="K310" s="55"/>
      <c r="L310" s="55"/>
      <c r="M310" s="55"/>
      <c r="N310" s="43"/>
      <c r="O310" s="43"/>
      <c r="P310" s="55"/>
      <c r="Q310" s="55"/>
      <c r="R310" s="55"/>
      <c r="S310" s="55"/>
    </row>
    <row r="311" spans="9:19" ht="12.5">
      <c r="I311" s="55"/>
      <c r="J311" s="55"/>
      <c r="K311" s="55"/>
      <c r="L311" s="55"/>
      <c r="M311" s="55"/>
      <c r="N311" s="43"/>
      <c r="O311" s="43"/>
      <c r="P311" s="55"/>
      <c r="Q311" s="55"/>
      <c r="R311" s="55"/>
      <c r="S311" s="55"/>
    </row>
    <row r="312" spans="9:19" ht="12.5">
      <c r="I312" s="55"/>
      <c r="J312" s="55"/>
      <c r="K312" s="55"/>
      <c r="L312" s="55"/>
      <c r="M312" s="55"/>
      <c r="N312" s="43"/>
      <c r="O312" s="43"/>
      <c r="P312" s="55"/>
      <c r="Q312" s="55"/>
      <c r="R312" s="55"/>
      <c r="S312" s="55"/>
    </row>
    <row r="313" spans="9:19" ht="12.5">
      <c r="I313" s="55"/>
      <c r="J313" s="55"/>
      <c r="K313" s="55"/>
      <c r="L313" s="55"/>
      <c r="M313" s="55"/>
      <c r="N313" s="43"/>
      <c r="O313" s="43"/>
      <c r="P313" s="55"/>
      <c r="Q313" s="55"/>
      <c r="R313" s="55"/>
      <c r="S313" s="55"/>
    </row>
    <row r="314" spans="9:19" ht="12.5">
      <c r="I314" s="55"/>
      <c r="J314" s="55"/>
      <c r="K314" s="55"/>
      <c r="L314" s="55"/>
      <c r="M314" s="55"/>
      <c r="N314" s="43"/>
      <c r="O314" s="43"/>
      <c r="P314" s="55"/>
      <c r="Q314" s="55"/>
      <c r="R314" s="55"/>
      <c r="S314" s="55"/>
    </row>
    <row r="315" spans="9:19" ht="12.5">
      <c r="I315" s="55"/>
      <c r="J315" s="55"/>
      <c r="K315" s="55"/>
      <c r="L315" s="55"/>
      <c r="M315" s="55"/>
      <c r="N315" s="43"/>
      <c r="O315" s="43"/>
      <c r="P315" s="55"/>
      <c r="Q315" s="55"/>
      <c r="R315" s="55"/>
      <c r="S315" s="55"/>
    </row>
    <row r="316" spans="9:19" ht="12.5">
      <c r="I316" s="55"/>
      <c r="J316" s="55"/>
      <c r="K316" s="55"/>
      <c r="L316" s="55"/>
      <c r="M316" s="55"/>
      <c r="N316" s="43"/>
      <c r="O316" s="43"/>
      <c r="P316" s="55"/>
      <c r="Q316" s="55"/>
      <c r="R316" s="55"/>
      <c r="S316" s="55"/>
    </row>
    <row r="317" spans="9:19" ht="12.5">
      <c r="I317" s="55"/>
      <c r="J317" s="55"/>
      <c r="K317" s="55"/>
      <c r="L317" s="55"/>
      <c r="M317" s="55"/>
      <c r="N317" s="43"/>
      <c r="O317" s="43"/>
      <c r="P317" s="55"/>
      <c r="Q317" s="55"/>
      <c r="R317" s="55"/>
      <c r="S317" s="55"/>
    </row>
    <row r="318" spans="9:19" ht="12.5">
      <c r="I318" s="55"/>
      <c r="J318" s="55"/>
      <c r="K318" s="55"/>
      <c r="L318" s="55"/>
      <c r="M318" s="55"/>
      <c r="N318" s="43"/>
      <c r="O318" s="43"/>
      <c r="P318" s="55"/>
      <c r="Q318" s="55"/>
      <c r="R318" s="55"/>
      <c r="S318" s="55"/>
    </row>
    <row r="319" spans="9:19" ht="12.5">
      <c r="I319" s="55"/>
      <c r="J319" s="55"/>
      <c r="K319" s="55"/>
      <c r="L319" s="55"/>
      <c r="M319" s="55"/>
      <c r="N319" s="43"/>
      <c r="O319" s="43"/>
      <c r="P319" s="55"/>
      <c r="Q319" s="55"/>
      <c r="R319" s="55"/>
      <c r="S319" s="55"/>
    </row>
    <row r="320" spans="9:19" ht="12.5">
      <c r="I320" s="55"/>
      <c r="J320" s="55"/>
      <c r="K320" s="55"/>
      <c r="L320" s="55"/>
      <c r="M320" s="55"/>
      <c r="N320" s="43"/>
      <c r="O320" s="43"/>
      <c r="P320" s="55"/>
      <c r="Q320" s="55"/>
      <c r="R320" s="55"/>
      <c r="S320" s="55"/>
    </row>
    <row r="321" spans="9:19" ht="12.5">
      <c r="I321" s="55"/>
      <c r="J321" s="55"/>
      <c r="K321" s="55"/>
      <c r="L321" s="55"/>
      <c r="M321" s="55"/>
      <c r="N321" s="43"/>
      <c r="O321" s="43"/>
      <c r="P321" s="55"/>
      <c r="Q321" s="55"/>
      <c r="R321" s="55"/>
      <c r="S321" s="55"/>
    </row>
    <row r="322" spans="9:19" ht="12.5">
      <c r="I322" s="55"/>
      <c r="J322" s="55"/>
      <c r="K322" s="55"/>
      <c r="L322" s="55"/>
      <c r="M322" s="55"/>
      <c r="N322" s="43"/>
      <c r="O322" s="43"/>
      <c r="P322" s="55"/>
      <c r="Q322" s="55"/>
      <c r="R322" s="55"/>
      <c r="S322" s="55"/>
    </row>
    <row r="323" spans="9:19" ht="12.5">
      <c r="I323" s="55"/>
      <c r="J323" s="55"/>
      <c r="K323" s="55"/>
      <c r="L323" s="55"/>
      <c r="M323" s="55"/>
      <c r="N323" s="43"/>
      <c r="O323" s="43"/>
      <c r="P323" s="55"/>
      <c r="Q323" s="55"/>
      <c r="R323" s="55"/>
      <c r="S323" s="55"/>
    </row>
    <row r="324" spans="9:19" ht="12.5">
      <c r="I324" s="55"/>
      <c r="J324" s="55"/>
      <c r="K324" s="55"/>
      <c r="L324" s="55"/>
      <c r="M324" s="55"/>
      <c r="N324" s="43"/>
      <c r="O324" s="43"/>
      <c r="P324" s="55"/>
      <c r="Q324" s="55"/>
      <c r="R324" s="55"/>
      <c r="S324" s="55"/>
    </row>
    <row r="325" spans="9:19" ht="12.5">
      <c r="I325" s="55"/>
      <c r="J325" s="55"/>
      <c r="K325" s="55"/>
      <c r="L325" s="55"/>
      <c r="M325" s="55"/>
      <c r="N325" s="43"/>
      <c r="O325" s="43"/>
      <c r="P325" s="55"/>
      <c r="Q325" s="55"/>
      <c r="R325" s="55"/>
      <c r="S325" s="55"/>
    </row>
    <row r="326" spans="9:19" ht="12.5">
      <c r="I326" s="55"/>
      <c r="J326" s="55"/>
      <c r="K326" s="55"/>
      <c r="L326" s="55"/>
      <c r="M326" s="55"/>
      <c r="N326" s="43"/>
      <c r="O326" s="43"/>
      <c r="P326" s="55"/>
      <c r="Q326" s="55"/>
      <c r="R326" s="55"/>
      <c r="S326" s="55"/>
    </row>
    <row r="327" spans="9:19" ht="12.5">
      <c r="I327" s="55"/>
      <c r="J327" s="55"/>
      <c r="K327" s="55"/>
      <c r="L327" s="55"/>
      <c r="M327" s="55"/>
      <c r="N327" s="43"/>
      <c r="O327" s="43"/>
      <c r="P327" s="55"/>
      <c r="Q327" s="55"/>
      <c r="R327" s="55"/>
      <c r="S327" s="55"/>
    </row>
    <row r="328" spans="9:19" ht="12.5">
      <c r="I328" s="55"/>
      <c r="J328" s="55"/>
      <c r="K328" s="55"/>
      <c r="L328" s="55"/>
      <c r="M328" s="55"/>
      <c r="N328" s="43"/>
      <c r="O328" s="43"/>
      <c r="P328" s="55"/>
      <c r="Q328" s="55"/>
      <c r="R328" s="55"/>
      <c r="S328" s="55"/>
    </row>
    <row r="329" spans="9:19" ht="12.5">
      <c r="I329" s="55"/>
      <c r="J329" s="55"/>
      <c r="K329" s="55"/>
      <c r="L329" s="55"/>
      <c r="M329" s="55"/>
      <c r="N329" s="43"/>
      <c r="O329" s="43"/>
      <c r="P329" s="55"/>
      <c r="Q329" s="55"/>
      <c r="R329" s="55"/>
      <c r="S329" s="55"/>
    </row>
    <row r="330" spans="9:19" ht="12.5">
      <c r="I330" s="55"/>
      <c r="J330" s="55"/>
      <c r="K330" s="55"/>
      <c r="L330" s="55"/>
      <c r="M330" s="55"/>
      <c r="N330" s="43"/>
      <c r="O330" s="43"/>
      <c r="P330" s="55"/>
      <c r="Q330" s="55"/>
      <c r="R330" s="55"/>
      <c r="S330" s="55"/>
    </row>
    <row r="331" spans="9:19" ht="12.5">
      <c r="I331" s="55"/>
      <c r="J331" s="55"/>
      <c r="K331" s="55"/>
      <c r="L331" s="55"/>
      <c r="M331" s="55"/>
      <c r="N331" s="43"/>
      <c r="O331" s="43"/>
      <c r="P331" s="55"/>
      <c r="Q331" s="55"/>
      <c r="R331" s="55"/>
      <c r="S331" s="55"/>
    </row>
    <row r="332" spans="9:19" ht="12.5">
      <c r="I332" s="55"/>
      <c r="J332" s="55"/>
      <c r="K332" s="55"/>
      <c r="L332" s="55"/>
      <c r="M332" s="55"/>
      <c r="N332" s="43"/>
      <c r="O332" s="43"/>
      <c r="P332" s="55"/>
      <c r="Q332" s="55"/>
      <c r="R332" s="55"/>
      <c r="S332" s="55"/>
    </row>
    <row r="333" spans="9:19" ht="12.5">
      <c r="I333" s="55"/>
      <c r="J333" s="55"/>
      <c r="K333" s="55"/>
      <c r="L333" s="55"/>
      <c r="M333" s="55"/>
      <c r="N333" s="43"/>
      <c r="O333" s="43"/>
      <c r="P333" s="55"/>
      <c r="Q333" s="55"/>
      <c r="R333" s="55"/>
      <c r="S333" s="55"/>
    </row>
    <row r="334" spans="9:19" ht="12.5">
      <c r="I334" s="55"/>
      <c r="J334" s="55"/>
      <c r="K334" s="55"/>
      <c r="L334" s="55"/>
      <c r="M334" s="55"/>
      <c r="N334" s="43"/>
      <c r="O334" s="43"/>
      <c r="P334" s="55"/>
      <c r="Q334" s="55"/>
      <c r="R334" s="55"/>
      <c r="S334" s="55"/>
    </row>
    <row r="335" spans="9:19" ht="12.5">
      <c r="I335" s="55"/>
      <c r="J335" s="55"/>
      <c r="K335" s="55"/>
      <c r="L335" s="55"/>
      <c r="M335" s="55"/>
      <c r="N335" s="43"/>
      <c r="O335" s="43"/>
      <c r="P335" s="55"/>
      <c r="Q335" s="55"/>
      <c r="R335" s="55"/>
      <c r="S335" s="55"/>
    </row>
    <row r="336" spans="9:19" ht="12.5">
      <c r="I336" s="55"/>
      <c r="J336" s="55"/>
      <c r="K336" s="55"/>
      <c r="L336" s="55"/>
      <c r="M336" s="55"/>
      <c r="N336" s="43"/>
      <c r="O336" s="43"/>
      <c r="P336" s="55"/>
      <c r="Q336" s="55"/>
      <c r="R336" s="55"/>
      <c r="S336" s="55"/>
    </row>
    <row r="337" spans="9:19" ht="12.5">
      <c r="I337" s="55"/>
      <c r="J337" s="55"/>
      <c r="K337" s="55"/>
      <c r="L337" s="55"/>
      <c r="M337" s="55"/>
      <c r="N337" s="43"/>
      <c r="O337" s="43"/>
      <c r="P337" s="55"/>
      <c r="Q337" s="55"/>
      <c r="R337" s="55"/>
      <c r="S337" s="55"/>
    </row>
    <row r="338" spans="9:19" ht="12.5">
      <c r="I338" s="55"/>
      <c r="J338" s="55"/>
      <c r="K338" s="55"/>
      <c r="L338" s="55"/>
      <c r="M338" s="55"/>
      <c r="N338" s="43"/>
      <c r="O338" s="43"/>
      <c r="P338" s="55"/>
      <c r="Q338" s="55"/>
      <c r="R338" s="55"/>
      <c r="S338" s="55"/>
    </row>
    <row r="339" spans="9:19" ht="12.5">
      <c r="I339" s="55"/>
      <c r="J339" s="55"/>
      <c r="K339" s="55"/>
      <c r="L339" s="55"/>
      <c r="M339" s="55"/>
      <c r="N339" s="43"/>
      <c r="O339" s="43"/>
      <c r="P339" s="55"/>
      <c r="Q339" s="55"/>
      <c r="R339" s="55"/>
      <c r="S339" s="55"/>
    </row>
    <row r="340" spans="9:19" ht="12.5">
      <c r="I340" s="55"/>
      <c r="J340" s="55"/>
      <c r="K340" s="55"/>
      <c r="L340" s="55"/>
      <c r="M340" s="55"/>
      <c r="N340" s="43"/>
      <c r="O340" s="43"/>
      <c r="P340" s="55"/>
      <c r="Q340" s="55"/>
      <c r="R340" s="55"/>
      <c r="S340" s="55"/>
    </row>
    <row r="341" spans="9:19" ht="12.5">
      <c r="I341" s="55"/>
      <c r="J341" s="55"/>
      <c r="K341" s="55"/>
      <c r="L341" s="55"/>
      <c r="M341" s="55"/>
      <c r="N341" s="43"/>
      <c r="O341" s="43"/>
      <c r="P341" s="55"/>
      <c r="Q341" s="55"/>
      <c r="R341" s="55"/>
      <c r="S341" s="55"/>
    </row>
    <row r="342" spans="9:19" ht="12.5">
      <c r="I342" s="55"/>
      <c r="J342" s="55"/>
      <c r="K342" s="55"/>
      <c r="L342" s="55"/>
      <c r="M342" s="55"/>
      <c r="N342" s="43"/>
      <c r="O342" s="43"/>
      <c r="P342" s="55"/>
      <c r="Q342" s="55"/>
      <c r="R342" s="55"/>
      <c r="S342" s="55"/>
    </row>
    <row r="343" spans="9:19" ht="12.5">
      <c r="I343" s="55"/>
      <c r="J343" s="55"/>
      <c r="K343" s="55"/>
      <c r="L343" s="55"/>
      <c r="M343" s="55"/>
      <c r="N343" s="43"/>
      <c r="O343" s="43"/>
      <c r="P343" s="55"/>
      <c r="Q343" s="55"/>
      <c r="R343" s="55"/>
      <c r="S343" s="55"/>
    </row>
    <row r="344" spans="9:19" ht="12.5">
      <c r="I344" s="55"/>
      <c r="J344" s="55"/>
      <c r="K344" s="55"/>
      <c r="L344" s="55"/>
      <c r="M344" s="55"/>
      <c r="N344" s="43"/>
      <c r="O344" s="43"/>
      <c r="P344" s="55"/>
      <c r="Q344" s="55"/>
      <c r="R344" s="55"/>
      <c r="S344" s="55"/>
    </row>
    <row r="345" spans="9:19" ht="12.5">
      <c r="I345" s="55"/>
      <c r="J345" s="55"/>
      <c r="K345" s="55"/>
      <c r="L345" s="55"/>
      <c r="M345" s="55"/>
      <c r="N345" s="43"/>
      <c r="O345" s="43"/>
      <c r="P345" s="55"/>
      <c r="Q345" s="55"/>
      <c r="R345" s="55"/>
      <c r="S345" s="55"/>
    </row>
    <row r="346" spans="9:19" ht="12.5">
      <c r="I346" s="55"/>
      <c r="J346" s="55"/>
      <c r="K346" s="55"/>
      <c r="L346" s="55"/>
      <c r="M346" s="55"/>
      <c r="N346" s="43"/>
      <c r="O346" s="43"/>
      <c r="P346" s="55"/>
      <c r="Q346" s="55"/>
      <c r="R346" s="55"/>
      <c r="S346" s="55"/>
    </row>
    <row r="347" spans="9:19" ht="12.5">
      <c r="I347" s="55"/>
      <c r="J347" s="55"/>
      <c r="K347" s="55"/>
      <c r="L347" s="55"/>
      <c r="M347" s="55"/>
      <c r="N347" s="43"/>
      <c r="O347" s="43"/>
      <c r="P347" s="55"/>
      <c r="Q347" s="55"/>
      <c r="R347" s="55"/>
      <c r="S347" s="55"/>
    </row>
    <row r="348" spans="9:19" ht="12.5">
      <c r="I348" s="55"/>
      <c r="J348" s="55"/>
      <c r="K348" s="55"/>
      <c r="L348" s="55"/>
      <c r="M348" s="55"/>
      <c r="N348" s="43"/>
      <c r="O348" s="43"/>
      <c r="P348" s="55"/>
      <c r="Q348" s="55"/>
      <c r="R348" s="55"/>
      <c r="S348" s="55"/>
    </row>
    <row r="349" spans="9:19" ht="12.5">
      <c r="I349" s="55"/>
      <c r="J349" s="55"/>
      <c r="K349" s="55"/>
      <c r="L349" s="55"/>
      <c r="M349" s="55"/>
      <c r="N349" s="43"/>
      <c r="O349" s="43"/>
      <c r="P349" s="55"/>
      <c r="Q349" s="55"/>
      <c r="R349" s="55"/>
      <c r="S349" s="55"/>
    </row>
    <row r="350" spans="9:19" ht="12.5">
      <c r="I350" s="55"/>
      <c r="J350" s="55"/>
      <c r="K350" s="55"/>
      <c r="L350" s="55"/>
      <c r="M350" s="55"/>
      <c r="N350" s="43"/>
      <c r="O350" s="43"/>
      <c r="P350" s="55"/>
      <c r="Q350" s="55"/>
      <c r="R350" s="55"/>
      <c r="S350" s="55"/>
    </row>
    <row r="351" spans="9:19" ht="12.5">
      <c r="I351" s="55"/>
      <c r="J351" s="55"/>
      <c r="K351" s="55"/>
      <c r="L351" s="55"/>
      <c r="M351" s="55"/>
      <c r="N351" s="43"/>
      <c r="O351" s="43"/>
      <c r="P351" s="55"/>
      <c r="Q351" s="55"/>
      <c r="R351" s="55"/>
      <c r="S351" s="55"/>
    </row>
    <row r="352" spans="9:19" ht="12.5">
      <c r="I352" s="55"/>
      <c r="J352" s="55"/>
      <c r="K352" s="55"/>
      <c r="L352" s="55"/>
      <c r="M352" s="55"/>
      <c r="N352" s="43"/>
      <c r="O352" s="43"/>
      <c r="P352" s="55"/>
      <c r="Q352" s="55"/>
      <c r="R352" s="55"/>
      <c r="S352" s="55"/>
    </row>
    <row r="353" spans="9:19" ht="12.5">
      <c r="I353" s="55"/>
      <c r="J353" s="55"/>
      <c r="K353" s="55"/>
      <c r="L353" s="55"/>
      <c r="M353" s="55"/>
      <c r="N353" s="43"/>
      <c r="O353" s="43"/>
      <c r="P353" s="55"/>
      <c r="Q353" s="55"/>
      <c r="R353" s="55"/>
      <c r="S353" s="55"/>
    </row>
    <row r="354" spans="9:19" ht="12.5">
      <c r="I354" s="55"/>
      <c r="J354" s="55"/>
      <c r="K354" s="55"/>
      <c r="L354" s="55"/>
      <c r="M354" s="55"/>
      <c r="N354" s="43"/>
      <c r="O354" s="43"/>
      <c r="P354" s="55"/>
      <c r="Q354" s="55"/>
      <c r="R354" s="55"/>
      <c r="S354" s="55"/>
    </row>
    <row r="355" spans="9:19" ht="12.5">
      <c r="I355" s="55"/>
      <c r="J355" s="55"/>
      <c r="K355" s="55"/>
      <c r="L355" s="55"/>
      <c r="M355" s="55"/>
      <c r="N355" s="43"/>
      <c r="O355" s="43"/>
      <c r="P355" s="55"/>
      <c r="Q355" s="55"/>
      <c r="R355" s="55"/>
      <c r="S355" s="55"/>
    </row>
    <row r="356" spans="9:19" ht="12.5">
      <c r="I356" s="55"/>
      <c r="J356" s="55"/>
      <c r="K356" s="55"/>
      <c r="L356" s="55"/>
      <c r="M356" s="55"/>
      <c r="N356" s="43"/>
      <c r="O356" s="43"/>
      <c r="P356" s="55"/>
      <c r="Q356" s="55"/>
      <c r="R356" s="55"/>
      <c r="S356" s="55"/>
    </row>
    <row r="357" spans="9:19" ht="12.5">
      <c r="I357" s="55"/>
      <c r="J357" s="55"/>
      <c r="K357" s="55"/>
      <c r="L357" s="55"/>
      <c r="M357" s="55"/>
      <c r="N357" s="43"/>
      <c r="O357" s="43"/>
      <c r="P357" s="55"/>
      <c r="Q357" s="55"/>
      <c r="R357" s="55"/>
      <c r="S357" s="55"/>
    </row>
    <row r="358" spans="9:19" ht="12.5">
      <c r="I358" s="55"/>
      <c r="J358" s="55"/>
      <c r="K358" s="55"/>
      <c r="L358" s="55"/>
      <c r="M358" s="55"/>
      <c r="N358" s="43"/>
      <c r="O358" s="43"/>
      <c r="P358" s="55"/>
      <c r="Q358" s="55"/>
      <c r="R358" s="55"/>
      <c r="S358" s="55"/>
    </row>
    <row r="359" spans="9:19" ht="12.5">
      <c r="I359" s="55"/>
      <c r="J359" s="55"/>
      <c r="K359" s="55"/>
      <c r="L359" s="55"/>
      <c r="M359" s="55"/>
      <c r="N359" s="43"/>
      <c r="O359" s="43"/>
      <c r="P359" s="55"/>
      <c r="Q359" s="55"/>
      <c r="R359" s="55"/>
      <c r="S359" s="55"/>
    </row>
    <row r="360" spans="9:19" ht="12.5">
      <c r="I360" s="55"/>
      <c r="J360" s="55"/>
      <c r="K360" s="55"/>
      <c r="L360" s="55"/>
      <c r="M360" s="55"/>
      <c r="N360" s="43"/>
      <c r="O360" s="43"/>
      <c r="P360" s="55"/>
      <c r="Q360" s="55"/>
      <c r="R360" s="55"/>
      <c r="S360" s="55"/>
    </row>
    <row r="361" spans="9:19" ht="12.5">
      <c r="I361" s="55"/>
      <c r="J361" s="55"/>
      <c r="K361" s="55"/>
      <c r="L361" s="55"/>
      <c r="M361" s="55"/>
      <c r="N361" s="43"/>
      <c r="O361" s="43"/>
      <c r="P361" s="55"/>
      <c r="Q361" s="55"/>
      <c r="R361" s="55"/>
      <c r="S361" s="55"/>
    </row>
    <row r="362" spans="9:19" ht="12.5">
      <c r="I362" s="55"/>
      <c r="J362" s="55"/>
      <c r="K362" s="55"/>
      <c r="L362" s="55"/>
      <c r="M362" s="55"/>
      <c r="N362" s="43"/>
      <c r="O362" s="43"/>
      <c r="P362" s="55"/>
      <c r="Q362" s="55"/>
      <c r="R362" s="55"/>
      <c r="S362" s="55"/>
    </row>
    <row r="363" spans="9:19" ht="12.5">
      <c r="I363" s="55"/>
      <c r="J363" s="55"/>
      <c r="K363" s="55"/>
      <c r="L363" s="55"/>
      <c r="M363" s="55"/>
      <c r="N363" s="43"/>
      <c r="O363" s="43"/>
      <c r="P363" s="55"/>
      <c r="Q363" s="55"/>
      <c r="R363" s="55"/>
      <c r="S363" s="55"/>
    </row>
    <row r="364" spans="9:19" ht="12.5">
      <c r="I364" s="55"/>
      <c r="J364" s="55"/>
      <c r="K364" s="55"/>
      <c r="L364" s="55"/>
      <c r="M364" s="55"/>
      <c r="N364" s="43"/>
      <c r="O364" s="43"/>
      <c r="P364" s="55"/>
      <c r="Q364" s="55"/>
      <c r="R364" s="55"/>
      <c r="S364" s="55"/>
    </row>
    <row r="365" spans="9:19" ht="12.5">
      <c r="I365" s="55"/>
      <c r="J365" s="55"/>
      <c r="K365" s="55"/>
      <c r="L365" s="55"/>
      <c r="M365" s="55"/>
      <c r="N365" s="43"/>
      <c r="O365" s="43"/>
      <c r="P365" s="55"/>
      <c r="Q365" s="55"/>
      <c r="R365" s="55"/>
      <c r="S365" s="55"/>
    </row>
    <row r="366" spans="9:19" ht="12.5">
      <c r="I366" s="55"/>
      <c r="J366" s="55"/>
      <c r="K366" s="55"/>
      <c r="L366" s="55"/>
      <c r="M366" s="55"/>
      <c r="N366" s="43"/>
      <c r="O366" s="43"/>
      <c r="P366" s="55"/>
      <c r="Q366" s="55"/>
      <c r="R366" s="55"/>
      <c r="S366" s="55"/>
    </row>
    <row r="367" spans="9:19" ht="12.5">
      <c r="I367" s="55"/>
      <c r="J367" s="55"/>
      <c r="K367" s="55"/>
      <c r="L367" s="55"/>
      <c r="M367" s="55"/>
      <c r="N367" s="43"/>
      <c r="O367" s="43"/>
      <c r="P367" s="55"/>
      <c r="Q367" s="55"/>
      <c r="R367" s="55"/>
      <c r="S367" s="55"/>
    </row>
    <row r="368" spans="9:19" ht="12.5">
      <c r="I368" s="55"/>
      <c r="J368" s="55"/>
      <c r="K368" s="55"/>
      <c r="L368" s="55"/>
      <c r="M368" s="55"/>
      <c r="N368" s="43"/>
      <c r="O368" s="43"/>
      <c r="P368" s="55"/>
      <c r="Q368" s="55"/>
      <c r="R368" s="55"/>
      <c r="S368" s="55"/>
    </row>
    <row r="369" spans="9:19" ht="12.5">
      <c r="I369" s="55"/>
      <c r="J369" s="55"/>
      <c r="K369" s="55"/>
      <c r="L369" s="55"/>
      <c r="M369" s="55"/>
      <c r="N369" s="43"/>
      <c r="O369" s="43"/>
      <c r="P369" s="55"/>
      <c r="Q369" s="55"/>
      <c r="R369" s="55"/>
      <c r="S369" s="55"/>
    </row>
    <row r="370" spans="9:19" ht="12.5">
      <c r="I370" s="55"/>
      <c r="J370" s="55"/>
      <c r="K370" s="55"/>
      <c r="L370" s="55"/>
      <c r="M370" s="55"/>
      <c r="N370" s="43"/>
      <c r="O370" s="43"/>
      <c r="P370" s="55"/>
      <c r="Q370" s="55"/>
      <c r="R370" s="55"/>
      <c r="S370" s="55"/>
    </row>
    <row r="371" spans="9:19" ht="12.5">
      <c r="I371" s="55"/>
      <c r="J371" s="55"/>
      <c r="K371" s="55"/>
      <c r="L371" s="55"/>
      <c r="M371" s="55"/>
      <c r="N371" s="43"/>
      <c r="O371" s="43"/>
      <c r="P371" s="55"/>
      <c r="Q371" s="55"/>
      <c r="R371" s="55"/>
      <c r="S371" s="55"/>
    </row>
    <row r="372" spans="9:19" ht="12.5">
      <c r="I372" s="55"/>
      <c r="J372" s="55"/>
      <c r="K372" s="55"/>
      <c r="L372" s="55"/>
      <c r="M372" s="55"/>
      <c r="N372" s="43"/>
      <c r="O372" s="43"/>
      <c r="P372" s="55"/>
      <c r="Q372" s="55"/>
      <c r="R372" s="55"/>
      <c r="S372" s="55"/>
    </row>
    <row r="373" spans="9:19" ht="12.5">
      <c r="I373" s="55"/>
      <c r="J373" s="55"/>
      <c r="K373" s="55"/>
      <c r="L373" s="55"/>
      <c r="M373" s="55"/>
      <c r="N373" s="43"/>
      <c r="O373" s="43"/>
      <c r="P373" s="55"/>
      <c r="Q373" s="55"/>
      <c r="R373" s="55"/>
      <c r="S373" s="55"/>
    </row>
    <row r="374" spans="9:19" ht="12.5">
      <c r="I374" s="55"/>
      <c r="J374" s="55"/>
      <c r="K374" s="55"/>
      <c r="L374" s="55"/>
      <c r="M374" s="55"/>
      <c r="N374" s="43"/>
      <c r="O374" s="43"/>
      <c r="P374" s="55"/>
      <c r="Q374" s="55"/>
      <c r="R374" s="55"/>
      <c r="S374" s="55"/>
    </row>
    <row r="375" spans="9:19" ht="12.5">
      <c r="I375" s="55"/>
      <c r="J375" s="55"/>
      <c r="K375" s="55"/>
      <c r="L375" s="55"/>
      <c r="M375" s="55"/>
      <c r="N375" s="43"/>
      <c r="O375" s="43"/>
      <c r="P375" s="55"/>
      <c r="Q375" s="55"/>
      <c r="R375" s="55"/>
      <c r="S375" s="55"/>
    </row>
    <row r="376" spans="9:19" ht="12.5">
      <c r="I376" s="55"/>
      <c r="J376" s="55"/>
      <c r="K376" s="55"/>
      <c r="L376" s="55"/>
      <c r="M376" s="55"/>
      <c r="N376" s="43"/>
      <c r="O376" s="43"/>
      <c r="P376" s="55"/>
      <c r="Q376" s="55"/>
      <c r="R376" s="55"/>
      <c r="S376" s="55"/>
    </row>
    <row r="377" spans="9:19" ht="12.5">
      <c r="I377" s="55"/>
      <c r="J377" s="55"/>
      <c r="K377" s="55"/>
      <c r="L377" s="55"/>
      <c r="M377" s="55"/>
      <c r="N377" s="43"/>
      <c r="O377" s="43"/>
      <c r="P377" s="55"/>
      <c r="Q377" s="55"/>
      <c r="R377" s="55"/>
      <c r="S377" s="55"/>
    </row>
    <row r="378" spans="9:19" ht="12.5">
      <c r="I378" s="55"/>
      <c r="J378" s="55"/>
      <c r="K378" s="55"/>
      <c r="L378" s="55"/>
      <c r="M378" s="55"/>
      <c r="N378" s="43"/>
      <c r="O378" s="43"/>
      <c r="P378" s="55"/>
      <c r="Q378" s="55"/>
      <c r="R378" s="55"/>
      <c r="S378" s="55"/>
    </row>
    <row r="379" spans="9:19" ht="12.5">
      <c r="I379" s="55"/>
      <c r="J379" s="55"/>
      <c r="K379" s="55"/>
      <c r="L379" s="55"/>
      <c r="M379" s="55"/>
      <c r="N379" s="43"/>
      <c r="O379" s="43"/>
      <c r="P379" s="55"/>
      <c r="Q379" s="55"/>
      <c r="R379" s="55"/>
      <c r="S379" s="55"/>
    </row>
    <row r="380" spans="9:19" ht="12.5">
      <c r="I380" s="55"/>
      <c r="J380" s="55"/>
      <c r="K380" s="55"/>
      <c r="L380" s="55"/>
      <c r="M380" s="55"/>
      <c r="N380" s="43"/>
      <c r="O380" s="43"/>
      <c r="P380" s="55"/>
      <c r="Q380" s="55"/>
      <c r="R380" s="55"/>
      <c r="S380" s="55"/>
    </row>
    <row r="381" spans="9:19" ht="12.5">
      <c r="I381" s="55"/>
      <c r="J381" s="55"/>
      <c r="K381" s="55"/>
      <c r="L381" s="55"/>
      <c r="M381" s="55"/>
      <c r="N381" s="43"/>
      <c r="O381" s="43"/>
      <c r="P381" s="55"/>
      <c r="Q381" s="55"/>
      <c r="R381" s="55"/>
      <c r="S381" s="55"/>
    </row>
    <row r="382" spans="9:19" ht="12.5">
      <c r="I382" s="55"/>
      <c r="J382" s="55"/>
      <c r="K382" s="55"/>
      <c r="L382" s="55"/>
      <c r="M382" s="55"/>
      <c r="N382" s="43"/>
      <c r="O382" s="43"/>
      <c r="P382" s="55"/>
      <c r="Q382" s="55"/>
      <c r="R382" s="55"/>
      <c r="S382" s="55"/>
    </row>
    <row r="383" spans="9:19" ht="12.5">
      <c r="I383" s="55"/>
      <c r="J383" s="55"/>
      <c r="K383" s="55"/>
      <c r="L383" s="55"/>
      <c r="M383" s="55"/>
      <c r="N383" s="43"/>
      <c r="O383" s="43"/>
      <c r="P383" s="55"/>
      <c r="Q383" s="55"/>
      <c r="R383" s="55"/>
      <c r="S383" s="55"/>
    </row>
    <row r="384" spans="9:19" ht="12.5">
      <c r="I384" s="55"/>
      <c r="J384" s="55"/>
      <c r="K384" s="55"/>
      <c r="L384" s="55"/>
      <c r="M384" s="55"/>
      <c r="N384" s="43"/>
      <c r="O384" s="43"/>
      <c r="P384" s="55"/>
      <c r="Q384" s="55"/>
      <c r="R384" s="55"/>
      <c r="S384" s="55"/>
    </row>
    <row r="385" spans="9:19" ht="12.5">
      <c r="I385" s="55"/>
      <c r="J385" s="55"/>
      <c r="K385" s="55"/>
      <c r="L385" s="55"/>
      <c r="M385" s="55"/>
      <c r="N385" s="43"/>
      <c r="O385" s="43"/>
      <c r="P385" s="55"/>
      <c r="Q385" s="55"/>
      <c r="R385" s="55"/>
      <c r="S385" s="55"/>
    </row>
    <row r="386" spans="9:19" ht="12.5">
      <c r="I386" s="55"/>
      <c r="J386" s="55"/>
      <c r="K386" s="55"/>
      <c r="L386" s="55"/>
      <c r="M386" s="55"/>
      <c r="N386" s="43"/>
      <c r="O386" s="43"/>
      <c r="P386" s="55"/>
      <c r="Q386" s="55"/>
      <c r="R386" s="55"/>
      <c r="S386" s="55"/>
    </row>
    <row r="387" spans="9:19" ht="12.5">
      <c r="I387" s="55"/>
      <c r="J387" s="55"/>
      <c r="K387" s="55"/>
      <c r="L387" s="55"/>
      <c r="M387" s="55"/>
      <c r="N387" s="43"/>
      <c r="O387" s="43"/>
      <c r="P387" s="55"/>
      <c r="Q387" s="55"/>
      <c r="R387" s="55"/>
      <c r="S387" s="55"/>
    </row>
    <row r="388" spans="9:19" ht="12.5">
      <c r="I388" s="55"/>
      <c r="J388" s="55"/>
      <c r="K388" s="55"/>
      <c r="L388" s="55"/>
      <c r="M388" s="55"/>
      <c r="N388" s="43"/>
      <c r="O388" s="43"/>
      <c r="P388" s="55"/>
      <c r="Q388" s="55"/>
      <c r="R388" s="55"/>
      <c r="S388" s="55"/>
    </row>
    <row r="389" spans="9:19" ht="12.5">
      <c r="I389" s="55"/>
      <c r="J389" s="55"/>
      <c r="K389" s="55"/>
      <c r="L389" s="55"/>
      <c r="M389" s="55"/>
      <c r="N389" s="43"/>
      <c r="O389" s="43"/>
      <c r="P389" s="55"/>
      <c r="Q389" s="55"/>
      <c r="R389" s="55"/>
      <c r="S389" s="55"/>
    </row>
    <row r="390" spans="9:19" ht="12.5">
      <c r="I390" s="55"/>
      <c r="J390" s="55"/>
      <c r="K390" s="55"/>
      <c r="L390" s="55"/>
      <c r="M390" s="55"/>
      <c r="N390" s="43"/>
      <c r="O390" s="43"/>
      <c r="P390" s="55"/>
      <c r="Q390" s="55"/>
      <c r="R390" s="55"/>
      <c r="S390" s="55"/>
    </row>
    <row r="391" spans="9:19" ht="12.5">
      <c r="I391" s="55"/>
      <c r="J391" s="55"/>
      <c r="K391" s="55"/>
      <c r="L391" s="55"/>
      <c r="M391" s="55"/>
      <c r="N391" s="43"/>
      <c r="O391" s="43"/>
      <c r="P391" s="55"/>
      <c r="Q391" s="55"/>
      <c r="R391" s="55"/>
      <c r="S391" s="55"/>
    </row>
    <row r="392" spans="9:19" ht="12.5">
      <c r="I392" s="55"/>
      <c r="J392" s="55"/>
      <c r="K392" s="55"/>
      <c r="L392" s="55"/>
      <c r="M392" s="55"/>
      <c r="N392" s="43"/>
      <c r="O392" s="43"/>
      <c r="P392" s="55"/>
      <c r="Q392" s="55"/>
      <c r="R392" s="55"/>
      <c r="S392" s="55"/>
    </row>
    <row r="393" spans="9:19" ht="12.5">
      <c r="I393" s="55"/>
      <c r="J393" s="55"/>
      <c r="K393" s="55"/>
      <c r="L393" s="55"/>
      <c r="M393" s="55"/>
      <c r="N393" s="43"/>
      <c r="O393" s="43"/>
      <c r="P393" s="55"/>
      <c r="Q393" s="55"/>
      <c r="R393" s="55"/>
      <c r="S393" s="55"/>
    </row>
    <row r="394" spans="9:19" ht="12.5">
      <c r="I394" s="55"/>
      <c r="J394" s="55"/>
      <c r="K394" s="55"/>
      <c r="L394" s="55"/>
      <c r="M394" s="55"/>
      <c r="N394" s="43"/>
      <c r="O394" s="43"/>
      <c r="P394" s="55"/>
      <c r="Q394" s="55"/>
      <c r="R394" s="55"/>
      <c r="S394" s="55"/>
    </row>
    <row r="395" spans="9:19" ht="12.5">
      <c r="I395" s="55"/>
      <c r="J395" s="55"/>
      <c r="K395" s="55"/>
      <c r="L395" s="55"/>
      <c r="M395" s="55"/>
      <c r="N395" s="43"/>
      <c r="O395" s="43"/>
      <c r="P395" s="55"/>
      <c r="Q395" s="55"/>
      <c r="R395" s="55"/>
      <c r="S395" s="55"/>
    </row>
    <row r="396" spans="9:19" ht="12.5">
      <c r="I396" s="55"/>
      <c r="J396" s="55"/>
      <c r="K396" s="55"/>
      <c r="L396" s="55"/>
      <c r="M396" s="55"/>
      <c r="N396" s="43"/>
      <c r="O396" s="43"/>
      <c r="P396" s="55"/>
      <c r="Q396" s="55"/>
      <c r="R396" s="55"/>
      <c r="S396" s="55"/>
    </row>
    <row r="397" spans="9:19" ht="12.5">
      <c r="I397" s="55"/>
      <c r="J397" s="55"/>
      <c r="K397" s="55"/>
      <c r="L397" s="55"/>
      <c r="M397" s="55"/>
      <c r="N397" s="43"/>
      <c r="O397" s="43"/>
      <c r="P397" s="55"/>
      <c r="Q397" s="55"/>
      <c r="R397" s="55"/>
      <c r="S397" s="55"/>
    </row>
    <row r="398" spans="9:19" ht="12.5">
      <c r="I398" s="55"/>
      <c r="J398" s="55"/>
      <c r="K398" s="55"/>
      <c r="L398" s="55"/>
      <c r="M398" s="55"/>
      <c r="N398" s="43"/>
      <c r="O398" s="43"/>
      <c r="P398" s="55"/>
      <c r="Q398" s="55"/>
      <c r="R398" s="55"/>
      <c r="S398" s="55"/>
    </row>
    <row r="399" spans="9:19" ht="12.5">
      <c r="I399" s="55"/>
      <c r="J399" s="55"/>
      <c r="K399" s="55"/>
      <c r="L399" s="55"/>
      <c r="M399" s="55"/>
      <c r="N399" s="43"/>
      <c r="O399" s="43"/>
      <c r="P399" s="55"/>
      <c r="Q399" s="55"/>
      <c r="R399" s="55"/>
      <c r="S399" s="55"/>
    </row>
    <row r="400" spans="9:19" ht="12.5">
      <c r="I400" s="55"/>
      <c r="J400" s="55"/>
      <c r="K400" s="55"/>
      <c r="L400" s="55"/>
      <c r="M400" s="55"/>
      <c r="N400" s="43"/>
      <c r="O400" s="43"/>
      <c r="P400" s="55"/>
      <c r="Q400" s="55"/>
      <c r="R400" s="55"/>
      <c r="S400" s="55"/>
    </row>
    <row r="401" spans="9:19" ht="12.5">
      <c r="I401" s="55"/>
      <c r="J401" s="55"/>
      <c r="K401" s="55"/>
      <c r="L401" s="55"/>
      <c r="M401" s="55"/>
      <c r="N401" s="43"/>
      <c r="O401" s="43"/>
      <c r="P401" s="55"/>
      <c r="Q401" s="55"/>
      <c r="R401" s="55"/>
      <c r="S401" s="55"/>
    </row>
    <row r="402" spans="9:19" ht="12.5">
      <c r="I402" s="55"/>
      <c r="J402" s="55"/>
      <c r="K402" s="55"/>
      <c r="L402" s="55"/>
      <c r="M402" s="55"/>
      <c r="N402" s="43"/>
      <c r="O402" s="43"/>
      <c r="P402" s="55"/>
      <c r="Q402" s="55"/>
      <c r="R402" s="55"/>
      <c r="S402" s="55"/>
    </row>
    <row r="403" spans="9:19" ht="12.5">
      <c r="I403" s="55"/>
      <c r="J403" s="55"/>
      <c r="K403" s="55"/>
      <c r="L403" s="55"/>
      <c r="M403" s="55"/>
      <c r="N403" s="43"/>
      <c r="O403" s="43"/>
      <c r="P403" s="55"/>
      <c r="Q403" s="55"/>
      <c r="R403" s="55"/>
      <c r="S403" s="55"/>
    </row>
    <row r="404" spans="9:19" ht="12.5">
      <c r="I404" s="55"/>
      <c r="J404" s="55"/>
      <c r="K404" s="55"/>
      <c r="L404" s="55"/>
      <c r="M404" s="55"/>
      <c r="N404" s="43"/>
      <c r="O404" s="43"/>
      <c r="P404" s="55"/>
      <c r="Q404" s="55"/>
      <c r="R404" s="55"/>
      <c r="S404" s="55"/>
    </row>
    <row r="405" spans="9:19" ht="12.5">
      <c r="I405" s="55"/>
      <c r="J405" s="55"/>
      <c r="K405" s="55"/>
      <c r="L405" s="55"/>
      <c r="M405" s="55"/>
      <c r="N405" s="43"/>
      <c r="O405" s="43"/>
      <c r="P405" s="55"/>
      <c r="Q405" s="55"/>
      <c r="R405" s="55"/>
      <c r="S405" s="55"/>
    </row>
    <row r="406" spans="9:19" ht="12.5">
      <c r="I406" s="55"/>
      <c r="J406" s="55"/>
      <c r="K406" s="55"/>
      <c r="L406" s="55"/>
      <c r="M406" s="55"/>
      <c r="N406" s="43"/>
      <c r="O406" s="43"/>
      <c r="P406" s="55"/>
      <c r="Q406" s="55"/>
      <c r="R406" s="55"/>
      <c r="S406" s="55"/>
    </row>
    <row r="407" spans="9:19" ht="12.5">
      <c r="I407" s="55"/>
      <c r="J407" s="55"/>
      <c r="K407" s="55"/>
      <c r="L407" s="55"/>
      <c r="M407" s="55"/>
      <c r="N407" s="43"/>
      <c r="O407" s="43"/>
      <c r="P407" s="55"/>
      <c r="Q407" s="55"/>
      <c r="R407" s="55"/>
      <c r="S407" s="55"/>
    </row>
    <row r="408" spans="9:19" ht="12.5">
      <c r="I408" s="55"/>
      <c r="J408" s="55"/>
      <c r="K408" s="55"/>
      <c r="L408" s="55"/>
      <c r="M408" s="55"/>
      <c r="N408" s="43"/>
      <c r="O408" s="43"/>
      <c r="P408" s="55"/>
      <c r="Q408" s="55"/>
      <c r="R408" s="55"/>
      <c r="S408" s="55"/>
    </row>
    <row r="409" spans="9:19" ht="12.5">
      <c r="I409" s="55"/>
      <c r="J409" s="55"/>
      <c r="K409" s="55"/>
      <c r="L409" s="55"/>
      <c r="M409" s="55"/>
      <c r="N409" s="43"/>
      <c r="O409" s="43"/>
      <c r="P409" s="55"/>
      <c r="Q409" s="55"/>
      <c r="R409" s="55"/>
      <c r="S409" s="55"/>
    </row>
    <row r="410" spans="9:19" ht="12.5">
      <c r="I410" s="55"/>
      <c r="J410" s="55"/>
      <c r="K410" s="55"/>
      <c r="L410" s="55"/>
      <c r="M410" s="55"/>
      <c r="N410" s="43"/>
      <c r="O410" s="43"/>
      <c r="P410" s="55"/>
      <c r="Q410" s="55"/>
      <c r="R410" s="55"/>
      <c r="S410" s="55"/>
    </row>
    <row r="411" spans="9:19" ht="12.5">
      <c r="I411" s="55"/>
      <c r="J411" s="55"/>
      <c r="K411" s="55"/>
      <c r="L411" s="55"/>
      <c r="M411" s="55"/>
      <c r="N411" s="43"/>
      <c r="O411" s="43"/>
      <c r="P411" s="55"/>
      <c r="Q411" s="55"/>
      <c r="R411" s="55"/>
      <c r="S411" s="55"/>
    </row>
    <row r="412" spans="9:19" ht="12.5">
      <c r="I412" s="55"/>
      <c r="J412" s="55"/>
      <c r="K412" s="55"/>
      <c r="L412" s="55"/>
      <c r="M412" s="55"/>
      <c r="N412" s="43"/>
      <c r="O412" s="43"/>
      <c r="P412" s="55"/>
      <c r="Q412" s="55"/>
      <c r="R412" s="55"/>
      <c r="S412" s="55"/>
    </row>
    <row r="413" spans="9:19" ht="12.5">
      <c r="I413" s="55"/>
      <c r="J413" s="55"/>
      <c r="K413" s="55"/>
      <c r="L413" s="55"/>
      <c r="M413" s="55"/>
      <c r="N413" s="43"/>
      <c r="O413" s="43"/>
      <c r="P413" s="55"/>
      <c r="Q413" s="55"/>
      <c r="R413" s="55"/>
      <c r="S413" s="55"/>
    </row>
    <row r="414" spans="9:19" ht="12.5">
      <c r="I414" s="55"/>
      <c r="J414" s="55"/>
      <c r="K414" s="55"/>
      <c r="L414" s="55"/>
      <c r="M414" s="55"/>
      <c r="N414" s="43"/>
      <c r="O414" s="43"/>
      <c r="P414" s="55"/>
      <c r="Q414" s="55"/>
      <c r="R414" s="55"/>
      <c r="S414" s="55"/>
    </row>
    <row r="415" spans="9:19" ht="12.5">
      <c r="I415" s="55"/>
      <c r="J415" s="55"/>
      <c r="K415" s="55"/>
      <c r="L415" s="55"/>
      <c r="M415" s="55"/>
      <c r="N415" s="43"/>
      <c r="O415" s="43"/>
      <c r="P415" s="55"/>
      <c r="Q415" s="55"/>
      <c r="R415" s="55"/>
      <c r="S415" s="55"/>
    </row>
    <row r="416" spans="9:19" ht="12.5">
      <c r="I416" s="55"/>
      <c r="J416" s="55"/>
      <c r="K416" s="55"/>
      <c r="L416" s="55"/>
      <c r="M416" s="55"/>
      <c r="N416" s="43"/>
      <c r="O416" s="43"/>
      <c r="P416" s="55"/>
      <c r="Q416" s="55"/>
      <c r="R416" s="55"/>
      <c r="S416" s="55"/>
    </row>
    <row r="417" spans="9:19" ht="12.5">
      <c r="I417" s="55"/>
      <c r="J417" s="55"/>
      <c r="K417" s="55"/>
      <c r="L417" s="55"/>
      <c r="M417" s="55"/>
      <c r="N417" s="43"/>
      <c r="O417" s="43"/>
      <c r="P417" s="55"/>
      <c r="Q417" s="55"/>
      <c r="R417" s="55"/>
      <c r="S417" s="55"/>
    </row>
    <row r="418" spans="9:19" ht="12.5">
      <c r="I418" s="55"/>
      <c r="J418" s="55"/>
      <c r="K418" s="55"/>
      <c r="L418" s="55"/>
      <c r="M418" s="55"/>
      <c r="N418" s="43"/>
      <c r="O418" s="43"/>
      <c r="P418" s="55"/>
      <c r="Q418" s="55"/>
      <c r="R418" s="55"/>
      <c r="S418" s="55"/>
    </row>
    <row r="419" spans="9:19" ht="12.5">
      <c r="I419" s="55"/>
      <c r="J419" s="55"/>
      <c r="K419" s="55"/>
      <c r="L419" s="55"/>
      <c r="M419" s="55"/>
      <c r="N419" s="43"/>
      <c r="O419" s="43"/>
      <c r="P419" s="55"/>
      <c r="Q419" s="55"/>
      <c r="R419" s="55"/>
      <c r="S419" s="55"/>
    </row>
    <row r="420" spans="9:19" ht="12.5">
      <c r="I420" s="55"/>
      <c r="J420" s="55"/>
      <c r="K420" s="55"/>
      <c r="L420" s="55"/>
      <c r="M420" s="55"/>
      <c r="N420" s="43"/>
      <c r="O420" s="43"/>
      <c r="P420" s="55"/>
      <c r="Q420" s="55"/>
      <c r="R420" s="55"/>
      <c r="S420" s="55"/>
    </row>
    <row r="421" spans="9:19" ht="12.5">
      <c r="I421" s="55"/>
      <c r="J421" s="55"/>
      <c r="K421" s="55"/>
      <c r="L421" s="55"/>
      <c r="M421" s="55"/>
      <c r="N421" s="43"/>
      <c r="O421" s="43"/>
      <c r="P421" s="55"/>
      <c r="Q421" s="55"/>
      <c r="R421" s="55"/>
      <c r="S421" s="55"/>
    </row>
    <row r="422" spans="9:19" ht="12.5">
      <c r="I422" s="55"/>
      <c r="J422" s="55"/>
      <c r="K422" s="55"/>
      <c r="L422" s="55"/>
      <c r="M422" s="55"/>
      <c r="N422" s="43"/>
      <c r="O422" s="43"/>
      <c r="P422" s="55"/>
      <c r="Q422" s="55"/>
      <c r="R422" s="55"/>
      <c r="S422" s="55"/>
    </row>
    <row r="423" spans="9:19" ht="12.5">
      <c r="I423" s="55"/>
      <c r="J423" s="55"/>
      <c r="K423" s="55"/>
      <c r="L423" s="55"/>
      <c r="M423" s="55"/>
      <c r="N423" s="43"/>
      <c r="O423" s="43"/>
      <c r="P423" s="55"/>
      <c r="Q423" s="55"/>
      <c r="R423" s="55"/>
      <c r="S423" s="55"/>
    </row>
    <row r="424" spans="9:19" ht="12.5">
      <c r="I424" s="55"/>
      <c r="J424" s="55"/>
      <c r="K424" s="55"/>
      <c r="L424" s="55"/>
      <c r="M424" s="55"/>
      <c r="N424" s="43"/>
      <c r="O424" s="43"/>
      <c r="P424" s="55"/>
      <c r="Q424" s="55"/>
      <c r="R424" s="55"/>
      <c r="S424" s="55"/>
    </row>
    <row r="425" spans="9:19" ht="12.5">
      <c r="I425" s="55"/>
      <c r="J425" s="55"/>
      <c r="K425" s="55"/>
      <c r="L425" s="55"/>
      <c r="M425" s="55"/>
      <c r="N425" s="43"/>
      <c r="O425" s="43"/>
      <c r="P425" s="55"/>
      <c r="Q425" s="55"/>
      <c r="R425" s="55"/>
      <c r="S425" s="55"/>
    </row>
    <row r="426" spans="9:19" ht="12.5">
      <c r="I426" s="55"/>
      <c r="J426" s="55"/>
      <c r="K426" s="55"/>
      <c r="L426" s="55"/>
      <c r="M426" s="55"/>
      <c r="N426" s="43"/>
      <c r="O426" s="43"/>
      <c r="P426" s="55"/>
      <c r="Q426" s="55"/>
      <c r="R426" s="55"/>
      <c r="S426" s="55"/>
    </row>
    <row r="427" spans="9:19" ht="12.5">
      <c r="I427" s="55"/>
      <c r="J427" s="55"/>
      <c r="K427" s="55"/>
      <c r="L427" s="55"/>
      <c r="M427" s="55"/>
      <c r="N427" s="43"/>
      <c r="O427" s="43"/>
      <c r="P427" s="55"/>
      <c r="Q427" s="55"/>
      <c r="R427" s="55"/>
      <c r="S427" s="55"/>
    </row>
    <row r="428" spans="9:19" ht="12.5">
      <c r="I428" s="55"/>
      <c r="J428" s="55"/>
      <c r="K428" s="55"/>
      <c r="L428" s="55"/>
      <c r="M428" s="55"/>
      <c r="N428" s="43"/>
      <c r="O428" s="43"/>
      <c r="P428" s="55"/>
      <c r="Q428" s="55"/>
      <c r="R428" s="55"/>
      <c r="S428" s="55"/>
    </row>
    <row r="429" spans="9:19" ht="12.5">
      <c r="I429" s="55"/>
      <c r="J429" s="55"/>
      <c r="K429" s="55"/>
      <c r="L429" s="55"/>
      <c r="M429" s="55"/>
      <c r="N429" s="43"/>
      <c r="O429" s="43"/>
      <c r="P429" s="55"/>
      <c r="Q429" s="55"/>
      <c r="R429" s="55"/>
      <c r="S429" s="55"/>
    </row>
    <row r="430" spans="9:19" ht="12.5">
      <c r="I430" s="55"/>
      <c r="J430" s="55"/>
      <c r="K430" s="55"/>
      <c r="L430" s="55"/>
      <c r="M430" s="55"/>
      <c r="N430" s="43"/>
      <c r="O430" s="43"/>
      <c r="P430" s="55"/>
      <c r="Q430" s="55"/>
      <c r="R430" s="55"/>
      <c r="S430" s="55"/>
    </row>
    <row r="431" spans="9:19" ht="12.5">
      <c r="I431" s="55"/>
      <c r="J431" s="55"/>
      <c r="K431" s="55"/>
      <c r="L431" s="55"/>
      <c r="M431" s="55"/>
      <c r="N431" s="43"/>
      <c r="O431" s="43"/>
      <c r="P431" s="55"/>
      <c r="Q431" s="55"/>
      <c r="R431" s="55"/>
      <c r="S431" s="55"/>
    </row>
    <row r="432" spans="9:19" ht="12.5">
      <c r="I432" s="55"/>
      <c r="J432" s="55"/>
      <c r="K432" s="55"/>
      <c r="L432" s="55"/>
      <c r="M432" s="55"/>
      <c r="N432" s="43"/>
      <c r="O432" s="43"/>
      <c r="P432" s="55"/>
      <c r="Q432" s="55"/>
      <c r="R432" s="55"/>
      <c r="S432" s="55"/>
    </row>
    <row r="433" spans="9:19" ht="12.5">
      <c r="I433" s="55"/>
      <c r="J433" s="55"/>
      <c r="K433" s="55"/>
      <c r="L433" s="55"/>
      <c r="M433" s="55"/>
      <c r="N433" s="43"/>
      <c r="O433" s="43"/>
      <c r="P433" s="55"/>
      <c r="Q433" s="55"/>
      <c r="R433" s="55"/>
      <c r="S433" s="55"/>
    </row>
    <row r="434" spans="9:19" ht="12.5">
      <c r="I434" s="55"/>
      <c r="J434" s="55"/>
      <c r="K434" s="55"/>
      <c r="L434" s="55"/>
      <c r="M434" s="55"/>
      <c r="N434" s="43"/>
      <c r="O434" s="43"/>
      <c r="P434" s="55"/>
      <c r="Q434" s="55"/>
      <c r="R434" s="55"/>
      <c r="S434" s="55"/>
    </row>
    <row r="435" spans="9:19" ht="12.5">
      <c r="I435" s="55"/>
      <c r="J435" s="55"/>
      <c r="K435" s="55"/>
      <c r="L435" s="55"/>
      <c r="M435" s="55"/>
      <c r="N435" s="43"/>
      <c r="O435" s="43"/>
      <c r="P435" s="55"/>
      <c r="Q435" s="55"/>
      <c r="R435" s="55"/>
      <c r="S435" s="55"/>
    </row>
    <row r="436" spans="9:19" ht="12.5">
      <c r="I436" s="55"/>
      <c r="J436" s="55"/>
      <c r="K436" s="55"/>
      <c r="L436" s="55"/>
      <c r="M436" s="55"/>
      <c r="N436" s="43"/>
      <c r="O436" s="43"/>
      <c r="P436" s="55"/>
      <c r="Q436" s="55"/>
      <c r="R436" s="55"/>
      <c r="S436" s="55"/>
    </row>
    <row r="437" spans="9:19" ht="12.5">
      <c r="I437" s="55"/>
      <c r="J437" s="55"/>
      <c r="K437" s="55"/>
      <c r="L437" s="55"/>
      <c r="M437" s="55"/>
      <c r="N437" s="43"/>
      <c r="O437" s="43"/>
      <c r="P437" s="55"/>
      <c r="Q437" s="55"/>
      <c r="R437" s="55"/>
      <c r="S437" s="55"/>
    </row>
    <row r="438" spans="9:19" ht="12.5">
      <c r="I438" s="55"/>
      <c r="J438" s="55"/>
      <c r="K438" s="55"/>
      <c r="L438" s="55"/>
      <c r="M438" s="55"/>
      <c r="N438" s="43"/>
      <c r="O438" s="43"/>
      <c r="P438" s="55"/>
      <c r="Q438" s="55"/>
      <c r="R438" s="55"/>
      <c r="S438" s="55"/>
    </row>
    <row r="439" spans="9:19" ht="12.5">
      <c r="I439" s="55"/>
      <c r="J439" s="55"/>
      <c r="K439" s="55"/>
      <c r="L439" s="55"/>
      <c r="M439" s="55"/>
      <c r="N439" s="43"/>
      <c r="O439" s="43"/>
      <c r="P439" s="55"/>
      <c r="Q439" s="55"/>
      <c r="R439" s="55"/>
      <c r="S439" s="55"/>
    </row>
    <row r="440" spans="9:19" ht="12.5">
      <c r="I440" s="55"/>
      <c r="J440" s="55"/>
      <c r="K440" s="55"/>
      <c r="L440" s="55"/>
      <c r="M440" s="55"/>
      <c r="N440" s="43"/>
      <c r="O440" s="43"/>
      <c r="P440" s="55"/>
      <c r="Q440" s="55"/>
      <c r="R440" s="55"/>
      <c r="S440" s="55"/>
    </row>
    <row r="441" spans="9:19" ht="12.5">
      <c r="I441" s="55"/>
      <c r="J441" s="55"/>
      <c r="K441" s="55"/>
      <c r="L441" s="55"/>
      <c r="M441" s="55"/>
      <c r="N441" s="43"/>
      <c r="O441" s="43"/>
      <c r="P441" s="55"/>
      <c r="Q441" s="55"/>
      <c r="R441" s="55"/>
      <c r="S441" s="55"/>
    </row>
    <row r="442" spans="9:19" ht="12.5">
      <c r="I442" s="55"/>
      <c r="J442" s="55"/>
      <c r="K442" s="55"/>
      <c r="L442" s="55"/>
      <c r="M442" s="55"/>
      <c r="N442" s="43"/>
      <c r="O442" s="43"/>
      <c r="P442" s="55"/>
      <c r="Q442" s="55"/>
      <c r="R442" s="55"/>
      <c r="S442" s="55"/>
    </row>
    <row r="443" spans="9:19" ht="12.5">
      <c r="I443" s="55"/>
      <c r="J443" s="55"/>
      <c r="K443" s="55"/>
      <c r="L443" s="55"/>
      <c r="M443" s="55"/>
      <c r="N443" s="43"/>
      <c r="O443" s="43"/>
      <c r="P443" s="55"/>
      <c r="Q443" s="55"/>
      <c r="R443" s="55"/>
      <c r="S443" s="55"/>
    </row>
    <row r="444" spans="9:19" ht="12.5">
      <c r="I444" s="55"/>
      <c r="J444" s="55"/>
      <c r="K444" s="55"/>
      <c r="L444" s="55"/>
      <c r="M444" s="55"/>
      <c r="N444" s="43"/>
      <c r="O444" s="43"/>
      <c r="P444" s="55"/>
      <c r="Q444" s="55"/>
      <c r="R444" s="55"/>
      <c r="S444" s="55"/>
    </row>
    <row r="445" spans="9:19" ht="12.5">
      <c r="I445" s="55"/>
      <c r="J445" s="55"/>
      <c r="K445" s="55"/>
      <c r="L445" s="55"/>
      <c r="M445" s="55"/>
      <c r="N445" s="43"/>
      <c r="O445" s="43"/>
      <c r="P445" s="55"/>
      <c r="Q445" s="55"/>
      <c r="R445" s="55"/>
      <c r="S445" s="55"/>
    </row>
    <row r="446" spans="9:19" ht="12.5">
      <c r="I446" s="55"/>
      <c r="J446" s="55"/>
      <c r="K446" s="55"/>
      <c r="L446" s="55"/>
      <c r="M446" s="55"/>
      <c r="N446" s="43"/>
      <c r="O446" s="43"/>
      <c r="P446" s="55"/>
      <c r="Q446" s="55"/>
      <c r="R446" s="55"/>
      <c r="S446" s="55"/>
    </row>
    <row r="447" spans="9:19" ht="12.5">
      <c r="I447" s="55"/>
      <c r="J447" s="55"/>
      <c r="K447" s="55"/>
      <c r="L447" s="55"/>
      <c r="M447" s="55"/>
      <c r="N447" s="43"/>
      <c r="O447" s="43"/>
      <c r="P447" s="55"/>
      <c r="Q447" s="55"/>
      <c r="R447" s="55"/>
      <c r="S447" s="55"/>
    </row>
    <row r="448" spans="9:19" ht="12.5">
      <c r="I448" s="55"/>
      <c r="J448" s="55"/>
      <c r="K448" s="55"/>
      <c r="L448" s="55"/>
      <c r="M448" s="55"/>
      <c r="N448" s="43"/>
      <c r="O448" s="43"/>
      <c r="P448" s="55"/>
      <c r="Q448" s="55"/>
      <c r="R448" s="55"/>
      <c r="S448" s="55"/>
    </row>
    <row r="449" spans="9:19" ht="12.5">
      <c r="I449" s="55"/>
      <c r="J449" s="55"/>
      <c r="K449" s="55"/>
      <c r="L449" s="55"/>
      <c r="M449" s="55"/>
      <c r="N449" s="43"/>
      <c r="O449" s="43"/>
      <c r="P449" s="55"/>
      <c r="Q449" s="55"/>
      <c r="R449" s="55"/>
      <c r="S449" s="55"/>
    </row>
    <row r="450" spans="9:19" ht="12.5">
      <c r="I450" s="55"/>
      <c r="J450" s="55"/>
      <c r="K450" s="55"/>
      <c r="L450" s="55"/>
      <c r="M450" s="55"/>
      <c r="N450" s="43"/>
      <c r="O450" s="43"/>
      <c r="P450" s="55"/>
      <c r="Q450" s="55"/>
      <c r="R450" s="55"/>
      <c r="S450" s="55"/>
    </row>
    <row r="451" spans="9:19" ht="12.5">
      <c r="I451" s="55"/>
      <c r="J451" s="55"/>
      <c r="K451" s="55"/>
      <c r="L451" s="55"/>
      <c r="M451" s="55"/>
      <c r="N451" s="43"/>
      <c r="O451" s="43"/>
      <c r="P451" s="55"/>
      <c r="Q451" s="55"/>
      <c r="R451" s="55"/>
      <c r="S451" s="55"/>
    </row>
    <row r="452" spans="9:19" ht="12.5">
      <c r="I452" s="55"/>
      <c r="J452" s="55"/>
      <c r="K452" s="55"/>
      <c r="L452" s="55"/>
      <c r="M452" s="55"/>
      <c r="N452" s="43"/>
      <c r="O452" s="43"/>
      <c r="P452" s="55"/>
      <c r="Q452" s="55"/>
      <c r="R452" s="55"/>
      <c r="S452" s="55"/>
    </row>
    <row r="453" spans="9:19" ht="12.5">
      <c r="I453" s="55"/>
      <c r="J453" s="55"/>
      <c r="K453" s="55"/>
      <c r="L453" s="55"/>
      <c r="M453" s="55"/>
      <c r="N453" s="43"/>
      <c r="O453" s="43"/>
      <c r="P453" s="55"/>
      <c r="Q453" s="55"/>
      <c r="R453" s="55"/>
      <c r="S453" s="55"/>
    </row>
    <row r="454" spans="9:19" ht="12.5">
      <c r="I454" s="55"/>
      <c r="J454" s="55"/>
      <c r="K454" s="55"/>
      <c r="L454" s="55"/>
      <c r="M454" s="55"/>
      <c r="N454" s="43"/>
      <c r="O454" s="43"/>
      <c r="P454" s="55"/>
      <c r="Q454" s="55"/>
      <c r="R454" s="55"/>
      <c r="S454" s="55"/>
    </row>
    <row r="455" spans="9:19" ht="12.5">
      <c r="I455" s="55"/>
      <c r="J455" s="55"/>
      <c r="K455" s="55"/>
      <c r="L455" s="55"/>
      <c r="M455" s="55"/>
      <c r="N455" s="43"/>
      <c r="O455" s="43"/>
      <c r="P455" s="55"/>
      <c r="Q455" s="55"/>
      <c r="R455" s="55"/>
      <c r="S455" s="55"/>
    </row>
    <row r="456" spans="9:19" ht="12.5">
      <c r="I456" s="55"/>
      <c r="J456" s="55"/>
      <c r="K456" s="55"/>
      <c r="L456" s="55"/>
      <c r="M456" s="55"/>
      <c r="N456" s="43"/>
      <c r="O456" s="43"/>
      <c r="P456" s="55"/>
      <c r="Q456" s="55"/>
      <c r="R456" s="55"/>
      <c r="S456" s="55"/>
    </row>
    <row r="457" spans="9:19" ht="12.5">
      <c r="I457" s="55"/>
      <c r="J457" s="55"/>
      <c r="K457" s="55"/>
      <c r="L457" s="55"/>
      <c r="M457" s="55"/>
      <c r="N457" s="43"/>
      <c r="O457" s="43"/>
      <c r="P457" s="55"/>
      <c r="Q457" s="55"/>
      <c r="R457" s="55"/>
      <c r="S457" s="55"/>
    </row>
    <row r="458" spans="9:19" ht="12.5">
      <c r="I458" s="55"/>
      <c r="J458" s="55"/>
      <c r="K458" s="55"/>
      <c r="L458" s="55"/>
      <c r="M458" s="55"/>
      <c r="N458" s="43"/>
      <c r="O458" s="43"/>
      <c r="P458" s="55"/>
      <c r="Q458" s="55"/>
      <c r="R458" s="55"/>
      <c r="S458" s="55"/>
    </row>
    <row r="459" spans="9:19" ht="12.5">
      <c r="I459" s="55"/>
      <c r="J459" s="55"/>
      <c r="K459" s="55"/>
      <c r="L459" s="55"/>
      <c r="M459" s="55"/>
      <c r="N459" s="43"/>
      <c r="O459" s="43"/>
      <c r="P459" s="55"/>
      <c r="Q459" s="55"/>
      <c r="R459" s="55"/>
      <c r="S459" s="55"/>
    </row>
    <row r="460" spans="9:19" ht="12.5">
      <c r="I460" s="55"/>
      <c r="J460" s="55"/>
      <c r="K460" s="55"/>
      <c r="L460" s="55"/>
      <c r="M460" s="55"/>
      <c r="N460" s="43"/>
      <c r="O460" s="43"/>
      <c r="P460" s="55"/>
      <c r="Q460" s="55"/>
      <c r="R460" s="55"/>
      <c r="S460" s="55"/>
    </row>
    <row r="461" spans="9:19" ht="12.5">
      <c r="I461" s="55"/>
      <c r="J461" s="55"/>
      <c r="K461" s="55"/>
      <c r="L461" s="55"/>
      <c r="M461" s="55"/>
      <c r="N461" s="43"/>
      <c r="O461" s="43"/>
      <c r="P461" s="55"/>
      <c r="Q461" s="55"/>
      <c r="R461" s="55"/>
      <c r="S461" s="55"/>
    </row>
    <row r="462" spans="9:19" ht="12.5">
      <c r="I462" s="55"/>
      <c r="J462" s="55"/>
      <c r="K462" s="55"/>
      <c r="L462" s="55"/>
      <c r="M462" s="55"/>
      <c r="N462" s="43"/>
      <c r="O462" s="43"/>
      <c r="P462" s="55"/>
      <c r="Q462" s="55"/>
      <c r="R462" s="55"/>
      <c r="S462" s="55"/>
    </row>
    <row r="463" spans="9:19" ht="12.5">
      <c r="I463" s="55"/>
      <c r="J463" s="55"/>
      <c r="K463" s="55"/>
      <c r="L463" s="55"/>
      <c r="M463" s="55"/>
      <c r="N463" s="43"/>
      <c r="O463" s="43"/>
      <c r="P463" s="55"/>
      <c r="Q463" s="55"/>
      <c r="R463" s="55"/>
      <c r="S463" s="55"/>
    </row>
    <row r="464" spans="9:19" ht="12.5">
      <c r="I464" s="55"/>
      <c r="J464" s="55"/>
      <c r="K464" s="55"/>
      <c r="L464" s="55"/>
      <c r="M464" s="55"/>
      <c r="N464" s="43"/>
      <c r="O464" s="43"/>
      <c r="P464" s="55"/>
      <c r="Q464" s="55"/>
      <c r="R464" s="55"/>
      <c r="S464" s="55"/>
    </row>
    <row r="465" spans="9:19" ht="12.5">
      <c r="I465" s="55"/>
      <c r="J465" s="55"/>
      <c r="K465" s="55"/>
      <c r="L465" s="55"/>
      <c r="M465" s="55"/>
      <c r="N465" s="43"/>
      <c r="O465" s="43"/>
      <c r="P465" s="55"/>
      <c r="Q465" s="55"/>
      <c r="R465" s="55"/>
      <c r="S465" s="55"/>
    </row>
    <row r="466" spans="9:19" ht="12.5">
      <c r="I466" s="55"/>
      <c r="J466" s="55"/>
      <c r="K466" s="55"/>
      <c r="L466" s="55"/>
      <c r="M466" s="55"/>
      <c r="N466" s="43"/>
      <c r="O466" s="43"/>
      <c r="P466" s="55"/>
      <c r="Q466" s="55"/>
      <c r="R466" s="55"/>
      <c r="S466" s="55"/>
    </row>
    <row r="467" spans="9:19" ht="12.5">
      <c r="I467" s="55"/>
      <c r="J467" s="55"/>
      <c r="K467" s="55"/>
      <c r="L467" s="55"/>
      <c r="M467" s="55"/>
      <c r="N467" s="43"/>
      <c r="O467" s="43"/>
      <c r="P467" s="55"/>
      <c r="Q467" s="55"/>
      <c r="R467" s="55"/>
      <c r="S467" s="55"/>
    </row>
    <row r="468" spans="9:19" ht="12.5">
      <c r="I468" s="55"/>
      <c r="J468" s="55"/>
      <c r="K468" s="55"/>
      <c r="L468" s="55"/>
      <c r="M468" s="55"/>
      <c r="N468" s="43"/>
      <c r="O468" s="43"/>
      <c r="P468" s="55"/>
      <c r="Q468" s="55"/>
      <c r="R468" s="55"/>
      <c r="S468" s="55"/>
    </row>
    <row r="469" spans="9:19" ht="12.5">
      <c r="I469" s="55"/>
      <c r="J469" s="55"/>
      <c r="K469" s="55"/>
      <c r="L469" s="55"/>
      <c r="M469" s="55"/>
      <c r="N469" s="43"/>
      <c r="O469" s="43"/>
      <c r="P469" s="55"/>
      <c r="Q469" s="55"/>
      <c r="R469" s="55"/>
      <c r="S469" s="55"/>
    </row>
    <row r="470" spans="9:19" ht="12.5">
      <c r="I470" s="55"/>
      <c r="J470" s="55"/>
      <c r="K470" s="55"/>
      <c r="L470" s="55"/>
      <c r="M470" s="55"/>
      <c r="N470" s="43"/>
      <c r="O470" s="43"/>
      <c r="P470" s="55"/>
      <c r="Q470" s="55"/>
      <c r="R470" s="55"/>
      <c r="S470" s="55"/>
    </row>
    <row r="471" spans="9:19" ht="12.5">
      <c r="I471" s="55"/>
      <c r="J471" s="55"/>
      <c r="K471" s="55"/>
      <c r="L471" s="55"/>
      <c r="M471" s="55"/>
      <c r="N471" s="43"/>
      <c r="O471" s="43"/>
      <c r="P471" s="55"/>
      <c r="Q471" s="55"/>
      <c r="R471" s="55"/>
      <c r="S471" s="55"/>
    </row>
    <row r="472" spans="9:19" ht="12.5">
      <c r="I472" s="55"/>
      <c r="J472" s="55"/>
      <c r="K472" s="55"/>
      <c r="L472" s="55"/>
      <c r="M472" s="55"/>
      <c r="N472" s="43"/>
      <c r="O472" s="43"/>
      <c r="P472" s="55"/>
      <c r="Q472" s="55"/>
      <c r="R472" s="55"/>
      <c r="S472" s="55"/>
    </row>
    <row r="473" spans="9:19" ht="12.5">
      <c r="I473" s="55"/>
      <c r="J473" s="55"/>
      <c r="K473" s="55"/>
      <c r="L473" s="55"/>
      <c r="M473" s="55"/>
      <c r="N473" s="43"/>
      <c r="O473" s="43"/>
      <c r="P473" s="55"/>
      <c r="Q473" s="55"/>
      <c r="R473" s="55"/>
      <c r="S473" s="55"/>
    </row>
    <row r="474" spans="9:19" ht="12.5">
      <c r="I474" s="55"/>
      <c r="J474" s="55"/>
      <c r="K474" s="55"/>
      <c r="L474" s="55"/>
      <c r="M474" s="55"/>
      <c r="N474" s="43"/>
      <c r="O474" s="43"/>
      <c r="P474" s="55"/>
      <c r="Q474" s="55"/>
      <c r="R474" s="55"/>
      <c r="S474" s="55"/>
    </row>
    <row r="475" spans="9:19" ht="12.5">
      <c r="I475" s="55"/>
      <c r="J475" s="55"/>
      <c r="K475" s="55"/>
      <c r="L475" s="55"/>
      <c r="M475" s="55"/>
      <c r="N475" s="43"/>
      <c r="O475" s="43"/>
      <c r="P475" s="55"/>
      <c r="Q475" s="55"/>
      <c r="R475" s="55"/>
      <c r="S475" s="55"/>
    </row>
    <row r="476" spans="9:19" ht="12.5">
      <c r="I476" s="55"/>
      <c r="J476" s="55"/>
      <c r="K476" s="55"/>
      <c r="L476" s="55"/>
      <c r="M476" s="55"/>
      <c r="N476" s="43"/>
      <c r="O476" s="43"/>
      <c r="P476" s="55"/>
      <c r="Q476" s="55"/>
      <c r="R476" s="55"/>
      <c r="S476" s="55"/>
    </row>
    <row r="477" spans="9:19" ht="12.5">
      <c r="I477" s="55"/>
      <c r="J477" s="55"/>
      <c r="K477" s="55"/>
      <c r="L477" s="55"/>
      <c r="M477" s="55"/>
      <c r="N477" s="43"/>
      <c r="O477" s="43"/>
      <c r="P477" s="55"/>
      <c r="Q477" s="55"/>
      <c r="R477" s="55"/>
      <c r="S477" s="55"/>
    </row>
    <row r="478" spans="9:19" ht="12.5">
      <c r="I478" s="55"/>
      <c r="J478" s="55"/>
      <c r="K478" s="55"/>
      <c r="L478" s="55"/>
      <c r="M478" s="55"/>
      <c r="N478" s="43"/>
      <c r="O478" s="43"/>
      <c r="P478" s="55"/>
      <c r="Q478" s="55"/>
      <c r="R478" s="55"/>
      <c r="S478" s="55"/>
    </row>
    <row r="479" spans="9:19" ht="12.5">
      <c r="I479" s="55"/>
      <c r="J479" s="55"/>
      <c r="K479" s="55"/>
      <c r="L479" s="55"/>
      <c r="M479" s="55"/>
      <c r="N479" s="43"/>
      <c r="O479" s="43"/>
      <c r="P479" s="55"/>
      <c r="Q479" s="55"/>
      <c r="R479" s="55"/>
      <c r="S479" s="55"/>
    </row>
    <row r="480" spans="9:19" ht="12.5">
      <c r="I480" s="55"/>
      <c r="J480" s="55"/>
      <c r="K480" s="55"/>
      <c r="L480" s="55"/>
      <c r="M480" s="55"/>
      <c r="N480" s="43"/>
      <c r="O480" s="43"/>
      <c r="P480" s="55"/>
      <c r="Q480" s="55"/>
      <c r="R480" s="55"/>
      <c r="S480" s="55"/>
    </row>
    <row r="481" spans="9:19" ht="12.5">
      <c r="I481" s="55"/>
      <c r="J481" s="55"/>
      <c r="K481" s="55"/>
      <c r="L481" s="55"/>
      <c r="M481" s="55"/>
      <c r="N481" s="43"/>
      <c r="O481" s="43"/>
      <c r="P481" s="55"/>
      <c r="Q481" s="55"/>
      <c r="R481" s="55"/>
      <c r="S481" s="55"/>
    </row>
    <row r="482" spans="9:19" ht="12.5">
      <c r="I482" s="55"/>
      <c r="J482" s="55"/>
      <c r="K482" s="55"/>
      <c r="L482" s="55"/>
      <c r="M482" s="55"/>
      <c r="N482" s="43"/>
      <c r="O482" s="43"/>
      <c r="P482" s="55"/>
      <c r="Q482" s="55"/>
      <c r="R482" s="55"/>
      <c r="S482" s="55"/>
    </row>
    <row r="483" spans="9:19" ht="12.5">
      <c r="I483" s="55"/>
      <c r="J483" s="55"/>
      <c r="K483" s="55"/>
      <c r="L483" s="55"/>
      <c r="M483" s="55"/>
      <c r="N483" s="43"/>
      <c r="O483" s="43"/>
      <c r="P483" s="55"/>
      <c r="Q483" s="55"/>
      <c r="R483" s="55"/>
      <c r="S483" s="55"/>
    </row>
    <row r="484" spans="9:19" ht="12.5">
      <c r="I484" s="55"/>
      <c r="J484" s="55"/>
      <c r="K484" s="55"/>
      <c r="L484" s="55"/>
      <c r="M484" s="55"/>
      <c r="N484" s="43"/>
      <c r="O484" s="43"/>
      <c r="P484" s="55"/>
      <c r="Q484" s="55"/>
      <c r="R484" s="55"/>
      <c r="S484" s="55"/>
    </row>
    <row r="485" spans="9:19" ht="12.5">
      <c r="I485" s="55"/>
      <c r="J485" s="55"/>
      <c r="K485" s="55"/>
      <c r="L485" s="55"/>
      <c r="M485" s="55"/>
      <c r="N485" s="43"/>
      <c r="O485" s="43"/>
      <c r="P485" s="55"/>
      <c r="Q485" s="55"/>
      <c r="R485" s="55"/>
      <c r="S485" s="55"/>
    </row>
    <row r="486" spans="9:19" ht="12.5">
      <c r="I486" s="55"/>
      <c r="J486" s="55"/>
      <c r="K486" s="55"/>
      <c r="L486" s="55"/>
      <c r="M486" s="55"/>
      <c r="N486" s="43"/>
      <c r="O486" s="43"/>
      <c r="P486" s="55"/>
      <c r="Q486" s="55"/>
      <c r="R486" s="55"/>
      <c r="S486" s="55"/>
    </row>
    <row r="487" spans="9:19" ht="12.5">
      <c r="I487" s="55"/>
      <c r="J487" s="55"/>
      <c r="K487" s="55"/>
      <c r="L487" s="55"/>
      <c r="M487" s="55"/>
      <c r="N487" s="43"/>
      <c r="O487" s="43"/>
      <c r="P487" s="55"/>
      <c r="Q487" s="55"/>
      <c r="R487" s="55"/>
      <c r="S487" s="55"/>
    </row>
    <row r="488" spans="9:19" ht="12.5">
      <c r="I488" s="55"/>
      <c r="J488" s="55"/>
      <c r="K488" s="55"/>
      <c r="L488" s="55"/>
      <c r="M488" s="55"/>
      <c r="N488" s="43"/>
      <c r="O488" s="43"/>
      <c r="P488" s="55"/>
      <c r="Q488" s="55"/>
      <c r="R488" s="55"/>
      <c r="S488" s="55"/>
    </row>
    <row r="489" spans="9:19" ht="12.5">
      <c r="I489" s="55"/>
      <c r="J489" s="55"/>
      <c r="K489" s="55"/>
      <c r="L489" s="55"/>
      <c r="M489" s="55"/>
      <c r="N489" s="43"/>
      <c r="O489" s="43"/>
      <c r="P489" s="55"/>
      <c r="Q489" s="55"/>
      <c r="R489" s="55"/>
      <c r="S489" s="55"/>
    </row>
    <row r="490" spans="9:19" ht="12.5">
      <c r="I490" s="55"/>
      <c r="J490" s="55"/>
      <c r="K490" s="55"/>
      <c r="L490" s="55"/>
      <c r="M490" s="55"/>
      <c r="N490" s="43"/>
      <c r="O490" s="43"/>
      <c r="P490" s="55"/>
      <c r="Q490" s="55"/>
      <c r="R490" s="55"/>
      <c r="S490" s="55"/>
    </row>
    <row r="491" spans="9:19" ht="12.5">
      <c r="I491" s="55"/>
      <c r="J491" s="55"/>
      <c r="K491" s="55"/>
      <c r="L491" s="55"/>
      <c r="M491" s="55"/>
      <c r="N491" s="43"/>
      <c r="O491" s="43"/>
      <c r="P491" s="55"/>
      <c r="Q491" s="55"/>
      <c r="R491" s="55"/>
      <c r="S491" s="55"/>
    </row>
    <row r="492" spans="9:19" ht="12.5">
      <c r="I492" s="55"/>
      <c r="J492" s="55"/>
      <c r="K492" s="55"/>
      <c r="L492" s="55"/>
      <c r="M492" s="55"/>
      <c r="N492" s="43"/>
      <c r="O492" s="43"/>
      <c r="P492" s="55"/>
      <c r="Q492" s="55"/>
      <c r="R492" s="55"/>
      <c r="S492" s="55"/>
    </row>
    <row r="493" spans="9:19" ht="12.5">
      <c r="I493" s="55"/>
      <c r="J493" s="55"/>
      <c r="K493" s="55"/>
      <c r="L493" s="55"/>
      <c r="M493" s="55"/>
      <c r="N493" s="43"/>
      <c r="O493" s="43"/>
      <c r="P493" s="55"/>
      <c r="Q493" s="55"/>
      <c r="R493" s="55"/>
      <c r="S493" s="55"/>
    </row>
    <row r="494" spans="9:19" ht="12.5">
      <c r="I494" s="55"/>
      <c r="J494" s="55"/>
      <c r="K494" s="55"/>
      <c r="L494" s="55"/>
      <c r="M494" s="55"/>
      <c r="N494" s="43"/>
      <c r="O494" s="43"/>
      <c r="P494" s="55"/>
      <c r="Q494" s="55"/>
      <c r="R494" s="55"/>
      <c r="S494" s="55"/>
    </row>
    <row r="495" spans="9:19" ht="12.5">
      <c r="I495" s="55"/>
      <c r="J495" s="55"/>
      <c r="K495" s="55"/>
      <c r="L495" s="55"/>
      <c r="M495" s="55"/>
      <c r="N495" s="43"/>
      <c r="O495" s="43"/>
      <c r="P495" s="55"/>
      <c r="Q495" s="55"/>
      <c r="R495" s="55"/>
      <c r="S495" s="55"/>
    </row>
    <row r="496" spans="9:19" ht="12.5">
      <c r="I496" s="55"/>
      <c r="J496" s="55"/>
      <c r="K496" s="55"/>
      <c r="L496" s="55"/>
      <c r="M496" s="55"/>
      <c r="N496" s="43"/>
      <c r="O496" s="43"/>
      <c r="P496" s="55"/>
      <c r="Q496" s="55"/>
      <c r="R496" s="55"/>
      <c r="S496" s="55"/>
    </row>
    <row r="497" spans="9:19" ht="12.5">
      <c r="I497" s="55"/>
      <c r="J497" s="55"/>
      <c r="K497" s="55"/>
      <c r="L497" s="55"/>
      <c r="M497" s="55"/>
      <c r="N497" s="43"/>
      <c r="O497" s="43"/>
      <c r="P497" s="55"/>
      <c r="Q497" s="55"/>
      <c r="R497" s="55"/>
      <c r="S497" s="55"/>
    </row>
    <row r="498" spans="9:19" ht="12.5">
      <c r="I498" s="55"/>
      <c r="J498" s="55"/>
      <c r="K498" s="55"/>
      <c r="L498" s="55"/>
      <c r="M498" s="55"/>
      <c r="N498" s="43"/>
      <c r="O498" s="43"/>
      <c r="P498" s="55"/>
      <c r="Q498" s="55"/>
      <c r="R498" s="55"/>
      <c r="S498" s="55"/>
    </row>
    <row r="499" spans="9:19" ht="12.5">
      <c r="I499" s="55"/>
      <c r="J499" s="55"/>
      <c r="K499" s="55"/>
      <c r="L499" s="55"/>
      <c r="M499" s="55"/>
      <c r="N499" s="43"/>
      <c r="O499" s="43"/>
      <c r="P499" s="55"/>
      <c r="Q499" s="55"/>
      <c r="R499" s="55"/>
      <c r="S499" s="55"/>
    </row>
    <row r="500" spans="9:19" ht="12.5">
      <c r="I500" s="55"/>
      <c r="J500" s="55"/>
      <c r="K500" s="55"/>
      <c r="L500" s="55"/>
      <c r="M500" s="55"/>
      <c r="N500" s="43"/>
      <c r="O500" s="43"/>
      <c r="P500" s="55"/>
      <c r="Q500" s="55"/>
      <c r="R500" s="55"/>
      <c r="S500" s="55"/>
    </row>
    <row r="501" spans="9:19" ht="12.5">
      <c r="I501" s="55"/>
      <c r="J501" s="55"/>
      <c r="K501" s="55"/>
      <c r="L501" s="55"/>
      <c r="M501" s="55"/>
      <c r="N501" s="43"/>
      <c r="O501" s="43"/>
      <c r="P501" s="55"/>
      <c r="Q501" s="55"/>
      <c r="R501" s="55"/>
      <c r="S501" s="55"/>
    </row>
    <row r="502" spans="9:19" ht="12.5">
      <c r="I502" s="55"/>
      <c r="J502" s="55"/>
      <c r="K502" s="55"/>
      <c r="L502" s="55"/>
      <c r="M502" s="55"/>
      <c r="N502" s="43"/>
      <c r="O502" s="43"/>
      <c r="P502" s="55"/>
      <c r="Q502" s="55"/>
      <c r="R502" s="55"/>
      <c r="S502" s="55"/>
    </row>
    <row r="503" spans="9:19" ht="12.5">
      <c r="I503" s="55"/>
      <c r="J503" s="55"/>
      <c r="K503" s="55"/>
      <c r="L503" s="55"/>
      <c r="M503" s="55"/>
      <c r="N503" s="43"/>
      <c r="O503" s="43"/>
      <c r="P503" s="55"/>
      <c r="Q503" s="55"/>
      <c r="R503" s="55"/>
      <c r="S503" s="55"/>
    </row>
    <row r="504" spans="9:19" ht="12.5">
      <c r="I504" s="55"/>
      <c r="J504" s="55"/>
      <c r="K504" s="55"/>
      <c r="L504" s="55"/>
      <c r="M504" s="55"/>
      <c r="N504" s="43"/>
      <c r="O504" s="43"/>
      <c r="P504" s="55"/>
      <c r="Q504" s="55"/>
      <c r="R504" s="55"/>
      <c r="S504" s="55"/>
    </row>
    <row r="505" spans="9:19" ht="12.5">
      <c r="I505" s="55"/>
      <c r="J505" s="55"/>
      <c r="K505" s="55"/>
      <c r="L505" s="55"/>
      <c r="M505" s="55"/>
      <c r="N505" s="43"/>
      <c r="O505" s="43"/>
      <c r="P505" s="55"/>
      <c r="Q505" s="55"/>
      <c r="R505" s="55"/>
      <c r="S505" s="55"/>
    </row>
    <row r="506" spans="9:19" ht="12.5">
      <c r="I506" s="55"/>
      <c r="J506" s="55"/>
      <c r="K506" s="55"/>
      <c r="L506" s="55"/>
      <c r="M506" s="55"/>
      <c r="N506" s="43"/>
      <c r="O506" s="43"/>
      <c r="P506" s="55"/>
      <c r="Q506" s="55"/>
      <c r="R506" s="55"/>
      <c r="S506" s="55"/>
    </row>
    <row r="507" spans="9:19" ht="12.5">
      <c r="I507" s="55"/>
      <c r="J507" s="55"/>
      <c r="K507" s="55"/>
      <c r="L507" s="55"/>
      <c r="M507" s="55"/>
      <c r="N507" s="43"/>
      <c r="O507" s="43"/>
      <c r="P507" s="55"/>
      <c r="Q507" s="55"/>
      <c r="R507" s="55"/>
      <c r="S507" s="55"/>
    </row>
    <row r="508" spans="9:19" ht="12.5">
      <c r="I508" s="55"/>
      <c r="J508" s="55"/>
      <c r="K508" s="55"/>
      <c r="L508" s="55"/>
      <c r="M508" s="55"/>
      <c r="N508" s="43"/>
      <c r="O508" s="43"/>
      <c r="P508" s="55"/>
      <c r="Q508" s="55"/>
      <c r="R508" s="55"/>
      <c r="S508" s="55"/>
    </row>
    <row r="509" spans="9:19" ht="12.5">
      <c r="I509" s="55"/>
      <c r="J509" s="55"/>
      <c r="K509" s="55"/>
      <c r="L509" s="55"/>
      <c r="M509" s="55"/>
      <c r="N509" s="43"/>
      <c r="O509" s="43"/>
      <c r="P509" s="55"/>
      <c r="Q509" s="55"/>
      <c r="R509" s="55"/>
      <c r="S509" s="55"/>
    </row>
    <row r="510" spans="9:19" ht="12.5">
      <c r="I510" s="55"/>
      <c r="J510" s="55"/>
      <c r="K510" s="55"/>
      <c r="L510" s="55"/>
      <c r="M510" s="55"/>
      <c r="N510" s="43"/>
      <c r="O510" s="43"/>
      <c r="P510" s="55"/>
      <c r="Q510" s="55"/>
      <c r="R510" s="55"/>
      <c r="S510" s="55"/>
    </row>
    <row r="511" spans="9:19" ht="12.5">
      <c r="I511" s="55"/>
      <c r="J511" s="55"/>
      <c r="K511" s="55"/>
      <c r="L511" s="55"/>
      <c r="M511" s="55"/>
      <c r="N511" s="43"/>
      <c r="O511" s="43"/>
      <c r="P511" s="55"/>
      <c r="Q511" s="55"/>
      <c r="R511" s="55"/>
      <c r="S511" s="55"/>
    </row>
    <row r="512" spans="9:19" ht="12.5">
      <c r="I512" s="55"/>
      <c r="J512" s="55"/>
      <c r="K512" s="55"/>
      <c r="L512" s="55"/>
      <c r="M512" s="55"/>
      <c r="N512" s="43"/>
      <c r="O512" s="43"/>
      <c r="P512" s="55"/>
      <c r="Q512" s="55"/>
      <c r="R512" s="55"/>
      <c r="S512" s="55"/>
    </row>
    <row r="513" spans="9:19" ht="12.5">
      <c r="I513" s="55"/>
      <c r="J513" s="55"/>
      <c r="K513" s="55"/>
      <c r="L513" s="55"/>
      <c r="M513" s="55"/>
      <c r="N513" s="43"/>
      <c r="O513" s="43"/>
      <c r="P513" s="55"/>
      <c r="Q513" s="55"/>
      <c r="R513" s="55"/>
      <c r="S513" s="55"/>
    </row>
    <row r="514" spans="9:19" ht="12.5">
      <c r="I514" s="55"/>
      <c r="J514" s="55"/>
      <c r="K514" s="55"/>
      <c r="L514" s="55"/>
      <c r="M514" s="55"/>
      <c r="N514" s="43"/>
      <c r="O514" s="43"/>
      <c r="P514" s="55"/>
      <c r="Q514" s="55"/>
      <c r="R514" s="55"/>
      <c r="S514" s="55"/>
    </row>
    <row r="515" spans="9:19" ht="12.5">
      <c r="I515" s="55"/>
      <c r="J515" s="55"/>
      <c r="K515" s="55"/>
      <c r="L515" s="55"/>
      <c r="M515" s="55"/>
      <c r="N515" s="43"/>
      <c r="O515" s="43"/>
      <c r="P515" s="55"/>
      <c r="Q515" s="55"/>
      <c r="R515" s="55"/>
      <c r="S515" s="55"/>
    </row>
    <row r="516" spans="9:19" ht="12.5">
      <c r="I516" s="55"/>
      <c r="J516" s="55"/>
      <c r="K516" s="55"/>
      <c r="L516" s="55"/>
      <c r="M516" s="55"/>
      <c r="N516" s="43"/>
      <c r="O516" s="43"/>
      <c r="P516" s="55"/>
      <c r="Q516" s="55"/>
      <c r="R516" s="55"/>
      <c r="S516" s="55"/>
    </row>
    <row r="517" spans="9:19" ht="12.5">
      <c r="I517" s="55"/>
      <c r="J517" s="55"/>
      <c r="K517" s="55"/>
      <c r="L517" s="55"/>
      <c r="M517" s="55"/>
      <c r="N517" s="43"/>
      <c r="O517" s="43"/>
      <c r="P517" s="55"/>
      <c r="Q517" s="55"/>
      <c r="R517" s="55"/>
      <c r="S517" s="55"/>
    </row>
    <row r="518" spans="9:19" ht="12.5">
      <c r="I518" s="55"/>
      <c r="J518" s="55"/>
      <c r="K518" s="55"/>
      <c r="L518" s="55"/>
      <c r="M518" s="55"/>
      <c r="N518" s="43"/>
      <c r="O518" s="43"/>
      <c r="P518" s="55"/>
      <c r="Q518" s="55"/>
      <c r="R518" s="55"/>
      <c r="S518" s="55"/>
    </row>
    <row r="519" spans="9:19" ht="12.5">
      <c r="I519" s="55"/>
      <c r="J519" s="55"/>
      <c r="K519" s="55"/>
      <c r="L519" s="55"/>
      <c r="M519" s="55"/>
      <c r="N519" s="43"/>
      <c r="O519" s="43"/>
      <c r="P519" s="55"/>
      <c r="Q519" s="55"/>
      <c r="R519" s="55"/>
      <c r="S519" s="55"/>
    </row>
    <row r="520" spans="9:19" ht="12.5">
      <c r="I520" s="55"/>
      <c r="J520" s="55"/>
      <c r="K520" s="55"/>
      <c r="L520" s="55"/>
      <c r="M520" s="55"/>
      <c r="N520" s="43"/>
      <c r="O520" s="43"/>
      <c r="P520" s="55"/>
      <c r="Q520" s="55"/>
      <c r="R520" s="55"/>
      <c r="S520" s="55"/>
    </row>
    <row r="521" spans="9:19" ht="12.5">
      <c r="I521" s="55"/>
      <c r="J521" s="55"/>
      <c r="K521" s="55"/>
      <c r="L521" s="55"/>
      <c r="M521" s="55"/>
      <c r="N521" s="43"/>
      <c r="O521" s="43"/>
      <c r="P521" s="55"/>
      <c r="Q521" s="55"/>
      <c r="R521" s="55"/>
      <c r="S521" s="55"/>
    </row>
    <row r="522" spans="9:19" ht="12.5">
      <c r="I522" s="55"/>
      <c r="J522" s="55"/>
      <c r="K522" s="55"/>
      <c r="L522" s="55"/>
      <c r="M522" s="55"/>
      <c r="N522" s="43"/>
      <c r="O522" s="43"/>
      <c r="P522" s="55"/>
      <c r="Q522" s="55"/>
      <c r="R522" s="55"/>
      <c r="S522" s="55"/>
    </row>
    <row r="523" spans="9:19" ht="12.5">
      <c r="I523" s="55"/>
      <c r="J523" s="55"/>
      <c r="K523" s="55"/>
      <c r="L523" s="55"/>
      <c r="M523" s="55"/>
      <c r="N523" s="43"/>
      <c r="O523" s="43"/>
      <c r="P523" s="55"/>
      <c r="Q523" s="55"/>
      <c r="R523" s="55"/>
      <c r="S523" s="55"/>
    </row>
    <row r="524" spans="9:19" ht="12.5">
      <c r="I524" s="55"/>
      <c r="J524" s="55"/>
      <c r="K524" s="55"/>
      <c r="L524" s="55"/>
      <c r="M524" s="55"/>
      <c r="N524" s="43"/>
      <c r="O524" s="43"/>
      <c r="P524" s="55"/>
      <c r="Q524" s="55"/>
      <c r="R524" s="55"/>
      <c r="S524" s="55"/>
    </row>
    <row r="525" spans="9:19" ht="12.5">
      <c r="I525" s="55"/>
      <c r="J525" s="55"/>
      <c r="K525" s="55"/>
      <c r="L525" s="55"/>
      <c r="M525" s="55"/>
      <c r="N525" s="43"/>
      <c r="O525" s="43"/>
      <c r="P525" s="55"/>
      <c r="Q525" s="55"/>
      <c r="R525" s="55"/>
      <c r="S525" s="55"/>
    </row>
    <row r="526" spans="9:19" ht="12.5">
      <c r="I526" s="55"/>
      <c r="J526" s="55"/>
      <c r="K526" s="55"/>
      <c r="L526" s="55"/>
      <c r="M526" s="55"/>
      <c r="N526" s="43"/>
      <c r="O526" s="43"/>
      <c r="P526" s="55"/>
      <c r="Q526" s="55"/>
      <c r="R526" s="55"/>
      <c r="S526" s="55"/>
    </row>
    <row r="527" spans="9:19" ht="12.5">
      <c r="I527" s="55"/>
      <c r="J527" s="55"/>
      <c r="K527" s="55"/>
      <c r="L527" s="55"/>
      <c r="M527" s="55"/>
      <c r="N527" s="43"/>
      <c r="O527" s="43"/>
      <c r="P527" s="55"/>
      <c r="Q527" s="55"/>
      <c r="R527" s="55"/>
      <c r="S527" s="55"/>
    </row>
    <row r="528" spans="9:19" ht="12.5">
      <c r="I528" s="55"/>
      <c r="J528" s="55"/>
      <c r="K528" s="55"/>
      <c r="L528" s="55"/>
      <c r="M528" s="55"/>
      <c r="N528" s="43"/>
      <c r="O528" s="43"/>
      <c r="P528" s="55"/>
      <c r="Q528" s="55"/>
      <c r="R528" s="55"/>
      <c r="S528" s="55"/>
    </row>
    <row r="529" spans="9:19" ht="12.5">
      <c r="I529" s="55"/>
      <c r="J529" s="55"/>
      <c r="K529" s="55"/>
      <c r="L529" s="55"/>
      <c r="M529" s="55"/>
      <c r="N529" s="43"/>
      <c r="O529" s="43"/>
      <c r="P529" s="55"/>
      <c r="Q529" s="55"/>
      <c r="R529" s="55"/>
      <c r="S529" s="55"/>
    </row>
    <row r="530" spans="9:19" ht="12.5">
      <c r="I530" s="55"/>
      <c r="J530" s="55"/>
      <c r="K530" s="55"/>
      <c r="L530" s="55"/>
      <c r="M530" s="55"/>
      <c r="N530" s="43"/>
      <c r="O530" s="43"/>
      <c r="P530" s="55"/>
      <c r="Q530" s="55"/>
      <c r="R530" s="55"/>
      <c r="S530" s="55"/>
    </row>
    <row r="531" spans="9:19" ht="12.5">
      <c r="I531" s="55"/>
      <c r="J531" s="55"/>
      <c r="K531" s="55"/>
      <c r="L531" s="55"/>
      <c r="M531" s="55"/>
      <c r="N531" s="43"/>
      <c r="O531" s="43"/>
      <c r="P531" s="55"/>
      <c r="Q531" s="55"/>
      <c r="R531" s="55"/>
      <c r="S531" s="55"/>
    </row>
    <row r="532" spans="9:19" ht="12.5">
      <c r="I532" s="55"/>
      <c r="J532" s="55"/>
      <c r="K532" s="55"/>
      <c r="L532" s="55"/>
      <c r="M532" s="55"/>
      <c r="N532" s="43"/>
      <c r="O532" s="43"/>
      <c r="P532" s="55"/>
      <c r="Q532" s="55"/>
      <c r="R532" s="55"/>
      <c r="S532" s="55"/>
    </row>
    <row r="533" spans="9:19" ht="12.5">
      <c r="I533" s="55"/>
      <c r="J533" s="55"/>
      <c r="K533" s="55"/>
      <c r="L533" s="55"/>
      <c r="M533" s="55"/>
      <c r="N533" s="43"/>
      <c r="O533" s="43"/>
      <c r="P533" s="55"/>
      <c r="Q533" s="55"/>
      <c r="R533" s="55"/>
      <c r="S533" s="55"/>
    </row>
    <row r="534" spans="9:19" ht="12.5">
      <c r="I534" s="55"/>
      <c r="J534" s="55"/>
      <c r="K534" s="55"/>
      <c r="L534" s="55"/>
      <c r="M534" s="55"/>
      <c r="N534" s="43"/>
      <c r="O534" s="43"/>
      <c r="P534" s="55"/>
      <c r="Q534" s="55"/>
      <c r="R534" s="55"/>
      <c r="S534" s="55"/>
    </row>
    <row r="535" spans="9:19" ht="12.5">
      <c r="I535" s="55"/>
      <c r="J535" s="55"/>
      <c r="K535" s="55"/>
      <c r="L535" s="55"/>
      <c r="M535" s="55"/>
      <c r="N535" s="43"/>
      <c r="O535" s="43"/>
      <c r="P535" s="55"/>
      <c r="Q535" s="55"/>
      <c r="R535" s="55"/>
      <c r="S535" s="55"/>
    </row>
    <row r="536" spans="9:19" ht="12.5">
      <c r="I536" s="55"/>
      <c r="J536" s="55"/>
      <c r="K536" s="55"/>
      <c r="L536" s="55"/>
      <c r="M536" s="55"/>
      <c r="N536" s="43"/>
      <c r="O536" s="43"/>
      <c r="P536" s="55"/>
      <c r="Q536" s="55"/>
      <c r="R536" s="55"/>
      <c r="S536" s="55"/>
    </row>
    <row r="537" spans="9:19" ht="12.5">
      <c r="I537" s="55"/>
      <c r="J537" s="55"/>
      <c r="K537" s="55"/>
      <c r="L537" s="55"/>
      <c r="M537" s="55"/>
      <c r="N537" s="43"/>
      <c r="O537" s="43"/>
      <c r="P537" s="55"/>
      <c r="Q537" s="55"/>
      <c r="R537" s="55"/>
      <c r="S537" s="55"/>
    </row>
    <row r="538" spans="9:19" ht="12.5">
      <c r="I538" s="55"/>
      <c r="J538" s="55"/>
      <c r="K538" s="55"/>
      <c r="L538" s="55"/>
      <c r="M538" s="55"/>
      <c r="N538" s="43"/>
      <c r="O538" s="43"/>
      <c r="P538" s="55"/>
      <c r="Q538" s="55"/>
      <c r="R538" s="55"/>
      <c r="S538" s="55"/>
    </row>
    <row r="539" spans="9:19" ht="12.5">
      <c r="I539" s="55"/>
      <c r="J539" s="55"/>
      <c r="K539" s="55"/>
      <c r="L539" s="55"/>
      <c r="M539" s="55"/>
      <c r="N539" s="43"/>
      <c r="O539" s="43"/>
      <c r="P539" s="55"/>
      <c r="Q539" s="55"/>
      <c r="R539" s="55"/>
      <c r="S539" s="55"/>
    </row>
    <row r="540" spans="9:19" ht="12.5">
      <c r="I540" s="55"/>
      <c r="J540" s="55"/>
      <c r="K540" s="55"/>
      <c r="L540" s="55"/>
      <c r="M540" s="55"/>
      <c r="N540" s="43"/>
      <c r="O540" s="43"/>
      <c r="P540" s="55"/>
      <c r="Q540" s="55"/>
      <c r="R540" s="55"/>
      <c r="S540" s="55"/>
    </row>
    <row r="541" spans="9:19" ht="12.5">
      <c r="I541" s="55"/>
      <c r="J541" s="55"/>
      <c r="K541" s="55"/>
      <c r="L541" s="55"/>
      <c r="M541" s="55"/>
      <c r="N541" s="43"/>
      <c r="O541" s="43"/>
      <c r="P541" s="55"/>
      <c r="Q541" s="55"/>
      <c r="R541" s="55"/>
      <c r="S541" s="55"/>
    </row>
    <row r="542" spans="9:19" ht="12.5">
      <c r="I542" s="55"/>
      <c r="J542" s="55"/>
      <c r="K542" s="55"/>
      <c r="L542" s="55"/>
      <c r="M542" s="55"/>
      <c r="N542" s="43"/>
      <c r="O542" s="43"/>
      <c r="P542" s="55"/>
      <c r="Q542" s="55"/>
      <c r="R542" s="55"/>
      <c r="S542" s="55"/>
    </row>
    <row r="543" spans="9:19" ht="12.5">
      <c r="I543" s="55"/>
      <c r="J543" s="55"/>
      <c r="K543" s="55"/>
      <c r="L543" s="55"/>
      <c r="M543" s="55"/>
      <c r="N543" s="43"/>
      <c r="O543" s="43"/>
      <c r="P543" s="55"/>
      <c r="Q543" s="55"/>
      <c r="R543" s="55"/>
      <c r="S543" s="55"/>
    </row>
    <row r="544" spans="9:19" ht="12.5">
      <c r="I544" s="55"/>
      <c r="J544" s="55"/>
      <c r="K544" s="55"/>
      <c r="L544" s="55"/>
      <c r="M544" s="55"/>
      <c r="N544" s="43"/>
      <c r="O544" s="43"/>
      <c r="P544" s="55"/>
      <c r="Q544" s="55"/>
      <c r="R544" s="55"/>
      <c r="S544" s="55"/>
    </row>
    <row r="545" spans="9:19" ht="12.5">
      <c r="I545" s="55"/>
      <c r="J545" s="55"/>
      <c r="K545" s="55"/>
      <c r="L545" s="55"/>
      <c r="M545" s="55"/>
      <c r="N545" s="43"/>
      <c r="O545" s="43"/>
      <c r="P545" s="55"/>
      <c r="Q545" s="55"/>
      <c r="R545" s="55"/>
      <c r="S545" s="55"/>
    </row>
    <row r="546" spans="9:19" ht="12.5">
      <c r="I546" s="55"/>
      <c r="J546" s="55"/>
      <c r="K546" s="55"/>
      <c r="L546" s="55"/>
      <c r="M546" s="55"/>
      <c r="N546" s="43"/>
      <c r="O546" s="43"/>
      <c r="P546" s="55"/>
      <c r="Q546" s="55"/>
      <c r="R546" s="55"/>
      <c r="S546" s="55"/>
    </row>
    <row r="547" spans="9:19" ht="12.5">
      <c r="I547" s="55"/>
      <c r="J547" s="55"/>
      <c r="K547" s="55"/>
      <c r="L547" s="55"/>
      <c r="M547" s="55"/>
      <c r="N547" s="43"/>
      <c r="O547" s="43"/>
      <c r="P547" s="55"/>
      <c r="Q547" s="55"/>
      <c r="R547" s="55"/>
      <c r="S547" s="55"/>
    </row>
    <row r="548" spans="9:19" ht="12.5">
      <c r="I548" s="55"/>
      <c r="J548" s="55"/>
      <c r="K548" s="55"/>
      <c r="L548" s="55"/>
      <c r="M548" s="55"/>
      <c r="N548" s="43"/>
      <c r="O548" s="43"/>
      <c r="P548" s="55"/>
      <c r="Q548" s="55"/>
      <c r="R548" s="55"/>
      <c r="S548" s="55"/>
    </row>
    <row r="549" spans="9:19" ht="12.5">
      <c r="I549" s="55"/>
      <c r="J549" s="55"/>
      <c r="K549" s="55"/>
      <c r="L549" s="55"/>
      <c r="M549" s="55"/>
      <c r="N549" s="43"/>
      <c r="O549" s="43"/>
      <c r="P549" s="55"/>
      <c r="Q549" s="55"/>
      <c r="R549" s="55"/>
      <c r="S549" s="55"/>
    </row>
    <row r="550" spans="9:19" ht="12.5">
      <c r="I550" s="55"/>
      <c r="J550" s="55"/>
      <c r="K550" s="55"/>
      <c r="L550" s="55"/>
      <c r="M550" s="55"/>
      <c r="N550" s="43"/>
      <c r="O550" s="43"/>
      <c r="P550" s="55"/>
      <c r="Q550" s="55"/>
      <c r="R550" s="55"/>
      <c r="S550" s="55"/>
    </row>
    <row r="551" spans="9:19" ht="12.5">
      <c r="I551" s="55"/>
      <c r="J551" s="55"/>
      <c r="K551" s="55"/>
      <c r="L551" s="55"/>
      <c r="M551" s="55"/>
      <c r="N551" s="43"/>
      <c r="O551" s="43"/>
      <c r="P551" s="55"/>
      <c r="Q551" s="55"/>
      <c r="R551" s="55"/>
      <c r="S551" s="55"/>
    </row>
    <row r="552" spans="9:19" ht="12.5">
      <c r="I552" s="55"/>
      <c r="J552" s="55"/>
      <c r="K552" s="55"/>
      <c r="L552" s="55"/>
      <c r="M552" s="55"/>
      <c r="N552" s="43"/>
      <c r="O552" s="43"/>
      <c r="P552" s="55"/>
      <c r="Q552" s="55"/>
      <c r="R552" s="55"/>
      <c r="S552" s="55"/>
    </row>
    <row r="553" spans="9:19" ht="12.5">
      <c r="I553" s="55"/>
      <c r="J553" s="55"/>
      <c r="K553" s="55"/>
      <c r="L553" s="55"/>
      <c r="M553" s="55"/>
      <c r="N553" s="43"/>
      <c r="O553" s="43"/>
      <c r="P553" s="55"/>
      <c r="Q553" s="55"/>
      <c r="R553" s="55"/>
      <c r="S553" s="55"/>
    </row>
    <row r="554" spans="9:19" ht="12.5">
      <c r="I554" s="55"/>
      <c r="J554" s="55"/>
      <c r="K554" s="55"/>
      <c r="L554" s="55"/>
      <c r="M554" s="55"/>
      <c r="N554" s="43"/>
      <c r="O554" s="43"/>
      <c r="P554" s="55"/>
      <c r="Q554" s="55"/>
      <c r="R554" s="55"/>
      <c r="S554" s="55"/>
    </row>
    <row r="555" spans="9:19" ht="12.5">
      <c r="I555" s="55"/>
      <c r="J555" s="55"/>
      <c r="K555" s="55"/>
      <c r="L555" s="55"/>
      <c r="M555" s="55"/>
      <c r="N555" s="43"/>
      <c r="O555" s="43"/>
      <c r="P555" s="55"/>
      <c r="Q555" s="55"/>
      <c r="R555" s="55"/>
      <c r="S555" s="55"/>
    </row>
    <row r="556" spans="9:19" ht="12.5">
      <c r="I556" s="55"/>
      <c r="J556" s="55"/>
      <c r="K556" s="55"/>
      <c r="L556" s="55"/>
      <c r="M556" s="55"/>
      <c r="N556" s="43"/>
      <c r="O556" s="43"/>
      <c r="P556" s="55"/>
      <c r="Q556" s="55"/>
      <c r="R556" s="55"/>
      <c r="S556" s="55"/>
    </row>
    <row r="557" spans="9:19" ht="12.5">
      <c r="I557" s="55"/>
      <c r="J557" s="55"/>
      <c r="K557" s="55"/>
      <c r="L557" s="55"/>
      <c r="M557" s="55"/>
      <c r="N557" s="43"/>
      <c r="O557" s="43"/>
      <c r="P557" s="55"/>
      <c r="Q557" s="55"/>
      <c r="R557" s="55"/>
      <c r="S557" s="55"/>
    </row>
    <row r="558" spans="9:19" ht="12.5">
      <c r="I558" s="55"/>
      <c r="J558" s="55"/>
      <c r="K558" s="55"/>
      <c r="L558" s="55"/>
      <c r="M558" s="55"/>
      <c r="N558" s="43"/>
      <c r="O558" s="43"/>
      <c r="P558" s="55"/>
      <c r="Q558" s="55"/>
      <c r="R558" s="55"/>
      <c r="S558" s="55"/>
    </row>
    <row r="559" spans="9:19" ht="12.5">
      <c r="I559" s="55"/>
      <c r="J559" s="55"/>
      <c r="K559" s="55"/>
      <c r="L559" s="55"/>
      <c r="M559" s="55"/>
      <c r="N559" s="43"/>
      <c r="O559" s="43"/>
      <c r="P559" s="55"/>
      <c r="Q559" s="55"/>
      <c r="R559" s="55"/>
      <c r="S559" s="55"/>
    </row>
    <row r="560" spans="9:19" ht="12.5">
      <c r="I560" s="55"/>
      <c r="J560" s="55"/>
      <c r="K560" s="55"/>
      <c r="L560" s="55"/>
      <c r="M560" s="55"/>
      <c r="N560" s="43"/>
      <c r="O560" s="43"/>
      <c r="P560" s="55"/>
      <c r="Q560" s="55"/>
      <c r="R560" s="55"/>
      <c r="S560" s="55"/>
    </row>
    <row r="561" spans="9:19" ht="12.5">
      <c r="I561" s="55"/>
      <c r="J561" s="55"/>
      <c r="K561" s="55"/>
      <c r="L561" s="55"/>
      <c r="M561" s="55"/>
      <c r="N561" s="43"/>
      <c r="O561" s="43"/>
      <c r="P561" s="55"/>
      <c r="Q561" s="55"/>
      <c r="R561" s="55"/>
      <c r="S561" s="55"/>
    </row>
    <row r="562" spans="9:19" ht="12.5">
      <c r="I562" s="55"/>
      <c r="J562" s="55"/>
      <c r="K562" s="55"/>
      <c r="L562" s="55"/>
      <c r="M562" s="55"/>
      <c r="N562" s="43"/>
      <c r="O562" s="43"/>
      <c r="P562" s="55"/>
      <c r="Q562" s="55"/>
      <c r="R562" s="55"/>
      <c r="S562" s="55"/>
    </row>
    <row r="563" spans="9:19" ht="12.5">
      <c r="I563" s="55"/>
      <c r="J563" s="55"/>
      <c r="K563" s="55"/>
      <c r="L563" s="55"/>
      <c r="M563" s="55"/>
      <c r="N563" s="43"/>
      <c r="O563" s="43"/>
      <c r="P563" s="55"/>
      <c r="Q563" s="55"/>
      <c r="R563" s="55"/>
      <c r="S563" s="55"/>
    </row>
    <row r="564" spans="9:19" ht="12.5">
      <c r="I564" s="55"/>
      <c r="J564" s="55"/>
      <c r="K564" s="55"/>
      <c r="L564" s="55"/>
      <c r="M564" s="55"/>
      <c r="N564" s="43"/>
      <c r="O564" s="43"/>
      <c r="P564" s="55"/>
      <c r="Q564" s="55"/>
      <c r="R564" s="55"/>
      <c r="S564" s="55"/>
    </row>
    <row r="565" spans="9:19" ht="12.5">
      <c r="I565" s="55"/>
      <c r="J565" s="55"/>
      <c r="K565" s="55"/>
      <c r="L565" s="55"/>
      <c r="M565" s="55"/>
      <c r="N565" s="43"/>
      <c r="O565" s="43"/>
      <c r="P565" s="55"/>
      <c r="Q565" s="55"/>
      <c r="R565" s="55"/>
      <c r="S565" s="55"/>
    </row>
    <row r="566" spans="9:19" ht="12.5">
      <c r="I566" s="55"/>
      <c r="J566" s="55"/>
      <c r="K566" s="55"/>
      <c r="L566" s="55"/>
      <c r="M566" s="55"/>
      <c r="N566" s="43"/>
      <c r="O566" s="43"/>
      <c r="P566" s="55"/>
      <c r="Q566" s="55"/>
      <c r="R566" s="55"/>
      <c r="S566" s="55"/>
    </row>
    <row r="567" spans="9:19" ht="12.5">
      <c r="I567" s="55"/>
      <c r="J567" s="55"/>
      <c r="K567" s="55"/>
      <c r="L567" s="55"/>
      <c r="M567" s="55"/>
      <c r="N567" s="43"/>
      <c r="O567" s="43"/>
      <c r="P567" s="55"/>
      <c r="Q567" s="55"/>
      <c r="R567" s="55"/>
      <c r="S567" s="55"/>
    </row>
    <row r="568" spans="9:19" ht="12.5">
      <c r="I568" s="55"/>
      <c r="J568" s="55"/>
      <c r="K568" s="55"/>
      <c r="L568" s="55"/>
      <c r="M568" s="55"/>
      <c r="N568" s="43"/>
      <c r="O568" s="43"/>
      <c r="P568" s="55"/>
      <c r="Q568" s="55"/>
      <c r="R568" s="55"/>
      <c r="S568" s="55"/>
    </row>
    <row r="569" spans="9:19" ht="12.5">
      <c r="I569" s="55"/>
      <c r="J569" s="55"/>
      <c r="K569" s="55"/>
      <c r="L569" s="55"/>
      <c r="M569" s="55"/>
      <c r="N569" s="43"/>
      <c r="O569" s="43"/>
      <c r="P569" s="55"/>
      <c r="Q569" s="55"/>
      <c r="R569" s="55"/>
      <c r="S569" s="55"/>
    </row>
    <row r="570" spans="9:19" ht="12.5">
      <c r="I570" s="55"/>
      <c r="J570" s="55"/>
      <c r="K570" s="55"/>
      <c r="L570" s="55"/>
      <c r="M570" s="55"/>
      <c r="N570" s="43"/>
      <c r="O570" s="43"/>
      <c r="P570" s="55"/>
      <c r="Q570" s="55"/>
      <c r="R570" s="55"/>
      <c r="S570" s="55"/>
    </row>
    <row r="571" spans="9:19" ht="12.5">
      <c r="I571" s="55"/>
      <c r="J571" s="55"/>
      <c r="K571" s="55"/>
      <c r="L571" s="55"/>
      <c r="M571" s="55"/>
      <c r="N571" s="43"/>
      <c r="O571" s="43"/>
      <c r="P571" s="55"/>
      <c r="Q571" s="55"/>
      <c r="R571" s="55"/>
      <c r="S571" s="55"/>
    </row>
    <row r="572" spans="9:19" ht="12.5">
      <c r="I572" s="55"/>
      <c r="J572" s="55"/>
      <c r="K572" s="55"/>
      <c r="L572" s="55"/>
      <c r="M572" s="55"/>
      <c r="N572" s="43"/>
      <c r="O572" s="43"/>
      <c r="P572" s="55"/>
      <c r="Q572" s="55"/>
      <c r="R572" s="55"/>
      <c r="S572" s="55"/>
    </row>
    <row r="573" spans="9:19" ht="12.5">
      <c r="I573" s="55"/>
      <c r="J573" s="55"/>
      <c r="K573" s="55"/>
      <c r="L573" s="55"/>
      <c r="M573" s="55"/>
      <c r="N573" s="43"/>
      <c r="O573" s="43"/>
      <c r="P573" s="55"/>
      <c r="Q573" s="55"/>
      <c r="R573" s="55"/>
      <c r="S573" s="55"/>
    </row>
    <row r="574" spans="9:19" ht="12.5">
      <c r="I574" s="55"/>
      <c r="J574" s="55"/>
      <c r="K574" s="55"/>
      <c r="L574" s="55"/>
      <c r="M574" s="55"/>
      <c r="N574" s="43"/>
      <c r="O574" s="43"/>
      <c r="P574" s="55"/>
      <c r="Q574" s="55"/>
      <c r="R574" s="55"/>
      <c r="S574" s="55"/>
    </row>
    <row r="575" spans="9:19" ht="12.5">
      <c r="I575" s="55"/>
      <c r="J575" s="55"/>
      <c r="K575" s="55"/>
      <c r="L575" s="55"/>
      <c r="M575" s="55"/>
      <c r="N575" s="43"/>
      <c r="O575" s="43"/>
      <c r="P575" s="55"/>
      <c r="Q575" s="55"/>
      <c r="R575" s="55"/>
      <c r="S575" s="55"/>
    </row>
    <row r="576" spans="9:19" ht="12.5">
      <c r="I576" s="55"/>
      <c r="J576" s="55"/>
      <c r="K576" s="55"/>
      <c r="L576" s="55"/>
      <c r="M576" s="55"/>
      <c r="N576" s="43"/>
      <c r="O576" s="43"/>
      <c r="P576" s="55"/>
      <c r="Q576" s="55"/>
      <c r="R576" s="55"/>
      <c r="S576" s="55"/>
    </row>
    <row r="577" spans="9:19" ht="12.5">
      <c r="I577" s="55"/>
      <c r="J577" s="55"/>
      <c r="K577" s="55"/>
      <c r="L577" s="55"/>
      <c r="M577" s="55"/>
      <c r="N577" s="43"/>
      <c r="O577" s="43"/>
      <c r="P577" s="55"/>
      <c r="Q577" s="55"/>
      <c r="R577" s="55"/>
      <c r="S577" s="55"/>
    </row>
    <row r="578" spans="9:19" ht="12.5">
      <c r="I578" s="55"/>
      <c r="J578" s="55"/>
      <c r="K578" s="55"/>
      <c r="L578" s="55"/>
      <c r="M578" s="55"/>
      <c r="N578" s="43"/>
      <c r="O578" s="43"/>
      <c r="P578" s="55"/>
      <c r="Q578" s="55"/>
      <c r="R578" s="55"/>
      <c r="S578" s="55"/>
    </row>
    <row r="579" spans="9:19" ht="12.5">
      <c r="I579" s="55"/>
      <c r="J579" s="55"/>
      <c r="K579" s="55"/>
      <c r="L579" s="55"/>
      <c r="M579" s="55"/>
      <c r="N579" s="43"/>
      <c r="O579" s="43"/>
      <c r="P579" s="55"/>
      <c r="Q579" s="55"/>
      <c r="R579" s="55"/>
      <c r="S579" s="55"/>
    </row>
    <row r="580" spans="9:19" ht="12.5">
      <c r="I580" s="55"/>
      <c r="J580" s="55"/>
      <c r="K580" s="55"/>
      <c r="L580" s="55"/>
      <c r="M580" s="55"/>
      <c r="N580" s="43"/>
      <c r="O580" s="43"/>
      <c r="P580" s="55"/>
      <c r="Q580" s="55"/>
      <c r="R580" s="55"/>
      <c r="S580" s="55"/>
    </row>
    <row r="581" spans="9:19" ht="12.5">
      <c r="I581" s="55"/>
      <c r="J581" s="55"/>
      <c r="K581" s="55"/>
      <c r="L581" s="55"/>
      <c r="M581" s="55"/>
      <c r="N581" s="43"/>
      <c r="O581" s="43"/>
      <c r="P581" s="55"/>
      <c r="Q581" s="55"/>
      <c r="R581" s="55"/>
      <c r="S581" s="55"/>
    </row>
    <row r="582" spans="9:19" ht="12.5">
      <c r="I582" s="55"/>
      <c r="J582" s="55"/>
      <c r="K582" s="55"/>
      <c r="L582" s="55"/>
      <c r="M582" s="55"/>
      <c r="N582" s="43"/>
      <c r="O582" s="43"/>
      <c r="P582" s="55"/>
      <c r="Q582" s="55"/>
      <c r="R582" s="55"/>
      <c r="S582" s="55"/>
    </row>
    <row r="583" spans="9:19" ht="12.5">
      <c r="I583" s="55"/>
      <c r="J583" s="55"/>
      <c r="K583" s="55"/>
      <c r="L583" s="55"/>
      <c r="M583" s="55"/>
      <c r="N583" s="43"/>
      <c r="O583" s="43"/>
      <c r="P583" s="55"/>
      <c r="Q583" s="55"/>
      <c r="R583" s="55"/>
      <c r="S583" s="55"/>
    </row>
    <row r="584" spans="9:19" ht="12.5">
      <c r="I584" s="55"/>
      <c r="J584" s="55"/>
      <c r="K584" s="55"/>
      <c r="L584" s="55"/>
      <c r="M584" s="55"/>
      <c r="N584" s="43"/>
      <c r="O584" s="43"/>
      <c r="P584" s="55"/>
      <c r="Q584" s="55"/>
      <c r="R584" s="55"/>
      <c r="S584" s="55"/>
    </row>
    <row r="585" spans="9:19" ht="12.5">
      <c r="I585" s="55"/>
      <c r="J585" s="55"/>
      <c r="K585" s="55"/>
      <c r="L585" s="55"/>
      <c r="M585" s="55"/>
      <c r="N585" s="43"/>
      <c r="O585" s="43"/>
      <c r="P585" s="55"/>
      <c r="Q585" s="55"/>
      <c r="R585" s="55"/>
      <c r="S585" s="55"/>
    </row>
    <row r="586" spans="9:19" ht="12.5">
      <c r="I586" s="55"/>
      <c r="J586" s="55"/>
      <c r="K586" s="55"/>
      <c r="L586" s="55"/>
      <c r="M586" s="55"/>
      <c r="N586" s="43"/>
      <c r="O586" s="43"/>
      <c r="P586" s="55"/>
      <c r="Q586" s="55"/>
      <c r="R586" s="55"/>
      <c r="S586" s="55"/>
    </row>
    <row r="587" spans="9:19" ht="12.5">
      <c r="I587" s="55"/>
      <c r="J587" s="55"/>
      <c r="K587" s="55"/>
      <c r="L587" s="55"/>
      <c r="M587" s="55"/>
      <c r="N587" s="43"/>
      <c r="O587" s="43"/>
      <c r="P587" s="55"/>
      <c r="Q587" s="55"/>
      <c r="R587" s="55"/>
      <c r="S587" s="55"/>
    </row>
    <row r="588" spans="9:19" ht="12.5">
      <c r="I588" s="55"/>
      <c r="J588" s="55"/>
      <c r="K588" s="55"/>
      <c r="L588" s="55"/>
      <c r="M588" s="55"/>
      <c r="N588" s="43"/>
      <c r="O588" s="43"/>
      <c r="P588" s="55"/>
      <c r="Q588" s="55"/>
      <c r="R588" s="55"/>
      <c r="S588" s="55"/>
    </row>
    <row r="589" spans="9:19" ht="12.5">
      <c r="I589" s="55"/>
      <c r="J589" s="55"/>
      <c r="K589" s="55"/>
      <c r="L589" s="55"/>
      <c r="M589" s="55"/>
      <c r="N589" s="43"/>
      <c r="O589" s="43"/>
      <c r="P589" s="55"/>
      <c r="Q589" s="55"/>
      <c r="R589" s="55"/>
      <c r="S589" s="55"/>
    </row>
    <row r="590" spans="9:19" ht="12.5">
      <c r="I590" s="55"/>
      <c r="J590" s="55"/>
      <c r="K590" s="55"/>
      <c r="L590" s="55"/>
      <c r="M590" s="55"/>
      <c r="N590" s="43"/>
      <c r="O590" s="43"/>
      <c r="P590" s="55"/>
      <c r="Q590" s="55"/>
      <c r="R590" s="55"/>
      <c r="S590" s="55"/>
    </row>
    <row r="591" spans="9:19" ht="12.5">
      <c r="I591" s="55"/>
      <c r="J591" s="55"/>
      <c r="K591" s="55"/>
      <c r="L591" s="55"/>
      <c r="M591" s="55"/>
      <c r="N591" s="43"/>
      <c r="O591" s="43"/>
      <c r="P591" s="55"/>
      <c r="Q591" s="55"/>
      <c r="R591" s="55"/>
      <c r="S591" s="55"/>
    </row>
    <row r="592" spans="9:19" ht="12.5">
      <c r="I592" s="55"/>
      <c r="J592" s="55"/>
      <c r="K592" s="55"/>
      <c r="L592" s="55"/>
      <c r="M592" s="55"/>
      <c r="N592" s="43"/>
      <c r="O592" s="43"/>
      <c r="P592" s="55"/>
      <c r="Q592" s="55"/>
      <c r="R592" s="55"/>
      <c r="S592" s="55"/>
    </row>
    <row r="593" spans="9:19" ht="12.5">
      <c r="I593" s="55"/>
      <c r="J593" s="55"/>
      <c r="K593" s="55"/>
      <c r="L593" s="55"/>
      <c r="M593" s="55"/>
      <c r="N593" s="43"/>
      <c r="O593" s="43"/>
      <c r="P593" s="55"/>
      <c r="Q593" s="55"/>
      <c r="R593" s="55"/>
      <c r="S593" s="55"/>
    </row>
    <row r="594" spans="9:19" ht="12.5">
      <c r="I594" s="55"/>
      <c r="J594" s="55"/>
      <c r="K594" s="55"/>
      <c r="L594" s="55"/>
      <c r="M594" s="55"/>
      <c r="N594" s="43"/>
      <c r="O594" s="43"/>
      <c r="P594" s="55"/>
      <c r="Q594" s="55"/>
      <c r="R594" s="55"/>
      <c r="S594" s="55"/>
    </row>
    <row r="595" spans="9:19" ht="12.5">
      <c r="I595" s="55"/>
      <c r="J595" s="55"/>
      <c r="K595" s="55"/>
      <c r="L595" s="55"/>
      <c r="M595" s="55"/>
      <c r="N595" s="43"/>
      <c r="O595" s="43"/>
      <c r="P595" s="55"/>
      <c r="Q595" s="55"/>
      <c r="R595" s="55"/>
      <c r="S595" s="55"/>
    </row>
    <row r="596" spans="9:19" ht="12.5">
      <c r="I596" s="55"/>
      <c r="J596" s="55"/>
      <c r="K596" s="55"/>
      <c r="L596" s="55"/>
      <c r="M596" s="55"/>
      <c r="N596" s="43"/>
      <c r="O596" s="43"/>
      <c r="P596" s="55"/>
      <c r="Q596" s="55"/>
      <c r="R596" s="55"/>
      <c r="S596" s="55"/>
    </row>
    <row r="597" spans="9:19" ht="12.5">
      <c r="I597" s="55"/>
      <c r="J597" s="55"/>
      <c r="K597" s="55"/>
      <c r="L597" s="55"/>
      <c r="M597" s="55"/>
      <c r="N597" s="43"/>
      <c r="O597" s="43"/>
      <c r="P597" s="55"/>
      <c r="Q597" s="55"/>
      <c r="R597" s="55"/>
      <c r="S597" s="55"/>
    </row>
    <row r="598" spans="9:19" ht="12.5">
      <c r="I598" s="55"/>
      <c r="J598" s="55"/>
      <c r="K598" s="55"/>
      <c r="L598" s="55"/>
      <c r="M598" s="55"/>
      <c r="N598" s="43"/>
      <c r="O598" s="43"/>
      <c r="P598" s="55"/>
      <c r="Q598" s="55"/>
      <c r="R598" s="55"/>
      <c r="S598" s="55"/>
    </row>
    <row r="599" spans="9:19" ht="12.5">
      <c r="I599" s="55"/>
      <c r="J599" s="55"/>
      <c r="K599" s="55"/>
      <c r="L599" s="55"/>
      <c r="M599" s="55"/>
      <c r="N599" s="43"/>
      <c r="O599" s="43"/>
      <c r="P599" s="55"/>
      <c r="Q599" s="55"/>
      <c r="R599" s="55"/>
      <c r="S599" s="55"/>
    </row>
    <row r="600" spans="9:19" ht="12.5">
      <c r="I600" s="55"/>
      <c r="J600" s="55"/>
      <c r="K600" s="55"/>
      <c r="L600" s="55"/>
      <c r="M600" s="55"/>
      <c r="N600" s="43"/>
      <c r="O600" s="43"/>
      <c r="P600" s="55"/>
      <c r="Q600" s="55"/>
      <c r="R600" s="55"/>
      <c r="S600" s="55"/>
    </row>
    <row r="601" spans="9:19" ht="12.5">
      <c r="I601" s="55"/>
      <c r="J601" s="55"/>
      <c r="K601" s="55"/>
      <c r="L601" s="55"/>
      <c r="M601" s="55"/>
      <c r="N601" s="43"/>
      <c r="O601" s="43"/>
      <c r="P601" s="55"/>
      <c r="Q601" s="55"/>
      <c r="R601" s="55"/>
      <c r="S601" s="55"/>
    </row>
    <row r="602" spans="9:19" ht="12.5">
      <c r="I602" s="55"/>
      <c r="J602" s="55"/>
      <c r="K602" s="55"/>
      <c r="L602" s="55"/>
      <c r="M602" s="55"/>
      <c r="N602" s="43"/>
      <c r="O602" s="43"/>
      <c r="P602" s="55"/>
      <c r="Q602" s="55"/>
      <c r="R602" s="55"/>
      <c r="S602" s="55"/>
    </row>
    <row r="603" spans="9:19" ht="12.5">
      <c r="I603" s="55"/>
      <c r="J603" s="55"/>
      <c r="K603" s="55"/>
      <c r="L603" s="55"/>
      <c r="M603" s="55"/>
      <c r="N603" s="43"/>
      <c r="O603" s="43"/>
      <c r="P603" s="55"/>
      <c r="Q603" s="55"/>
      <c r="R603" s="55"/>
      <c r="S603" s="55"/>
    </row>
    <row r="604" spans="9:19" ht="12.5">
      <c r="I604" s="55"/>
      <c r="J604" s="55"/>
      <c r="K604" s="55"/>
      <c r="L604" s="55"/>
      <c r="M604" s="55"/>
      <c r="N604" s="43"/>
      <c r="O604" s="43"/>
      <c r="P604" s="55"/>
      <c r="Q604" s="55"/>
      <c r="R604" s="55"/>
      <c r="S604" s="55"/>
    </row>
    <row r="605" spans="9:19" ht="12.5">
      <c r="I605" s="55"/>
      <c r="J605" s="55"/>
      <c r="K605" s="55"/>
      <c r="L605" s="55"/>
      <c r="M605" s="55"/>
      <c r="N605" s="43"/>
      <c r="O605" s="43"/>
      <c r="P605" s="55"/>
      <c r="Q605" s="55"/>
      <c r="R605" s="55"/>
      <c r="S605" s="55"/>
    </row>
    <row r="606" spans="9:19" ht="12.5">
      <c r="I606" s="55"/>
      <c r="J606" s="55"/>
      <c r="K606" s="55"/>
      <c r="L606" s="55"/>
      <c r="M606" s="55"/>
      <c r="N606" s="43"/>
      <c r="O606" s="43"/>
      <c r="P606" s="55"/>
      <c r="Q606" s="55"/>
      <c r="R606" s="55"/>
      <c r="S606" s="55"/>
    </row>
    <row r="607" spans="9:19" ht="12.5">
      <c r="I607" s="55"/>
      <c r="J607" s="55"/>
      <c r="K607" s="55"/>
      <c r="L607" s="55"/>
      <c r="M607" s="55"/>
      <c r="N607" s="43"/>
      <c r="O607" s="43"/>
      <c r="P607" s="55"/>
      <c r="Q607" s="55"/>
      <c r="R607" s="55"/>
      <c r="S607" s="55"/>
    </row>
    <row r="608" spans="9:19" ht="12.5">
      <c r="I608" s="55"/>
      <c r="J608" s="55"/>
      <c r="K608" s="55"/>
      <c r="L608" s="55"/>
      <c r="M608" s="55"/>
      <c r="N608" s="43"/>
      <c r="O608" s="43"/>
      <c r="P608" s="55"/>
      <c r="Q608" s="55"/>
      <c r="R608" s="55"/>
      <c r="S608" s="55"/>
    </row>
    <row r="609" spans="9:19" ht="12.5">
      <c r="I609" s="55"/>
      <c r="J609" s="55"/>
      <c r="K609" s="55"/>
      <c r="L609" s="55"/>
      <c r="M609" s="55"/>
      <c r="N609" s="43"/>
      <c r="O609" s="43"/>
      <c r="P609" s="55"/>
      <c r="Q609" s="55"/>
      <c r="R609" s="55"/>
      <c r="S609" s="55"/>
    </row>
    <row r="610" spans="9:19" ht="12.5">
      <c r="I610" s="55"/>
      <c r="J610" s="55"/>
      <c r="K610" s="55"/>
      <c r="L610" s="55"/>
      <c r="M610" s="55"/>
      <c r="N610" s="43"/>
      <c r="O610" s="43"/>
      <c r="P610" s="55"/>
      <c r="Q610" s="55"/>
      <c r="R610" s="55"/>
      <c r="S610" s="55"/>
    </row>
    <row r="611" spans="9:19" ht="12.5">
      <c r="I611" s="55"/>
      <c r="J611" s="55"/>
      <c r="K611" s="55"/>
      <c r="L611" s="55"/>
      <c r="M611" s="55"/>
      <c r="N611" s="43"/>
      <c r="O611" s="43"/>
      <c r="P611" s="55"/>
      <c r="Q611" s="55"/>
      <c r="R611" s="55"/>
      <c r="S611" s="55"/>
    </row>
    <row r="612" spans="9:19" ht="12.5">
      <c r="I612" s="55"/>
      <c r="J612" s="55"/>
      <c r="K612" s="55"/>
      <c r="L612" s="55"/>
      <c r="M612" s="55"/>
      <c r="N612" s="43"/>
      <c r="O612" s="43"/>
      <c r="P612" s="55"/>
      <c r="Q612" s="55"/>
      <c r="R612" s="55"/>
      <c r="S612" s="55"/>
    </row>
    <row r="613" spans="9:19" ht="12.5">
      <c r="I613" s="55"/>
      <c r="J613" s="55"/>
      <c r="K613" s="55"/>
      <c r="L613" s="55"/>
      <c r="M613" s="55"/>
      <c r="N613" s="43"/>
      <c r="O613" s="43"/>
      <c r="P613" s="55"/>
      <c r="Q613" s="55"/>
      <c r="R613" s="55"/>
      <c r="S613" s="55"/>
    </row>
    <row r="614" spans="9:19" ht="12.5">
      <c r="I614" s="55"/>
      <c r="J614" s="55"/>
      <c r="K614" s="55"/>
      <c r="L614" s="55"/>
      <c r="M614" s="55"/>
      <c r="N614" s="43"/>
      <c r="O614" s="43"/>
      <c r="P614" s="55"/>
      <c r="Q614" s="55"/>
      <c r="R614" s="55"/>
      <c r="S614" s="55"/>
    </row>
    <row r="615" spans="9:19" ht="12.5">
      <c r="I615" s="55"/>
      <c r="J615" s="55"/>
      <c r="K615" s="55"/>
      <c r="L615" s="55"/>
      <c r="M615" s="55"/>
      <c r="N615" s="43"/>
      <c r="O615" s="43"/>
      <c r="P615" s="55"/>
      <c r="Q615" s="55"/>
      <c r="R615" s="55"/>
      <c r="S615" s="55"/>
    </row>
    <row r="616" spans="9:19" ht="12.5">
      <c r="I616" s="55"/>
      <c r="J616" s="55"/>
      <c r="K616" s="55"/>
      <c r="L616" s="55"/>
      <c r="M616" s="55"/>
      <c r="N616" s="43"/>
      <c r="O616" s="43"/>
      <c r="P616" s="55"/>
      <c r="Q616" s="55"/>
      <c r="R616" s="55"/>
      <c r="S616" s="55"/>
    </row>
    <row r="617" spans="9:19" ht="12.5">
      <c r="I617" s="55"/>
      <c r="J617" s="55"/>
      <c r="K617" s="55"/>
      <c r="L617" s="55"/>
      <c r="M617" s="55"/>
      <c r="N617" s="43"/>
      <c r="O617" s="43"/>
      <c r="P617" s="55"/>
      <c r="Q617" s="55"/>
      <c r="R617" s="55"/>
      <c r="S617" s="55"/>
    </row>
    <row r="618" spans="9:19" ht="12.5">
      <c r="I618" s="55"/>
      <c r="J618" s="55"/>
      <c r="K618" s="55"/>
      <c r="L618" s="55"/>
      <c r="M618" s="55"/>
      <c r="N618" s="43"/>
      <c r="O618" s="43"/>
      <c r="P618" s="55"/>
      <c r="Q618" s="55"/>
      <c r="R618" s="55"/>
      <c r="S618" s="55"/>
    </row>
    <row r="619" spans="9:19" ht="12.5">
      <c r="I619" s="55"/>
      <c r="J619" s="55"/>
      <c r="K619" s="55"/>
      <c r="L619" s="55"/>
      <c r="M619" s="55"/>
      <c r="N619" s="43"/>
      <c r="O619" s="43"/>
      <c r="P619" s="55"/>
      <c r="Q619" s="55"/>
      <c r="R619" s="55"/>
      <c r="S619" s="55"/>
    </row>
    <row r="620" spans="9:19" ht="12.5">
      <c r="I620" s="55"/>
      <c r="J620" s="55"/>
      <c r="K620" s="55"/>
      <c r="L620" s="55"/>
      <c r="M620" s="55"/>
      <c r="N620" s="43"/>
      <c r="O620" s="43"/>
      <c r="P620" s="55"/>
      <c r="Q620" s="55"/>
      <c r="R620" s="55"/>
      <c r="S620" s="55"/>
    </row>
    <row r="621" spans="9:19" ht="12.5">
      <c r="I621" s="55"/>
      <c r="J621" s="55"/>
      <c r="K621" s="55"/>
      <c r="L621" s="55"/>
      <c r="M621" s="55"/>
      <c r="N621" s="43"/>
      <c r="O621" s="43"/>
      <c r="P621" s="55"/>
      <c r="Q621" s="55"/>
      <c r="R621" s="55"/>
      <c r="S621" s="55"/>
    </row>
    <row r="622" spans="9:19" ht="12.5">
      <c r="I622" s="55"/>
      <c r="J622" s="55"/>
      <c r="K622" s="55"/>
      <c r="L622" s="55"/>
      <c r="M622" s="55"/>
      <c r="N622" s="43"/>
      <c r="O622" s="43"/>
      <c r="P622" s="55"/>
      <c r="Q622" s="55"/>
      <c r="R622" s="55"/>
      <c r="S622" s="55"/>
    </row>
    <row r="623" spans="9:19" ht="12.5">
      <c r="I623" s="55"/>
      <c r="J623" s="55"/>
      <c r="K623" s="55"/>
      <c r="L623" s="55"/>
      <c r="M623" s="55"/>
      <c r="N623" s="43"/>
      <c r="O623" s="43"/>
      <c r="P623" s="55"/>
      <c r="Q623" s="55"/>
      <c r="R623" s="55"/>
      <c r="S623" s="55"/>
    </row>
    <row r="624" spans="9:19" ht="12.5">
      <c r="I624" s="55"/>
      <c r="J624" s="55"/>
      <c r="K624" s="55"/>
      <c r="L624" s="55"/>
      <c r="M624" s="55"/>
      <c r="N624" s="43"/>
      <c r="O624" s="43"/>
      <c r="P624" s="55"/>
      <c r="Q624" s="55"/>
      <c r="R624" s="55"/>
      <c r="S624" s="55"/>
    </row>
    <row r="625" spans="9:19" ht="12.5">
      <c r="I625" s="55"/>
      <c r="J625" s="55"/>
      <c r="K625" s="55"/>
      <c r="L625" s="55"/>
      <c r="M625" s="55"/>
      <c r="N625" s="43"/>
      <c r="O625" s="43"/>
      <c r="P625" s="55"/>
      <c r="Q625" s="55"/>
      <c r="R625" s="55"/>
      <c r="S625" s="55"/>
    </row>
    <row r="626" spans="9:19" ht="12.5">
      <c r="I626" s="55"/>
      <c r="J626" s="55"/>
      <c r="K626" s="55"/>
      <c r="L626" s="55"/>
      <c r="M626" s="55"/>
      <c r="N626" s="43"/>
      <c r="O626" s="43"/>
      <c r="P626" s="55"/>
      <c r="Q626" s="55"/>
      <c r="R626" s="55"/>
      <c r="S626" s="55"/>
    </row>
    <row r="627" spans="9:19" ht="12.5">
      <c r="I627" s="55"/>
      <c r="J627" s="55"/>
      <c r="K627" s="55"/>
      <c r="L627" s="55"/>
      <c r="M627" s="55"/>
      <c r="N627" s="43"/>
      <c r="O627" s="43"/>
      <c r="P627" s="55"/>
      <c r="Q627" s="55"/>
      <c r="R627" s="55"/>
      <c r="S627" s="55"/>
    </row>
    <row r="628" spans="9:19" ht="12.5">
      <c r="I628" s="55"/>
      <c r="J628" s="55"/>
      <c r="K628" s="55"/>
      <c r="L628" s="55"/>
      <c r="M628" s="55"/>
      <c r="N628" s="43"/>
      <c r="O628" s="43"/>
      <c r="P628" s="55"/>
      <c r="Q628" s="55"/>
      <c r="R628" s="55"/>
      <c r="S628" s="55"/>
    </row>
    <row r="629" spans="9:19" ht="12.5">
      <c r="I629" s="55"/>
      <c r="J629" s="55"/>
      <c r="K629" s="55"/>
      <c r="L629" s="55"/>
      <c r="M629" s="55"/>
      <c r="N629" s="43"/>
      <c r="O629" s="43"/>
      <c r="P629" s="55"/>
      <c r="Q629" s="55"/>
      <c r="R629" s="55"/>
      <c r="S629" s="55"/>
    </row>
    <row r="630" spans="9:19" ht="12.5">
      <c r="I630" s="55"/>
      <c r="J630" s="55"/>
      <c r="K630" s="55"/>
      <c r="L630" s="55"/>
      <c r="M630" s="55"/>
      <c r="N630" s="43"/>
      <c r="O630" s="43"/>
      <c r="P630" s="55"/>
      <c r="Q630" s="55"/>
      <c r="R630" s="55"/>
      <c r="S630" s="55"/>
    </row>
    <row r="631" spans="9:19" ht="12.5">
      <c r="I631" s="55"/>
      <c r="J631" s="55"/>
      <c r="K631" s="55"/>
      <c r="L631" s="55"/>
      <c r="M631" s="55"/>
      <c r="N631" s="43"/>
      <c r="O631" s="43"/>
      <c r="P631" s="55"/>
      <c r="Q631" s="55"/>
      <c r="R631" s="55"/>
      <c r="S631" s="55"/>
    </row>
    <row r="632" spans="9:19" ht="12.5">
      <c r="I632" s="55"/>
      <c r="J632" s="55"/>
      <c r="K632" s="55"/>
      <c r="L632" s="55"/>
      <c r="M632" s="55"/>
      <c r="N632" s="43"/>
      <c r="O632" s="43"/>
      <c r="P632" s="55"/>
      <c r="Q632" s="55"/>
      <c r="R632" s="55"/>
      <c r="S632" s="55"/>
    </row>
    <row r="633" spans="9:19" ht="12.5">
      <c r="I633" s="55"/>
      <c r="J633" s="55"/>
      <c r="K633" s="55"/>
      <c r="L633" s="55"/>
      <c r="M633" s="55"/>
      <c r="N633" s="43"/>
      <c r="O633" s="43"/>
      <c r="P633" s="55"/>
      <c r="Q633" s="55"/>
      <c r="R633" s="55"/>
      <c r="S633" s="55"/>
    </row>
    <row r="634" spans="9:19" ht="12.5">
      <c r="I634" s="55"/>
      <c r="J634" s="55"/>
      <c r="K634" s="55"/>
      <c r="L634" s="55"/>
      <c r="M634" s="55"/>
      <c r="N634" s="43"/>
      <c r="O634" s="43"/>
      <c r="P634" s="55"/>
      <c r="Q634" s="55"/>
      <c r="R634" s="55"/>
      <c r="S634" s="55"/>
    </row>
    <row r="635" spans="9:19" ht="12.5">
      <c r="I635" s="55"/>
      <c r="J635" s="55"/>
      <c r="K635" s="55"/>
      <c r="L635" s="55"/>
      <c r="M635" s="55"/>
      <c r="N635" s="43"/>
      <c r="O635" s="43"/>
      <c r="P635" s="55"/>
      <c r="Q635" s="55"/>
      <c r="R635" s="55"/>
      <c r="S635" s="55"/>
    </row>
    <row r="636" spans="9:19" ht="12.5">
      <c r="I636" s="55"/>
      <c r="J636" s="55"/>
      <c r="K636" s="55"/>
      <c r="L636" s="55"/>
      <c r="M636" s="55"/>
      <c r="N636" s="43"/>
      <c r="O636" s="43"/>
      <c r="P636" s="55"/>
      <c r="Q636" s="55"/>
      <c r="R636" s="55"/>
      <c r="S636" s="55"/>
    </row>
    <row r="637" spans="9:19" ht="12.5">
      <c r="I637" s="55"/>
      <c r="J637" s="55"/>
      <c r="K637" s="55"/>
      <c r="L637" s="55"/>
      <c r="M637" s="55"/>
      <c r="N637" s="43"/>
      <c r="O637" s="43"/>
      <c r="P637" s="55"/>
      <c r="Q637" s="55"/>
      <c r="R637" s="55"/>
      <c r="S637" s="55"/>
    </row>
    <row r="638" spans="9:19" ht="12.5">
      <c r="I638" s="55"/>
      <c r="J638" s="55"/>
      <c r="K638" s="55"/>
      <c r="L638" s="55"/>
      <c r="M638" s="55"/>
      <c r="N638" s="43"/>
      <c r="O638" s="43"/>
      <c r="P638" s="55"/>
      <c r="Q638" s="55"/>
      <c r="R638" s="55"/>
      <c r="S638" s="55"/>
    </row>
    <row r="639" spans="9:19" ht="12.5">
      <c r="I639" s="55"/>
      <c r="J639" s="55"/>
      <c r="K639" s="55"/>
      <c r="L639" s="55"/>
      <c r="M639" s="55"/>
      <c r="N639" s="43"/>
      <c r="O639" s="43"/>
      <c r="P639" s="55"/>
      <c r="Q639" s="55"/>
      <c r="R639" s="55"/>
      <c r="S639" s="55"/>
    </row>
    <row r="640" spans="9:19" ht="12.5">
      <c r="I640" s="55"/>
      <c r="J640" s="55"/>
      <c r="K640" s="55"/>
      <c r="L640" s="55"/>
      <c r="M640" s="55"/>
      <c r="N640" s="43"/>
      <c r="O640" s="43"/>
      <c r="P640" s="55"/>
      <c r="Q640" s="55"/>
      <c r="R640" s="55"/>
      <c r="S640" s="55"/>
    </row>
    <row r="641" spans="9:19" ht="12.5">
      <c r="I641" s="55"/>
      <c r="J641" s="55"/>
      <c r="K641" s="55"/>
      <c r="L641" s="55"/>
      <c r="M641" s="55"/>
      <c r="N641" s="43"/>
      <c r="O641" s="43"/>
      <c r="P641" s="55"/>
      <c r="Q641" s="55"/>
      <c r="R641" s="55"/>
      <c r="S641" s="55"/>
    </row>
    <row r="642" spans="9:19" ht="12.5">
      <c r="I642" s="55"/>
      <c r="J642" s="55"/>
      <c r="K642" s="55"/>
      <c r="L642" s="55"/>
      <c r="M642" s="55"/>
      <c r="N642" s="43"/>
      <c r="O642" s="43"/>
      <c r="P642" s="55"/>
      <c r="Q642" s="55"/>
      <c r="R642" s="55"/>
      <c r="S642" s="55"/>
    </row>
    <row r="643" spans="9:19" ht="12.5">
      <c r="I643" s="55"/>
      <c r="J643" s="55"/>
      <c r="K643" s="55"/>
      <c r="L643" s="55"/>
      <c r="M643" s="55"/>
      <c r="N643" s="43"/>
      <c r="O643" s="43"/>
      <c r="P643" s="55"/>
      <c r="Q643" s="55"/>
      <c r="R643" s="55"/>
      <c r="S643" s="55"/>
    </row>
    <row r="644" spans="9:19" ht="12.5">
      <c r="I644" s="55"/>
      <c r="J644" s="55"/>
      <c r="K644" s="55"/>
      <c r="L644" s="55"/>
      <c r="M644" s="55"/>
      <c r="N644" s="43"/>
      <c r="O644" s="43"/>
      <c r="P644" s="55"/>
      <c r="Q644" s="55"/>
      <c r="R644" s="55"/>
      <c r="S644" s="55"/>
    </row>
    <row r="645" spans="9:19" ht="12.5">
      <c r="I645" s="55"/>
      <c r="J645" s="55"/>
      <c r="K645" s="55"/>
      <c r="L645" s="55"/>
      <c r="M645" s="55"/>
      <c r="N645" s="43"/>
      <c r="O645" s="43"/>
      <c r="P645" s="55"/>
      <c r="Q645" s="55"/>
      <c r="R645" s="55"/>
      <c r="S645" s="55"/>
    </row>
    <row r="646" spans="9:19" ht="12.5">
      <c r="I646" s="55"/>
      <c r="J646" s="55"/>
      <c r="K646" s="55"/>
      <c r="L646" s="55"/>
      <c r="M646" s="55"/>
      <c r="N646" s="43"/>
      <c r="O646" s="43"/>
      <c r="P646" s="55"/>
      <c r="Q646" s="55"/>
      <c r="R646" s="55"/>
      <c r="S646" s="55"/>
    </row>
    <row r="647" spans="9:19" ht="12.5">
      <c r="I647" s="55"/>
      <c r="J647" s="55"/>
      <c r="K647" s="55"/>
      <c r="L647" s="55"/>
      <c r="M647" s="55"/>
      <c r="N647" s="43"/>
      <c r="O647" s="43"/>
      <c r="P647" s="55"/>
      <c r="Q647" s="55"/>
      <c r="R647" s="55"/>
      <c r="S647" s="55"/>
    </row>
    <row r="648" spans="9:19" ht="12.5">
      <c r="I648" s="55"/>
      <c r="J648" s="55"/>
      <c r="K648" s="55"/>
      <c r="L648" s="55"/>
      <c r="M648" s="55"/>
      <c r="N648" s="43"/>
      <c r="O648" s="43"/>
      <c r="P648" s="55"/>
      <c r="Q648" s="55"/>
      <c r="R648" s="55"/>
      <c r="S648" s="55"/>
    </row>
    <row r="649" spans="9:19" ht="12.5">
      <c r="I649" s="55"/>
      <c r="J649" s="55"/>
      <c r="K649" s="55"/>
      <c r="L649" s="55"/>
      <c r="M649" s="55"/>
      <c r="N649" s="43"/>
      <c r="O649" s="43"/>
      <c r="P649" s="55"/>
      <c r="Q649" s="55"/>
      <c r="R649" s="55"/>
      <c r="S649" s="55"/>
    </row>
    <row r="650" spans="9:19" ht="12.5">
      <c r="I650" s="55"/>
      <c r="J650" s="55"/>
      <c r="K650" s="55"/>
      <c r="L650" s="55"/>
      <c r="M650" s="55"/>
      <c r="N650" s="43"/>
      <c r="O650" s="43"/>
      <c r="P650" s="55"/>
      <c r="Q650" s="55"/>
      <c r="R650" s="55"/>
      <c r="S650" s="55"/>
    </row>
    <row r="651" spans="9:19" ht="12.5">
      <c r="I651" s="55"/>
      <c r="J651" s="55"/>
      <c r="K651" s="55"/>
      <c r="L651" s="55"/>
      <c r="M651" s="55"/>
      <c r="N651" s="43"/>
      <c r="O651" s="43"/>
      <c r="P651" s="55"/>
      <c r="Q651" s="55"/>
      <c r="R651" s="55"/>
      <c r="S651" s="55"/>
    </row>
    <row r="652" spans="9:19" ht="12.5">
      <c r="I652" s="55"/>
      <c r="J652" s="55"/>
      <c r="K652" s="55"/>
      <c r="L652" s="55"/>
      <c r="M652" s="55"/>
      <c r="N652" s="43"/>
      <c r="O652" s="43"/>
      <c r="P652" s="55"/>
      <c r="Q652" s="55"/>
      <c r="R652" s="55"/>
      <c r="S652" s="55"/>
    </row>
    <row r="653" spans="9:19" ht="12.5">
      <c r="I653" s="55"/>
      <c r="J653" s="55"/>
      <c r="K653" s="55"/>
      <c r="L653" s="55"/>
      <c r="M653" s="55"/>
      <c r="N653" s="43"/>
      <c r="O653" s="43"/>
      <c r="P653" s="55"/>
      <c r="Q653" s="55"/>
      <c r="R653" s="55"/>
      <c r="S653" s="55"/>
    </row>
    <row r="654" spans="9:19" ht="12.5">
      <c r="I654" s="55"/>
      <c r="J654" s="55"/>
      <c r="K654" s="55"/>
      <c r="L654" s="55"/>
      <c r="M654" s="55"/>
      <c r="N654" s="43"/>
      <c r="O654" s="43"/>
      <c r="P654" s="55"/>
      <c r="Q654" s="55"/>
      <c r="R654" s="55"/>
      <c r="S654" s="55"/>
    </row>
    <row r="655" spans="9:19" ht="12.5">
      <c r="I655" s="55"/>
      <c r="J655" s="55"/>
      <c r="K655" s="55"/>
      <c r="L655" s="55"/>
      <c r="M655" s="55"/>
      <c r="N655" s="43"/>
      <c r="O655" s="43"/>
      <c r="P655" s="55"/>
      <c r="Q655" s="55"/>
      <c r="R655" s="55"/>
      <c r="S655" s="55"/>
    </row>
    <row r="656" spans="9:19" ht="12.5">
      <c r="I656" s="55"/>
      <c r="J656" s="55"/>
      <c r="K656" s="55"/>
      <c r="L656" s="55"/>
      <c r="M656" s="55"/>
      <c r="N656" s="43"/>
      <c r="O656" s="43"/>
      <c r="P656" s="55"/>
      <c r="Q656" s="55"/>
      <c r="R656" s="55"/>
      <c r="S656" s="55"/>
    </row>
    <row r="657" spans="9:19" ht="12.5">
      <c r="I657" s="55"/>
      <c r="J657" s="55"/>
      <c r="K657" s="55"/>
      <c r="L657" s="55"/>
      <c r="M657" s="55"/>
      <c r="N657" s="43"/>
      <c r="O657" s="43"/>
      <c r="P657" s="55"/>
      <c r="Q657" s="55"/>
      <c r="R657" s="55"/>
      <c r="S657" s="55"/>
    </row>
    <row r="658" spans="9:19" ht="12.5">
      <c r="I658" s="55"/>
      <c r="J658" s="55"/>
      <c r="K658" s="55"/>
      <c r="L658" s="55"/>
      <c r="M658" s="55"/>
      <c r="N658" s="43"/>
      <c r="O658" s="43"/>
      <c r="P658" s="55"/>
      <c r="Q658" s="55"/>
      <c r="R658" s="55"/>
      <c r="S658" s="55"/>
    </row>
    <row r="659" spans="9:19" ht="12.5">
      <c r="I659" s="55"/>
      <c r="J659" s="55"/>
      <c r="K659" s="55"/>
      <c r="L659" s="55"/>
      <c r="M659" s="55"/>
      <c r="N659" s="43"/>
      <c r="O659" s="43"/>
      <c r="P659" s="55"/>
      <c r="Q659" s="55"/>
      <c r="R659" s="55"/>
      <c r="S659" s="55"/>
    </row>
    <row r="660" spans="9:19" ht="12.5">
      <c r="I660" s="55"/>
      <c r="J660" s="55"/>
      <c r="K660" s="55"/>
      <c r="L660" s="55"/>
      <c r="M660" s="55"/>
      <c r="N660" s="43"/>
      <c r="O660" s="43"/>
      <c r="P660" s="55"/>
      <c r="Q660" s="55"/>
      <c r="R660" s="55"/>
      <c r="S660" s="55"/>
    </row>
    <row r="661" spans="9:19" ht="12.5">
      <c r="I661" s="55"/>
      <c r="J661" s="55"/>
      <c r="K661" s="55"/>
      <c r="L661" s="55"/>
      <c r="M661" s="55"/>
      <c r="N661" s="43"/>
      <c r="O661" s="43"/>
      <c r="P661" s="55"/>
      <c r="Q661" s="55"/>
      <c r="R661" s="55"/>
      <c r="S661" s="55"/>
    </row>
    <row r="662" spans="9:19" ht="12.5">
      <c r="I662" s="55"/>
      <c r="J662" s="55"/>
      <c r="K662" s="55"/>
      <c r="L662" s="55"/>
      <c r="M662" s="55"/>
      <c r="N662" s="43"/>
      <c r="O662" s="43"/>
      <c r="P662" s="55"/>
      <c r="Q662" s="55"/>
      <c r="R662" s="55"/>
      <c r="S662" s="55"/>
    </row>
    <row r="663" spans="9:19" ht="12.5">
      <c r="I663" s="55"/>
      <c r="J663" s="55"/>
      <c r="K663" s="55"/>
      <c r="L663" s="55"/>
      <c r="M663" s="55"/>
      <c r="N663" s="43"/>
      <c r="O663" s="43"/>
      <c r="P663" s="55"/>
      <c r="Q663" s="55"/>
      <c r="R663" s="55"/>
      <c r="S663" s="55"/>
    </row>
    <row r="664" spans="9:19" ht="12.5">
      <c r="I664" s="55"/>
      <c r="J664" s="55"/>
      <c r="K664" s="55"/>
      <c r="L664" s="55"/>
      <c r="M664" s="55"/>
      <c r="N664" s="43"/>
      <c r="O664" s="43"/>
      <c r="P664" s="55"/>
      <c r="Q664" s="55"/>
      <c r="R664" s="55"/>
      <c r="S664" s="55"/>
    </row>
    <row r="665" spans="9:19" ht="12.5">
      <c r="I665" s="55"/>
      <c r="J665" s="55"/>
      <c r="K665" s="55"/>
      <c r="L665" s="55"/>
      <c r="M665" s="55"/>
      <c r="N665" s="43"/>
      <c r="O665" s="43"/>
      <c r="P665" s="55"/>
      <c r="Q665" s="55"/>
      <c r="R665" s="55"/>
      <c r="S665" s="55"/>
    </row>
    <row r="666" spans="9:19" ht="12.5">
      <c r="I666" s="55"/>
      <c r="J666" s="55"/>
      <c r="K666" s="55"/>
      <c r="L666" s="55"/>
      <c r="M666" s="55"/>
      <c r="N666" s="43"/>
      <c r="O666" s="43"/>
      <c r="P666" s="55"/>
      <c r="Q666" s="55"/>
      <c r="R666" s="55"/>
      <c r="S666" s="55"/>
    </row>
    <row r="667" spans="9:19" ht="12.5">
      <c r="I667" s="55"/>
      <c r="J667" s="55"/>
      <c r="K667" s="55"/>
      <c r="L667" s="55"/>
      <c r="M667" s="55"/>
      <c r="N667" s="43"/>
      <c r="O667" s="43"/>
      <c r="P667" s="55"/>
      <c r="Q667" s="55"/>
      <c r="R667" s="55"/>
      <c r="S667" s="55"/>
    </row>
    <row r="668" spans="9:19" ht="12.5">
      <c r="I668" s="55"/>
      <c r="J668" s="55"/>
      <c r="K668" s="55"/>
      <c r="L668" s="55"/>
      <c r="M668" s="55"/>
      <c r="N668" s="43"/>
      <c r="O668" s="43"/>
      <c r="P668" s="55"/>
      <c r="Q668" s="55"/>
      <c r="R668" s="55"/>
      <c r="S668" s="55"/>
    </row>
    <row r="669" spans="9:19" ht="12.5">
      <c r="I669" s="55"/>
      <c r="J669" s="55"/>
      <c r="K669" s="55"/>
      <c r="L669" s="55"/>
      <c r="M669" s="55"/>
      <c r="N669" s="43"/>
      <c r="O669" s="43"/>
      <c r="P669" s="55"/>
      <c r="Q669" s="55"/>
      <c r="R669" s="55"/>
      <c r="S669" s="55"/>
    </row>
    <row r="670" spans="9:19" ht="12.5">
      <c r="I670" s="55"/>
      <c r="J670" s="55"/>
      <c r="K670" s="55"/>
      <c r="L670" s="55"/>
      <c r="M670" s="55"/>
      <c r="N670" s="43"/>
      <c r="O670" s="43"/>
      <c r="P670" s="55"/>
      <c r="Q670" s="55"/>
      <c r="R670" s="55"/>
      <c r="S670" s="55"/>
    </row>
    <row r="671" spans="9:19" ht="12.5">
      <c r="I671" s="55"/>
      <c r="J671" s="55"/>
      <c r="K671" s="55"/>
      <c r="L671" s="55"/>
      <c r="M671" s="55"/>
      <c r="N671" s="43"/>
      <c r="O671" s="43"/>
      <c r="P671" s="55"/>
      <c r="Q671" s="55"/>
      <c r="R671" s="55"/>
      <c r="S671" s="55"/>
    </row>
    <row r="672" spans="9:19" ht="12.5">
      <c r="I672" s="55"/>
      <c r="J672" s="55"/>
      <c r="K672" s="55"/>
      <c r="L672" s="55"/>
      <c r="M672" s="55"/>
      <c r="N672" s="43"/>
      <c r="O672" s="43"/>
      <c r="P672" s="55"/>
      <c r="Q672" s="55"/>
      <c r="R672" s="55"/>
      <c r="S672" s="55"/>
    </row>
    <row r="673" spans="9:19" ht="12.5">
      <c r="I673" s="55"/>
      <c r="J673" s="55"/>
      <c r="K673" s="55"/>
      <c r="L673" s="55"/>
      <c r="M673" s="55"/>
      <c r="N673" s="43"/>
      <c r="O673" s="43"/>
      <c r="P673" s="55"/>
      <c r="Q673" s="55"/>
      <c r="R673" s="55"/>
      <c r="S673" s="55"/>
    </row>
    <row r="674" spans="9:19" ht="12.5">
      <c r="I674" s="55"/>
      <c r="J674" s="55"/>
      <c r="K674" s="55"/>
      <c r="L674" s="55"/>
      <c r="M674" s="55"/>
      <c r="N674" s="43"/>
      <c r="O674" s="43"/>
      <c r="P674" s="55"/>
      <c r="Q674" s="55"/>
      <c r="R674" s="55"/>
      <c r="S674" s="55"/>
    </row>
    <row r="675" spans="9:19" ht="12.5">
      <c r="I675" s="55"/>
      <c r="J675" s="55"/>
      <c r="K675" s="55"/>
      <c r="L675" s="55"/>
      <c r="M675" s="55"/>
      <c r="N675" s="43"/>
      <c r="O675" s="43"/>
      <c r="P675" s="55"/>
      <c r="Q675" s="55"/>
      <c r="R675" s="55"/>
      <c r="S675" s="55"/>
    </row>
    <row r="676" spans="9:19" ht="12.5">
      <c r="I676" s="55"/>
      <c r="J676" s="55"/>
      <c r="K676" s="55"/>
      <c r="L676" s="55"/>
      <c r="M676" s="55"/>
      <c r="N676" s="43"/>
      <c r="O676" s="43"/>
      <c r="P676" s="55"/>
      <c r="Q676" s="55"/>
      <c r="R676" s="55"/>
      <c r="S676" s="55"/>
    </row>
    <row r="677" spans="9:19" ht="12.5">
      <c r="I677" s="55"/>
      <c r="J677" s="55"/>
      <c r="K677" s="55"/>
      <c r="L677" s="55"/>
      <c r="M677" s="55"/>
      <c r="N677" s="43"/>
      <c r="O677" s="43"/>
      <c r="P677" s="55"/>
      <c r="Q677" s="55"/>
      <c r="R677" s="55"/>
      <c r="S677" s="55"/>
    </row>
    <row r="678" spans="9:19" ht="12.5">
      <c r="I678" s="55"/>
      <c r="J678" s="55"/>
      <c r="K678" s="55"/>
      <c r="L678" s="55"/>
      <c r="M678" s="55"/>
      <c r="N678" s="43"/>
      <c r="O678" s="43"/>
      <c r="P678" s="55"/>
      <c r="Q678" s="55"/>
      <c r="R678" s="55"/>
      <c r="S678" s="55"/>
    </row>
    <row r="679" spans="9:19" ht="12.5">
      <c r="I679" s="55"/>
      <c r="J679" s="55"/>
      <c r="K679" s="55"/>
      <c r="L679" s="55"/>
      <c r="M679" s="55"/>
      <c r="N679" s="43"/>
      <c r="O679" s="43"/>
      <c r="P679" s="55"/>
      <c r="Q679" s="55"/>
      <c r="R679" s="55"/>
      <c r="S679" s="55"/>
    </row>
    <row r="680" spans="9:19" ht="12.5">
      <c r="I680" s="55"/>
      <c r="J680" s="55"/>
      <c r="K680" s="55"/>
      <c r="L680" s="55"/>
      <c r="M680" s="55"/>
      <c r="N680" s="43"/>
      <c r="O680" s="43"/>
      <c r="P680" s="55"/>
      <c r="Q680" s="55"/>
      <c r="R680" s="55"/>
      <c r="S680" s="55"/>
    </row>
    <row r="681" spans="9:19" ht="12.5">
      <c r="I681" s="55"/>
      <c r="J681" s="55"/>
      <c r="K681" s="55"/>
      <c r="L681" s="55"/>
      <c r="M681" s="55"/>
      <c r="N681" s="43"/>
      <c r="O681" s="43"/>
      <c r="P681" s="55"/>
      <c r="Q681" s="55"/>
      <c r="R681" s="55"/>
      <c r="S681" s="55"/>
    </row>
    <row r="682" spans="9:19" ht="12.5">
      <c r="I682" s="55"/>
      <c r="J682" s="55"/>
      <c r="K682" s="55"/>
      <c r="L682" s="55"/>
      <c r="M682" s="55"/>
      <c r="N682" s="43"/>
      <c r="O682" s="43"/>
      <c r="P682" s="55"/>
      <c r="Q682" s="55"/>
      <c r="R682" s="55"/>
      <c r="S682" s="55"/>
    </row>
    <row r="683" spans="9:19" ht="12.5">
      <c r="I683" s="55"/>
      <c r="J683" s="55"/>
      <c r="K683" s="55"/>
      <c r="L683" s="55"/>
      <c r="M683" s="55"/>
      <c r="N683" s="43"/>
      <c r="O683" s="43"/>
      <c r="P683" s="55"/>
      <c r="Q683" s="55"/>
      <c r="R683" s="55"/>
      <c r="S683" s="55"/>
    </row>
    <row r="684" spans="9:19" ht="12.5">
      <c r="I684" s="55"/>
      <c r="J684" s="55"/>
      <c r="K684" s="55"/>
      <c r="L684" s="55"/>
      <c r="M684" s="55"/>
      <c r="N684" s="43"/>
      <c r="O684" s="43"/>
      <c r="P684" s="55"/>
      <c r="Q684" s="55"/>
      <c r="R684" s="55"/>
      <c r="S684" s="55"/>
    </row>
    <row r="685" spans="9:19" ht="12.5">
      <c r="I685" s="55"/>
      <c r="J685" s="55"/>
      <c r="K685" s="55"/>
      <c r="L685" s="55"/>
      <c r="M685" s="55"/>
      <c r="N685" s="43"/>
      <c r="O685" s="43"/>
      <c r="P685" s="55"/>
      <c r="Q685" s="55"/>
      <c r="R685" s="55"/>
      <c r="S685" s="55"/>
    </row>
    <row r="686" spans="9:19" ht="12.5">
      <c r="I686" s="55"/>
      <c r="J686" s="55"/>
      <c r="K686" s="55"/>
      <c r="L686" s="55"/>
      <c r="M686" s="55"/>
      <c r="N686" s="43"/>
      <c r="O686" s="43"/>
      <c r="P686" s="55"/>
      <c r="Q686" s="55"/>
      <c r="R686" s="55"/>
      <c r="S686" s="55"/>
    </row>
    <row r="687" spans="9:19" ht="12.5">
      <c r="I687" s="55"/>
      <c r="J687" s="55"/>
      <c r="K687" s="55"/>
      <c r="L687" s="55"/>
      <c r="M687" s="55"/>
      <c r="N687" s="43"/>
      <c r="O687" s="43"/>
      <c r="P687" s="55"/>
      <c r="Q687" s="55"/>
      <c r="R687" s="55"/>
      <c r="S687" s="55"/>
    </row>
    <row r="688" spans="9:19" ht="12.5">
      <c r="I688" s="55"/>
      <c r="J688" s="55"/>
      <c r="K688" s="55"/>
      <c r="L688" s="55"/>
      <c r="M688" s="55"/>
      <c r="N688" s="43"/>
      <c r="O688" s="43"/>
      <c r="P688" s="55"/>
      <c r="Q688" s="55"/>
      <c r="R688" s="55"/>
      <c r="S688" s="55"/>
    </row>
    <row r="689" spans="9:19" ht="12.5">
      <c r="I689" s="55"/>
      <c r="J689" s="55"/>
      <c r="K689" s="55"/>
      <c r="L689" s="55"/>
      <c r="M689" s="55"/>
      <c r="N689" s="43"/>
      <c r="O689" s="43"/>
      <c r="P689" s="55"/>
      <c r="Q689" s="55"/>
      <c r="R689" s="55"/>
      <c r="S689" s="55"/>
    </row>
    <row r="690" spans="9:19" ht="12.5">
      <c r="I690" s="55"/>
      <c r="J690" s="55"/>
      <c r="K690" s="55"/>
      <c r="L690" s="55"/>
      <c r="M690" s="55"/>
      <c r="N690" s="43"/>
      <c r="O690" s="43"/>
      <c r="P690" s="55"/>
      <c r="Q690" s="55"/>
      <c r="R690" s="55"/>
      <c r="S690" s="55"/>
    </row>
    <row r="691" spans="9:19" ht="12.5">
      <c r="I691" s="55"/>
      <c r="J691" s="55"/>
      <c r="K691" s="55"/>
      <c r="L691" s="55"/>
      <c r="M691" s="55"/>
      <c r="N691" s="43"/>
      <c r="O691" s="43"/>
      <c r="P691" s="55"/>
      <c r="Q691" s="55"/>
      <c r="R691" s="55"/>
      <c r="S691" s="55"/>
    </row>
    <row r="692" spans="9:19" ht="12.5">
      <c r="I692" s="55"/>
      <c r="J692" s="55"/>
      <c r="K692" s="55"/>
      <c r="L692" s="55"/>
      <c r="M692" s="55"/>
      <c r="N692" s="43"/>
      <c r="O692" s="43"/>
      <c r="P692" s="55"/>
      <c r="Q692" s="55"/>
      <c r="R692" s="55"/>
      <c r="S692" s="55"/>
    </row>
    <row r="693" spans="9:19" ht="12.5">
      <c r="I693" s="55"/>
      <c r="J693" s="55"/>
      <c r="K693" s="55"/>
      <c r="L693" s="55"/>
      <c r="M693" s="55"/>
      <c r="N693" s="43"/>
      <c r="O693" s="43"/>
      <c r="P693" s="55"/>
      <c r="Q693" s="55"/>
      <c r="R693" s="55"/>
      <c r="S693" s="55"/>
    </row>
    <row r="694" spans="9:19" ht="12.5">
      <c r="I694" s="55"/>
      <c r="J694" s="55"/>
      <c r="K694" s="55"/>
      <c r="L694" s="55"/>
      <c r="M694" s="55"/>
      <c r="N694" s="43"/>
      <c r="O694" s="43"/>
      <c r="P694" s="55"/>
      <c r="Q694" s="55"/>
      <c r="R694" s="55"/>
      <c r="S694" s="55"/>
    </row>
    <row r="695" spans="9:19" ht="12.5">
      <c r="I695" s="55"/>
      <c r="J695" s="55"/>
      <c r="K695" s="55"/>
      <c r="L695" s="55"/>
      <c r="M695" s="55"/>
      <c r="N695" s="43"/>
      <c r="O695" s="43"/>
      <c r="P695" s="55"/>
      <c r="Q695" s="55"/>
      <c r="R695" s="55"/>
      <c r="S695" s="55"/>
    </row>
    <row r="696" spans="9:19" ht="12.5">
      <c r="I696" s="55"/>
      <c r="J696" s="55"/>
      <c r="K696" s="55"/>
      <c r="L696" s="55"/>
      <c r="M696" s="55"/>
      <c r="N696" s="43"/>
      <c r="O696" s="43"/>
      <c r="P696" s="55"/>
      <c r="Q696" s="55"/>
      <c r="R696" s="55"/>
      <c r="S696" s="55"/>
    </row>
    <row r="697" spans="9:19" ht="12.5">
      <c r="I697" s="55"/>
      <c r="J697" s="55"/>
      <c r="K697" s="55"/>
      <c r="L697" s="55"/>
      <c r="M697" s="55"/>
      <c r="N697" s="43"/>
      <c r="O697" s="43"/>
      <c r="P697" s="55"/>
      <c r="Q697" s="55"/>
      <c r="R697" s="55"/>
      <c r="S697" s="55"/>
    </row>
    <row r="698" spans="9:19" ht="12.5">
      <c r="I698" s="55"/>
      <c r="J698" s="55"/>
      <c r="K698" s="55"/>
      <c r="L698" s="55"/>
      <c r="M698" s="55"/>
      <c r="N698" s="43"/>
      <c r="O698" s="43"/>
      <c r="P698" s="55"/>
      <c r="Q698" s="55"/>
      <c r="R698" s="55"/>
      <c r="S698" s="55"/>
    </row>
    <row r="699" spans="9:19" ht="12.5">
      <c r="I699" s="55"/>
      <c r="J699" s="55"/>
      <c r="K699" s="55"/>
      <c r="L699" s="55"/>
      <c r="M699" s="55"/>
      <c r="N699" s="43"/>
      <c r="O699" s="43"/>
      <c r="P699" s="55"/>
      <c r="Q699" s="55"/>
      <c r="R699" s="55"/>
      <c r="S699" s="55"/>
    </row>
    <row r="700" spans="9:19" ht="12.5">
      <c r="I700" s="55"/>
      <c r="J700" s="55"/>
      <c r="K700" s="55"/>
      <c r="L700" s="55"/>
      <c r="M700" s="55"/>
      <c r="N700" s="43"/>
      <c r="O700" s="43"/>
      <c r="P700" s="55"/>
      <c r="Q700" s="55"/>
      <c r="R700" s="55"/>
      <c r="S700" s="55"/>
    </row>
    <row r="701" spans="9:19" ht="12.5">
      <c r="I701" s="55"/>
      <c r="J701" s="55"/>
      <c r="K701" s="55"/>
      <c r="L701" s="55"/>
      <c r="M701" s="55"/>
      <c r="N701" s="43"/>
      <c r="O701" s="43"/>
      <c r="P701" s="55"/>
      <c r="Q701" s="55"/>
      <c r="R701" s="55"/>
      <c r="S701" s="55"/>
    </row>
    <row r="702" spans="9:19" ht="12.5">
      <c r="I702" s="55"/>
      <c r="J702" s="55"/>
      <c r="K702" s="55"/>
      <c r="L702" s="55"/>
      <c r="M702" s="55"/>
      <c r="N702" s="43"/>
      <c r="O702" s="43"/>
      <c r="P702" s="55"/>
      <c r="Q702" s="55"/>
      <c r="R702" s="55"/>
      <c r="S702" s="55"/>
    </row>
    <row r="703" spans="9:19" ht="12.5">
      <c r="I703" s="55"/>
      <c r="J703" s="55"/>
      <c r="K703" s="55"/>
      <c r="L703" s="55"/>
      <c r="M703" s="55"/>
      <c r="N703" s="43"/>
      <c r="O703" s="43"/>
      <c r="P703" s="55"/>
      <c r="Q703" s="55"/>
      <c r="R703" s="55"/>
      <c r="S703" s="55"/>
    </row>
    <row r="704" spans="9:19" ht="12.5">
      <c r="I704" s="55"/>
      <c r="J704" s="55"/>
      <c r="K704" s="55"/>
      <c r="L704" s="55"/>
      <c r="M704" s="55"/>
      <c r="N704" s="43"/>
      <c r="O704" s="43"/>
      <c r="P704" s="55"/>
      <c r="Q704" s="55"/>
      <c r="R704" s="55"/>
      <c r="S704" s="55"/>
    </row>
    <row r="705" spans="9:19" ht="12.5">
      <c r="I705" s="55"/>
      <c r="J705" s="55"/>
      <c r="K705" s="55"/>
      <c r="L705" s="55"/>
      <c r="M705" s="55"/>
      <c r="N705" s="43"/>
      <c r="O705" s="43"/>
      <c r="P705" s="55"/>
      <c r="Q705" s="55"/>
      <c r="R705" s="55"/>
      <c r="S705" s="55"/>
    </row>
    <row r="706" spans="9:19" ht="12.5">
      <c r="I706" s="55"/>
      <c r="J706" s="55"/>
      <c r="K706" s="55"/>
      <c r="L706" s="55"/>
      <c r="M706" s="55"/>
      <c r="N706" s="43"/>
      <c r="O706" s="43"/>
      <c r="P706" s="55"/>
      <c r="Q706" s="55"/>
      <c r="R706" s="55"/>
      <c r="S706" s="55"/>
    </row>
    <row r="707" spans="9:19" ht="12.5">
      <c r="I707" s="55"/>
      <c r="J707" s="55"/>
      <c r="K707" s="55"/>
      <c r="L707" s="55"/>
      <c r="M707" s="55"/>
      <c r="N707" s="43"/>
      <c r="O707" s="43"/>
      <c r="P707" s="55"/>
      <c r="Q707" s="55"/>
      <c r="R707" s="55"/>
      <c r="S707" s="55"/>
    </row>
    <row r="708" spans="9:19" ht="12.5">
      <c r="I708" s="55"/>
      <c r="J708" s="55"/>
      <c r="K708" s="55"/>
      <c r="L708" s="55"/>
      <c r="M708" s="55"/>
      <c r="N708" s="43"/>
      <c r="O708" s="43"/>
      <c r="P708" s="55"/>
      <c r="Q708" s="55"/>
      <c r="R708" s="55"/>
      <c r="S708" s="55"/>
    </row>
    <row r="709" spans="9:19" ht="12.5">
      <c r="I709" s="55"/>
      <c r="J709" s="55"/>
      <c r="K709" s="55"/>
      <c r="L709" s="55"/>
      <c r="M709" s="55"/>
      <c r="N709" s="43"/>
      <c r="O709" s="43"/>
      <c r="P709" s="55"/>
      <c r="Q709" s="55"/>
      <c r="R709" s="55"/>
      <c r="S709" s="55"/>
    </row>
    <row r="710" spans="9:19" ht="12.5">
      <c r="I710" s="55"/>
      <c r="J710" s="55"/>
      <c r="K710" s="55"/>
      <c r="L710" s="55"/>
      <c r="M710" s="55"/>
      <c r="N710" s="43"/>
      <c r="O710" s="43"/>
      <c r="P710" s="55"/>
      <c r="Q710" s="55"/>
      <c r="R710" s="55"/>
      <c r="S710" s="55"/>
    </row>
    <row r="711" spans="9:19" ht="12.5">
      <c r="I711" s="55"/>
      <c r="J711" s="55"/>
      <c r="K711" s="55"/>
      <c r="L711" s="55"/>
      <c r="M711" s="55"/>
      <c r="N711" s="43"/>
      <c r="O711" s="43"/>
      <c r="P711" s="55"/>
      <c r="Q711" s="55"/>
      <c r="R711" s="55"/>
      <c r="S711" s="55"/>
    </row>
    <row r="712" spans="9:19" ht="12.5">
      <c r="I712" s="55"/>
      <c r="J712" s="55"/>
      <c r="K712" s="55"/>
      <c r="L712" s="55"/>
      <c r="M712" s="55"/>
      <c r="N712" s="43"/>
      <c r="O712" s="43"/>
      <c r="P712" s="55"/>
      <c r="Q712" s="55"/>
      <c r="R712" s="55"/>
      <c r="S712" s="55"/>
    </row>
    <row r="713" spans="9:19" ht="12.5">
      <c r="I713" s="55"/>
      <c r="J713" s="55"/>
      <c r="K713" s="55"/>
      <c r="L713" s="55"/>
      <c r="M713" s="55"/>
      <c r="N713" s="43"/>
      <c r="O713" s="43"/>
      <c r="P713" s="55"/>
      <c r="Q713" s="55"/>
      <c r="R713" s="55"/>
      <c r="S713" s="55"/>
    </row>
    <row r="714" spans="9:19" ht="12.5">
      <c r="I714" s="55"/>
      <c r="J714" s="55"/>
      <c r="K714" s="55"/>
      <c r="L714" s="55"/>
      <c r="M714" s="55"/>
      <c r="N714" s="43"/>
      <c r="O714" s="43"/>
      <c r="P714" s="55"/>
      <c r="Q714" s="55"/>
      <c r="R714" s="55"/>
      <c r="S714" s="55"/>
    </row>
    <row r="715" spans="9:19" ht="12.5">
      <c r="I715" s="55"/>
      <c r="J715" s="55"/>
      <c r="K715" s="55"/>
      <c r="L715" s="55"/>
      <c r="M715" s="55"/>
      <c r="N715" s="43"/>
      <c r="O715" s="43"/>
      <c r="P715" s="55"/>
      <c r="Q715" s="55"/>
      <c r="R715" s="55"/>
      <c r="S715" s="55"/>
    </row>
    <row r="716" spans="9:19" ht="12.5">
      <c r="I716" s="55"/>
      <c r="J716" s="55"/>
      <c r="K716" s="55"/>
      <c r="L716" s="55"/>
      <c r="M716" s="55"/>
      <c r="N716" s="43"/>
      <c r="O716" s="43"/>
      <c r="P716" s="55"/>
      <c r="Q716" s="55"/>
      <c r="R716" s="55"/>
      <c r="S716" s="55"/>
    </row>
    <row r="717" spans="9:19" ht="12.5">
      <c r="I717" s="55"/>
      <c r="J717" s="55"/>
      <c r="K717" s="55"/>
      <c r="L717" s="55"/>
      <c r="M717" s="55"/>
      <c r="N717" s="43"/>
      <c r="O717" s="43"/>
      <c r="P717" s="55"/>
      <c r="Q717" s="55"/>
      <c r="R717" s="55"/>
      <c r="S717" s="55"/>
    </row>
    <row r="718" spans="9:19" ht="12.5">
      <c r="I718" s="55"/>
      <c r="J718" s="55"/>
      <c r="K718" s="55"/>
      <c r="L718" s="55"/>
      <c r="M718" s="55"/>
      <c r="N718" s="43"/>
      <c r="O718" s="43"/>
      <c r="P718" s="55"/>
      <c r="Q718" s="55"/>
      <c r="R718" s="55"/>
      <c r="S718" s="55"/>
    </row>
    <row r="719" spans="9:19" ht="12.5">
      <c r="I719" s="55"/>
      <c r="J719" s="55"/>
      <c r="K719" s="55"/>
      <c r="L719" s="55"/>
      <c r="M719" s="55"/>
      <c r="N719" s="43"/>
      <c r="O719" s="43"/>
      <c r="P719" s="55"/>
      <c r="Q719" s="55"/>
      <c r="R719" s="55"/>
      <c r="S719" s="55"/>
    </row>
    <row r="720" spans="9:19" ht="12.5">
      <c r="I720" s="55"/>
      <c r="J720" s="55"/>
      <c r="K720" s="55"/>
      <c r="L720" s="55"/>
      <c r="M720" s="55"/>
      <c r="N720" s="43"/>
      <c r="O720" s="43"/>
      <c r="P720" s="55"/>
      <c r="Q720" s="55"/>
      <c r="R720" s="55"/>
      <c r="S720" s="55"/>
    </row>
    <row r="721" spans="9:19" ht="12.5">
      <c r="I721" s="55"/>
      <c r="J721" s="55"/>
      <c r="K721" s="55"/>
      <c r="L721" s="55"/>
      <c r="M721" s="55"/>
      <c r="N721" s="43"/>
      <c r="O721" s="43"/>
      <c r="P721" s="55"/>
      <c r="Q721" s="55"/>
      <c r="R721" s="55"/>
      <c r="S721" s="55"/>
    </row>
    <row r="722" spans="9:19" ht="12.5">
      <c r="I722" s="55"/>
      <c r="J722" s="55"/>
      <c r="K722" s="55"/>
      <c r="L722" s="55"/>
      <c r="M722" s="55"/>
      <c r="N722" s="43"/>
      <c r="O722" s="43"/>
      <c r="P722" s="55"/>
      <c r="Q722" s="55"/>
      <c r="R722" s="55"/>
      <c r="S722" s="55"/>
    </row>
    <row r="723" spans="9:19" ht="12.5">
      <c r="I723" s="55"/>
      <c r="J723" s="55"/>
      <c r="K723" s="55"/>
      <c r="L723" s="55"/>
      <c r="M723" s="55"/>
      <c r="N723" s="43"/>
      <c r="O723" s="43"/>
      <c r="P723" s="55"/>
      <c r="Q723" s="55"/>
      <c r="R723" s="55"/>
      <c r="S723" s="55"/>
    </row>
    <row r="724" spans="9:19" ht="12.5">
      <c r="I724" s="55"/>
      <c r="J724" s="55"/>
      <c r="K724" s="55"/>
      <c r="L724" s="55"/>
      <c r="M724" s="55"/>
      <c r="N724" s="43"/>
      <c r="O724" s="43"/>
      <c r="P724" s="55"/>
      <c r="Q724" s="55"/>
      <c r="R724" s="55"/>
      <c r="S724" s="55"/>
    </row>
    <row r="725" spans="9:19" ht="12.5">
      <c r="I725" s="55"/>
      <c r="J725" s="55"/>
      <c r="K725" s="55"/>
      <c r="L725" s="55"/>
      <c r="M725" s="55"/>
      <c r="N725" s="43"/>
      <c r="O725" s="43"/>
      <c r="P725" s="55"/>
      <c r="Q725" s="55"/>
      <c r="R725" s="55"/>
      <c r="S725" s="55"/>
    </row>
    <row r="726" spans="9:19" ht="12.5">
      <c r="I726" s="55"/>
      <c r="J726" s="55"/>
      <c r="K726" s="55"/>
      <c r="L726" s="55"/>
      <c r="M726" s="55"/>
      <c r="N726" s="43"/>
      <c r="O726" s="43"/>
      <c r="P726" s="55"/>
      <c r="Q726" s="55"/>
      <c r="R726" s="55"/>
      <c r="S726" s="55"/>
    </row>
    <row r="727" spans="9:19" ht="12.5">
      <c r="I727" s="55"/>
      <c r="J727" s="55"/>
      <c r="K727" s="55"/>
      <c r="L727" s="55"/>
      <c r="M727" s="55"/>
      <c r="N727" s="43"/>
      <c r="O727" s="43"/>
      <c r="P727" s="55"/>
      <c r="Q727" s="55"/>
      <c r="R727" s="55"/>
      <c r="S727" s="55"/>
    </row>
    <row r="728" spans="9:19" ht="12.5">
      <c r="I728" s="55"/>
      <c r="J728" s="55"/>
      <c r="K728" s="55"/>
      <c r="L728" s="55"/>
      <c r="M728" s="55"/>
      <c r="N728" s="43"/>
      <c r="O728" s="43"/>
      <c r="P728" s="55"/>
      <c r="Q728" s="55"/>
      <c r="R728" s="55"/>
      <c r="S728" s="55"/>
    </row>
    <row r="729" spans="9:19" ht="12.5">
      <c r="I729" s="55"/>
      <c r="J729" s="55"/>
      <c r="K729" s="55"/>
      <c r="L729" s="55"/>
      <c r="M729" s="55"/>
      <c r="N729" s="43"/>
      <c r="O729" s="43"/>
      <c r="P729" s="55"/>
      <c r="Q729" s="55"/>
      <c r="R729" s="55"/>
      <c r="S729" s="55"/>
    </row>
    <row r="730" spans="9:19" ht="12.5">
      <c r="I730" s="55"/>
      <c r="J730" s="55"/>
      <c r="K730" s="55"/>
      <c r="L730" s="55"/>
      <c r="M730" s="55"/>
      <c r="N730" s="43"/>
      <c r="O730" s="43"/>
      <c r="P730" s="55"/>
      <c r="Q730" s="55"/>
      <c r="R730" s="55"/>
      <c r="S730" s="55"/>
    </row>
    <row r="731" spans="9:19" ht="12.5">
      <c r="I731" s="55"/>
      <c r="J731" s="55"/>
      <c r="K731" s="55"/>
      <c r="L731" s="55"/>
      <c r="M731" s="55"/>
      <c r="N731" s="43"/>
      <c r="O731" s="43"/>
      <c r="P731" s="55"/>
      <c r="Q731" s="55"/>
      <c r="R731" s="55"/>
      <c r="S731" s="55"/>
    </row>
    <row r="732" spans="9:19" ht="12.5">
      <c r="I732" s="55"/>
      <c r="J732" s="55"/>
      <c r="K732" s="55"/>
      <c r="L732" s="55"/>
      <c r="M732" s="55"/>
      <c r="N732" s="43"/>
      <c r="O732" s="43"/>
      <c r="P732" s="55"/>
      <c r="Q732" s="55"/>
      <c r="R732" s="55"/>
      <c r="S732" s="55"/>
    </row>
    <row r="733" spans="9:19" ht="12.5">
      <c r="I733" s="55"/>
      <c r="J733" s="55"/>
      <c r="K733" s="55"/>
      <c r="L733" s="55"/>
      <c r="M733" s="55"/>
      <c r="N733" s="43"/>
      <c r="O733" s="43"/>
      <c r="P733" s="55"/>
      <c r="Q733" s="55"/>
      <c r="R733" s="55"/>
      <c r="S733" s="55"/>
    </row>
    <row r="734" spans="9:19" ht="12.5">
      <c r="I734" s="55"/>
      <c r="J734" s="55"/>
      <c r="K734" s="55"/>
      <c r="L734" s="55"/>
      <c r="M734" s="55"/>
      <c r="N734" s="43"/>
      <c r="O734" s="43"/>
      <c r="P734" s="55"/>
      <c r="Q734" s="55"/>
      <c r="R734" s="55"/>
      <c r="S734" s="55"/>
    </row>
    <row r="735" spans="9:19" ht="12.5">
      <c r="I735" s="55"/>
      <c r="J735" s="55"/>
      <c r="K735" s="55"/>
      <c r="L735" s="55"/>
      <c r="M735" s="55"/>
      <c r="N735" s="43"/>
      <c r="O735" s="43"/>
      <c r="P735" s="55"/>
      <c r="Q735" s="55"/>
      <c r="R735" s="55"/>
      <c r="S735" s="55"/>
    </row>
    <row r="736" spans="9:19" ht="12.5">
      <c r="I736" s="55"/>
      <c r="J736" s="55"/>
      <c r="K736" s="55"/>
      <c r="L736" s="55"/>
      <c r="M736" s="55"/>
      <c r="N736" s="43"/>
      <c r="O736" s="43"/>
      <c r="P736" s="55"/>
      <c r="Q736" s="55"/>
      <c r="R736" s="55"/>
      <c r="S736" s="55"/>
    </row>
    <row r="737" spans="9:19" ht="12.5">
      <c r="I737" s="55"/>
      <c r="J737" s="55"/>
      <c r="K737" s="55"/>
      <c r="L737" s="55"/>
      <c r="M737" s="55"/>
      <c r="N737" s="43"/>
      <c r="O737" s="43"/>
      <c r="P737" s="55"/>
      <c r="Q737" s="55"/>
      <c r="R737" s="55"/>
      <c r="S737" s="55"/>
    </row>
    <row r="738" spans="9:19" ht="12.5">
      <c r="I738" s="55"/>
      <c r="J738" s="55"/>
      <c r="K738" s="55"/>
      <c r="L738" s="55"/>
      <c r="M738" s="55"/>
      <c r="N738" s="43"/>
      <c r="O738" s="43"/>
      <c r="P738" s="55"/>
      <c r="Q738" s="55"/>
      <c r="R738" s="55"/>
      <c r="S738" s="55"/>
    </row>
    <row r="739" spans="9:19" ht="12.5">
      <c r="I739" s="55"/>
      <c r="J739" s="55"/>
      <c r="K739" s="55"/>
      <c r="L739" s="55"/>
      <c r="M739" s="55"/>
      <c r="N739" s="43"/>
      <c r="O739" s="43"/>
      <c r="P739" s="55"/>
      <c r="Q739" s="55"/>
      <c r="R739" s="55"/>
      <c r="S739" s="55"/>
    </row>
    <row r="740" spans="9:19" ht="12.5">
      <c r="I740" s="55"/>
      <c r="J740" s="55"/>
      <c r="K740" s="55"/>
      <c r="L740" s="55"/>
      <c r="M740" s="55"/>
      <c r="N740" s="43"/>
      <c r="O740" s="43"/>
      <c r="P740" s="55"/>
      <c r="Q740" s="55"/>
      <c r="R740" s="55"/>
      <c r="S740" s="55"/>
    </row>
    <row r="741" spans="9:19" ht="12.5">
      <c r="I741" s="55"/>
      <c r="J741" s="55"/>
      <c r="K741" s="55"/>
      <c r="L741" s="55"/>
      <c r="M741" s="55"/>
      <c r="N741" s="43"/>
      <c r="O741" s="43"/>
      <c r="P741" s="55"/>
      <c r="Q741" s="55"/>
      <c r="R741" s="55"/>
      <c r="S741" s="55"/>
    </row>
    <row r="742" spans="9:19" ht="12.5">
      <c r="I742" s="55"/>
      <c r="J742" s="55"/>
      <c r="K742" s="55"/>
      <c r="L742" s="55"/>
      <c r="M742" s="55"/>
      <c r="N742" s="43"/>
      <c r="O742" s="43"/>
      <c r="P742" s="55"/>
      <c r="Q742" s="55"/>
      <c r="R742" s="55"/>
      <c r="S742" s="55"/>
    </row>
    <row r="743" spans="9:19" ht="12.5">
      <c r="I743" s="55"/>
      <c r="J743" s="55"/>
      <c r="K743" s="55"/>
      <c r="L743" s="55"/>
      <c r="M743" s="55"/>
      <c r="N743" s="43"/>
      <c r="O743" s="43"/>
      <c r="P743" s="55"/>
      <c r="Q743" s="55"/>
      <c r="R743" s="55"/>
      <c r="S743" s="55"/>
    </row>
    <row r="744" spans="9:19" ht="12.5">
      <c r="I744" s="55"/>
      <c r="J744" s="55"/>
      <c r="K744" s="55"/>
      <c r="L744" s="55"/>
      <c r="M744" s="55"/>
      <c r="N744" s="43"/>
      <c r="O744" s="43"/>
      <c r="P744" s="55"/>
      <c r="Q744" s="55"/>
      <c r="R744" s="55"/>
      <c r="S744" s="55"/>
    </row>
    <row r="745" spans="9:19" ht="12.5">
      <c r="I745" s="55"/>
      <c r="J745" s="55"/>
      <c r="K745" s="55"/>
      <c r="L745" s="55"/>
      <c r="M745" s="55"/>
      <c r="N745" s="43"/>
      <c r="O745" s="43"/>
      <c r="P745" s="55"/>
      <c r="Q745" s="55"/>
      <c r="R745" s="55"/>
      <c r="S745" s="55"/>
    </row>
    <row r="746" spans="9:19" ht="12.5">
      <c r="I746" s="55"/>
      <c r="J746" s="55"/>
      <c r="K746" s="55"/>
      <c r="L746" s="55"/>
      <c r="M746" s="55"/>
      <c r="N746" s="43"/>
      <c r="O746" s="43"/>
      <c r="P746" s="55"/>
      <c r="Q746" s="55"/>
      <c r="R746" s="55"/>
      <c r="S746" s="55"/>
    </row>
    <row r="747" spans="9:19" ht="12.5">
      <c r="I747" s="55"/>
      <c r="J747" s="55"/>
      <c r="K747" s="55"/>
      <c r="L747" s="55"/>
      <c r="M747" s="55"/>
      <c r="N747" s="43"/>
      <c r="O747" s="43"/>
      <c r="P747" s="55"/>
      <c r="Q747" s="55"/>
      <c r="R747" s="55"/>
      <c r="S747" s="55"/>
    </row>
    <row r="748" spans="9:19" ht="12.5">
      <c r="I748" s="55"/>
      <c r="J748" s="55"/>
      <c r="K748" s="55"/>
      <c r="L748" s="55"/>
      <c r="M748" s="55"/>
      <c r="N748" s="43"/>
      <c r="O748" s="43"/>
      <c r="P748" s="55"/>
      <c r="Q748" s="55"/>
      <c r="R748" s="55"/>
      <c r="S748" s="55"/>
    </row>
    <row r="749" spans="9:19" ht="12.5">
      <c r="I749" s="55"/>
      <c r="J749" s="55"/>
      <c r="K749" s="55"/>
      <c r="L749" s="55"/>
      <c r="M749" s="55"/>
      <c r="N749" s="43"/>
      <c r="O749" s="43"/>
      <c r="P749" s="55"/>
      <c r="Q749" s="55"/>
      <c r="R749" s="55"/>
      <c r="S749" s="55"/>
    </row>
    <row r="750" spans="9:19" ht="12.5">
      <c r="I750" s="55"/>
      <c r="J750" s="55"/>
      <c r="K750" s="55"/>
      <c r="L750" s="55"/>
      <c r="M750" s="55"/>
      <c r="N750" s="43"/>
      <c r="O750" s="43"/>
      <c r="P750" s="55"/>
      <c r="Q750" s="55"/>
      <c r="R750" s="55"/>
      <c r="S750" s="55"/>
    </row>
    <row r="751" spans="9:19" ht="12.5">
      <c r="I751" s="55"/>
      <c r="J751" s="55"/>
      <c r="K751" s="55"/>
      <c r="L751" s="55"/>
      <c r="M751" s="55"/>
      <c r="N751" s="43"/>
      <c r="O751" s="43"/>
      <c r="P751" s="55"/>
      <c r="Q751" s="55"/>
      <c r="R751" s="55"/>
      <c r="S751" s="55"/>
    </row>
    <row r="752" spans="9:19" ht="12.5">
      <c r="I752" s="55"/>
      <c r="J752" s="55"/>
      <c r="K752" s="55"/>
      <c r="L752" s="55"/>
      <c r="M752" s="55"/>
      <c r="N752" s="43"/>
      <c r="O752" s="43"/>
      <c r="P752" s="55"/>
      <c r="Q752" s="55"/>
      <c r="R752" s="55"/>
      <c r="S752" s="55"/>
    </row>
    <row r="753" spans="9:19" ht="12.5">
      <c r="I753" s="55"/>
      <c r="J753" s="55"/>
      <c r="K753" s="55"/>
      <c r="L753" s="55"/>
      <c r="M753" s="55"/>
      <c r="N753" s="43"/>
      <c r="O753" s="43"/>
      <c r="P753" s="55"/>
      <c r="Q753" s="55"/>
      <c r="R753" s="55"/>
      <c r="S753" s="55"/>
    </row>
    <row r="754" spans="9:19" ht="12.5">
      <c r="I754" s="55"/>
      <c r="J754" s="55"/>
      <c r="K754" s="55"/>
      <c r="L754" s="55"/>
      <c r="M754" s="55"/>
      <c r="N754" s="43"/>
      <c r="O754" s="43"/>
      <c r="P754" s="55"/>
      <c r="Q754" s="55"/>
      <c r="R754" s="55"/>
      <c r="S754" s="55"/>
    </row>
    <row r="755" spans="9:19" ht="12.5">
      <c r="I755" s="55"/>
      <c r="J755" s="55"/>
      <c r="K755" s="55"/>
      <c r="L755" s="55"/>
      <c r="M755" s="55"/>
      <c r="N755" s="43"/>
      <c r="O755" s="43"/>
      <c r="P755" s="55"/>
      <c r="Q755" s="55"/>
      <c r="R755" s="55"/>
      <c r="S755" s="55"/>
    </row>
    <row r="756" spans="9:19" ht="12.5">
      <c r="I756" s="55"/>
      <c r="J756" s="55"/>
      <c r="K756" s="55"/>
      <c r="L756" s="55"/>
      <c r="M756" s="55"/>
      <c r="N756" s="43"/>
      <c r="O756" s="43"/>
      <c r="P756" s="55"/>
      <c r="Q756" s="55"/>
      <c r="R756" s="55"/>
      <c r="S756" s="55"/>
    </row>
    <row r="757" spans="9:19" ht="12.5">
      <c r="I757" s="55"/>
      <c r="J757" s="55"/>
      <c r="K757" s="55"/>
      <c r="L757" s="55"/>
      <c r="M757" s="55"/>
      <c r="N757" s="43"/>
      <c r="O757" s="43"/>
      <c r="P757" s="55"/>
      <c r="Q757" s="55"/>
      <c r="R757" s="55"/>
      <c r="S757" s="55"/>
    </row>
    <row r="758" spans="9:19" ht="12.5">
      <c r="I758" s="55"/>
      <c r="J758" s="55"/>
      <c r="K758" s="55"/>
      <c r="L758" s="55"/>
      <c r="M758" s="55"/>
      <c r="N758" s="43"/>
      <c r="O758" s="43"/>
      <c r="P758" s="55"/>
      <c r="Q758" s="55"/>
      <c r="R758" s="55"/>
      <c r="S758" s="55"/>
    </row>
    <row r="759" spans="9:19" ht="12.5">
      <c r="I759" s="55"/>
      <c r="J759" s="55"/>
      <c r="K759" s="55"/>
      <c r="L759" s="55"/>
      <c r="M759" s="55"/>
      <c r="N759" s="43"/>
      <c r="O759" s="43"/>
      <c r="P759" s="55"/>
      <c r="Q759" s="55"/>
      <c r="R759" s="55"/>
      <c r="S759" s="55"/>
    </row>
    <row r="760" spans="9:19" ht="12.5">
      <c r="I760" s="55"/>
      <c r="J760" s="55"/>
      <c r="K760" s="55"/>
      <c r="L760" s="55"/>
      <c r="M760" s="55"/>
      <c r="N760" s="43"/>
      <c r="O760" s="43"/>
      <c r="P760" s="55"/>
      <c r="Q760" s="55"/>
      <c r="R760" s="55"/>
      <c r="S760" s="55"/>
    </row>
    <row r="761" spans="9:19" ht="12.5">
      <c r="I761" s="55"/>
      <c r="J761" s="55"/>
      <c r="K761" s="55"/>
      <c r="L761" s="55"/>
      <c r="M761" s="55"/>
      <c r="N761" s="43"/>
      <c r="O761" s="43"/>
      <c r="P761" s="55"/>
      <c r="Q761" s="55"/>
      <c r="R761" s="55"/>
      <c r="S761" s="55"/>
    </row>
    <row r="762" spans="9:19" ht="12.5">
      <c r="I762" s="55"/>
      <c r="J762" s="55"/>
      <c r="K762" s="55"/>
      <c r="L762" s="55"/>
      <c r="M762" s="55"/>
      <c r="N762" s="43"/>
      <c r="O762" s="43"/>
      <c r="P762" s="55"/>
      <c r="Q762" s="55"/>
      <c r="R762" s="55"/>
      <c r="S762" s="55"/>
    </row>
    <row r="763" spans="9:19" ht="12.5">
      <c r="I763" s="55"/>
      <c r="J763" s="55"/>
      <c r="K763" s="55"/>
      <c r="L763" s="55"/>
      <c r="M763" s="55"/>
      <c r="N763" s="43"/>
      <c r="O763" s="43"/>
      <c r="P763" s="55"/>
      <c r="Q763" s="55"/>
      <c r="R763" s="55"/>
      <c r="S763" s="55"/>
    </row>
    <row r="764" spans="9:19" ht="12.5">
      <c r="I764" s="55"/>
      <c r="J764" s="55"/>
      <c r="K764" s="55"/>
      <c r="L764" s="55"/>
      <c r="M764" s="55"/>
      <c r="N764" s="43"/>
      <c r="O764" s="43"/>
      <c r="P764" s="55"/>
      <c r="Q764" s="55"/>
      <c r="R764" s="55"/>
      <c r="S764" s="55"/>
    </row>
    <row r="765" spans="9:19" ht="12.5">
      <c r="I765" s="55"/>
      <c r="J765" s="55"/>
      <c r="K765" s="55"/>
      <c r="L765" s="55"/>
      <c r="M765" s="55"/>
      <c r="N765" s="43"/>
      <c r="O765" s="43"/>
      <c r="P765" s="55"/>
      <c r="Q765" s="55"/>
      <c r="R765" s="55"/>
      <c r="S765" s="55"/>
    </row>
    <row r="766" spans="9:19" ht="12.5">
      <c r="I766" s="55"/>
      <c r="J766" s="55"/>
      <c r="K766" s="55"/>
      <c r="L766" s="55"/>
      <c r="M766" s="55"/>
      <c r="N766" s="43"/>
      <c r="O766" s="43"/>
      <c r="P766" s="55"/>
      <c r="Q766" s="55"/>
      <c r="R766" s="55"/>
      <c r="S766" s="55"/>
    </row>
    <row r="767" spans="9:19" ht="12.5">
      <c r="I767" s="55"/>
      <c r="J767" s="55"/>
      <c r="K767" s="55"/>
      <c r="L767" s="55"/>
      <c r="M767" s="55"/>
      <c r="N767" s="43"/>
      <c r="O767" s="43"/>
      <c r="P767" s="55"/>
      <c r="Q767" s="55"/>
      <c r="R767" s="55"/>
      <c r="S767" s="55"/>
    </row>
    <row r="768" spans="9:19" ht="12.5">
      <c r="I768" s="55"/>
      <c r="J768" s="55"/>
      <c r="K768" s="55"/>
      <c r="L768" s="55"/>
      <c r="M768" s="55"/>
      <c r="N768" s="43"/>
      <c r="O768" s="43"/>
      <c r="P768" s="55"/>
      <c r="Q768" s="55"/>
      <c r="R768" s="55"/>
      <c r="S768" s="55"/>
    </row>
    <row r="769" spans="9:19" ht="12.5">
      <c r="I769" s="55"/>
      <c r="J769" s="55"/>
      <c r="K769" s="55"/>
      <c r="L769" s="55"/>
      <c r="M769" s="55"/>
      <c r="N769" s="43"/>
      <c r="O769" s="43"/>
      <c r="P769" s="55"/>
      <c r="Q769" s="55"/>
      <c r="R769" s="55"/>
      <c r="S769" s="55"/>
    </row>
    <row r="770" spans="9:19" ht="12.5">
      <c r="I770" s="55"/>
      <c r="J770" s="55"/>
      <c r="K770" s="55"/>
      <c r="L770" s="55"/>
      <c r="M770" s="55"/>
      <c r="N770" s="43"/>
      <c r="O770" s="43"/>
      <c r="P770" s="55"/>
      <c r="Q770" s="55"/>
      <c r="R770" s="55"/>
      <c r="S770" s="55"/>
    </row>
    <row r="771" spans="9:19" ht="12.5">
      <c r="I771" s="55"/>
      <c r="J771" s="55"/>
      <c r="K771" s="55"/>
      <c r="L771" s="55"/>
      <c r="M771" s="55"/>
      <c r="N771" s="43"/>
      <c r="O771" s="43"/>
      <c r="P771" s="55"/>
      <c r="Q771" s="55"/>
      <c r="R771" s="55"/>
      <c r="S771" s="55"/>
    </row>
    <row r="772" spans="9:19" ht="12.5">
      <c r="I772" s="55"/>
      <c r="J772" s="55"/>
      <c r="K772" s="55"/>
      <c r="L772" s="55"/>
      <c r="M772" s="55"/>
      <c r="N772" s="43"/>
      <c r="O772" s="43"/>
      <c r="P772" s="55"/>
      <c r="Q772" s="55"/>
      <c r="R772" s="55"/>
      <c r="S772" s="55"/>
    </row>
    <row r="773" spans="9:19" ht="12.5">
      <c r="I773" s="55"/>
      <c r="J773" s="55"/>
      <c r="K773" s="55"/>
      <c r="L773" s="55"/>
      <c r="M773" s="55"/>
      <c r="N773" s="43"/>
      <c r="O773" s="43"/>
      <c r="P773" s="55"/>
      <c r="Q773" s="55"/>
      <c r="R773" s="55"/>
      <c r="S773" s="55"/>
    </row>
    <row r="774" spans="9:19" ht="12.5">
      <c r="I774" s="55"/>
      <c r="J774" s="55"/>
      <c r="K774" s="55"/>
      <c r="L774" s="55"/>
      <c r="M774" s="55"/>
      <c r="N774" s="43"/>
      <c r="O774" s="43"/>
      <c r="P774" s="55"/>
      <c r="Q774" s="55"/>
      <c r="R774" s="55"/>
      <c r="S774" s="55"/>
    </row>
    <row r="775" spans="9:19" ht="12.5">
      <c r="I775" s="55"/>
      <c r="J775" s="55"/>
      <c r="K775" s="55"/>
      <c r="L775" s="55"/>
      <c r="M775" s="55"/>
      <c r="N775" s="43"/>
      <c r="O775" s="43"/>
      <c r="P775" s="55"/>
      <c r="Q775" s="55"/>
      <c r="R775" s="55"/>
      <c r="S775" s="55"/>
    </row>
    <row r="776" spans="9:19" ht="12.5">
      <c r="I776" s="55"/>
      <c r="J776" s="55"/>
      <c r="K776" s="55"/>
      <c r="L776" s="55"/>
      <c r="M776" s="55"/>
      <c r="N776" s="43"/>
      <c r="O776" s="43"/>
      <c r="P776" s="55"/>
      <c r="Q776" s="55"/>
      <c r="R776" s="55"/>
      <c r="S776" s="55"/>
    </row>
    <row r="777" spans="9:19" ht="12.5">
      <c r="I777" s="55"/>
      <c r="J777" s="55"/>
      <c r="K777" s="55"/>
      <c r="L777" s="55"/>
      <c r="M777" s="55"/>
      <c r="N777" s="43"/>
      <c r="O777" s="43"/>
      <c r="P777" s="55"/>
      <c r="Q777" s="55"/>
      <c r="R777" s="55"/>
      <c r="S777" s="55"/>
    </row>
    <row r="778" spans="9:19" ht="12.5">
      <c r="I778" s="55"/>
      <c r="J778" s="55"/>
      <c r="K778" s="55"/>
      <c r="L778" s="55"/>
      <c r="M778" s="55"/>
      <c r="N778" s="43"/>
      <c r="O778" s="43"/>
      <c r="P778" s="55"/>
      <c r="Q778" s="55"/>
      <c r="R778" s="55"/>
      <c r="S778" s="55"/>
    </row>
    <row r="779" spans="9:19" ht="12.5">
      <c r="I779" s="55"/>
      <c r="J779" s="55"/>
      <c r="K779" s="55"/>
      <c r="L779" s="55"/>
      <c r="M779" s="55"/>
      <c r="N779" s="43"/>
      <c r="O779" s="43"/>
      <c r="P779" s="55"/>
      <c r="Q779" s="55"/>
      <c r="R779" s="55"/>
      <c r="S779" s="55"/>
    </row>
    <row r="780" spans="9:19" ht="12.5">
      <c r="I780" s="55"/>
      <c r="J780" s="55"/>
      <c r="K780" s="55"/>
      <c r="L780" s="55"/>
      <c r="M780" s="55"/>
      <c r="N780" s="43"/>
      <c r="O780" s="43"/>
      <c r="P780" s="55"/>
      <c r="Q780" s="55"/>
      <c r="R780" s="55"/>
      <c r="S780" s="55"/>
    </row>
    <row r="781" spans="9:19" ht="12.5">
      <c r="I781" s="55"/>
      <c r="J781" s="55"/>
      <c r="K781" s="55"/>
      <c r="L781" s="55"/>
      <c r="M781" s="55"/>
      <c r="N781" s="43"/>
      <c r="O781" s="43"/>
      <c r="P781" s="55"/>
      <c r="Q781" s="55"/>
      <c r="R781" s="55"/>
      <c r="S781" s="55"/>
    </row>
    <row r="782" spans="9:19" ht="12.5">
      <c r="I782" s="55"/>
      <c r="J782" s="55"/>
      <c r="K782" s="55"/>
      <c r="L782" s="55"/>
      <c r="M782" s="55"/>
      <c r="N782" s="43"/>
      <c r="O782" s="43"/>
      <c r="P782" s="55"/>
      <c r="Q782" s="55"/>
      <c r="R782" s="55"/>
      <c r="S782" s="55"/>
    </row>
    <row r="783" spans="9:19" ht="12.5">
      <c r="I783" s="55"/>
      <c r="J783" s="55"/>
      <c r="K783" s="55"/>
      <c r="L783" s="55"/>
      <c r="M783" s="55"/>
      <c r="N783" s="43"/>
      <c r="O783" s="43"/>
      <c r="P783" s="55"/>
      <c r="Q783" s="55"/>
      <c r="R783" s="55"/>
      <c r="S783" s="55"/>
    </row>
    <row r="784" spans="9:19" ht="12.5">
      <c r="I784" s="55"/>
      <c r="J784" s="55"/>
      <c r="K784" s="55"/>
      <c r="L784" s="55"/>
      <c r="M784" s="55"/>
      <c r="N784" s="43"/>
      <c r="O784" s="43"/>
      <c r="P784" s="55"/>
      <c r="Q784" s="55"/>
      <c r="R784" s="55"/>
      <c r="S784" s="55"/>
    </row>
    <row r="785" spans="9:19" ht="12.5">
      <c r="I785" s="55"/>
      <c r="J785" s="55"/>
      <c r="K785" s="55"/>
      <c r="L785" s="55"/>
      <c r="M785" s="55"/>
      <c r="N785" s="43"/>
      <c r="O785" s="43"/>
      <c r="P785" s="55"/>
      <c r="Q785" s="55"/>
      <c r="R785" s="55"/>
      <c r="S785" s="55"/>
    </row>
    <row r="786" spans="9:19" ht="12.5">
      <c r="I786" s="55"/>
      <c r="J786" s="55"/>
      <c r="K786" s="55"/>
      <c r="L786" s="55"/>
      <c r="M786" s="55"/>
      <c r="N786" s="43"/>
      <c r="O786" s="43"/>
      <c r="P786" s="55"/>
      <c r="Q786" s="55"/>
      <c r="R786" s="55"/>
      <c r="S786" s="55"/>
    </row>
    <row r="787" spans="9:19" ht="12.5">
      <c r="I787" s="55"/>
      <c r="J787" s="55"/>
      <c r="K787" s="55"/>
      <c r="L787" s="55"/>
      <c r="M787" s="55"/>
      <c r="N787" s="43"/>
      <c r="O787" s="43"/>
      <c r="P787" s="55"/>
      <c r="Q787" s="55"/>
      <c r="R787" s="55"/>
      <c r="S787" s="55"/>
    </row>
    <row r="788" spans="9:19" ht="12.5">
      <c r="I788" s="55"/>
      <c r="J788" s="55"/>
      <c r="K788" s="55"/>
      <c r="L788" s="55"/>
      <c r="M788" s="55"/>
      <c r="N788" s="43"/>
      <c r="O788" s="43"/>
      <c r="P788" s="55"/>
      <c r="Q788" s="55"/>
      <c r="R788" s="55"/>
      <c r="S788" s="55"/>
    </row>
    <row r="789" spans="9:19" ht="12.5">
      <c r="I789" s="55"/>
      <c r="J789" s="55"/>
      <c r="K789" s="55"/>
      <c r="L789" s="55"/>
      <c r="M789" s="55"/>
      <c r="N789" s="43"/>
      <c r="O789" s="43"/>
      <c r="P789" s="55"/>
      <c r="Q789" s="55"/>
      <c r="R789" s="55"/>
      <c r="S789" s="55"/>
    </row>
    <row r="790" spans="9:19" ht="12.5">
      <c r="I790" s="55"/>
      <c r="J790" s="55"/>
      <c r="K790" s="55"/>
      <c r="L790" s="55"/>
      <c r="M790" s="55"/>
      <c r="N790" s="43"/>
      <c r="O790" s="43"/>
      <c r="P790" s="55"/>
      <c r="Q790" s="55"/>
      <c r="R790" s="55"/>
      <c r="S790" s="55"/>
    </row>
    <row r="791" spans="9:19" ht="12.5">
      <c r="I791" s="55"/>
      <c r="J791" s="55"/>
      <c r="K791" s="55"/>
      <c r="L791" s="55"/>
      <c r="M791" s="55"/>
      <c r="N791" s="43"/>
      <c r="O791" s="43"/>
      <c r="P791" s="55"/>
      <c r="Q791" s="55"/>
      <c r="R791" s="55"/>
      <c r="S791" s="55"/>
    </row>
    <row r="792" spans="9:19" ht="12.5">
      <c r="I792" s="55"/>
      <c r="J792" s="55"/>
      <c r="K792" s="55"/>
      <c r="L792" s="55"/>
      <c r="M792" s="55"/>
      <c r="N792" s="43"/>
      <c r="O792" s="43"/>
      <c r="P792" s="55"/>
      <c r="Q792" s="55"/>
      <c r="R792" s="55"/>
      <c r="S792" s="55"/>
    </row>
    <row r="793" spans="9:19" ht="12.5">
      <c r="I793" s="55"/>
      <c r="J793" s="55"/>
      <c r="K793" s="55"/>
      <c r="L793" s="55"/>
      <c r="M793" s="55"/>
      <c r="N793" s="43"/>
      <c r="O793" s="43"/>
      <c r="P793" s="55"/>
      <c r="Q793" s="55"/>
      <c r="R793" s="55"/>
      <c r="S793" s="55"/>
    </row>
    <row r="794" spans="9:19" ht="12.5">
      <c r="I794" s="55"/>
      <c r="J794" s="55"/>
      <c r="K794" s="55"/>
      <c r="L794" s="55"/>
      <c r="M794" s="55"/>
      <c r="N794" s="43"/>
      <c r="O794" s="43"/>
      <c r="P794" s="55"/>
      <c r="Q794" s="55"/>
      <c r="R794" s="55"/>
      <c r="S794" s="55"/>
    </row>
    <row r="795" spans="9:19" ht="12.5">
      <c r="I795" s="55"/>
      <c r="J795" s="55"/>
      <c r="K795" s="55"/>
      <c r="L795" s="55"/>
      <c r="M795" s="55"/>
      <c r="N795" s="43"/>
      <c r="O795" s="43"/>
      <c r="P795" s="55"/>
      <c r="Q795" s="55"/>
      <c r="R795" s="55"/>
      <c r="S795" s="55"/>
    </row>
    <row r="796" spans="9:19" ht="12.5">
      <c r="I796" s="55"/>
      <c r="J796" s="55"/>
      <c r="K796" s="55"/>
      <c r="L796" s="55"/>
      <c r="M796" s="55"/>
      <c r="N796" s="43"/>
      <c r="O796" s="43"/>
      <c r="P796" s="55"/>
      <c r="Q796" s="55"/>
      <c r="R796" s="55"/>
      <c r="S796" s="55"/>
    </row>
    <row r="797" spans="9:19" ht="12.5">
      <c r="I797" s="55"/>
      <c r="J797" s="55"/>
      <c r="K797" s="55"/>
      <c r="L797" s="55"/>
      <c r="M797" s="55"/>
      <c r="N797" s="43"/>
      <c r="O797" s="43"/>
      <c r="P797" s="55"/>
      <c r="Q797" s="55"/>
      <c r="R797" s="55"/>
      <c r="S797" s="55"/>
    </row>
    <row r="798" spans="9:19" ht="12.5">
      <c r="I798" s="55"/>
      <c r="J798" s="55"/>
      <c r="K798" s="55"/>
      <c r="L798" s="55"/>
      <c r="M798" s="55"/>
      <c r="N798" s="43"/>
      <c r="O798" s="43"/>
      <c r="P798" s="55"/>
      <c r="Q798" s="55"/>
      <c r="R798" s="55"/>
      <c r="S798" s="55"/>
    </row>
    <row r="799" spans="9:19" ht="12.5">
      <c r="I799" s="55"/>
      <c r="J799" s="55"/>
      <c r="K799" s="55"/>
      <c r="L799" s="55"/>
      <c r="M799" s="55"/>
      <c r="N799" s="43"/>
      <c r="O799" s="43"/>
      <c r="P799" s="55"/>
      <c r="Q799" s="55"/>
      <c r="R799" s="55"/>
      <c r="S799" s="55"/>
    </row>
    <row r="800" spans="9:19" ht="12.5">
      <c r="I800" s="55"/>
      <c r="J800" s="55"/>
      <c r="K800" s="55"/>
      <c r="L800" s="55"/>
      <c r="M800" s="55"/>
      <c r="N800" s="43"/>
      <c r="O800" s="43"/>
      <c r="P800" s="55"/>
      <c r="Q800" s="55"/>
      <c r="R800" s="55"/>
      <c r="S800" s="55"/>
    </row>
    <row r="801" spans="9:19" ht="12.5">
      <c r="I801" s="55"/>
      <c r="J801" s="55"/>
      <c r="K801" s="55"/>
      <c r="L801" s="55"/>
      <c r="M801" s="55"/>
      <c r="N801" s="43"/>
      <c r="O801" s="43"/>
      <c r="P801" s="55"/>
      <c r="Q801" s="55"/>
      <c r="R801" s="55"/>
      <c r="S801" s="55"/>
    </row>
    <row r="802" spans="9:19" ht="12.5">
      <c r="I802" s="55"/>
      <c r="J802" s="55"/>
      <c r="K802" s="55"/>
      <c r="L802" s="55"/>
      <c r="M802" s="55"/>
      <c r="N802" s="43"/>
      <c r="O802" s="43"/>
      <c r="P802" s="55"/>
      <c r="Q802" s="55"/>
      <c r="R802" s="55"/>
      <c r="S802" s="55"/>
    </row>
    <row r="803" spans="9:19" ht="12.5">
      <c r="I803" s="55"/>
      <c r="J803" s="55"/>
      <c r="K803" s="55"/>
      <c r="L803" s="55"/>
      <c r="M803" s="55"/>
      <c r="N803" s="43"/>
      <c r="O803" s="43"/>
      <c r="P803" s="55"/>
      <c r="Q803" s="55"/>
      <c r="R803" s="55"/>
      <c r="S803" s="55"/>
    </row>
    <row r="804" spans="9:19" ht="12.5">
      <c r="I804" s="55"/>
      <c r="J804" s="55"/>
      <c r="K804" s="55"/>
      <c r="L804" s="55"/>
      <c r="M804" s="55"/>
      <c r="N804" s="43"/>
      <c r="O804" s="43"/>
      <c r="P804" s="55"/>
      <c r="Q804" s="55"/>
      <c r="R804" s="55"/>
      <c r="S804" s="55"/>
    </row>
    <row r="805" spans="9:19" ht="12.5">
      <c r="I805" s="55"/>
      <c r="J805" s="55"/>
      <c r="K805" s="55"/>
      <c r="L805" s="55"/>
      <c r="M805" s="55"/>
      <c r="N805" s="43"/>
      <c r="O805" s="43"/>
      <c r="P805" s="55"/>
      <c r="Q805" s="55"/>
      <c r="R805" s="55"/>
      <c r="S805" s="55"/>
    </row>
    <row r="806" spans="9:19" ht="12.5">
      <c r="I806" s="55"/>
      <c r="J806" s="55"/>
      <c r="K806" s="55"/>
      <c r="L806" s="55"/>
      <c r="M806" s="55"/>
      <c r="N806" s="43"/>
      <c r="O806" s="43"/>
      <c r="P806" s="55"/>
      <c r="Q806" s="55"/>
      <c r="R806" s="55"/>
      <c r="S806" s="55"/>
    </row>
    <row r="807" spans="9:19" ht="12.5">
      <c r="I807" s="55"/>
      <c r="J807" s="55"/>
      <c r="K807" s="55"/>
      <c r="L807" s="55"/>
      <c r="M807" s="55"/>
      <c r="N807" s="43"/>
      <c r="O807" s="43"/>
      <c r="P807" s="55"/>
      <c r="Q807" s="55"/>
      <c r="R807" s="55"/>
      <c r="S807" s="55"/>
    </row>
    <row r="808" spans="9:19" ht="12.5">
      <c r="I808" s="55"/>
      <c r="J808" s="55"/>
      <c r="K808" s="55"/>
      <c r="L808" s="55"/>
      <c r="M808" s="55"/>
      <c r="N808" s="43"/>
      <c r="O808" s="43"/>
      <c r="P808" s="55"/>
      <c r="Q808" s="55"/>
      <c r="R808" s="55"/>
      <c r="S808" s="55"/>
    </row>
    <row r="809" spans="9:19" ht="12.5">
      <c r="I809" s="55"/>
      <c r="J809" s="55"/>
      <c r="K809" s="55"/>
      <c r="L809" s="55"/>
      <c r="M809" s="55"/>
      <c r="N809" s="43"/>
      <c r="O809" s="43"/>
      <c r="P809" s="55"/>
      <c r="Q809" s="55"/>
      <c r="R809" s="55"/>
      <c r="S809" s="55"/>
    </row>
    <row r="810" spans="9:19" ht="12.5">
      <c r="I810" s="55"/>
      <c r="J810" s="55"/>
      <c r="K810" s="55"/>
      <c r="L810" s="55"/>
      <c r="M810" s="55"/>
      <c r="N810" s="43"/>
      <c r="O810" s="43"/>
      <c r="P810" s="55"/>
      <c r="Q810" s="55"/>
      <c r="R810" s="55"/>
      <c r="S810" s="55"/>
    </row>
    <row r="811" spans="9:19" ht="12.5">
      <c r="I811" s="55"/>
      <c r="J811" s="55"/>
      <c r="K811" s="55"/>
      <c r="L811" s="55"/>
      <c r="M811" s="55"/>
      <c r="N811" s="43"/>
      <c r="O811" s="43"/>
      <c r="P811" s="55"/>
      <c r="Q811" s="55"/>
      <c r="R811" s="55"/>
      <c r="S811" s="55"/>
    </row>
    <row r="812" spans="9:19" ht="12.5">
      <c r="I812" s="55"/>
      <c r="J812" s="55"/>
      <c r="K812" s="55"/>
      <c r="L812" s="55"/>
      <c r="M812" s="55"/>
      <c r="N812" s="43"/>
      <c r="O812" s="43"/>
      <c r="P812" s="55"/>
      <c r="Q812" s="55"/>
      <c r="R812" s="55"/>
      <c r="S812" s="55"/>
    </row>
    <row r="813" spans="9:19" ht="12.5">
      <c r="I813" s="55"/>
      <c r="J813" s="55"/>
      <c r="K813" s="55"/>
      <c r="L813" s="55"/>
      <c r="M813" s="55"/>
      <c r="N813" s="43"/>
      <c r="O813" s="43"/>
      <c r="P813" s="55"/>
      <c r="Q813" s="55"/>
      <c r="R813" s="55"/>
      <c r="S813" s="55"/>
    </row>
    <row r="814" spans="9:19" ht="12.5">
      <c r="I814" s="55"/>
      <c r="J814" s="55"/>
      <c r="K814" s="55"/>
      <c r="L814" s="55"/>
      <c r="M814" s="55"/>
      <c r="N814" s="43"/>
      <c r="O814" s="43"/>
      <c r="P814" s="55"/>
      <c r="Q814" s="55"/>
      <c r="R814" s="55"/>
      <c r="S814" s="55"/>
    </row>
    <row r="815" spans="9:19" ht="12.5">
      <c r="I815" s="55"/>
      <c r="J815" s="55"/>
      <c r="K815" s="55"/>
      <c r="L815" s="55"/>
      <c r="M815" s="55"/>
      <c r="N815" s="43"/>
      <c r="O815" s="43"/>
      <c r="P815" s="55"/>
      <c r="Q815" s="55"/>
      <c r="R815" s="55"/>
      <c r="S815" s="55"/>
    </row>
    <row r="816" spans="9:19" ht="12.5">
      <c r="I816" s="55"/>
      <c r="J816" s="55"/>
      <c r="K816" s="55"/>
      <c r="L816" s="55"/>
      <c r="M816" s="55"/>
      <c r="N816" s="43"/>
      <c r="O816" s="43"/>
      <c r="P816" s="55"/>
      <c r="Q816" s="55"/>
      <c r="R816" s="55"/>
      <c r="S816" s="55"/>
    </row>
    <row r="817" spans="9:19" ht="12.5">
      <c r="I817" s="55"/>
      <c r="J817" s="55"/>
      <c r="K817" s="55"/>
      <c r="L817" s="55"/>
      <c r="M817" s="55"/>
      <c r="N817" s="43"/>
      <c r="O817" s="43"/>
      <c r="P817" s="55"/>
      <c r="Q817" s="55"/>
      <c r="R817" s="55"/>
      <c r="S817" s="55"/>
    </row>
    <row r="818" spans="9:19" ht="12.5">
      <c r="I818" s="55"/>
      <c r="J818" s="55"/>
      <c r="K818" s="55"/>
      <c r="L818" s="55"/>
      <c r="M818" s="55"/>
      <c r="N818" s="43"/>
      <c r="O818" s="43"/>
      <c r="P818" s="55"/>
      <c r="Q818" s="55"/>
      <c r="R818" s="55"/>
      <c r="S818" s="55"/>
    </row>
    <row r="819" spans="9:19" ht="12.5">
      <c r="I819" s="55"/>
      <c r="J819" s="55"/>
      <c r="K819" s="55"/>
      <c r="L819" s="55"/>
      <c r="M819" s="55"/>
      <c r="N819" s="43"/>
      <c r="O819" s="43"/>
      <c r="P819" s="55"/>
      <c r="Q819" s="55"/>
      <c r="R819" s="55"/>
      <c r="S819" s="55"/>
    </row>
    <row r="820" spans="9:19" ht="12.5">
      <c r="I820" s="55"/>
      <c r="J820" s="55"/>
      <c r="K820" s="55"/>
      <c r="L820" s="55"/>
      <c r="M820" s="55"/>
      <c r="N820" s="43"/>
      <c r="O820" s="43"/>
      <c r="P820" s="55"/>
      <c r="Q820" s="55"/>
      <c r="R820" s="55"/>
      <c r="S820" s="55"/>
    </row>
    <row r="821" spans="9:19" ht="12.5">
      <c r="I821" s="55"/>
      <c r="J821" s="55"/>
      <c r="K821" s="55"/>
      <c r="L821" s="55"/>
      <c r="M821" s="55"/>
      <c r="N821" s="43"/>
      <c r="O821" s="43"/>
      <c r="P821" s="55"/>
      <c r="Q821" s="55"/>
      <c r="R821" s="55"/>
      <c r="S821" s="55"/>
    </row>
    <row r="822" spans="9:19" ht="12.5">
      <c r="I822" s="55"/>
      <c r="J822" s="55"/>
      <c r="K822" s="55"/>
      <c r="L822" s="55"/>
      <c r="M822" s="55"/>
      <c r="N822" s="43"/>
      <c r="O822" s="43"/>
      <c r="P822" s="55"/>
      <c r="Q822" s="55"/>
      <c r="R822" s="55"/>
      <c r="S822" s="55"/>
    </row>
    <row r="823" spans="9:19" ht="12.5">
      <c r="I823" s="55"/>
      <c r="J823" s="55"/>
      <c r="K823" s="55"/>
      <c r="L823" s="55"/>
      <c r="M823" s="55"/>
      <c r="N823" s="43"/>
      <c r="O823" s="43"/>
      <c r="P823" s="55"/>
      <c r="Q823" s="55"/>
      <c r="R823" s="55"/>
      <c r="S823" s="55"/>
    </row>
    <row r="824" spans="9:19" ht="12.5">
      <c r="I824" s="55"/>
      <c r="J824" s="55"/>
      <c r="K824" s="55"/>
      <c r="L824" s="55"/>
      <c r="M824" s="55"/>
      <c r="N824" s="43"/>
      <c r="O824" s="43"/>
      <c r="P824" s="55"/>
      <c r="Q824" s="55"/>
      <c r="R824" s="55"/>
      <c r="S824" s="55"/>
    </row>
    <row r="825" spans="9:19" ht="12.5">
      <c r="I825" s="55"/>
      <c r="J825" s="55"/>
      <c r="K825" s="55"/>
      <c r="L825" s="55"/>
      <c r="M825" s="55"/>
      <c r="N825" s="43"/>
      <c r="O825" s="43"/>
      <c r="P825" s="55"/>
      <c r="Q825" s="55"/>
      <c r="R825" s="55"/>
      <c r="S825" s="55"/>
    </row>
    <row r="826" spans="9:19" ht="12.5">
      <c r="I826" s="55"/>
      <c r="J826" s="55"/>
      <c r="K826" s="55"/>
      <c r="L826" s="55"/>
      <c r="M826" s="55"/>
      <c r="N826" s="43"/>
      <c r="O826" s="43"/>
      <c r="P826" s="55"/>
      <c r="Q826" s="55"/>
      <c r="R826" s="55"/>
      <c r="S826" s="55"/>
    </row>
    <row r="827" spans="9:19" ht="12.5">
      <c r="I827" s="55"/>
      <c r="J827" s="55"/>
      <c r="K827" s="55"/>
      <c r="L827" s="55"/>
      <c r="M827" s="55"/>
      <c r="N827" s="43"/>
      <c r="O827" s="43"/>
      <c r="P827" s="55"/>
      <c r="Q827" s="55"/>
      <c r="R827" s="55"/>
      <c r="S827" s="55"/>
    </row>
    <row r="828" spans="9:19" ht="12.5">
      <c r="I828" s="55"/>
      <c r="J828" s="55"/>
      <c r="K828" s="55"/>
      <c r="L828" s="55"/>
      <c r="M828" s="55"/>
      <c r="N828" s="43"/>
      <c r="O828" s="43"/>
      <c r="P828" s="55"/>
      <c r="Q828" s="55"/>
      <c r="R828" s="55"/>
      <c r="S828" s="55"/>
    </row>
    <row r="829" spans="9:19" ht="12.5">
      <c r="I829" s="55"/>
      <c r="J829" s="55"/>
      <c r="K829" s="55"/>
      <c r="L829" s="55"/>
      <c r="M829" s="55"/>
      <c r="N829" s="43"/>
      <c r="O829" s="43"/>
      <c r="P829" s="55"/>
      <c r="Q829" s="55"/>
      <c r="R829" s="55"/>
      <c r="S829" s="55"/>
    </row>
    <row r="830" spans="9:19" ht="12.5">
      <c r="I830" s="55"/>
      <c r="J830" s="55"/>
      <c r="K830" s="55"/>
      <c r="L830" s="55"/>
      <c r="M830" s="55"/>
      <c r="N830" s="43"/>
      <c r="O830" s="43"/>
      <c r="P830" s="55"/>
      <c r="Q830" s="55"/>
      <c r="R830" s="55"/>
      <c r="S830" s="55"/>
    </row>
    <row r="831" spans="9:19" ht="12.5">
      <c r="I831" s="55"/>
      <c r="J831" s="55"/>
      <c r="K831" s="55"/>
      <c r="L831" s="55"/>
      <c r="M831" s="55"/>
      <c r="N831" s="43"/>
      <c r="O831" s="43"/>
      <c r="P831" s="55"/>
      <c r="Q831" s="55"/>
      <c r="R831" s="55"/>
      <c r="S831" s="55"/>
    </row>
    <row r="832" spans="9:19" ht="12.5">
      <c r="I832" s="55"/>
      <c r="J832" s="55"/>
      <c r="K832" s="55"/>
      <c r="L832" s="55"/>
      <c r="M832" s="55"/>
      <c r="N832" s="43"/>
      <c r="O832" s="43"/>
      <c r="P832" s="55"/>
      <c r="Q832" s="55"/>
      <c r="R832" s="55"/>
      <c r="S832" s="55"/>
    </row>
    <row r="833" spans="9:19" ht="12.5">
      <c r="I833" s="55"/>
      <c r="J833" s="55"/>
      <c r="K833" s="55"/>
      <c r="L833" s="55"/>
      <c r="M833" s="55"/>
      <c r="N833" s="43"/>
      <c r="O833" s="43"/>
      <c r="P833" s="55"/>
      <c r="Q833" s="55"/>
      <c r="R833" s="55"/>
      <c r="S833" s="55"/>
    </row>
    <row r="834" spans="9:19" ht="12.5">
      <c r="I834" s="55"/>
      <c r="J834" s="55"/>
      <c r="K834" s="55"/>
      <c r="L834" s="55"/>
      <c r="M834" s="55"/>
      <c r="N834" s="43"/>
      <c r="O834" s="43"/>
      <c r="P834" s="55"/>
      <c r="Q834" s="55"/>
      <c r="R834" s="55"/>
      <c r="S834" s="55"/>
    </row>
    <row r="835" spans="9:19" ht="12.5">
      <c r="I835" s="55"/>
      <c r="J835" s="55"/>
      <c r="K835" s="55"/>
      <c r="L835" s="55"/>
      <c r="M835" s="55"/>
      <c r="N835" s="43"/>
      <c r="O835" s="43"/>
      <c r="P835" s="55"/>
      <c r="Q835" s="55"/>
      <c r="R835" s="55"/>
      <c r="S835" s="55"/>
    </row>
    <row r="836" spans="9:19" ht="12.5">
      <c r="I836" s="55"/>
      <c r="J836" s="55"/>
      <c r="K836" s="55"/>
      <c r="L836" s="55"/>
      <c r="M836" s="55"/>
      <c r="N836" s="43"/>
      <c r="O836" s="43"/>
      <c r="P836" s="55"/>
      <c r="Q836" s="55"/>
      <c r="R836" s="55"/>
      <c r="S836" s="55"/>
    </row>
    <row r="837" spans="9:19" ht="12.5">
      <c r="I837" s="55"/>
      <c r="J837" s="55"/>
      <c r="K837" s="55"/>
      <c r="L837" s="55"/>
      <c r="M837" s="55"/>
      <c r="N837" s="43"/>
      <c r="O837" s="43"/>
      <c r="P837" s="55"/>
      <c r="Q837" s="55"/>
      <c r="R837" s="55"/>
      <c r="S837" s="55"/>
    </row>
    <row r="838" spans="9:19" ht="12.5">
      <c r="I838" s="55"/>
      <c r="J838" s="55"/>
      <c r="K838" s="55"/>
      <c r="L838" s="55"/>
      <c r="M838" s="55"/>
      <c r="N838" s="43"/>
      <c r="O838" s="43"/>
      <c r="P838" s="55"/>
      <c r="Q838" s="55"/>
      <c r="R838" s="55"/>
      <c r="S838" s="55"/>
    </row>
    <row r="839" spans="9:19" ht="12.5">
      <c r="I839" s="55"/>
      <c r="J839" s="55"/>
      <c r="K839" s="55"/>
      <c r="L839" s="55"/>
      <c r="M839" s="55"/>
      <c r="N839" s="43"/>
      <c r="O839" s="43"/>
      <c r="P839" s="55"/>
      <c r="Q839" s="55"/>
      <c r="R839" s="55"/>
      <c r="S839" s="55"/>
    </row>
    <row r="840" spans="9:19" ht="12.5">
      <c r="I840" s="55"/>
      <c r="J840" s="55"/>
      <c r="K840" s="55"/>
      <c r="L840" s="55"/>
      <c r="M840" s="55"/>
      <c r="N840" s="43"/>
      <c r="O840" s="43"/>
      <c r="P840" s="55"/>
      <c r="Q840" s="55"/>
      <c r="R840" s="55"/>
      <c r="S840" s="55"/>
    </row>
    <row r="841" spans="9:19" ht="12.5">
      <c r="I841" s="55"/>
      <c r="J841" s="55"/>
      <c r="K841" s="55"/>
      <c r="L841" s="55"/>
      <c r="M841" s="55"/>
      <c r="N841" s="43"/>
      <c r="O841" s="43"/>
      <c r="P841" s="55"/>
      <c r="Q841" s="55"/>
      <c r="R841" s="55"/>
      <c r="S841" s="55"/>
    </row>
    <row r="842" spans="9:19" ht="12.5">
      <c r="I842" s="55"/>
      <c r="J842" s="55"/>
      <c r="K842" s="55"/>
      <c r="L842" s="55"/>
      <c r="M842" s="55"/>
      <c r="N842" s="43"/>
      <c r="O842" s="43"/>
      <c r="P842" s="55"/>
      <c r="Q842" s="55"/>
      <c r="R842" s="55"/>
      <c r="S842" s="55"/>
    </row>
    <row r="843" spans="9:19" ht="12.5">
      <c r="I843" s="55"/>
      <c r="J843" s="55"/>
      <c r="K843" s="55"/>
      <c r="L843" s="55"/>
      <c r="M843" s="55"/>
      <c r="N843" s="43"/>
      <c r="O843" s="43"/>
      <c r="P843" s="55"/>
      <c r="Q843" s="55"/>
      <c r="R843" s="55"/>
      <c r="S843" s="55"/>
    </row>
    <row r="844" spans="9:19" ht="12.5">
      <c r="I844" s="55"/>
      <c r="J844" s="55"/>
      <c r="K844" s="55"/>
      <c r="L844" s="55"/>
      <c r="M844" s="55"/>
      <c r="N844" s="43"/>
      <c r="O844" s="43"/>
      <c r="P844" s="55"/>
      <c r="Q844" s="55"/>
      <c r="R844" s="55"/>
      <c r="S844" s="55"/>
    </row>
    <row r="845" spans="9:19" ht="12.5">
      <c r="I845" s="55"/>
      <c r="J845" s="55"/>
      <c r="K845" s="55"/>
      <c r="L845" s="55"/>
      <c r="M845" s="55"/>
      <c r="N845" s="43"/>
      <c r="O845" s="43"/>
      <c r="P845" s="55"/>
      <c r="Q845" s="55"/>
      <c r="R845" s="55"/>
      <c r="S845" s="55"/>
    </row>
    <row r="846" spans="9:19" ht="12.5">
      <c r="I846" s="55"/>
      <c r="J846" s="55"/>
      <c r="K846" s="55"/>
      <c r="L846" s="55"/>
      <c r="M846" s="55"/>
      <c r="N846" s="43"/>
      <c r="O846" s="43"/>
      <c r="P846" s="55"/>
      <c r="Q846" s="55"/>
      <c r="R846" s="55"/>
      <c r="S846" s="55"/>
    </row>
    <row r="847" spans="9:19" ht="12.5">
      <c r="I847" s="55"/>
      <c r="J847" s="55"/>
      <c r="K847" s="55"/>
      <c r="L847" s="55"/>
      <c r="M847" s="55"/>
      <c r="N847" s="43"/>
      <c r="O847" s="43"/>
      <c r="P847" s="55"/>
      <c r="Q847" s="55"/>
      <c r="R847" s="55"/>
      <c r="S847" s="55"/>
    </row>
    <row r="848" spans="9:19" ht="12.5">
      <c r="I848" s="55"/>
      <c r="J848" s="55"/>
      <c r="K848" s="55"/>
      <c r="L848" s="55"/>
      <c r="M848" s="55"/>
      <c r="N848" s="43"/>
      <c r="O848" s="43"/>
      <c r="P848" s="55"/>
      <c r="Q848" s="55"/>
      <c r="R848" s="55"/>
      <c r="S848" s="55"/>
    </row>
    <row r="849" spans="9:19" ht="12.5">
      <c r="I849" s="55"/>
      <c r="J849" s="55"/>
      <c r="K849" s="55"/>
      <c r="L849" s="55"/>
      <c r="M849" s="55"/>
      <c r="N849" s="43"/>
      <c r="O849" s="43"/>
      <c r="P849" s="55"/>
      <c r="Q849" s="55"/>
      <c r="R849" s="55"/>
      <c r="S849" s="55"/>
    </row>
    <row r="850" spans="9:19" ht="12.5">
      <c r="I850" s="55"/>
      <c r="J850" s="55"/>
      <c r="K850" s="55"/>
      <c r="L850" s="55"/>
      <c r="M850" s="55"/>
      <c r="N850" s="43"/>
      <c r="O850" s="43"/>
      <c r="P850" s="55"/>
      <c r="Q850" s="55"/>
      <c r="R850" s="55"/>
      <c r="S850" s="55"/>
    </row>
    <row r="851" spans="9:19" ht="12.5">
      <c r="I851" s="55"/>
      <c r="J851" s="55"/>
      <c r="K851" s="55"/>
      <c r="L851" s="55"/>
      <c r="M851" s="55"/>
      <c r="N851" s="43"/>
      <c r="O851" s="43"/>
      <c r="P851" s="55"/>
      <c r="Q851" s="55"/>
      <c r="R851" s="55"/>
      <c r="S851" s="55"/>
    </row>
    <row r="852" spans="9:19" ht="12.5">
      <c r="I852" s="55"/>
      <c r="J852" s="55"/>
      <c r="K852" s="55"/>
      <c r="L852" s="55"/>
      <c r="M852" s="55"/>
      <c r="N852" s="43"/>
      <c r="O852" s="43"/>
      <c r="P852" s="55"/>
      <c r="Q852" s="55"/>
      <c r="R852" s="55"/>
      <c r="S852" s="55"/>
    </row>
    <row r="853" spans="9:19" ht="12.5">
      <c r="I853" s="55"/>
      <c r="J853" s="55"/>
      <c r="K853" s="55"/>
      <c r="L853" s="55"/>
      <c r="M853" s="55"/>
      <c r="N853" s="43"/>
      <c r="O853" s="43"/>
      <c r="P853" s="55"/>
      <c r="Q853" s="55"/>
      <c r="R853" s="55"/>
      <c r="S853" s="55"/>
    </row>
    <row r="854" spans="9:19" ht="12.5">
      <c r="I854" s="55"/>
      <c r="J854" s="55"/>
      <c r="K854" s="55"/>
      <c r="L854" s="55"/>
      <c r="M854" s="55"/>
      <c r="N854" s="43"/>
      <c r="O854" s="43"/>
      <c r="P854" s="55"/>
      <c r="Q854" s="55"/>
      <c r="R854" s="55"/>
      <c r="S854" s="55"/>
    </row>
    <row r="855" spans="9:19" ht="12.5">
      <c r="I855" s="55"/>
      <c r="J855" s="55"/>
      <c r="K855" s="55"/>
      <c r="L855" s="55"/>
      <c r="M855" s="55"/>
      <c r="N855" s="43"/>
      <c r="O855" s="43"/>
      <c r="P855" s="55"/>
      <c r="Q855" s="55"/>
      <c r="R855" s="55"/>
      <c r="S855" s="55"/>
    </row>
    <row r="856" spans="9:19" ht="12.5">
      <c r="I856" s="55"/>
      <c r="J856" s="55"/>
      <c r="K856" s="55"/>
      <c r="L856" s="55"/>
      <c r="M856" s="55"/>
      <c r="N856" s="43"/>
      <c r="O856" s="43"/>
      <c r="P856" s="55"/>
      <c r="Q856" s="55"/>
      <c r="R856" s="55"/>
      <c r="S856" s="55"/>
    </row>
    <row r="857" spans="9:19" ht="12.5">
      <c r="I857" s="55"/>
      <c r="J857" s="55"/>
      <c r="K857" s="55"/>
      <c r="L857" s="55"/>
      <c r="M857" s="55"/>
      <c r="N857" s="43"/>
      <c r="O857" s="43"/>
      <c r="P857" s="55"/>
      <c r="Q857" s="55"/>
      <c r="R857" s="55"/>
      <c r="S857" s="55"/>
    </row>
    <row r="858" spans="9:19" ht="12.5">
      <c r="I858" s="55"/>
      <c r="J858" s="55"/>
      <c r="K858" s="55"/>
      <c r="L858" s="55"/>
      <c r="M858" s="55"/>
      <c r="N858" s="43"/>
      <c r="O858" s="43"/>
      <c r="P858" s="55"/>
      <c r="Q858" s="55"/>
      <c r="R858" s="55"/>
      <c r="S858" s="55"/>
    </row>
    <row r="859" spans="9:19" ht="12.5">
      <c r="I859" s="55"/>
      <c r="J859" s="55"/>
      <c r="K859" s="55"/>
      <c r="L859" s="55"/>
      <c r="M859" s="55"/>
      <c r="N859" s="43"/>
      <c r="O859" s="43"/>
      <c r="P859" s="55"/>
      <c r="Q859" s="55"/>
      <c r="R859" s="55"/>
      <c r="S859" s="55"/>
    </row>
    <row r="860" spans="9:19" ht="12.5">
      <c r="I860" s="55"/>
      <c r="J860" s="55"/>
      <c r="K860" s="55"/>
      <c r="L860" s="55"/>
      <c r="M860" s="55"/>
      <c r="N860" s="43"/>
      <c r="O860" s="43"/>
      <c r="P860" s="55"/>
      <c r="Q860" s="55"/>
      <c r="R860" s="55"/>
      <c r="S860" s="55"/>
    </row>
    <row r="861" spans="9:19" ht="12.5">
      <c r="I861" s="55"/>
      <c r="J861" s="55"/>
      <c r="K861" s="55"/>
      <c r="L861" s="55"/>
      <c r="M861" s="55"/>
      <c r="N861" s="43"/>
      <c r="O861" s="43"/>
      <c r="P861" s="55"/>
      <c r="Q861" s="55"/>
      <c r="R861" s="55"/>
      <c r="S861" s="55"/>
    </row>
    <row r="862" spans="9:19" ht="12.5">
      <c r="I862" s="55"/>
      <c r="J862" s="55"/>
      <c r="K862" s="55"/>
      <c r="L862" s="55"/>
      <c r="M862" s="55"/>
      <c r="N862" s="43"/>
      <c r="O862" s="43"/>
      <c r="P862" s="55"/>
      <c r="Q862" s="55"/>
      <c r="R862" s="55"/>
      <c r="S862" s="55"/>
    </row>
    <row r="863" spans="9:19" ht="12.5">
      <c r="I863" s="55"/>
      <c r="J863" s="55"/>
      <c r="K863" s="55"/>
      <c r="L863" s="55"/>
      <c r="M863" s="55"/>
      <c r="N863" s="43"/>
      <c r="O863" s="43"/>
      <c r="P863" s="55"/>
      <c r="Q863" s="55"/>
      <c r="R863" s="55"/>
      <c r="S863" s="55"/>
    </row>
    <row r="864" spans="9:19" ht="12.5">
      <c r="I864" s="55"/>
      <c r="J864" s="55"/>
      <c r="K864" s="55"/>
      <c r="L864" s="55"/>
      <c r="M864" s="55"/>
      <c r="N864" s="43"/>
      <c r="O864" s="43"/>
      <c r="P864" s="55"/>
      <c r="Q864" s="55"/>
      <c r="R864" s="55"/>
      <c r="S864" s="55"/>
    </row>
    <row r="865" spans="9:19" ht="12.5">
      <c r="I865" s="55"/>
      <c r="J865" s="55"/>
      <c r="K865" s="55"/>
      <c r="L865" s="55"/>
      <c r="M865" s="55"/>
      <c r="N865" s="43"/>
      <c r="O865" s="43"/>
      <c r="P865" s="55"/>
      <c r="Q865" s="55"/>
      <c r="R865" s="55"/>
      <c r="S865" s="55"/>
    </row>
    <row r="866" spans="9:19" ht="12.5">
      <c r="I866" s="55"/>
      <c r="J866" s="55"/>
      <c r="K866" s="55"/>
      <c r="L866" s="55"/>
      <c r="M866" s="55"/>
      <c r="N866" s="43"/>
      <c r="O866" s="43"/>
      <c r="P866" s="55"/>
      <c r="Q866" s="55"/>
      <c r="R866" s="55"/>
      <c r="S866" s="55"/>
    </row>
    <row r="867" spans="9:19" ht="12.5">
      <c r="I867" s="55"/>
      <c r="J867" s="55"/>
      <c r="K867" s="55"/>
      <c r="L867" s="55"/>
      <c r="M867" s="55"/>
      <c r="N867" s="43"/>
      <c r="O867" s="43"/>
      <c r="P867" s="55"/>
      <c r="Q867" s="55"/>
      <c r="R867" s="55"/>
      <c r="S867" s="55"/>
    </row>
    <row r="868" spans="9:19" ht="12.5">
      <c r="I868" s="55"/>
      <c r="J868" s="55"/>
      <c r="K868" s="55"/>
      <c r="L868" s="55"/>
      <c r="M868" s="55"/>
      <c r="N868" s="43"/>
      <c r="O868" s="43"/>
      <c r="P868" s="55"/>
      <c r="Q868" s="55"/>
      <c r="R868" s="55"/>
      <c r="S868" s="55"/>
    </row>
    <row r="869" spans="9:19" ht="12.5">
      <c r="I869" s="55"/>
      <c r="J869" s="55"/>
      <c r="K869" s="55"/>
      <c r="L869" s="55"/>
      <c r="M869" s="55"/>
      <c r="N869" s="43"/>
      <c r="O869" s="43"/>
      <c r="P869" s="55"/>
      <c r="Q869" s="55"/>
      <c r="R869" s="55"/>
      <c r="S869" s="55"/>
    </row>
    <row r="870" spans="9:19" ht="12.5">
      <c r="I870" s="55"/>
      <c r="J870" s="55"/>
      <c r="K870" s="55"/>
      <c r="L870" s="55"/>
      <c r="M870" s="55"/>
      <c r="N870" s="43"/>
      <c r="O870" s="43"/>
      <c r="P870" s="55"/>
      <c r="Q870" s="55"/>
      <c r="R870" s="55"/>
      <c r="S870" s="55"/>
    </row>
    <row r="871" spans="9:19" ht="12.5">
      <c r="I871" s="55"/>
      <c r="J871" s="55"/>
      <c r="K871" s="55"/>
      <c r="L871" s="55"/>
      <c r="M871" s="55"/>
      <c r="N871" s="43"/>
      <c r="O871" s="43"/>
      <c r="P871" s="55"/>
      <c r="Q871" s="55"/>
      <c r="R871" s="55"/>
      <c r="S871" s="55"/>
    </row>
    <row r="872" spans="9:19" ht="12.5">
      <c r="I872" s="55"/>
      <c r="J872" s="55"/>
      <c r="K872" s="55"/>
      <c r="L872" s="55"/>
      <c r="M872" s="55"/>
      <c r="N872" s="43"/>
      <c r="O872" s="43"/>
      <c r="P872" s="55"/>
      <c r="Q872" s="55"/>
      <c r="R872" s="55"/>
      <c r="S872" s="55"/>
    </row>
    <row r="873" spans="9:19" ht="12.5">
      <c r="I873" s="55"/>
      <c r="J873" s="55"/>
      <c r="K873" s="55"/>
      <c r="L873" s="55"/>
      <c r="M873" s="55"/>
      <c r="N873" s="43"/>
      <c r="O873" s="43"/>
      <c r="P873" s="55"/>
      <c r="Q873" s="55"/>
      <c r="R873" s="55"/>
      <c r="S873" s="55"/>
    </row>
    <row r="874" spans="9:19" ht="12.5">
      <c r="I874" s="55"/>
      <c r="J874" s="55"/>
      <c r="K874" s="55"/>
      <c r="L874" s="55"/>
      <c r="M874" s="55"/>
      <c r="N874" s="43"/>
      <c r="O874" s="43"/>
      <c r="P874" s="55"/>
      <c r="Q874" s="55"/>
      <c r="R874" s="55"/>
      <c r="S874" s="55"/>
    </row>
    <row r="875" spans="9:19" ht="12.5">
      <c r="I875" s="55"/>
      <c r="J875" s="55"/>
      <c r="K875" s="55"/>
      <c r="L875" s="55"/>
      <c r="M875" s="55"/>
      <c r="N875" s="43"/>
      <c r="O875" s="43"/>
      <c r="P875" s="55"/>
      <c r="Q875" s="55"/>
      <c r="R875" s="55"/>
      <c r="S875" s="55"/>
    </row>
    <row r="876" spans="9:19" ht="12.5">
      <c r="I876" s="55"/>
      <c r="J876" s="55"/>
      <c r="K876" s="55"/>
      <c r="L876" s="55"/>
      <c r="M876" s="55"/>
      <c r="N876" s="43"/>
      <c r="O876" s="43"/>
      <c r="P876" s="55"/>
      <c r="Q876" s="55"/>
      <c r="R876" s="55"/>
      <c r="S876" s="55"/>
    </row>
    <row r="877" spans="9:19" ht="12.5">
      <c r="I877" s="55"/>
      <c r="J877" s="55"/>
      <c r="K877" s="55"/>
      <c r="L877" s="55"/>
      <c r="M877" s="55"/>
      <c r="N877" s="43"/>
      <c r="O877" s="43"/>
      <c r="P877" s="55"/>
      <c r="Q877" s="55"/>
      <c r="R877" s="55"/>
      <c r="S877" s="55"/>
    </row>
    <row r="878" spans="9:19" ht="12.5">
      <c r="I878" s="55"/>
      <c r="J878" s="55"/>
      <c r="K878" s="55"/>
      <c r="L878" s="55"/>
      <c r="M878" s="55"/>
      <c r="N878" s="43"/>
      <c r="O878" s="43"/>
      <c r="P878" s="55"/>
      <c r="Q878" s="55"/>
      <c r="R878" s="55"/>
      <c r="S878" s="55"/>
    </row>
    <row r="879" spans="9:19" ht="12.5">
      <c r="I879" s="55"/>
      <c r="J879" s="55"/>
      <c r="K879" s="55"/>
      <c r="L879" s="55"/>
      <c r="M879" s="55"/>
      <c r="N879" s="43"/>
      <c r="O879" s="43"/>
      <c r="P879" s="55"/>
      <c r="Q879" s="55"/>
      <c r="R879" s="55"/>
      <c r="S879" s="55"/>
    </row>
    <row r="880" spans="9:19" ht="12.5">
      <c r="I880" s="55"/>
      <c r="J880" s="55"/>
      <c r="K880" s="55"/>
      <c r="L880" s="55"/>
      <c r="M880" s="55"/>
      <c r="N880" s="43"/>
      <c r="O880" s="43"/>
      <c r="P880" s="55"/>
      <c r="Q880" s="55"/>
      <c r="R880" s="55"/>
      <c r="S880" s="55"/>
    </row>
    <row r="881" spans="9:19" ht="12.5">
      <c r="I881" s="55"/>
      <c r="J881" s="55"/>
      <c r="K881" s="55"/>
      <c r="L881" s="55"/>
      <c r="M881" s="55"/>
      <c r="N881" s="43"/>
      <c r="O881" s="43"/>
      <c r="P881" s="55"/>
      <c r="Q881" s="55"/>
      <c r="R881" s="55"/>
      <c r="S881" s="55"/>
    </row>
    <row r="882" spans="9:19" ht="12.5">
      <c r="I882" s="55"/>
      <c r="J882" s="55"/>
      <c r="K882" s="55"/>
      <c r="L882" s="55"/>
      <c r="M882" s="55"/>
      <c r="N882" s="43"/>
      <c r="O882" s="43"/>
      <c r="P882" s="55"/>
      <c r="Q882" s="55"/>
      <c r="R882" s="55"/>
      <c r="S882" s="55"/>
    </row>
    <row r="883" spans="9:19" ht="12.5">
      <c r="I883" s="55"/>
      <c r="J883" s="55"/>
      <c r="K883" s="55"/>
      <c r="L883" s="55"/>
      <c r="M883" s="55"/>
      <c r="N883" s="43"/>
      <c r="O883" s="43"/>
      <c r="P883" s="55"/>
      <c r="Q883" s="55"/>
      <c r="R883" s="55"/>
      <c r="S883" s="55"/>
    </row>
    <row r="884" spans="9:19" ht="12.5">
      <c r="I884" s="55"/>
      <c r="J884" s="55"/>
      <c r="K884" s="55"/>
      <c r="L884" s="55"/>
      <c r="M884" s="55"/>
      <c r="N884" s="43"/>
      <c r="O884" s="43"/>
      <c r="P884" s="55"/>
      <c r="Q884" s="55"/>
      <c r="R884" s="55"/>
      <c r="S884" s="55"/>
    </row>
    <row r="885" spans="9:19" ht="12.5">
      <c r="I885" s="55"/>
      <c r="J885" s="55"/>
      <c r="K885" s="55"/>
      <c r="L885" s="55"/>
      <c r="M885" s="55"/>
      <c r="N885" s="43"/>
      <c r="O885" s="43"/>
      <c r="P885" s="55"/>
      <c r="Q885" s="55"/>
      <c r="R885" s="55"/>
      <c r="S885" s="55"/>
    </row>
    <row r="886" spans="9:19" ht="12.5">
      <c r="I886" s="55"/>
      <c r="J886" s="55"/>
      <c r="K886" s="55"/>
      <c r="L886" s="55"/>
      <c r="M886" s="55"/>
      <c r="N886" s="43"/>
      <c r="O886" s="43"/>
      <c r="P886" s="55"/>
      <c r="Q886" s="55"/>
      <c r="R886" s="55"/>
      <c r="S886" s="55"/>
    </row>
    <row r="887" spans="9:19" ht="12.5">
      <c r="I887" s="55"/>
      <c r="J887" s="55"/>
      <c r="K887" s="55"/>
      <c r="L887" s="55"/>
      <c r="M887" s="55"/>
      <c r="N887" s="43"/>
      <c r="O887" s="43"/>
      <c r="P887" s="55"/>
      <c r="Q887" s="55"/>
      <c r="R887" s="55"/>
      <c r="S887" s="55"/>
    </row>
    <row r="888" spans="9:19" ht="12.5">
      <c r="I888" s="55"/>
      <c r="J888" s="55"/>
      <c r="K888" s="55"/>
      <c r="L888" s="55"/>
      <c r="M888" s="55"/>
      <c r="N888" s="43"/>
      <c r="O888" s="43"/>
      <c r="P888" s="55"/>
      <c r="Q888" s="55"/>
      <c r="R888" s="55"/>
      <c r="S888" s="55"/>
    </row>
    <row r="889" spans="9:19" ht="12.5">
      <c r="I889" s="55"/>
      <c r="J889" s="55"/>
      <c r="K889" s="55"/>
      <c r="L889" s="55"/>
      <c r="M889" s="55"/>
      <c r="N889" s="43"/>
      <c r="O889" s="43"/>
      <c r="P889" s="55"/>
      <c r="Q889" s="55"/>
      <c r="R889" s="55"/>
      <c r="S889" s="55"/>
    </row>
    <row r="890" spans="9:19" ht="12.5">
      <c r="I890" s="55"/>
      <c r="J890" s="55"/>
      <c r="K890" s="55"/>
      <c r="L890" s="55"/>
      <c r="M890" s="55"/>
      <c r="N890" s="43"/>
      <c r="O890" s="43"/>
      <c r="P890" s="55"/>
      <c r="Q890" s="55"/>
      <c r="R890" s="55"/>
      <c r="S890" s="55"/>
    </row>
    <row r="891" spans="9:19" ht="12.5">
      <c r="I891" s="55"/>
      <c r="J891" s="55"/>
      <c r="K891" s="55"/>
      <c r="L891" s="55"/>
      <c r="M891" s="55"/>
      <c r="N891" s="43"/>
      <c r="O891" s="43"/>
      <c r="P891" s="55"/>
      <c r="Q891" s="55"/>
      <c r="R891" s="55"/>
      <c r="S891" s="55"/>
    </row>
    <row r="892" spans="9:19" ht="12.5">
      <c r="I892" s="55"/>
      <c r="J892" s="55"/>
      <c r="K892" s="55"/>
      <c r="L892" s="55"/>
      <c r="M892" s="55"/>
      <c r="N892" s="43"/>
      <c r="O892" s="43"/>
      <c r="P892" s="55"/>
      <c r="Q892" s="55"/>
      <c r="R892" s="55"/>
      <c r="S892" s="55"/>
    </row>
    <row r="893" spans="9:19" ht="12.5">
      <c r="I893" s="55"/>
      <c r="J893" s="55"/>
      <c r="K893" s="55"/>
      <c r="L893" s="55"/>
      <c r="M893" s="55"/>
      <c r="N893" s="43"/>
      <c r="O893" s="43"/>
      <c r="P893" s="55"/>
      <c r="Q893" s="55"/>
      <c r="R893" s="55"/>
      <c r="S893" s="55"/>
    </row>
    <row r="894" spans="9:19" ht="12.5">
      <c r="I894" s="55"/>
      <c r="J894" s="55"/>
      <c r="K894" s="55"/>
      <c r="L894" s="55"/>
      <c r="M894" s="55"/>
      <c r="N894" s="43"/>
      <c r="O894" s="43"/>
      <c r="P894" s="55"/>
      <c r="Q894" s="55"/>
      <c r="R894" s="55"/>
      <c r="S894" s="55"/>
    </row>
    <row r="895" spans="9:19" ht="12.5">
      <c r="I895" s="55"/>
      <c r="J895" s="55"/>
      <c r="K895" s="55"/>
      <c r="L895" s="55"/>
      <c r="M895" s="55"/>
      <c r="N895" s="43"/>
      <c r="O895" s="43"/>
      <c r="P895" s="55"/>
      <c r="Q895" s="55"/>
      <c r="R895" s="55"/>
      <c r="S895" s="55"/>
    </row>
    <row r="896" spans="9:19" ht="12.5">
      <c r="I896" s="55"/>
      <c r="J896" s="55"/>
      <c r="K896" s="55"/>
      <c r="L896" s="55"/>
      <c r="M896" s="55"/>
      <c r="N896" s="43"/>
      <c r="O896" s="43"/>
      <c r="P896" s="55"/>
      <c r="Q896" s="55"/>
      <c r="R896" s="55"/>
      <c r="S896" s="55"/>
    </row>
    <row r="897" spans="9:19" ht="12.5">
      <c r="I897" s="55"/>
      <c r="J897" s="55"/>
      <c r="K897" s="55"/>
      <c r="L897" s="55"/>
      <c r="M897" s="55"/>
      <c r="N897" s="43"/>
      <c r="O897" s="43"/>
      <c r="P897" s="55"/>
      <c r="Q897" s="55"/>
      <c r="R897" s="55"/>
      <c r="S897" s="55"/>
    </row>
    <row r="898" spans="9:19" ht="12.5">
      <c r="I898" s="55"/>
      <c r="J898" s="55"/>
      <c r="K898" s="55"/>
      <c r="L898" s="55"/>
      <c r="M898" s="55"/>
      <c r="N898" s="43"/>
      <c r="O898" s="43"/>
      <c r="P898" s="55"/>
      <c r="Q898" s="55"/>
      <c r="R898" s="55"/>
      <c r="S898" s="55"/>
    </row>
    <row r="899" spans="9:19" ht="12.5">
      <c r="I899" s="55"/>
      <c r="J899" s="55"/>
      <c r="K899" s="55"/>
      <c r="L899" s="55"/>
      <c r="M899" s="55"/>
      <c r="N899" s="43"/>
      <c r="O899" s="43"/>
      <c r="P899" s="55"/>
      <c r="Q899" s="55"/>
      <c r="R899" s="55"/>
      <c r="S899" s="55"/>
    </row>
    <row r="900" spans="9:19" ht="12.5">
      <c r="I900" s="55"/>
      <c r="J900" s="55"/>
      <c r="K900" s="55"/>
      <c r="L900" s="55"/>
      <c r="M900" s="55"/>
      <c r="N900" s="43"/>
      <c r="O900" s="43"/>
      <c r="P900" s="55"/>
      <c r="Q900" s="55"/>
      <c r="R900" s="55"/>
      <c r="S900" s="55"/>
    </row>
    <row r="901" spans="9:19" ht="12.5">
      <c r="I901" s="55"/>
      <c r="J901" s="55"/>
      <c r="K901" s="55"/>
      <c r="L901" s="55"/>
      <c r="M901" s="55"/>
      <c r="N901" s="43"/>
      <c r="O901" s="43"/>
      <c r="P901" s="55"/>
      <c r="Q901" s="55"/>
      <c r="R901" s="55"/>
      <c r="S901" s="55"/>
    </row>
    <row r="902" spans="9:19" ht="12.5">
      <c r="I902" s="55"/>
      <c r="J902" s="55"/>
      <c r="K902" s="55"/>
      <c r="L902" s="55"/>
      <c r="M902" s="55"/>
      <c r="N902" s="43"/>
      <c r="O902" s="43"/>
      <c r="P902" s="55"/>
      <c r="Q902" s="55"/>
      <c r="R902" s="55"/>
      <c r="S902" s="55"/>
    </row>
    <row r="903" spans="9:19" ht="12.5">
      <c r="I903" s="55"/>
      <c r="J903" s="55"/>
      <c r="K903" s="55"/>
      <c r="L903" s="55"/>
      <c r="M903" s="55"/>
      <c r="N903" s="43"/>
      <c r="O903" s="43"/>
      <c r="P903" s="55"/>
      <c r="Q903" s="55"/>
      <c r="R903" s="55"/>
      <c r="S903" s="55"/>
    </row>
    <row r="904" spans="9:19" ht="12.5">
      <c r="I904" s="55"/>
      <c r="J904" s="55"/>
      <c r="K904" s="55"/>
      <c r="L904" s="55"/>
      <c r="M904" s="55"/>
      <c r="N904" s="43"/>
      <c r="O904" s="43"/>
      <c r="P904" s="55"/>
      <c r="Q904" s="55"/>
      <c r="R904" s="55"/>
      <c r="S904" s="55"/>
    </row>
    <row r="905" spans="9:19" ht="12.5">
      <c r="I905" s="55"/>
      <c r="J905" s="55"/>
      <c r="K905" s="55"/>
      <c r="L905" s="55"/>
      <c r="M905" s="55"/>
      <c r="N905" s="43"/>
      <c r="O905" s="43"/>
      <c r="P905" s="55"/>
      <c r="Q905" s="55"/>
      <c r="R905" s="55"/>
      <c r="S905" s="55"/>
    </row>
    <row r="906" spans="9:19" ht="12.5">
      <c r="I906" s="55"/>
      <c r="J906" s="55"/>
      <c r="K906" s="55"/>
      <c r="L906" s="55"/>
      <c r="M906" s="55"/>
      <c r="N906" s="43"/>
      <c r="O906" s="43"/>
      <c r="P906" s="55"/>
      <c r="Q906" s="55"/>
      <c r="R906" s="55"/>
      <c r="S906" s="55"/>
    </row>
    <row r="907" spans="9:19" ht="12.5">
      <c r="I907" s="55"/>
      <c r="J907" s="55"/>
      <c r="K907" s="55"/>
      <c r="L907" s="55"/>
      <c r="M907" s="55"/>
      <c r="N907" s="43"/>
      <c r="O907" s="43"/>
      <c r="P907" s="55"/>
      <c r="Q907" s="55"/>
      <c r="R907" s="55"/>
      <c r="S907" s="55"/>
    </row>
    <row r="908" spans="9:19" ht="12.5">
      <c r="I908" s="55"/>
      <c r="J908" s="55"/>
      <c r="K908" s="55"/>
      <c r="L908" s="55"/>
      <c r="M908" s="55"/>
      <c r="N908" s="43"/>
      <c r="O908" s="43"/>
      <c r="P908" s="55"/>
      <c r="Q908" s="55"/>
      <c r="R908" s="55"/>
      <c r="S908" s="55"/>
    </row>
    <row r="909" spans="9:19" ht="12.5">
      <c r="I909" s="55"/>
      <c r="J909" s="55"/>
      <c r="K909" s="55"/>
      <c r="L909" s="55"/>
      <c r="M909" s="55"/>
      <c r="N909" s="43"/>
      <c r="O909" s="43"/>
      <c r="P909" s="55"/>
      <c r="Q909" s="55"/>
      <c r="R909" s="55"/>
      <c r="S909" s="55"/>
    </row>
    <row r="910" spans="9:19" ht="12.5">
      <c r="I910" s="55"/>
      <c r="J910" s="55"/>
      <c r="K910" s="55"/>
      <c r="L910" s="55"/>
      <c r="M910" s="55"/>
      <c r="N910" s="43"/>
      <c r="O910" s="43"/>
      <c r="P910" s="55"/>
      <c r="Q910" s="55"/>
      <c r="R910" s="55"/>
      <c r="S910" s="55"/>
    </row>
    <row r="911" spans="9:19" ht="12.5">
      <c r="I911" s="55"/>
      <c r="J911" s="55"/>
      <c r="K911" s="55"/>
      <c r="L911" s="55"/>
      <c r="M911" s="55"/>
      <c r="N911" s="43"/>
      <c r="O911" s="43"/>
      <c r="P911" s="55"/>
      <c r="Q911" s="55"/>
      <c r="R911" s="55"/>
      <c r="S911" s="55"/>
    </row>
    <row r="912" spans="9:19" ht="12.5">
      <c r="I912" s="55"/>
      <c r="J912" s="55"/>
      <c r="K912" s="55"/>
      <c r="L912" s="55"/>
      <c r="M912" s="55"/>
      <c r="N912" s="43"/>
      <c r="O912" s="43"/>
      <c r="P912" s="55"/>
      <c r="Q912" s="55"/>
      <c r="R912" s="55"/>
      <c r="S912" s="55"/>
    </row>
    <row r="913" spans="9:19" ht="12.5">
      <c r="I913" s="55"/>
      <c r="J913" s="55"/>
      <c r="K913" s="55"/>
      <c r="L913" s="55"/>
      <c r="M913" s="55"/>
      <c r="N913" s="43"/>
      <c r="O913" s="43"/>
      <c r="P913" s="55"/>
      <c r="Q913" s="55"/>
      <c r="R913" s="55"/>
      <c r="S913" s="55"/>
    </row>
    <row r="914" spans="9:19" ht="12.5">
      <c r="I914" s="55"/>
      <c r="J914" s="55"/>
      <c r="K914" s="55"/>
      <c r="L914" s="55"/>
      <c r="M914" s="55"/>
      <c r="N914" s="43"/>
      <c r="O914" s="43"/>
      <c r="P914" s="55"/>
      <c r="Q914" s="55"/>
      <c r="R914" s="55"/>
      <c r="S914" s="55"/>
    </row>
    <row r="915" spans="9:19" ht="12.5">
      <c r="I915" s="55"/>
      <c r="J915" s="55"/>
      <c r="K915" s="55"/>
      <c r="L915" s="55"/>
      <c r="M915" s="55"/>
      <c r="N915" s="43"/>
      <c r="O915" s="43"/>
      <c r="P915" s="55"/>
      <c r="Q915" s="55"/>
      <c r="R915" s="55"/>
      <c r="S915" s="55"/>
    </row>
    <row r="916" spans="9:19" ht="12.5">
      <c r="I916" s="55"/>
      <c r="J916" s="55"/>
      <c r="K916" s="55"/>
      <c r="L916" s="55"/>
      <c r="M916" s="55"/>
      <c r="N916" s="43"/>
      <c r="O916" s="43"/>
      <c r="P916" s="55"/>
      <c r="Q916" s="55"/>
      <c r="R916" s="55"/>
      <c r="S916" s="55"/>
    </row>
    <row r="917" spans="9:19" ht="12.5">
      <c r="I917" s="55"/>
      <c r="J917" s="55"/>
      <c r="K917" s="55"/>
      <c r="L917" s="55"/>
      <c r="M917" s="55"/>
      <c r="N917" s="43"/>
      <c r="O917" s="43"/>
      <c r="P917" s="55"/>
      <c r="Q917" s="55"/>
      <c r="R917" s="55"/>
      <c r="S917" s="55"/>
    </row>
    <row r="918" spans="9:19" ht="12.5">
      <c r="I918" s="55"/>
      <c r="J918" s="55"/>
      <c r="K918" s="55"/>
      <c r="L918" s="55"/>
      <c r="M918" s="55"/>
      <c r="N918" s="43"/>
      <c r="O918" s="43"/>
      <c r="P918" s="55"/>
      <c r="Q918" s="55"/>
      <c r="R918" s="55"/>
      <c r="S918" s="55"/>
    </row>
    <row r="919" spans="9:19" ht="12.5">
      <c r="I919" s="55"/>
      <c r="J919" s="55"/>
      <c r="K919" s="55"/>
      <c r="L919" s="55"/>
      <c r="M919" s="55"/>
      <c r="N919" s="43"/>
      <c r="O919" s="43"/>
      <c r="P919" s="55"/>
      <c r="Q919" s="55"/>
      <c r="R919" s="55"/>
      <c r="S919" s="55"/>
    </row>
    <row r="920" spans="9:19" ht="12.5">
      <c r="I920" s="55"/>
      <c r="J920" s="55"/>
      <c r="K920" s="55"/>
      <c r="L920" s="55"/>
      <c r="M920" s="55"/>
      <c r="N920" s="43"/>
      <c r="O920" s="43"/>
      <c r="P920" s="55"/>
      <c r="Q920" s="55"/>
      <c r="R920" s="55"/>
      <c r="S920" s="55"/>
    </row>
    <row r="921" spans="9:19" ht="12.5">
      <c r="I921" s="55"/>
      <c r="J921" s="55"/>
      <c r="K921" s="55"/>
      <c r="L921" s="55"/>
      <c r="M921" s="55"/>
      <c r="N921" s="43"/>
      <c r="O921" s="43"/>
      <c r="P921" s="55"/>
      <c r="Q921" s="55"/>
      <c r="R921" s="55"/>
      <c r="S921" s="55"/>
    </row>
    <row r="922" spans="9:19" ht="12.5">
      <c r="I922" s="55"/>
      <c r="J922" s="55"/>
      <c r="K922" s="55"/>
      <c r="L922" s="55"/>
      <c r="M922" s="55"/>
      <c r="N922" s="43"/>
      <c r="O922" s="43"/>
      <c r="P922" s="55"/>
      <c r="Q922" s="55"/>
      <c r="R922" s="55"/>
      <c r="S922" s="55"/>
    </row>
    <row r="923" spans="9:19" ht="12.5">
      <c r="I923" s="55"/>
      <c r="J923" s="55"/>
      <c r="K923" s="55"/>
      <c r="L923" s="55"/>
      <c r="M923" s="55"/>
      <c r="N923" s="43"/>
      <c r="O923" s="43"/>
      <c r="P923" s="55"/>
      <c r="Q923" s="55"/>
      <c r="R923" s="55"/>
      <c r="S923" s="55"/>
    </row>
    <row r="924" spans="9:19" ht="12.5">
      <c r="I924" s="55"/>
      <c r="J924" s="55"/>
      <c r="K924" s="55"/>
      <c r="L924" s="55"/>
      <c r="M924" s="55"/>
      <c r="N924" s="43"/>
      <c r="O924" s="43"/>
      <c r="P924" s="55"/>
      <c r="Q924" s="55"/>
      <c r="R924" s="55"/>
      <c r="S924" s="55"/>
    </row>
    <row r="925" spans="9:19" ht="12.5">
      <c r="I925" s="55"/>
      <c r="J925" s="55"/>
      <c r="K925" s="55"/>
      <c r="L925" s="55"/>
      <c r="M925" s="55"/>
      <c r="N925" s="43"/>
      <c r="O925" s="43"/>
      <c r="P925" s="55"/>
      <c r="Q925" s="55"/>
      <c r="R925" s="55"/>
      <c r="S925" s="55"/>
    </row>
    <row r="926" spans="9:19" ht="12.5">
      <c r="I926" s="55"/>
      <c r="J926" s="55"/>
      <c r="K926" s="55"/>
      <c r="L926" s="55"/>
      <c r="M926" s="55"/>
      <c r="N926" s="43"/>
      <c r="O926" s="43"/>
      <c r="P926" s="55"/>
      <c r="Q926" s="55"/>
      <c r="R926" s="55"/>
      <c r="S926" s="55"/>
    </row>
    <row r="927" spans="9:19" ht="12.5">
      <c r="I927" s="55"/>
      <c r="J927" s="55"/>
      <c r="K927" s="55"/>
      <c r="L927" s="55"/>
      <c r="M927" s="55"/>
      <c r="N927" s="43"/>
      <c r="O927" s="43"/>
      <c r="P927" s="55"/>
      <c r="Q927" s="55"/>
      <c r="R927" s="55"/>
      <c r="S927" s="55"/>
    </row>
    <row r="928" spans="9:19" ht="12.5">
      <c r="I928" s="55"/>
      <c r="J928" s="55"/>
      <c r="K928" s="55"/>
      <c r="L928" s="55"/>
      <c r="M928" s="55"/>
      <c r="N928" s="43"/>
      <c r="O928" s="43"/>
      <c r="P928" s="55"/>
      <c r="Q928" s="55"/>
      <c r="R928" s="55"/>
      <c r="S928" s="55"/>
    </row>
    <row r="929" spans="9:19" ht="12.5">
      <c r="I929" s="55"/>
      <c r="J929" s="55"/>
      <c r="K929" s="55"/>
      <c r="L929" s="55"/>
      <c r="M929" s="55"/>
      <c r="N929" s="43"/>
      <c r="O929" s="43"/>
      <c r="P929" s="55"/>
      <c r="Q929" s="55"/>
      <c r="R929" s="55"/>
      <c r="S929" s="55"/>
    </row>
    <row r="930" spans="9:19" ht="12.5">
      <c r="I930" s="55"/>
      <c r="J930" s="55"/>
      <c r="K930" s="55"/>
      <c r="L930" s="55"/>
      <c r="M930" s="55"/>
      <c r="N930" s="43"/>
      <c r="O930" s="43"/>
      <c r="P930" s="55"/>
      <c r="Q930" s="55"/>
      <c r="R930" s="55"/>
      <c r="S930" s="55"/>
    </row>
    <row r="931" spans="9:19" ht="12.5">
      <c r="I931" s="55"/>
      <c r="J931" s="55"/>
      <c r="K931" s="55"/>
      <c r="L931" s="55"/>
      <c r="M931" s="55"/>
      <c r="N931" s="43"/>
      <c r="O931" s="43"/>
      <c r="P931" s="55"/>
      <c r="Q931" s="55"/>
      <c r="R931" s="55"/>
      <c r="S931" s="55"/>
    </row>
    <row r="932" spans="9:19" ht="12.5">
      <c r="I932" s="55"/>
      <c r="J932" s="55"/>
      <c r="K932" s="55"/>
      <c r="L932" s="55"/>
      <c r="M932" s="55"/>
      <c r="N932" s="43"/>
      <c r="O932" s="43"/>
      <c r="P932" s="55"/>
      <c r="Q932" s="55"/>
      <c r="R932" s="55"/>
      <c r="S932" s="55"/>
    </row>
    <row r="933" spans="9:19" ht="12.5">
      <c r="I933" s="55"/>
      <c r="J933" s="55"/>
      <c r="K933" s="55"/>
      <c r="L933" s="55"/>
      <c r="M933" s="55"/>
      <c r="N933" s="43"/>
      <c r="O933" s="43"/>
      <c r="P933" s="55"/>
      <c r="Q933" s="55"/>
      <c r="R933" s="55"/>
      <c r="S933" s="55"/>
    </row>
    <row r="934" spans="9:19" ht="12.5">
      <c r="I934" s="55"/>
      <c r="J934" s="55"/>
      <c r="K934" s="55"/>
      <c r="L934" s="55"/>
      <c r="M934" s="55"/>
      <c r="N934" s="43"/>
      <c r="O934" s="43"/>
      <c r="P934" s="55"/>
      <c r="Q934" s="55"/>
      <c r="R934" s="55"/>
      <c r="S934" s="55"/>
    </row>
    <row r="935" spans="9:19" ht="12.5">
      <c r="I935" s="55"/>
      <c r="J935" s="55"/>
      <c r="K935" s="55"/>
      <c r="L935" s="55"/>
      <c r="M935" s="55"/>
      <c r="N935" s="43"/>
      <c r="O935" s="43"/>
      <c r="P935" s="55"/>
      <c r="Q935" s="55"/>
      <c r="R935" s="55"/>
      <c r="S935" s="55"/>
    </row>
    <row r="936" spans="9:19" ht="12.5">
      <c r="I936" s="55"/>
      <c r="J936" s="55"/>
      <c r="K936" s="55"/>
      <c r="L936" s="55"/>
      <c r="M936" s="55"/>
      <c r="N936" s="43"/>
      <c r="O936" s="43"/>
      <c r="P936" s="55"/>
      <c r="Q936" s="55"/>
      <c r="R936" s="55"/>
      <c r="S936" s="55"/>
    </row>
    <row r="937" spans="9:19" ht="12.5">
      <c r="I937" s="55"/>
      <c r="J937" s="55"/>
      <c r="K937" s="55"/>
      <c r="L937" s="55"/>
      <c r="M937" s="55"/>
      <c r="N937" s="43"/>
      <c r="O937" s="43"/>
      <c r="P937" s="55"/>
      <c r="Q937" s="55"/>
      <c r="R937" s="55"/>
      <c r="S937" s="55"/>
    </row>
    <row r="938" spans="9:19" ht="12.5">
      <c r="I938" s="55"/>
      <c r="J938" s="55"/>
      <c r="K938" s="55"/>
      <c r="L938" s="55"/>
      <c r="M938" s="55"/>
      <c r="N938" s="43"/>
      <c r="O938" s="43"/>
      <c r="P938" s="55"/>
      <c r="Q938" s="55"/>
      <c r="R938" s="55"/>
      <c r="S938" s="55"/>
    </row>
    <row r="939" spans="9:19" ht="12.5">
      <c r="I939" s="55"/>
      <c r="J939" s="55"/>
      <c r="K939" s="55"/>
      <c r="L939" s="55"/>
      <c r="M939" s="55"/>
      <c r="N939" s="43"/>
      <c r="O939" s="43"/>
      <c r="P939" s="55"/>
      <c r="Q939" s="55"/>
      <c r="R939" s="55"/>
      <c r="S939" s="55"/>
    </row>
    <row r="940" spans="9:19" ht="12.5">
      <c r="I940" s="55"/>
      <c r="J940" s="55"/>
      <c r="K940" s="55"/>
      <c r="L940" s="55"/>
      <c r="M940" s="55"/>
      <c r="N940" s="43"/>
      <c r="O940" s="43"/>
      <c r="P940" s="55"/>
      <c r="Q940" s="55"/>
      <c r="R940" s="55"/>
      <c r="S940" s="55"/>
    </row>
    <row r="941" spans="9:19" ht="12.5">
      <c r="I941" s="55"/>
      <c r="J941" s="55"/>
      <c r="K941" s="55"/>
      <c r="L941" s="55"/>
      <c r="M941" s="55"/>
      <c r="N941" s="43"/>
      <c r="O941" s="43"/>
      <c r="P941" s="55"/>
      <c r="Q941" s="55"/>
      <c r="R941" s="55"/>
      <c r="S941" s="55"/>
    </row>
    <row r="942" spans="9:19" ht="12.5">
      <c r="I942" s="55"/>
      <c r="J942" s="55"/>
      <c r="K942" s="55"/>
      <c r="L942" s="55"/>
      <c r="M942" s="55"/>
      <c r="N942" s="43"/>
      <c r="O942" s="43"/>
      <c r="P942" s="55"/>
      <c r="Q942" s="55"/>
      <c r="R942" s="55"/>
      <c r="S942" s="55"/>
    </row>
    <row r="943" spans="9:19" ht="12.5">
      <c r="I943" s="55"/>
      <c r="J943" s="55"/>
      <c r="K943" s="55"/>
      <c r="L943" s="55"/>
      <c r="M943" s="55"/>
      <c r="N943" s="43"/>
      <c r="O943" s="43"/>
      <c r="P943" s="55"/>
      <c r="Q943" s="55"/>
      <c r="R943" s="55"/>
      <c r="S943" s="55"/>
    </row>
    <row r="944" spans="9:19" ht="12.5">
      <c r="I944" s="55"/>
      <c r="J944" s="55"/>
      <c r="K944" s="55"/>
      <c r="L944" s="55"/>
      <c r="M944" s="55"/>
      <c r="N944" s="43"/>
      <c r="O944" s="43"/>
      <c r="P944" s="55"/>
      <c r="Q944" s="55"/>
      <c r="R944" s="55"/>
      <c r="S944" s="55"/>
    </row>
    <row r="945" spans="9:19" ht="12.5">
      <c r="I945" s="55"/>
      <c r="J945" s="55"/>
      <c r="K945" s="55"/>
      <c r="L945" s="55"/>
      <c r="M945" s="55"/>
      <c r="N945" s="43"/>
      <c r="O945" s="43"/>
      <c r="P945" s="55"/>
      <c r="Q945" s="55"/>
      <c r="R945" s="55"/>
      <c r="S945" s="55"/>
    </row>
    <row r="946" spans="9:19" ht="12.5">
      <c r="I946" s="55"/>
      <c r="J946" s="55"/>
      <c r="K946" s="55"/>
      <c r="L946" s="55"/>
      <c r="M946" s="55"/>
      <c r="N946" s="43"/>
      <c r="O946" s="43"/>
      <c r="P946" s="55"/>
      <c r="Q946" s="55"/>
      <c r="R946" s="55"/>
      <c r="S946" s="55"/>
    </row>
    <row r="947" spans="9:19" ht="12.5">
      <c r="I947" s="55"/>
      <c r="J947" s="55"/>
      <c r="K947" s="55"/>
      <c r="L947" s="55"/>
      <c r="M947" s="55"/>
      <c r="N947" s="43"/>
      <c r="O947" s="43"/>
      <c r="P947" s="55"/>
      <c r="Q947" s="55"/>
      <c r="R947" s="55"/>
      <c r="S947" s="55"/>
    </row>
    <row r="948" spans="9:19" ht="12.5">
      <c r="I948" s="55"/>
      <c r="J948" s="55"/>
      <c r="K948" s="55"/>
      <c r="L948" s="55"/>
      <c r="M948" s="55"/>
      <c r="N948" s="43"/>
      <c r="O948" s="43"/>
      <c r="P948" s="55"/>
      <c r="Q948" s="55"/>
      <c r="R948" s="55"/>
      <c r="S948" s="55"/>
    </row>
    <row r="949" spans="9:19" ht="12.5">
      <c r="I949" s="55"/>
      <c r="J949" s="55"/>
      <c r="K949" s="55"/>
      <c r="L949" s="55"/>
      <c r="M949" s="55"/>
      <c r="N949" s="43"/>
      <c r="O949" s="43"/>
      <c r="P949" s="55"/>
      <c r="Q949" s="55"/>
      <c r="R949" s="55"/>
      <c r="S949" s="55"/>
    </row>
    <row r="950" spans="9:19" ht="12.5">
      <c r="I950" s="55"/>
      <c r="J950" s="55"/>
      <c r="K950" s="55"/>
      <c r="L950" s="55"/>
      <c r="M950" s="55"/>
      <c r="N950" s="43"/>
      <c r="O950" s="43"/>
      <c r="P950" s="55"/>
      <c r="Q950" s="55"/>
      <c r="R950" s="55"/>
      <c r="S950" s="55"/>
    </row>
    <row r="951" spans="9:19" ht="12.5">
      <c r="I951" s="55"/>
      <c r="J951" s="55"/>
      <c r="K951" s="55"/>
      <c r="L951" s="55"/>
      <c r="M951" s="55"/>
      <c r="N951" s="43"/>
      <c r="O951" s="43"/>
      <c r="P951" s="55"/>
      <c r="Q951" s="55"/>
      <c r="R951" s="55"/>
      <c r="S951" s="55"/>
    </row>
    <row r="952" spans="9:19" ht="12.5">
      <c r="I952" s="55"/>
      <c r="J952" s="55"/>
      <c r="K952" s="55"/>
      <c r="L952" s="55"/>
      <c r="M952" s="55"/>
      <c r="N952" s="43"/>
      <c r="O952" s="43"/>
      <c r="P952" s="55"/>
      <c r="Q952" s="55"/>
      <c r="R952" s="55"/>
      <c r="S952" s="55"/>
    </row>
    <row r="953" spans="9:19" ht="12.5">
      <c r="I953" s="55"/>
      <c r="J953" s="55"/>
      <c r="K953" s="55"/>
      <c r="L953" s="55"/>
      <c r="M953" s="55"/>
      <c r="N953" s="43"/>
      <c r="O953" s="43"/>
      <c r="P953" s="55"/>
      <c r="Q953" s="55"/>
      <c r="R953" s="55"/>
      <c r="S953" s="55"/>
    </row>
    <row r="954" spans="9:19" ht="12.5">
      <c r="I954" s="55"/>
      <c r="J954" s="55"/>
      <c r="K954" s="55"/>
      <c r="L954" s="55"/>
      <c r="M954" s="55"/>
      <c r="N954" s="43"/>
      <c r="O954" s="43"/>
      <c r="P954" s="55"/>
      <c r="Q954" s="55"/>
      <c r="R954" s="55"/>
      <c r="S954" s="55"/>
    </row>
    <row r="955" spans="9:19" ht="12.5">
      <c r="I955" s="55"/>
      <c r="J955" s="55"/>
      <c r="K955" s="55"/>
      <c r="L955" s="55"/>
      <c r="M955" s="55"/>
      <c r="N955" s="43"/>
      <c r="O955" s="43"/>
      <c r="P955" s="55"/>
      <c r="Q955" s="55"/>
      <c r="R955" s="55"/>
      <c r="S955" s="55"/>
    </row>
    <row r="956" spans="9:19" ht="12.5">
      <c r="I956" s="55"/>
      <c r="J956" s="55"/>
      <c r="K956" s="55"/>
      <c r="L956" s="55"/>
      <c r="M956" s="55"/>
      <c r="N956" s="43"/>
      <c r="O956" s="43"/>
      <c r="P956" s="55"/>
      <c r="Q956" s="55"/>
      <c r="R956" s="55"/>
      <c r="S956" s="55"/>
    </row>
    <row r="957" spans="9:19" ht="12.5">
      <c r="I957" s="55"/>
      <c r="J957" s="55"/>
      <c r="K957" s="55"/>
      <c r="L957" s="55"/>
      <c r="M957" s="55"/>
      <c r="N957" s="43"/>
      <c r="O957" s="43"/>
      <c r="P957" s="55"/>
      <c r="Q957" s="55"/>
      <c r="R957" s="55"/>
      <c r="S957" s="55"/>
    </row>
    <row r="958" spans="9:19" ht="12.5">
      <c r="I958" s="55"/>
      <c r="J958" s="55"/>
      <c r="K958" s="55"/>
      <c r="L958" s="55"/>
      <c r="M958" s="55"/>
      <c r="N958" s="43"/>
      <c r="O958" s="43"/>
      <c r="P958" s="55"/>
      <c r="Q958" s="55"/>
      <c r="R958" s="55"/>
      <c r="S958" s="55"/>
    </row>
    <row r="959" spans="9:19" ht="12.5">
      <c r="I959" s="55"/>
      <c r="J959" s="55"/>
      <c r="K959" s="55"/>
      <c r="L959" s="55"/>
      <c r="M959" s="55"/>
      <c r="N959" s="43"/>
      <c r="O959" s="43"/>
      <c r="P959" s="55"/>
      <c r="Q959" s="55"/>
      <c r="R959" s="55"/>
      <c r="S959" s="55"/>
    </row>
    <row r="960" spans="9:19" ht="12.5">
      <c r="I960" s="55"/>
      <c r="J960" s="55"/>
      <c r="K960" s="55"/>
      <c r="L960" s="55"/>
      <c r="M960" s="55"/>
      <c r="N960" s="43"/>
      <c r="O960" s="43"/>
      <c r="P960" s="55"/>
      <c r="Q960" s="55"/>
      <c r="R960" s="55"/>
      <c r="S960" s="55"/>
    </row>
    <row r="961" spans="9:19" ht="12.5">
      <c r="I961" s="55"/>
      <c r="J961" s="55"/>
      <c r="K961" s="55"/>
      <c r="L961" s="55"/>
      <c r="M961" s="55"/>
      <c r="N961" s="43"/>
      <c r="O961" s="43"/>
      <c r="P961" s="55"/>
      <c r="Q961" s="55"/>
      <c r="R961" s="55"/>
      <c r="S961" s="55"/>
    </row>
    <row r="962" spans="9:19" ht="12.5">
      <c r="I962" s="55"/>
      <c r="J962" s="55"/>
      <c r="K962" s="55"/>
      <c r="L962" s="55"/>
      <c r="M962" s="55"/>
      <c r="N962" s="43"/>
      <c r="O962" s="43"/>
      <c r="P962" s="55"/>
      <c r="Q962" s="55"/>
      <c r="R962" s="55"/>
      <c r="S962" s="55"/>
    </row>
    <row r="963" spans="9:19" ht="12.5">
      <c r="I963" s="55"/>
      <c r="J963" s="55"/>
      <c r="K963" s="55"/>
      <c r="L963" s="55"/>
      <c r="M963" s="55"/>
      <c r="N963" s="43"/>
      <c r="O963" s="43"/>
      <c r="P963" s="55"/>
      <c r="Q963" s="55"/>
      <c r="R963" s="55"/>
      <c r="S963" s="55"/>
    </row>
    <row r="964" spans="9:19" ht="12.5">
      <c r="I964" s="55"/>
      <c r="J964" s="55"/>
      <c r="K964" s="55"/>
      <c r="L964" s="55"/>
      <c r="M964" s="55"/>
      <c r="N964" s="43"/>
      <c r="O964" s="43"/>
      <c r="P964" s="55"/>
      <c r="Q964" s="55"/>
      <c r="R964" s="55"/>
      <c r="S964" s="55"/>
    </row>
    <row r="965" spans="9:19" ht="12.5">
      <c r="I965" s="55"/>
      <c r="J965" s="55"/>
      <c r="K965" s="55"/>
      <c r="L965" s="55"/>
      <c r="M965" s="55"/>
      <c r="N965" s="43"/>
      <c r="O965" s="43"/>
      <c r="P965" s="55"/>
      <c r="Q965" s="55"/>
      <c r="R965" s="55"/>
      <c r="S965" s="55"/>
    </row>
    <row r="966" spans="9:19" ht="12.5">
      <c r="I966" s="55"/>
      <c r="J966" s="55"/>
      <c r="K966" s="55"/>
      <c r="L966" s="55"/>
      <c r="M966" s="55"/>
      <c r="N966" s="43"/>
      <c r="O966" s="43"/>
      <c r="P966" s="55"/>
      <c r="Q966" s="55"/>
      <c r="R966" s="55"/>
      <c r="S966" s="55"/>
    </row>
    <row r="967" spans="9:19" ht="12.5">
      <c r="I967" s="55"/>
      <c r="J967" s="55"/>
      <c r="K967" s="55"/>
      <c r="L967" s="55"/>
      <c r="M967" s="55"/>
      <c r="N967" s="43"/>
      <c r="O967" s="43"/>
      <c r="P967" s="55"/>
      <c r="Q967" s="55"/>
      <c r="R967" s="55"/>
      <c r="S967" s="55"/>
    </row>
    <row r="968" spans="9:19" ht="12.5">
      <c r="I968" s="55"/>
      <c r="J968" s="55"/>
      <c r="K968" s="55"/>
      <c r="L968" s="55"/>
      <c r="M968" s="55"/>
      <c r="N968" s="43"/>
      <c r="O968" s="43"/>
      <c r="P968" s="55"/>
      <c r="Q968" s="55"/>
      <c r="R968" s="55"/>
      <c r="S968" s="55"/>
    </row>
    <row r="969" spans="9:19" ht="12.5">
      <c r="I969" s="55"/>
      <c r="J969" s="55"/>
      <c r="K969" s="55"/>
      <c r="L969" s="55"/>
      <c r="M969" s="55"/>
      <c r="N969" s="43"/>
      <c r="O969" s="43"/>
      <c r="P969" s="55"/>
      <c r="Q969" s="55"/>
      <c r="R969" s="55"/>
      <c r="S969" s="55"/>
    </row>
    <row r="970" spans="9:19" ht="12.5">
      <c r="I970" s="55"/>
      <c r="J970" s="55"/>
      <c r="K970" s="55"/>
      <c r="L970" s="55"/>
      <c r="M970" s="55"/>
      <c r="N970" s="43"/>
      <c r="O970" s="43"/>
      <c r="P970" s="55"/>
      <c r="Q970" s="55"/>
      <c r="R970" s="55"/>
      <c r="S970" s="55"/>
    </row>
    <row r="971" spans="9:19" ht="12.5">
      <c r="I971" s="55"/>
      <c r="J971" s="55"/>
      <c r="K971" s="55"/>
      <c r="L971" s="55"/>
      <c r="M971" s="55"/>
      <c r="N971" s="43"/>
      <c r="O971" s="43"/>
      <c r="P971" s="55"/>
      <c r="Q971" s="55"/>
      <c r="R971" s="55"/>
      <c r="S971" s="55"/>
    </row>
    <row r="972" spans="9:19" ht="12.5">
      <c r="I972" s="55"/>
      <c r="J972" s="55"/>
      <c r="K972" s="55"/>
      <c r="L972" s="55"/>
      <c r="M972" s="55"/>
      <c r="N972" s="43"/>
      <c r="O972" s="43"/>
      <c r="P972" s="55"/>
      <c r="Q972" s="55"/>
      <c r="R972" s="55"/>
      <c r="S972" s="55"/>
    </row>
    <row r="973" spans="9:19" ht="12.5">
      <c r="I973" s="55"/>
      <c r="J973" s="55"/>
      <c r="K973" s="55"/>
      <c r="L973" s="55"/>
      <c r="M973" s="55"/>
      <c r="N973" s="43"/>
      <c r="O973" s="43"/>
      <c r="P973" s="55"/>
      <c r="Q973" s="55"/>
      <c r="R973" s="55"/>
      <c r="S973" s="55"/>
    </row>
    <row r="974" spans="9:19" ht="12.5">
      <c r="I974" s="55"/>
      <c r="J974" s="55"/>
      <c r="K974" s="55"/>
      <c r="L974" s="55"/>
      <c r="M974" s="55"/>
      <c r="N974" s="43"/>
      <c r="O974" s="43"/>
      <c r="P974" s="55"/>
      <c r="Q974" s="55"/>
      <c r="R974" s="55"/>
      <c r="S974" s="55"/>
    </row>
    <row r="975" spans="9:19" ht="12.5">
      <c r="I975" s="55"/>
      <c r="J975" s="55"/>
      <c r="K975" s="55"/>
      <c r="L975" s="55"/>
      <c r="M975" s="55"/>
      <c r="N975" s="43"/>
      <c r="O975" s="43"/>
      <c r="P975" s="55"/>
      <c r="Q975" s="55"/>
      <c r="R975" s="55"/>
      <c r="S975" s="55"/>
    </row>
    <row r="976" spans="9:19" ht="12.5">
      <c r="I976" s="55"/>
      <c r="J976" s="55"/>
      <c r="K976" s="55"/>
      <c r="L976" s="55"/>
      <c r="M976" s="55"/>
      <c r="N976" s="43"/>
      <c r="O976" s="43"/>
      <c r="P976" s="55"/>
      <c r="Q976" s="55"/>
      <c r="R976" s="55"/>
      <c r="S976" s="55"/>
    </row>
    <row r="977" spans="9:19" ht="12.5">
      <c r="I977" s="55"/>
      <c r="J977" s="55"/>
      <c r="K977" s="55"/>
      <c r="L977" s="55"/>
      <c r="M977" s="55"/>
      <c r="N977" s="43"/>
      <c r="O977" s="43"/>
      <c r="P977" s="55"/>
      <c r="Q977" s="55"/>
      <c r="R977" s="55"/>
      <c r="S977" s="55"/>
    </row>
    <row r="978" spans="9:19" ht="12.5">
      <c r="I978" s="55"/>
      <c r="J978" s="55"/>
      <c r="K978" s="55"/>
      <c r="L978" s="55"/>
      <c r="M978" s="55"/>
      <c r="N978" s="43"/>
      <c r="O978" s="43"/>
      <c r="P978" s="55"/>
      <c r="Q978" s="55"/>
      <c r="R978" s="55"/>
      <c r="S978" s="55"/>
    </row>
    <row r="979" spans="9:19" ht="12.5">
      <c r="I979" s="55"/>
      <c r="J979" s="55"/>
      <c r="K979" s="55"/>
      <c r="L979" s="55"/>
      <c r="M979" s="55"/>
      <c r="N979" s="43"/>
      <c r="O979" s="43"/>
      <c r="P979" s="55"/>
      <c r="Q979" s="55"/>
      <c r="R979" s="55"/>
      <c r="S979" s="55"/>
    </row>
    <row r="980" spans="9:19" ht="12.5">
      <c r="I980" s="55"/>
      <c r="J980" s="55"/>
      <c r="K980" s="55"/>
      <c r="L980" s="55"/>
      <c r="M980" s="55"/>
      <c r="N980" s="43"/>
      <c r="O980" s="43"/>
      <c r="P980" s="55"/>
      <c r="Q980" s="55"/>
      <c r="R980" s="55"/>
      <c r="S980" s="55"/>
    </row>
    <row r="981" spans="9:19" ht="12.5">
      <c r="I981" s="55"/>
      <c r="J981" s="55"/>
      <c r="K981" s="55"/>
      <c r="L981" s="55"/>
      <c r="M981" s="55"/>
      <c r="N981" s="43"/>
      <c r="O981" s="43"/>
      <c r="P981" s="55"/>
      <c r="Q981" s="55"/>
      <c r="R981" s="55"/>
      <c r="S981" s="55"/>
    </row>
    <row r="982" spans="9:19" ht="12.5">
      <c r="I982" s="55"/>
      <c r="J982" s="55"/>
      <c r="K982" s="55"/>
      <c r="L982" s="55"/>
      <c r="M982" s="55"/>
      <c r="N982" s="43"/>
      <c r="O982" s="43"/>
      <c r="P982" s="55"/>
      <c r="Q982" s="55"/>
      <c r="R982" s="55"/>
      <c r="S982" s="55"/>
    </row>
    <row r="983" spans="9:19" ht="12.5">
      <c r="I983" s="55"/>
      <c r="J983" s="55"/>
      <c r="K983" s="55"/>
      <c r="L983" s="55"/>
      <c r="M983" s="55"/>
      <c r="N983" s="43"/>
      <c r="O983" s="43"/>
      <c r="P983" s="55"/>
      <c r="Q983" s="55"/>
      <c r="R983" s="55"/>
      <c r="S983" s="55"/>
    </row>
    <row r="984" spans="9:19" ht="12.5">
      <c r="I984" s="55"/>
      <c r="J984" s="55"/>
      <c r="K984" s="55"/>
      <c r="L984" s="55"/>
      <c r="M984" s="55"/>
      <c r="N984" s="43"/>
      <c r="O984" s="43"/>
      <c r="P984" s="55"/>
      <c r="Q984" s="55"/>
      <c r="R984" s="55"/>
      <c r="S984" s="55"/>
    </row>
    <row r="985" spans="9:19" ht="12.5">
      <c r="I985" s="55"/>
      <c r="J985" s="55"/>
      <c r="K985" s="55"/>
      <c r="L985" s="55"/>
      <c r="M985" s="55"/>
      <c r="N985" s="43"/>
      <c r="O985" s="43"/>
      <c r="P985" s="55"/>
      <c r="Q985" s="55"/>
      <c r="R985" s="55"/>
      <c r="S985" s="55"/>
    </row>
    <row r="986" spans="9:19" ht="12.5">
      <c r="I986" s="55"/>
      <c r="J986" s="55"/>
      <c r="K986" s="55"/>
      <c r="L986" s="55"/>
      <c r="M986" s="55"/>
      <c r="N986" s="43"/>
      <c r="O986" s="43"/>
      <c r="P986" s="55"/>
      <c r="Q986" s="55"/>
      <c r="R986" s="55"/>
      <c r="S986" s="55"/>
    </row>
    <row r="987" spans="9:19" ht="12.5">
      <c r="I987" s="55"/>
      <c r="J987" s="55"/>
      <c r="K987" s="55"/>
      <c r="L987" s="55"/>
      <c r="M987" s="55"/>
      <c r="N987" s="43"/>
      <c r="O987" s="43"/>
      <c r="P987" s="55"/>
      <c r="Q987" s="55"/>
      <c r="R987" s="55"/>
      <c r="S987" s="55"/>
    </row>
    <row r="988" spans="9:19" ht="12.5">
      <c r="I988" s="55"/>
      <c r="J988" s="55"/>
      <c r="K988" s="55"/>
      <c r="L988" s="55"/>
      <c r="M988" s="55"/>
      <c r="N988" s="43"/>
      <c r="O988" s="43"/>
      <c r="P988" s="55"/>
      <c r="Q988" s="55"/>
      <c r="R988" s="55"/>
      <c r="S988" s="55"/>
    </row>
    <row r="989" spans="9:19" ht="12.5">
      <c r="I989" s="55"/>
      <c r="J989" s="55"/>
      <c r="K989" s="55"/>
      <c r="L989" s="55"/>
      <c r="M989" s="55"/>
      <c r="N989" s="43"/>
      <c r="O989" s="43"/>
      <c r="P989" s="55"/>
      <c r="Q989" s="55"/>
      <c r="R989" s="55"/>
      <c r="S989" s="55"/>
    </row>
    <row r="990" spans="9:19" ht="12.5">
      <c r="I990" s="55"/>
      <c r="J990" s="55"/>
      <c r="K990" s="55"/>
      <c r="L990" s="55"/>
      <c r="M990" s="55"/>
      <c r="N990" s="43"/>
      <c r="O990" s="43"/>
      <c r="P990" s="55"/>
      <c r="Q990" s="55"/>
      <c r="R990" s="55"/>
      <c r="S990" s="55"/>
    </row>
    <row r="991" spans="9:19" ht="12.5">
      <c r="I991" s="55"/>
      <c r="J991" s="55"/>
      <c r="K991" s="55"/>
      <c r="L991" s="55"/>
      <c r="M991" s="55"/>
      <c r="N991" s="43"/>
      <c r="O991" s="43"/>
      <c r="P991" s="55"/>
      <c r="Q991" s="55"/>
      <c r="R991" s="55"/>
      <c r="S991" s="55"/>
    </row>
    <row r="992" spans="9:19" ht="12.5">
      <c r="I992" s="55"/>
      <c r="J992" s="55"/>
      <c r="K992" s="55"/>
      <c r="L992" s="55"/>
      <c r="M992" s="55"/>
      <c r="N992" s="43"/>
      <c r="O992" s="43"/>
      <c r="P992" s="55"/>
      <c r="Q992" s="55"/>
      <c r="R992" s="55"/>
      <c r="S992" s="55"/>
    </row>
    <row r="993" spans="9:19" ht="12.5">
      <c r="I993" s="55"/>
      <c r="J993" s="55"/>
      <c r="K993" s="55"/>
      <c r="L993" s="55"/>
      <c r="M993" s="55"/>
      <c r="N993" s="43"/>
      <c r="O993" s="43"/>
      <c r="P993" s="55"/>
      <c r="Q993" s="55"/>
      <c r="R993" s="55"/>
      <c r="S993" s="55"/>
    </row>
    <row r="994" spans="9:19" ht="12.5">
      <c r="I994" s="55"/>
      <c r="J994" s="55"/>
      <c r="K994" s="55"/>
      <c r="L994" s="55"/>
      <c r="M994" s="55"/>
      <c r="N994" s="43"/>
      <c r="O994" s="43"/>
      <c r="P994" s="55"/>
      <c r="Q994" s="55"/>
      <c r="R994" s="55"/>
      <c r="S994" s="55"/>
    </row>
    <row r="995" spans="9:19" ht="12.5">
      <c r="I995" s="55"/>
      <c r="J995" s="55"/>
      <c r="K995" s="55"/>
      <c r="L995" s="55"/>
      <c r="M995" s="55"/>
      <c r="N995" s="43"/>
      <c r="O995" s="43"/>
      <c r="P995" s="55"/>
      <c r="Q995" s="55"/>
      <c r="R995" s="55"/>
      <c r="S995" s="55"/>
    </row>
    <row r="996" spans="9:19" ht="12.5">
      <c r="I996" s="55"/>
      <c r="J996" s="55"/>
      <c r="K996" s="55"/>
      <c r="L996" s="55"/>
      <c r="M996" s="55"/>
      <c r="N996" s="43"/>
      <c r="O996" s="43"/>
      <c r="P996" s="55"/>
      <c r="Q996" s="55"/>
      <c r="R996" s="55"/>
      <c r="S996" s="55"/>
    </row>
    <row r="997" spans="9:19" ht="12.5">
      <c r="I997" s="55"/>
      <c r="J997" s="55"/>
      <c r="K997" s="55"/>
      <c r="L997" s="55"/>
      <c r="M997" s="55"/>
      <c r="N997" s="43"/>
      <c r="O997" s="43"/>
      <c r="P997" s="55"/>
      <c r="Q997" s="55"/>
      <c r="R997" s="55"/>
      <c r="S997" s="55"/>
    </row>
    <row r="998" spans="9:19" ht="12.5">
      <c r="I998" s="55"/>
      <c r="J998" s="55"/>
      <c r="K998" s="55"/>
      <c r="L998" s="55"/>
      <c r="M998" s="55"/>
      <c r="N998" s="43"/>
      <c r="O998" s="43"/>
      <c r="P998" s="55"/>
      <c r="Q998" s="55"/>
      <c r="R998" s="55"/>
      <c r="S998" s="55"/>
    </row>
    <row r="999" spans="9:19" ht="12.5">
      <c r="I999" s="55"/>
      <c r="J999" s="55"/>
      <c r="K999" s="55"/>
      <c r="L999" s="55"/>
      <c r="M999" s="55"/>
      <c r="N999" s="43"/>
      <c r="O999" s="43"/>
      <c r="P999" s="55"/>
      <c r="Q999" s="55"/>
      <c r="R999" s="55"/>
      <c r="S999" s="55"/>
    </row>
    <row r="1000" spans="9:19" ht="12.5">
      <c r="I1000" s="55"/>
      <c r="J1000" s="55"/>
      <c r="K1000" s="55"/>
      <c r="L1000" s="55"/>
      <c r="M1000" s="55"/>
      <c r="N1000" s="43"/>
      <c r="O1000" s="43"/>
      <c r="P1000" s="55"/>
      <c r="Q1000" s="55"/>
      <c r="R1000" s="55"/>
      <c r="S1000" s="55"/>
    </row>
  </sheetData>
  <mergeCells count="13">
    <mergeCell ref="N1:O1"/>
    <mergeCell ref="P1:Q1"/>
    <mergeCell ref="R1:S1"/>
    <mergeCell ref="B28:B31"/>
    <mergeCell ref="J1:J2"/>
    <mergeCell ref="K1:K2"/>
    <mergeCell ref="L1:L2"/>
    <mergeCell ref="M1:M2"/>
    <mergeCell ref="I1:I2"/>
    <mergeCell ref="A9:B9"/>
    <mergeCell ref="D9:F9"/>
    <mergeCell ref="B20:B23"/>
    <mergeCell ref="B24:B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6">
    <outlinePr summaryBelow="0" summaryRight="0"/>
  </sheetPr>
  <dimension ref="A1:L26"/>
  <sheetViews>
    <sheetView topLeftCell="C1" workbookViewId="0">
      <selection sqref="A1:D1"/>
    </sheetView>
  </sheetViews>
  <sheetFormatPr defaultColWidth="12.54296875" defaultRowHeight="15.75" customHeight="1"/>
  <cols>
    <col min="1" max="1" width="29.1796875" customWidth="1"/>
    <col min="2" max="2" width="7.453125" customWidth="1"/>
    <col min="3" max="3" width="9.453125" customWidth="1"/>
    <col min="4" max="4" width="7.453125" customWidth="1"/>
    <col min="6" max="6" width="9.1796875" customWidth="1"/>
    <col min="7" max="7" width="12.453125" customWidth="1"/>
    <col min="8" max="8" width="7.453125" customWidth="1"/>
    <col min="10" max="10" width="15.7265625" customWidth="1"/>
    <col min="11" max="11" width="9" customWidth="1"/>
  </cols>
  <sheetData>
    <row r="1" spans="1:12" ht="15.75" customHeight="1">
      <c r="A1" s="122" t="s">
        <v>210</v>
      </c>
      <c r="B1" s="113"/>
      <c r="C1" s="113"/>
      <c r="D1" s="113"/>
    </row>
    <row r="2" spans="1:12" ht="13">
      <c r="A2" s="57" t="s">
        <v>211</v>
      </c>
      <c r="B2" s="57" t="s">
        <v>212</v>
      </c>
      <c r="C2" s="57">
        <v>55</v>
      </c>
      <c r="D2" s="57" t="s">
        <v>41</v>
      </c>
      <c r="F2" s="58" t="s">
        <v>213</v>
      </c>
    </row>
    <row r="3" spans="1:12" ht="13">
      <c r="A3" s="57" t="s">
        <v>214</v>
      </c>
      <c r="B3" s="57" t="s">
        <v>215</v>
      </c>
      <c r="C3" s="57">
        <v>3850</v>
      </c>
      <c r="D3" s="57" t="s">
        <v>68</v>
      </c>
      <c r="F3" s="59" t="s">
        <v>216</v>
      </c>
      <c r="H3" s="6" t="s">
        <v>217</v>
      </c>
      <c r="I3" s="6">
        <f>0.08</f>
        <v>0.08</v>
      </c>
    </row>
    <row r="4" spans="1:12" ht="13">
      <c r="A4" s="57" t="s">
        <v>218</v>
      </c>
      <c r="B4" s="57" t="s">
        <v>219</v>
      </c>
      <c r="C4" s="57">
        <v>56000</v>
      </c>
      <c r="D4" s="57" t="s">
        <v>220</v>
      </c>
      <c r="F4" s="60" t="s">
        <v>221</v>
      </c>
    </row>
    <row r="5" spans="1:12" ht="15.75" customHeight="1">
      <c r="A5" s="61" t="s">
        <v>222</v>
      </c>
      <c r="B5" s="57" t="s">
        <v>223</v>
      </c>
      <c r="C5" s="57">
        <v>74000</v>
      </c>
      <c r="D5" s="57" t="s">
        <v>220</v>
      </c>
    </row>
    <row r="6" spans="1:12" ht="15.75" customHeight="1">
      <c r="A6" s="61" t="s">
        <v>224</v>
      </c>
      <c r="B6" s="57" t="s">
        <v>225</v>
      </c>
      <c r="C6" s="57">
        <f>2750/60</f>
        <v>45.833333333333336</v>
      </c>
      <c r="D6" s="57" t="s">
        <v>226</v>
      </c>
    </row>
    <row r="7" spans="1:12" ht="13">
      <c r="A7" s="57" t="s">
        <v>227</v>
      </c>
      <c r="B7" s="57" t="s">
        <v>228</v>
      </c>
      <c r="C7" s="57">
        <v>1.2250000000000001</v>
      </c>
      <c r="D7" s="57" t="s">
        <v>229</v>
      </c>
      <c r="F7" s="116" t="s">
        <v>230</v>
      </c>
      <c r="G7" s="113"/>
      <c r="H7" s="113"/>
      <c r="I7" s="113"/>
    </row>
    <row r="8" spans="1:12" ht="15.75" customHeight="1">
      <c r="F8" s="6" t="s">
        <v>231</v>
      </c>
      <c r="G8" s="6" t="s">
        <v>232</v>
      </c>
      <c r="H8" s="6" t="s">
        <v>233</v>
      </c>
      <c r="I8" s="6" t="s">
        <v>234</v>
      </c>
      <c r="J8" s="6" t="s">
        <v>235</v>
      </c>
      <c r="K8" s="6" t="s">
        <v>236</v>
      </c>
      <c r="L8" s="6" t="s">
        <v>237</v>
      </c>
    </row>
    <row r="9" spans="1:12" ht="15.75" customHeight="1">
      <c r="A9" s="62" t="s">
        <v>238</v>
      </c>
      <c r="B9" s="62" t="s">
        <v>139</v>
      </c>
      <c r="C9" s="62">
        <f>C2* (C7/(C5*C6^2))^(1/5)</f>
        <v>1.3172584279398394</v>
      </c>
      <c r="D9" s="62"/>
      <c r="F9" s="6">
        <v>0</v>
      </c>
      <c r="G9" s="6">
        <v>1.2250000000000001</v>
      </c>
      <c r="H9" s="6">
        <f t="shared" ref="H9:H20" si="0">G9/1.225</f>
        <v>1</v>
      </c>
      <c r="I9" s="19">
        <f t="shared" ref="I9:I20" si="1">$C$5*(H9-$I$3)/(1-$I$3)</f>
        <v>74000</v>
      </c>
      <c r="J9" s="19">
        <f t="shared" ref="J9:J20" si="2">I9/$C$6</f>
        <v>1614.5454545454545</v>
      </c>
      <c r="K9" s="19">
        <f t="shared" ref="K9:K20" si="3">J9 * 1/(G9*$C$13^5)</f>
        <v>89.022166105499466</v>
      </c>
      <c r="L9" s="6">
        <f>I9 /(G9 * C13^5 * 2000^3)</f>
        <v>5.1002282664609068E-7</v>
      </c>
    </row>
    <row r="10" spans="1:12" ht="15.75" customHeight="1">
      <c r="A10" s="6"/>
      <c r="B10" s="6"/>
      <c r="F10" s="6">
        <v>0.5</v>
      </c>
      <c r="G10" s="6">
        <v>1.167</v>
      </c>
      <c r="H10" s="32">
        <f t="shared" si="0"/>
        <v>0.95265306122448978</v>
      </c>
      <c r="I10" s="19">
        <f t="shared" si="1"/>
        <v>70191.65927240462</v>
      </c>
      <c r="J10" s="19">
        <f t="shared" si="2"/>
        <v>1531.4543841251916</v>
      </c>
      <c r="K10" s="19">
        <f t="shared" si="3"/>
        <v>88.63743486343553</v>
      </c>
    </row>
    <row r="11" spans="1:12" ht="15.75" customHeight="1">
      <c r="A11" s="63" t="s">
        <v>239</v>
      </c>
      <c r="B11" s="63" t="s">
        <v>240</v>
      </c>
      <c r="C11" s="63">
        <v>0.81699999999999995</v>
      </c>
      <c r="D11" s="63"/>
      <c r="F11" s="6">
        <v>1</v>
      </c>
      <c r="G11" s="6">
        <v>1.111</v>
      </c>
      <c r="H11" s="32">
        <f t="shared" si="0"/>
        <v>0.90693877551020396</v>
      </c>
      <c r="I11" s="19">
        <f t="shared" si="1"/>
        <v>66514.640638864235</v>
      </c>
      <c r="J11" s="19">
        <f t="shared" si="2"/>
        <v>1451.228523029765</v>
      </c>
      <c r="K11" s="19">
        <f t="shared" si="3"/>
        <v>88.227854131482559</v>
      </c>
    </row>
    <row r="12" spans="1:12" ht="15.75" customHeight="1">
      <c r="A12" s="62" t="s">
        <v>241</v>
      </c>
      <c r="B12" s="62" t="s">
        <v>242</v>
      </c>
      <c r="C12" s="62">
        <v>0.7</v>
      </c>
      <c r="D12" s="62"/>
      <c r="F12" s="6">
        <v>1.5</v>
      </c>
      <c r="G12" s="6">
        <v>1.032</v>
      </c>
      <c r="H12" s="32">
        <f t="shared" si="0"/>
        <v>0.84244897959183673</v>
      </c>
      <c r="I12" s="19">
        <f t="shared" si="1"/>
        <v>61327.417923691217</v>
      </c>
      <c r="J12" s="19">
        <f t="shared" si="2"/>
        <v>1338.0527546987173</v>
      </c>
      <c r="K12" s="19">
        <f t="shared" si="3"/>
        <v>87.57446825764292</v>
      </c>
    </row>
    <row r="13" spans="1:12" ht="15.75" customHeight="1">
      <c r="A13" s="62" t="s">
        <v>243</v>
      </c>
      <c r="B13" s="62" t="s">
        <v>244</v>
      </c>
      <c r="C13" s="64">
        <f>C2/(C12*(C6))</f>
        <v>1.7142857142857142</v>
      </c>
      <c r="D13" s="62"/>
      <c r="F13" s="6">
        <v>2</v>
      </c>
      <c r="G13" s="6">
        <v>1.006</v>
      </c>
      <c r="H13" s="32">
        <f t="shared" si="0"/>
        <v>0.82122448979591833</v>
      </c>
      <c r="I13" s="19">
        <f t="shared" si="1"/>
        <v>59620.230700976041</v>
      </c>
      <c r="J13" s="19">
        <f t="shared" si="2"/>
        <v>1300.8050334758409</v>
      </c>
      <c r="K13" s="19">
        <f t="shared" si="3"/>
        <v>87.336985504142007</v>
      </c>
    </row>
    <row r="14" spans="1:12" ht="15.75" customHeight="1">
      <c r="F14" s="6">
        <v>2.5</v>
      </c>
      <c r="G14" s="65">
        <v>0.95650000000000002</v>
      </c>
      <c r="H14" s="32">
        <f t="shared" si="0"/>
        <v>0.78081632653061217</v>
      </c>
      <c r="I14" s="19">
        <f t="shared" si="1"/>
        <v>56370.008873114457</v>
      </c>
      <c r="J14" s="19">
        <f t="shared" si="2"/>
        <v>1229.8911026861335</v>
      </c>
      <c r="K14" s="19">
        <f t="shared" si="3"/>
        <v>86.849166573753124</v>
      </c>
    </row>
    <row r="15" spans="1:12" ht="15.75" customHeight="1">
      <c r="A15" s="63" t="s">
        <v>245</v>
      </c>
      <c r="B15" s="63" t="s">
        <v>246</v>
      </c>
      <c r="C15" s="63">
        <v>325.2</v>
      </c>
      <c r="D15" s="63" t="s">
        <v>41</v>
      </c>
      <c r="F15" s="6">
        <v>3</v>
      </c>
      <c r="G15" s="6">
        <v>0.90800000000000003</v>
      </c>
      <c r="H15" s="32">
        <f t="shared" si="0"/>
        <v>0.74122448979591837</v>
      </c>
      <c r="I15" s="19">
        <f t="shared" si="1"/>
        <v>53185.448092280392</v>
      </c>
      <c r="J15" s="19">
        <f t="shared" si="2"/>
        <v>1160.4097765588449</v>
      </c>
      <c r="K15" s="19">
        <f t="shared" si="3"/>
        <v>86.319616148073365</v>
      </c>
    </row>
    <row r="16" spans="1:12" ht="15.75" customHeight="1">
      <c r="A16" s="63" t="s">
        <v>247</v>
      </c>
      <c r="B16" s="63" t="s">
        <v>248</v>
      </c>
      <c r="C16" s="63">
        <f>1.2*C2</f>
        <v>66</v>
      </c>
      <c r="D16" s="63"/>
      <c r="F16" s="6">
        <v>3.5</v>
      </c>
      <c r="G16" s="6">
        <v>0.86299999999999999</v>
      </c>
      <c r="H16" s="32">
        <f t="shared" si="0"/>
        <v>0.70448979591836725</v>
      </c>
      <c r="I16" s="19">
        <f t="shared" si="1"/>
        <v>50230.700976042586</v>
      </c>
      <c r="J16" s="19">
        <f t="shared" si="2"/>
        <v>1095.94256675002</v>
      </c>
      <c r="K16" s="19">
        <f t="shared" si="3"/>
        <v>85.775047950409444</v>
      </c>
    </row>
    <row r="17" spans="1:11" ht="15.75" customHeight="1">
      <c r="A17" s="62" t="s">
        <v>249</v>
      </c>
      <c r="B17" s="62" t="s">
        <v>250</v>
      </c>
      <c r="C17" s="62">
        <f>SQRT(C16^2 + (PI() * C6 * C13)^2)/(C15)</f>
        <v>0.78570315618271525</v>
      </c>
      <c r="D17" s="62"/>
      <c r="F17" s="6">
        <v>4</v>
      </c>
      <c r="G17" s="6">
        <v>0.81899999999999995</v>
      </c>
      <c r="H17" s="32">
        <f t="shared" si="0"/>
        <v>0.66857142857142848</v>
      </c>
      <c r="I17" s="19">
        <f t="shared" si="1"/>
        <v>47341.614906832292</v>
      </c>
      <c r="J17" s="19">
        <f t="shared" si="2"/>
        <v>1032.9079616036136</v>
      </c>
      <c r="K17" s="19">
        <f t="shared" si="3"/>
        <v>85.184718588502818</v>
      </c>
    </row>
    <row r="18" spans="1:11" ht="15.75" customHeight="1">
      <c r="F18" s="6">
        <v>4.5</v>
      </c>
      <c r="G18" s="6">
        <v>0.76800000000000002</v>
      </c>
      <c r="H18" s="32">
        <f t="shared" si="0"/>
        <v>0.62693877551020405</v>
      </c>
      <c r="I18" s="19">
        <f t="shared" si="1"/>
        <v>43992.901508429459</v>
      </c>
      <c r="J18" s="19">
        <f t="shared" si="2"/>
        <v>959.84512382027901</v>
      </c>
      <c r="K18" s="19">
        <f t="shared" si="3"/>
        <v>84.415833461680023</v>
      </c>
    </row>
    <row r="19" spans="1:11" ht="15.75" customHeight="1">
      <c r="A19" s="62" t="s">
        <v>251</v>
      </c>
      <c r="B19" s="62" t="s">
        <v>252</v>
      </c>
      <c r="C19" s="62">
        <f>C4 *C11</f>
        <v>45752</v>
      </c>
      <c r="D19" s="62"/>
      <c r="F19" s="6">
        <v>5</v>
      </c>
      <c r="G19" s="6">
        <v>0.73599999999999999</v>
      </c>
      <c r="H19" s="32">
        <f t="shared" si="0"/>
        <v>0.60081632653061223</v>
      </c>
      <c r="I19" s="19">
        <f t="shared" si="1"/>
        <v>41891.748003549248</v>
      </c>
      <c r="J19" s="19">
        <f t="shared" si="2"/>
        <v>914.00177462289264</v>
      </c>
      <c r="K19" s="19">
        <f t="shared" si="3"/>
        <v>83.878990393591479</v>
      </c>
    </row>
    <row r="20" spans="1:11" ht="15.75" customHeight="1">
      <c r="F20" s="6">
        <v>5.5</v>
      </c>
      <c r="G20" s="6">
        <v>0.69699999999999995</v>
      </c>
      <c r="H20" s="32">
        <f t="shared" si="0"/>
        <v>0.56897959183673463</v>
      </c>
      <c r="I20" s="19">
        <f t="shared" si="1"/>
        <v>39330.967169476477</v>
      </c>
      <c r="J20" s="19">
        <f t="shared" si="2"/>
        <v>858.13019278857757</v>
      </c>
      <c r="K20" s="19">
        <f t="shared" si="3"/>
        <v>83.158064838740827</v>
      </c>
    </row>
    <row r="21" spans="1:11" ht="15.75" customHeight="1">
      <c r="A21" s="6" t="s">
        <v>253</v>
      </c>
      <c r="B21" s="6" t="s">
        <v>254</v>
      </c>
    </row>
    <row r="26" spans="1:11" ht="13">
      <c r="I26" s="17"/>
    </row>
  </sheetData>
  <mergeCells count="2">
    <mergeCell ref="A1:D1"/>
    <mergeCell ref="F7:I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7">
    <outlinePr summaryBelow="0" summaryRight="0"/>
  </sheetPr>
  <dimension ref="A1:S1001"/>
  <sheetViews>
    <sheetView workbookViewId="0">
      <selection activeCell="Q7" sqref="Q7"/>
    </sheetView>
  </sheetViews>
  <sheetFormatPr defaultColWidth="12.54296875" defaultRowHeight="15.75" customHeight="1"/>
  <cols>
    <col min="7" max="7" width="9.26953125" customWidth="1"/>
    <col min="8" max="8" width="5.453125" customWidth="1"/>
    <col min="9" max="9" width="6.26953125" customWidth="1"/>
    <col min="10" max="19" width="8.54296875" customWidth="1"/>
  </cols>
  <sheetData>
    <row r="1" spans="1:19" ht="13">
      <c r="C1" s="66"/>
      <c r="H1" s="23"/>
      <c r="I1" s="123" t="s">
        <v>164</v>
      </c>
      <c r="J1" s="109"/>
      <c r="K1" s="124"/>
      <c r="L1" s="109"/>
      <c r="M1" s="19"/>
      <c r="N1" s="19"/>
      <c r="O1" s="19"/>
      <c r="P1" s="19"/>
      <c r="Q1" s="67">
        <f>$G$2+J3*$C$15+$C$33+($C$32)*J3</f>
        <v>7.1783389830508471E-2</v>
      </c>
      <c r="R1" s="19"/>
      <c r="S1" s="19"/>
    </row>
    <row r="2" spans="1:19" ht="15.65" customHeight="1">
      <c r="B2" s="6" t="s">
        <v>255</v>
      </c>
      <c r="C2" s="66">
        <v>1.5</v>
      </c>
      <c r="F2" s="6" t="s">
        <v>256</v>
      </c>
      <c r="G2" s="5">
        <v>-4.8000000000000001E-2</v>
      </c>
      <c r="H2" s="68" t="s">
        <v>9</v>
      </c>
      <c r="I2" s="69" t="s">
        <v>10</v>
      </c>
      <c r="J2" s="70" t="s">
        <v>13</v>
      </c>
      <c r="K2" s="70" t="s">
        <v>16</v>
      </c>
      <c r="L2" s="70" t="s">
        <v>18</v>
      </c>
      <c r="M2" s="70" t="s">
        <v>257</v>
      </c>
      <c r="N2" s="70" t="s">
        <v>258</v>
      </c>
      <c r="O2" s="70" t="s">
        <v>259</v>
      </c>
      <c r="P2" s="70" t="s">
        <v>260</v>
      </c>
      <c r="Q2" s="70" t="s">
        <v>261</v>
      </c>
      <c r="R2" s="70" t="s">
        <v>262</v>
      </c>
      <c r="S2" s="70" t="s">
        <v>263</v>
      </c>
    </row>
    <row r="3" spans="1:19" ht="15.75" customHeight="1">
      <c r="B3" s="6" t="s">
        <v>264</v>
      </c>
      <c r="C3" s="66">
        <v>0.23899999999999999</v>
      </c>
      <c r="F3" s="6" t="s">
        <v>265</v>
      </c>
      <c r="H3" s="71">
        <v>1</v>
      </c>
      <c r="I3" s="72">
        <v>-18.514285714285698</v>
      </c>
      <c r="J3" s="73">
        <v>-0.84745762711864403</v>
      </c>
      <c r="K3" s="73">
        <v>4.8312366259894768E-2</v>
      </c>
      <c r="L3" s="73">
        <v>-20.91651817757942</v>
      </c>
      <c r="M3" s="73">
        <f t="shared" ref="M3:M45" si="0">-0.00242-J3*$C$32</f>
        <v>-2.3775932203389829E-2</v>
      </c>
      <c r="N3" s="73">
        <f t="shared" ref="N3:N45" si="1">$G$2 + J3*$C$15-((K3- L3*PI()/180*J3)*$C$13)</f>
        <v>-9.024308289392366E-3</v>
      </c>
      <c r="O3" s="73">
        <f t="shared" ref="O3:O45" si="2">$G$2 + J3*$C$16-(K3- L3*PI()/180*J3)*$C$13</f>
        <v>-0.11919379981481609</v>
      </c>
      <c r="P3" s="73">
        <f t="shared" ref="P3:P45" si="3">$G$2 + J3*$C$17-(K3- L3*PI()/180*J3)*$C$13</f>
        <v>-0.22936329134023981</v>
      </c>
      <c r="Q3" s="73">
        <f t="shared" ref="Q3:Q45" si="4">M3+N3</f>
        <v>-3.2800240492782198E-2</v>
      </c>
      <c r="R3" s="74">
        <f t="shared" ref="R3:R45" si="5">M3+O3</f>
        <v>-0.14296973201820593</v>
      </c>
      <c r="S3" s="73">
        <f t="shared" ref="S3:S45" si="6">M3+P3</f>
        <v>-0.25313922354362961</v>
      </c>
    </row>
    <row r="4" spans="1:19" ht="15.75" customHeight="1">
      <c r="B4" s="6" t="s">
        <v>266</v>
      </c>
      <c r="C4" s="66">
        <v>8.9999999999999993E-3</v>
      </c>
      <c r="F4" s="6" t="s">
        <v>267</v>
      </c>
      <c r="H4" s="71">
        <v>2</v>
      </c>
      <c r="I4" s="72">
        <v>-17.1428571428571</v>
      </c>
      <c r="J4" s="73">
        <v>-0.88700564971751295</v>
      </c>
      <c r="K4" s="73">
        <v>5.2465879485296546E-2</v>
      </c>
      <c r="L4" s="73">
        <v>-19.654411500004898</v>
      </c>
      <c r="M4" s="73">
        <f t="shared" si="0"/>
        <v>-2.4772542372881325E-2</v>
      </c>
      <c r="N4" s="73">
        <f t="shared" si="1"/>
        <v>-2.1246786264394885E-3</v>
      </c>
      <c r="O4" s="73">
        <f t="shared" si="2"/>
        <v>-0.11743541308971617</v>
      </c>
      <c r="P4" s="73">
        <f>$G$2 + J4*$C$17-(K4- L4*PI()/180*J4)*$C$13</f>
        <v>-0.23274614755299289</v>
      </c>
      <c r="Q4" s="73">
        <f t="shared" si="4"/>
        <v>-2.6897220999320813E-2</v>
      </c>
      <c r="R4" s="74">
        <f t="shared" si="5"/>
        <v>-0.14220795546259749</v>
      </c>
      <c r="S4" s="73">
        <f t="shared" si="6"/>
        <v>-0.25751868992587423</v>
      </c>
    </row>
    <row r="5" spans="1:19" ht="15.75" customHeight="1">
      <c r="B5" s="6" t="s">
        <v>268</v>
      </c>
      <c r="C5" s="66">
        <v>0.28000000000000003</v>
      </c>
      <c r="H5" s="71">
        <v>3</v>
      </c>
      <c r="I5" s="72">
        <v>-16.571428571428498</v>
      </c>
      <c r="J5" s="73">
        <v>-0.93785310734463301</v>
      </c>
      <c r="K5" s="73">
        <v>5.868612261359088E-2</v>
      </c>
      <c r="L5" s="73">
        <v>-19.237697092493136</v>
      </c>
      <c r="M5" s="73">
        <f t="shared" si="0"/>
        <v>-2.6053898305084752E-2</v>
      </c>
      <c r="N5" s="73">
        <f t="shared" si="1"/>
        <v>2.8831006030469383E-3</v>
      </c>
      <c r="O5" s="73">
        <f t="shared" si="2"/>
        <v>-0.11903780335175536</v>
      </c>
      <c r="P5" s="73">
        <f t="shared" si="3"/>
        <v>-0.24095870730655763</v>
      </c>
      <c r="Q5" s="73">
        <f t="shared" si="4"/>
        <v>-2.3170797702037813E-2</v>
      </c>
      <c r="R5" s="74">
        <f t="shared" si="5"/>
        <v>-0.1450917016568401</v>
      </c>
      <c r="S5" s="73">
        <f t="shared" si="6"/>
        <v>-0.26701260561164236</v>
      </c>
    </row>
    <row r="6" spans="1:19" ht="15.75" customHeight="1">
      <c r="A6" s="75" t="s">
        <v>269</v>
      </c>
      <c r="B6" s="75" t="s">
        <v>270</v>
      </c>
      <c r="C6" s="76">
        <v>0.246</v>
      </c>
      <c r="H6" s="71">
        <v>4</v>
      </c>
      <c r="I6" s="72">
        <v>-16.1142857142857</v>
      </c>
      <c r="J6" s="73">
        <v>-0.99435028248587498</v>
      </c>
      <c r="K6" s="73">
        <v>6.5870774879238758E-2</v>
      </c>
      <c r="L6" s="73">
        <v>-18.927216749846981</v>
      </c>
      <c r="M6" s="73">
        <f t="shared" si="0"/>
        <v>-2.7477627118644047E-2</v>
      </c>
      <c r="N6" s="73">
        <f t="shared" si="1"/>
        <v>8.0902665625708706E-3</v>
      </c>
      <c r="O6" s="73">
        <f t="shared" si="2"/>
        <v>-0.12117527016059287</v>
      </c>
      <c r="P6" s="73">
        <f t="shared" si="3"/>
        <v>-0.25044080688375664</v>
      </c>
      <c r="Q6" s="73">
        <f t="shared" si="4"/>
        <v>-1.9387360556073176E-2</v>
      </c>
      <c r="R6" s="74">
        <f t="shared" si="5"/>
        <v>-0.14865289727923692</v>
      </c>
      <c r="S6" s="73">
        <f t="shared" si="6"/>
        <v>-0.27791843400240068</v>
      </c>
    </row>
    <row r="7" spans="1:19" ht="15.75" customHeight="1">
      <c r="C7" s="66"/>
      <c r="H7" s="71">
        <v>5</v>
      </c>
      <c r="I7" s="72">
        <v>-15.0857142857142</v>
      </c>
      <c r="J7" s="73">
        <v>-1.0734463276836099</v>
      </c>
      <c r="K7" s="73">
        <v>7.7633253187835621E-2</v>
      </c>
      <c r="L7" s="73">
        <v>-18.1255452018436</v>
      </c>
      <c r="M7" s="73">
        <f t="shared" si="0"/>
        <v>-2.9470847457626969E-2</v>
      </c>
      <c r="N7" s="73">
        <f t="shared" si="1"/>
        <v>1.7657496681335226E-2</v>
      </c>
      <c r="O7" s="73">
        <f t="shared" si="2"/>
        <v>-0.12189052591753405</v>
      </c>
      <c r="P7" s="73">
        <f t="shared" si="3"/>
        <v>-0.26143854851640336</v>
      </c>
      <c r="Q7" s="73">
        <f t="shared" si="4"/>
        <v>-1.1813350776291743E-2</v>
      </c>
      <c r="R7" s="74">
        <f t="shared" si="5"/>
        <v>-0.15136137337516101</v>
      </c>
      <c r="S7" s="73">
        <f t="shared" si="6"/>
        <v>-0.29090939597403032</v>
      </c>
    </row>
    <row r="8" spans="1:19" ht="15.75" customHeight="1">
      <c r="B8" s="6" t="s">
        <v>271</v>
      </c>
      <c r="C8" s="66">
        <v>0.12</v>
      </c>
      <c r="H8" s="71">
        <v>6</v>
      </c>
      <c r="I8" s="72">
        <v>-13.4857142857142</v>
      </c>
      <c r="J8" s="73">
        <v>-1.0621468926553601</v>
      </c>
      <c r="K8" s="73">
        <v>7.6391447030614512E-2</v>
      </c>
      <c r="L8" s="73">
        <v>-16.506707874914532</v>
      </c>
      <c r="M8" s="73">
        <f t="shared" si="0"/>
        <v>-2.9186101694915072E-2</v>
      </c>
      <c r="N8" s="73">
        <f t="shared" si="1"/>
        <v>2.3978087937127565E-2</v>
      </c>
      <c r="O8" s="73">
        <f t="shared" si="2"/>
        <v>-0.11410100810806925</v>
      </c>
      <c r="P8" s="73">
        <f t="shared" si="3"/>
        <v>-0.25218010415326608</v>
      </c>
      <c r="Q8" s="73">
        <f t="shared" si="4"/>
        <v>-5.2080137577875073E-3</v>
      </c>
      <c r="R8" s="74">
        <f t="shared" si="5"/>
        <v>-0.14328710980298431</v>
      </c>
      <c r="S8" s="73">
        <f t="shared" si="6"/>
        <v>-0.28136620584818117</v>
      </c>
    </row>
    <row r="9" spans="1:19" ht="15.75" customHeight="1">
      <c r="B9" s="6" t="s">
        <v>272</v>
      </c>
      <c r="C9" s="66">
        <v>0.25</v>
      </c>
      <c r="H9" s="71">
        <v>7</v>
      </c>
      <c r="I9" s="72">
        <v>-12</v>
      </c>
      <c r="J9" s="73">
        <v>-0.98305084745762705</v>
      </c>
      <c r="K9" s="73">
        <v>6.3653741358226268E-2</v>
      </c>
      <c r="L9" s="73">
        <v>-14.766263618637257</v>
      </c>
      <c r="M9" s="73">
        <f t="shared" si="0"/>
        <v>-2.7192881355932199E-2</v>
      </c>
      <c r="N9" s="73">
        <f t="shared" si="1"/>
        <v>2.402461470506409E-2</v>
      </c>
      <c r="O9" s="73">
        <f t="shared" si="2"/>
        <v>-0.10377199546442742</v>
      </c>
      <c r="P9" s="73">
        <f t="shared" si="3"/>
        <v>-0.23156860563391896</v>
      </c>
      <c r="Q9" s="73">
        <f t="shared" si="4"/>
        <v>-3.1682666508681089E-3</v>
      </c>
      <c r="R9" s="74">
        <f t="shared" si="5"/>
        <v>-0.13096487682035962</v>
      </c>
      <c r="S9" s="73">
        <f t="shared" si="6"/>
        <v>-0.25876148698985113</v>
      </c>
    </row>
    <row r="10" spans="1:19" ht="15.75" customHeight="1">
      <c r="B10" s="6" t="s">
        <v>273</v>
      </c>
      <c r="C10" s="66">
        <v>0.38</v>
      </c>
      <c r="H10" s="71">
        <v>8</v>
      </c>
      <c r="I10" s="72">
        <v>-10.742857142857099</v>
      </c>
      <c r="J10" s="73">
        <v>-0.85875706214689196</v>
      </c>
      <c r="K10" s="73">
        <v>5.0318383442274302E-2</v>
      </c>
      <c r="L10" s="73">
        <v>-13.197971880989236</v>
      </c>
      <c r="M10" s="73">
        <f t="shared" si="0"/>
        <v>-2.4060677966101677E-2</v>
      </c>
      <c r="N10" s="73">
        <f t="shared" si="1"/>
        <v>1.9235859959130235E-2</v>
      </c>
      <c r="O10" s="73">
        <f t="shared" si="2"/>
        <v>-9.2402558119965728E-2</v>
      </c>
      <c r="P10" s="73">
        <f t="shared" si="3"/>
        <v>-0.20404097619906167</v>
      </c>
      <c r="Q10" s="73">
        <f t="shared" si="4"/>
        <v>-4.8248180069714423E-3</v>
      </c>
      <c r="R10" s="74">
        <f t="shared" si="5"/>
        <v>-0.1164632360860674</v>
      </c>
      <c r="S10" s="73">
        <f t="shared" si="6"/>
        <v>-0.22810165416516334</v>
      </c>
    </row>
    <row r="11" spans="1:19" ht="15.75" customHeight="1">
      <c r="C11" s="66"/>
      <c r="H11" s="71">
        <v>9</v>
      </c>
      <c r="I11" s="72">
        <v>-9.3714285714285595</v>
      </c>
      <c r="J11" s="73">
        <v>-0.73446327683615797</v>
      </c>
      <c r="K11" s="73">
        <v>3.7294271487866057E-2</v>
      </c>
      <c r="L11" s="73">
        <v>-11.439306317140108</v>
      </c>
      <c r="M11" s="73">
        <f t="shared" si="0"/>
        <v>-2.0928474576271179E-2</v>
      </c>
      <c r="N11" s="73">
        <f t="shared" si="1"/>
        <v>1.3486617119771956E-2</v>
      </c>
      <c r="O11" s="73">
        <f t="shared" si="2"/>
        <v>-8.1993608868928591E-2</v>
      </c>
      <c r="P11" s="73">
        <f t="shared" si="3"/>
        <v>-0.1774738348576291</v>
      </c>
      <c r="Q11" s="73">
        <f t="shared" si="4"/>
        <v>-7.4418574564992235E-3</v>
      </c>
      <c r="R11" s="74">
        <f t="shared" si="5"/>
        <v>-0.10292208344519976</v>
      </c>
      <c r="S11" s="73">
        <f t="shared" si="6"/>
        <v>-0.19840230943390028</v>
      </c>
    </row>
    <row r="12" spans="1:19" ht="15.75" customHeight="1">
      <c r="B12" s="6" t="s">
        <v>274</v>
      </c>
      <c r="C12" s="66">
        <f>C5-C3</f>
        <v>4.1000000000000036E-2</v>
      </c>
      <c r="H12" s="71">
        <v>10</v>
      </c>
      <c r="I12" s="72">
        <v>-8.6857142857142797</v>
      </c>
      <c r="J12" s="73">
        <v>-0.66101694915254205</v>
      </c>
      <c r="K12" s="73">
        <v>3.1852682854006623E-2</v>
      </c>
      <c r="L12" s="73">
        <v>-10.553589297882796</v>
      </c>
      <c r="M12" s="73">
        <f t="shared" si="0"/>
        <v>-1.907762711864406E-2</v>
      </c>
      <c r="N12" s="73">
        <f t="shared" si="1"/>
        <v>9.353945387562488E-3</v>
      </c>
      <c r="O12" s="73">
        <f t="shared" si="2"/>
        <v>-7.6578258002267988E-2</v>
      </c>
      <c r="P12" s="73">
        <f t="shared" si="3"/>
        <v>-0.16251046139209846</v>
      </c>
      <c r="Q12" s="73">
        <f t="shared" si="4"/>
        <v>-9.7236817310815717E-3</v>
      </c>
      <c r="R12" s="74">
        <f t="shared" si="5"/>
        <v>-9.5655885120912054E-2</v>
      </c>
      <c r="S12" s="73">
        <f t="shared" si="6"/>
        <v>-0.18158808851074251</v>
      </c>
    </row>
    <row r="13" spans="1:19" ht="15.75" customHeight="1">
      <c r="B13" s="6" t="s">
        <v>275</v>
      </c>
      <c r="C13" s="66">
        <f>C4-C6</f>
        <v>-0.23699999999999999</v>
      </c>
      <c r="H13" s="71">
        <v>11</v>
      </c>
      <c r="I13" s="72">
        <v>-8</v>
      </c>
      <c r="J13" s="73">
        <v>-0.57627118644067798</v>
      </c>
      <c r="K13" s="73">
        <v>2.7012978173735405E-2</v>
      </c>
      <c r="L13" s="73">
        <v>-9.6665914826070818</v>
      </c>
      <c r="M13" s="73">
        <f t="shared" si="0"/>
        <v>-1.6942033898305085E-2</v>
      </c>
      <c r="N13" s="73">
        <f t="shared" si="1"/>
        <v>3.9360386447135874E-3</v>
      </c>
      <c r="O13" s="73">
        <f t="shared" si="2"/>
        <v>-7.0979215592574557E-2</v>
      </c>
      <c r="P13" s="73">
        <f t="shared" si="3"/>
        <v>-0.14589446982986271</v>
      </c>
      <c r="Q13" s="73">
        <f t="shared" si="4"/>
        <v>-1.3005995253591498E-2</v>
      </c>
      <c r="R13" s="74">
        <f t="shared" si="5"/>
        <v>-8.7921249490879649E-2</v>
      </c>
      <c r="S13" s="73">
        <f t="shared" si="6"/>
        <v>-0.1628365037281678</v>
      </c>
    </row>
    <row r="14" spans="1:19" ht="15.75" customHeight="1">
      <c r="C14" s="66"/>
      <c r="H14" s="71">
        <v>12</v>
      </c>
      <c r="I14" s="72">
        <v>-7.3142857142857096</v>
      </c>
      <c r="J14" s="73">
        <v>-0.51977401129943501</v>
      </c>
      <c r="K14" s="73">
        <v>2.2647045457975752E-2</v>
      </c>
      <c r="L14" s="73">
        <v>-8.7787854791577278</v>
      </c>
      <c r="M14" s="73">
        <f t="shared" si="0"/>
        <v>-1.5518305084745762E-2</v>
      </c>
      <c r="N14" s="73">
        <f t="shared" si="1"/>
        <v>3.4598947250756747E-4</v>
      </c>
      <c r="O14" s="73">
        <f t="shared" si="2"/>
        <v>-6.7224631996418982E-2</v>
      </c>
      <c r="P14" s="73">
        <f t="shared" si="3"/>
        <v>-0.13479525346534554</v>
      </c>
      <c r="Q14" s="73">
        <f t="shared" si="4"/>
        <v>-1.5172315612238195E-2</v>
      </c>
      <c r="R14" s="74">
        <f t="shared" si="5"/>
        <v>-8.2742937081164744E-2</v>
      </c>
      <c r="S14" s="73">
        <f t="shared" si="6"/>
        <v>-0.15031355855009132</v>
      </c>
    </row>
    <row r="15" spans="1:19" ht="15.75" customHeight="1">
      <c r="B15" s="6" t="s">
        <v>276</v>
      </c>
      <c r="C15" s="66">
        <f t="shared" ref="C15:C17" si="7">C8 - $C$3</f>
        <v>-0.11899999999999999</v>
      </c>
      <c r="H15" s="71">
        <v>13</v>
      </c>
      <c r="I15" s="72">
        <v>-6.6285714285714201</v>
      </c>
      <c r="J15" s="73">
        <v>-0.45762711864406802</v>
      </c>
      <c r="K15" s="73">
        <v>1.8708577161275275E-2</v>
      </c>
      <c r="L15" s="73">
        <v>-7.89051011024688</v>
      </c>
      <c r="M15" s="73">
        <f t="shared" si="0"/>
        <v>-1.3952203389830515E-2</v>
      </c>
      <c r="N15" s="73">
        <f t="shared" si="1"/>
        <v>-4.0447235444294547E-3</v>
      </c>
      <c r="O15" s="73">
        <f t="shared" si="2"/>
        <v>-6.3536248968158293E-2</v>
      </c>
      <c r="P15" s="73">
        <f t="shared" si="3"/>
        <v>-0.12302777439188714</v>
      </c>
      <c r="Q15" s="73">
        <f t="shared" si="4"/>
        <v>-1.7996926934259971E-2</v>
      </c>
      <c r="R15" s="74">
        <f t="shared" si="5"/>
        <v>-7.7488452357988805E-2</v>
      </c>
      <c r="S15" s="73">
        <f t="shared" si="6"/>
        <v>-0.13697997778171767</v>
      </c>
    </row>
    <row r="16" spans="1:19" ht="15.75" customHeight="1">
      <c r="B16" s="6" t="s">
        <v>277</v>
      </c>
      <c r="C16" s="66">
        <f t="shared" si="7"/>
        <v>1.100000000000001E-2</v>
      </c>
      <c r="H16" s="71">
        <v>14</v>
      </c>
      <c r="I16" s="72">
        <v>-5.25714285714285</v>
      </c>
      <c r="J16" s="73">
        <v>-0.29378531073446301</v>
      </c>
      <c r="K16" s="73">
        <v>1.2359964048372397E-2</v>
      </c>
      <c r="L16" s="73">
        <v>-6.1170792816261557</v>
      </c>
      <c r="M16" s="73">
        <f t="shared" si="0"/>
        <v>-9.8233898305084676E-3</v>
      </c>
      <c r="N16" s="73">
        <f t="shared" si="1"/>
        <v>-1.7543848730917241E-2</v>
      </c>
      <c r="O16" s="73">
        <f t="shared" si="2"/>
        <v>-5.5735939126397432E-2</v>
      </c>
      <c r="P16" s="73">
        <f t="shared" si="3"/>
        <v>-9.3928029521877621E-2</v>
      </c>
      <c r="Q16" s="73">
        <f t="shared" si="4"/>
        <v>-2.7367238561425707E-2</v>
      </c>
      <c r="R16" s="74">
        <f t="shared" si="5"/>
        <v>-6.5559328956905902E-2</v>
      </c>
      <c r="S16" s="73">
        <f t="shared" si="6"/>
        <v>-0.10375141935238609</v>
      </c>
    </row>
    <row r="17" spans="2:19" ht="15.75" customHeight="1">
      <c r="B17" s="6" t="s">
        <v>278</v>
      </c>
      <c r="C17" s="66">
        <f t="shared" si="7"/>
        <v>0.14100000000000001</v>
      </c>
      <c r="H17" s="71">
        <v>15</v>
      </c>
      <c r="I17" s="72">
        <v>-4.3428571428571399</v>
      </c>
      <c r="J17" s="73">
        <v>-0.209039548022599</v>
      </c>
      <c r="K17" s="73">
        <v>9.5225902582855293E-3</v>
      </c>
      <c r="L17" s="73">
        <v>-4.9424731738267207</v>
      </c>
      <c r="M17" s="73">
        <f t="shared" si="0"/>
        <v>-7.687796610169495E-3</v>
      </c>
      <c r="N17" s="73">
        <f t="shared" si="1"/>
        <v>-2.5141085370513214E-2</v>
      </c>
      <c r="O17" s="73">
        <f t="shared" si="2"/>
        <v>-5.2316226613451089E-2</v>
      </c>
      <c r="P17" s="73">
        <f t="shared" si="3"/>
        <v>-7.9491367856388967E-2</v>
      </c>
      <c r="Q17" s="73">
        <f t="shared" si="4"/>
        <v>-3.2828881980682706E-2</v>
      </c>
      <c r="R17" s="74">
        <f t="shared" si="5"/>
        <v>-6.0004023223620584E-2</v>
      </c>
      <c r="S17" s="73">
        <f t="shared" si="6"/>
        <v>-8.7179164466558462E-2</v>
      </c>
    </row>
    <row r="18" spans="2:19" ht="15.75" customHeight="1">
      <c r="C18" s="66"/>
      <c r="H18" s="71">
        <v>16</v>
      </c>
      <c r="I18" s="72">
        <v>-3.4285714285714302</v>
      </c>
      <c r="J18" s="73">
        <v>-0.124293785310734</v>
      </c>
      <c r="K18" s="73">
        <v>7.8086220669495035E-3</v>
      </c>
      <c r="L18" s="73">
        <v>-3.7760691245714817</v>
      </c>
      <c r="M18" s="73">
        <f t="shared" si="0"/>
        <v>-5.5522033898304964E-3</v>
      </c>
      <c r="N18" s="73">
        <f t="shared" si="1"/>
        <v>-3.3299796290928441E-2</v>
      </c>
      <c r="O18" s="73">
        <f t="shared" si="2"/>
        <v>-4.9457988381323856E-2</v>
      </c>
      <c r="P18" s="73">
        <f t="shared" si="3"/>
        <v>-6.5616180471719271E-2</v>
      </c>
      <c r="Q18" s="73">
        <f t="shared" si="4"/>
        <v>-3.8851999680758934E-2</v>
      </c>
      <c r="R18" s="74">
        <f t="shared" si="5"/>
        <v>-5.5010191771154349E-2</v>
      </c>
      <c r="S18" s="73">
        <f t="shared" si="6"/>
        <v>-7.1168383861549764E-2</v>
      </c>
    </row>
    <row r="19" spans="2:19" ht="15.75" customHeight="1">
      <c r="B19" s="6" t="s">
        <v>279</v>
      </c>
      <c r="C19" s="66">
        <v>0.98</v>
      </c>
      <c r="E19" s="6" t="s">
        <v>280</v>
      </c>
      <c r="F19" s="6">
        <f>C19*C20*C20/(15*1.5)*(-0.025*C22+C21)</f>
        <v>-2.4273576444444455E-3</v>
      </c>
      <c r="H19" s="71">
        <v>17</v>
      </c>
      <c r="I19" s="72">
        <v>-2.0571428571428498</v>
      </c>
      <c r="J19" s="73">
        <v>5.6497175141241003E-3</v>
      </c>
      <c r="K19" s="73">
        <v>6.8972064991646683E-3</v>
      </c>
      <c r="L19" s="73">
        <v>-2.033241184902395</v>
      </c>
      <c r="M19" s="73">
        <f t="shared" si="0"/>
        <v>-2.2776271186440724E-3</v>
      </c>
      <c r="N19" s="73">
        <f t="shared" si="1"/>
        <v>-4.699016228286295E-2</v>
      </c>
      <c r="O19" s="73">
        <f t="shared" si="2"/>
        <v>-4.6255699006026815E-2</v>
      </c>
      <c r="P19" s="73">
        <f t="shared" si="3"/>
        <v>-4.552123572919068E-2</v>
      </c>
      <c r="Q19" s="73">
        <f t="shared" si="4"/>
        <v>-4.9267789401507021E-2</v>
      </c>
      <c r="R19" s="74">
        <f t="shared" si="5"/>
        <v>-4.8533326124670886E-2</v>
      </c>
      <c r="S19" s="73">
        <f t="shared" si="6"/>
        <v>-4.7798862847834751E-2</v>
      </c>
    </row>
    <row r="20" spans="2:19" ht="15.75" customHeight="1">
      <c r="B20" s="6" t="s">
        <v>281</v>
      </c>
      <c r="C20" s="66">
        <v>1.61</v>
      </c>
      <c r="H20" s="71">
        <v>18</v>
      </c>
      <c r="I20" s="72">
        <v>-1.3714285714285599</v>
      </c>
      <c r="J20" s="73">
        <v>7.3446327683615906E-2</v>
      </c>
      <c r="K20" s="73">
        <v>7.0983638735966758E-3</v>
      </c>
      <c r="L20" s="73">
        <v>-1.1581040698783973</v>
      </c>
      <c r="M20" s="73">
        <f t="shared" si="0"/>
        <v>-5.691525423728791E-4</v>
      </c>
      <c r="N20" s="73">
        <f t="shared" si="1"/>
        <v>-5.4705962234514183E-2</v>
      </c>
      <c r="O20" s="73">
        <f t="shared" si="2"/>
        <v>-4.5157939635644115E-2</v>
      </c>
      <c r="P20" s="73">
        <f t="shared" si="3"/>
        <v>-3.5609917036774047E-2</v>
      </c>
      <c r="Q20" s="73">
        <f t="shared" si="4"/>
        <v>-5.5275114776887062E-2</v>
      </c>
      <c r="R20" s="74">
        <f t="shared" si="5"/>
        <v>-4.5727092178016994E-2</v>
      </c>
      <c r="S20" s="73">
        <f t="shared" si="6"/>
        <v>-3.6179069579146926E-2</v>
      </c>
    </row>
    <row r="21" spans="2:19" ht="15.75" customHeight="1">
      <c r="B21" s="6" t="s">
        <v>282</v>
      </c>
      <c r="C21" s="66">
        <v>6.0000000000000001E-3</v>
      </c>
      <c r="H21" s="71">
        <v>19</v>
      </c>
      <c r="I21" s="72">
        <v>-0.45714285714285502</v>
      </c>
      <c r="J21" s="73">
        <v>0.152542372881355</v>
      </c>
      <c r="K21" s="73">
        <v>8.018005120966256E-3</v>
      </c>
      <c r="L21" s="73">
        <v>1.8349245866601194E-2</v>
      </c>
      <c r="M21" s="73">
        <f t="shared" si="0"/>
        <v>1.4240677966101461E-3</v>
      </c>
      <c r="N21" s="73">
        <f t="shared" si="1"/>
        <v>-6.4263853182835284E-2</v>
      </c>
      <c r="O21" s="73">
        <f t="shared" si="2"/>
        <v>-4.4433344708259132E-2</v>
      </c>
      <c r="P21" s="73">
        <f t="shared" si="3"/>
        <v>-2.4602836233682975E-2</v>
      </c>
      <c r="Q21" s="73">
        <f t="shared" si="4"/>
        <v>-6.2839785386225144E-2</v>
      </c>
      <c r="R21" s="74">
        <f t="shared" si="5"/>
        <v>-4.3009276911648985E-2</v>
      </c>
      <c r="S21" s="73">
        <f t="shared" si="6"/>
        <v>-2.3178768437072828E-2</v>
      </c>
    </row>
    <row r="22" spans="2:19" ht="15.75" customHeight="1">
      <c r="B22" s="6" t="s">
        <v>283</v>
      </c>
      <c r="C22" s="66">
        <v>1.1000000000000001</v>
      </c>
      <c r="H22" s="71">
        <v>20</v>
      </c>
      <c r="I22" s="72">
        <v>0.34285714285714097</v>
      </c>
      <c r="J22" s="73">
        <v>0.27118644067796599</v>
      </c>
      <c r="K22" s="73">
        <v>9.5853991583885363E-3</v>
      </c>
      <c r="L22" s="73">
        <v>1.0567626170414439</v>
      </c>
      <c r="M22" s="73">
        <f t="shared" si="0"/>
        <v>4.4138983050847434E-3</v>
      </c>
      <c r="N22" s="73">
        <f t="shared" si="1"/>
        <v>-7.9184863772427214E-2</v>
      </c>
      <c r="O22" s="73">
        <f t="shared" si="2"/>
        <v>-4.3930626484291621E-2</v>
      </c>
      <c r="P22" s="73">
        <f t="shared" si="3"/>
        <v>-8.6763891961560372E-3</v>
      </c>
      <c r="Q22" s="73">
        <f t="shared" si="4"/>
        <v>-7.4770965467342465E-2</v>
      </c>
      <c r="R22" s="74">
        <f t="shared" si="5"/>
        <v>-3.9516728179206879E-2</v>
      </c>
      <c r="S22" s="73">
        <f t="shared" si="6"/>
        <v>-4.2624908910712939E-3</v>
      </c>
    </row>
    <row r="23" spans="2:19" ht="15.75" customHeight="1">
      <c r="B23" s="6" t="s">
        <v>77</v>
      </c>
      <c r="C23" s="66">
        <v>15</v>
      </c>
      <c r="H23" s="71">
        <v>21</v>
      </c>
      <c r="I23" s="72">
        <v>1.02857142857143</v>
      </c>
      <c r="J23" s="73">
        <v>0.34463276836158102</v>
      </c>
      <c r="K23" s="73">
        <v>1.1596211917647717E-2</v>
      </c>
      <c r="L23" s="73">
        <v>1.9503090586264564</v>
      </c>
      <c r="M23" s="73">
        <f t="shared" si="0"/>
        <v>6.264745762711842E-3</v>
      </c>
      <c r="N23" s="73">
        <f t="shared" si="1"/>
        <v>-8.9043259186769336E-2</v>
      </c>
      <c r="O23" s="73">
        <f t="shared" si="2"/>
        <v>-4.42409992997638E-2</v>
      </c>
      <c r="P23" s="73">
        <f t="shared" si="3"/>
        <v>5.6126058724173652E-4</v>
      </c>
      <c r="Q23" s="73">
        <f t="shared" si="4"/>
        <v>-8.2778513424057495E-2</v>
      </c>
      <c r="R23" s="74">
        <f t="shared" si="5"/>
        <v>-3.797625353705196E-2</v>
      </c>
      <c r="S23" s="73">
        <f t="shared" si="6"/>
        <v>6.8260063499535782E-3</v>
      </c>
    </row>
    <row r="24" spans="2:19" ht="15.75" customHeight="1">
      <c r="C24" s="66"/>
      <c r="H24" s="71">
        <v>22</v>
      </c>
      <c r="I24" s="72">
        <v>2.05714285714286</v>
      </c>
      <c r="J24" s="73">
        <v>0.40677966101694801</v>
      </c>
      <c r="K24" s="73">
        <v>1.5768143984692975E-2</v>
      </c>
      <c r="L24" s="73">
        <v>3.2868112729668102</v>
      </c>
      <c r="M24" s="73">
        <f t="shared" si="0"/>
        <v>7.8308474576270892E-3</v>
      </c>
      <c r="N24" s="73">
        <f t="shared" si="1"/>
        <v>-9.8200169874015447E-2</v>
      </c>
      <c r="O24" s="73">
        <f t="shared" si="2"/>
        <v>-4.531881394181219E-2</v>
      </c>
      <c r="P24" s="73">
        <f t="shared" si="3"/>
        <v>7.562541990391059E-3</v>
      </c>
      <c r="Q24" s="73">
        <f t="shared" si="4"/>
        <v>-9.0369322416388356E-2</v>
      </c>
      <c r="R24" s="74">
        <f t="shared" si="5"/>
        <v>-3.7487966484185099E-2</v>
      </c>
      <c r="S24" s="73">
        <f t="shared" si="6"/>
        <v>1.5393389448018147E-2</v>
      </c>
    </row>
    <row r="25" spans="2:19" ht="15.75" customHeight="1">
      <c r="C25" s="66"/>
      <c r="H25" s="71">
        <v>23</v>
      </c>
      <c r="I25" s="72">
        <v>2.8571428571428599</v>
      </c>
      <c r="J25" s="73">
        <v>0.49717514124293699</v>
      </c>
      <c r="K25" s="73">
        <v>1.9814870151578776E-2</v>
      </c>
      <c r="L25" s="73">
        <v>4.3158994298722924</v>
      </c>
      <c r="M25" s="73">
        <f t="shared" si="0"/>
        <v>1.0108813559322012E-2</v>
      </c>
      <c r="N25" s="73">
        <f t="shared" si="1"/>
        <v>-0.11134349567015794</v>
      </c>
      <c r="O25" s="73">
        <f t="shared" si="2"/>
        <v>-4.6710727308576123E-2</v>
      </c>
      <c r="P25" s="73">
        <f t="shared" si="3"/>
        <v>1.792204105300569E-2</v>
      </c>
      <c r="Q25" s="73">
        <f t="shared" si="4"/>
        <v>-0.10123468211083593</v>
      </c>
      <c r="R25" s="74">
        <f t="shared" si="5"/>
        <v>-3.660191374925411E-2</v>
      </c>
      <c r="S25" s="73">
        <f t="shared" si="6"/>
        <v>2.8030854612327703E-2</v>
      </c>
    </row>
    <row r="26" spans="2:19" ht="15.75" customHeight="1">
      <c r="B26" s="6" t="s">
        <v>284</v>
      </c>
      <c r="C26" s="66">
        <v>3.1</v>
      </c>
      <c r="H26" s="71">
        <v>24</v>
      </c>
      <c r="I26" s="72">
        <v>3.4285714285714302</v>
      </c>
      <c r="J26" s="73">
        <v>0.59887005649717395</v>
      </c>
      <c r="K26" s="73">
        <v>2.3036589664283388E-2</v>
      </c>
      <c r="L26" s="73">
        <v>5.0439677290318752</v>
      </c>
      <c r="M26" s="73">
        <f t="shared" si="0"/>
        <v>1.2671525423728784E-2</v>
      </c>
      <c r="N26" s="73">
        <f t="shared" si="1"/>
        <v>-0.12630070245801367</v>
      </c>
      <c r="O26" s="73">
        <f t="shared" si="2"/>
        <v>-4.8447595113381037E-2</v>
      </c>
      <c r="P26" s="73">
        <f t="shared" si="3"/>
        <v>2.9405512231251582E-2</v>
      </c>
      <c r="Q26" s="73">
        <f t="shared" si="4"/>
        <v>-0.11362917703428488</v>
      </c>
      <c r="R26" s="74">
        <f t="shared" si="5"/>
        <v>-3.5776069689652253E-2</v>
      </c>
      <c r="S26" s="73">
        <f t="shared" si="6"/>
        <v>4.2077037654980366E-2</v>
      </c>
    </row>
    <row r="27" spans="2:19" ht="15.75" customHeight="1">
      <c r="B27" s="6" t="s">
        <v>285</v>
      </c>
      <c r="C27" s="66">
        <v>2.04</v>
      </c>
      <c r="H27" s="71">
        <v>25</v>
      </c>
      <c r="I27" s="72">
        <v>4.8</v>
      </c>
      <c r="J27" s="73">
        <v>0.68926553672316304</v>
      </c>
      <c r="K27" s="73">
        <v>3.187128302222382E-2</v>
      </c>
      <c r="L27" s="73">
        <v>6.7775700156366057</v>
      </c>
      <c r="M27" s="73">
        <f t="shared" si="0"/>
        <v>1.4949491525423709E-2</v>
      </c>
      <c r="N27" s="73">
        <f t="shared" si="1"/>
        <v>-0.14179262700409917</v>
      </c>
      <c r="O27" s="73">
        <f t="shared" si="2"/>
        <v>-5.218810723008796E-2</v>
      </c>
      <c r="P27" s="73">
        <f t="shared" si="3"/>
        <v>3.7416412543923236E-2</v>
      </c>
      <c r="Q27" s="73">
        <f t="shared" si="4"/>
        <v>-0.12684313547867546</v>
      </c>
      <c r="R27" s="74">
        <f t="shared" si="5"/>
        <v>-3.7238615704664253E-2</v>
      </c>
      <c r="S27" s="73">
        <f t="shared" si="6"/>
        <v>5.2365904069346943E-2</v>
      </c>
    </row>
    <row r="28" spans="2:19" ht="15.75" customHeight="1">
      <c r="C28" s="66"/>
      <c r="H28" s="71">
        <v>26</v>
      </c>
      <c r="I28" s="72">
        <v>5.9428571428571404</v>
      </c>
      <c r="J28" s="73">
        <v>0.80225988700564899</v>
      </c>
      <c r="K28" s="73">
        <v>4.1101514459634295E-2</v>
      </c>
      <c r="L28" s="73">
        <v>8.2327160819066805</v>
      </c>
      <c r="M28" s="73">
        <f t="shared" si="0"/>
        <v>1.7796949152542357E-2</v>
      </c>
      <c r="N28" s="73">
        <f t="shared" si="1"/>
        <v>-0.1610480711277758</v>
      </c>
      <c r="O28" s="73">
        <f t="shared" si="2"/>
        <v>-5.6754285817041429E-2</v>
      </c>
      <c r="P28" s="73">
        <f t="shared" si="3"/>
        <v>4.7539499493692947E-2</v>
      </c>
      <c r="Q28" s="73">
        <f t="shared" si="4"/>
        <v>-0.14325112197523346</v>
      </c>
      <c r="R28" s="74">
        <f t="shared" si="5"/>
        <v>-3.8957336664499076E-2</v>
      </c>
      <c r="S28" s="73">
        <f t="shared" si="6"/>
        <v>6.5336448646235307E-2</v>
      </c>
    </row>
    <row r="29" spans="2:19" ht="15.75" customHeight="1">
      <c r="B29" s="6" t="s">
        <v>286</v>
      </c>
      <c r="C29" s="66">
        <f>C20/C26</f>
        <v>0.51935483870967747</v>
      </c>
      <c r="H29" s="71">
        <v>27</v>
      </c>
      <c r="I29" s="72">
        <v>6.6285714285714299</v>
      </c>
      <c r="J29" s="73">
        <v>0.89265536723163796</v>
      </c>
      <c r="K29" s="73">
        <v>4.7887190478587367E-2</v>
      </c>
      <c r="L29" s="73">
        <v>9.1201690943253393</v>
      </c>
      <c r="M29" s="73">
        <f t="shared" si="0"/>
        <v>2.0074915254237279E-2</v>
      </c>
      <c r="N29" s="73">
        <f t="shared" si="1"/>
        <v>-0.17655209832510507</v>
      </c>
      <c r="O29" s="73">
        <f t="shared" si="2"/>
        <v>-6.0506900584992133E-2</v>
      </c>
      <c r="P29" s="73">
        <f t="shared" si="3"/>
        <v>5.5538297155120799E-2</v>
      </c>
      <c r="Q29" s="73">
        <f t="shared" si="4"/>
        <v>-0.1564771830708678</v>
      </c>
      <c r="R29" s="74">
        <f t="shared" si="5"/>
        <v>-4.0431985330754858E-2</v>
      </c>
      <c r="S29" s="73">
        <f t="shared" si="6"/>
        <v>7.5613212409358074E-2</v>
      </c>
    </row>
    <row r="30" spans="2:19" ht="15.75" customHeight="1">
      <c r="B30" s="6" t="s">
        <v>287</v>
      </c>
      <c r="C30" s="66">
        <f>C27/C26</f>
        <v>0.65806451612903227</v>
      </c>
      <c r="H30" s="71">
        <v>28</v>
      </c>
      <c r="I30" s="72">
        <v>8</v>
      </c>
      <c r="J30" s="73">
        <v>1.02824858757062</v>
      </c>
      <c r="K30" s="73">
        <v>6.4394698620183335E-2</v>
      </c>
      <c r="L30" s="73">
        <v>10.922437575523468</v>
      </c>
      <c r="M30" s="73">
        <f t="shared" si="0"/>
        <v>2.3491864406779625E-2</v>
      </c>
      <c r="N30" s="73">
        <f t="shared" si="1"/>
        <v>-0.20155620880161196</v>
      </c>
      <c r="O30" s="73">
        <f t="shared" si="2"/>
        <v>-6.7883892417431341E-2</v>
      </c>
      <c r="P30" s="73">
        <f t="shared" si="3"/>
        <v>6.5788423966749263E-2</v>
      </c>
      <c r="Q30" s="73">
        <f t="shared" si="4"/>
        <v>-0.17806434439483232</v>
      </c>
      <c r="R30" s="74">
        <f t="shared" si="5"/>
        <v>-4.4392028010651716E-2</v>
      </c>
      <c r="S30" s="73">
        <f t="shared" si="6"/>
        <v>8.9280288373528888E-2</v>
      </c>
    </row>
    <row r="31" spans="2:19" ht="15.75" customHeight="1">
      <c r="C31" s="66"/>
      <c r="H31" s="71">
        <v>29</v>
      </c>
      <c r="I31" s="72">
        <v>9.1428571428571406</v>
      </c>
      <c r="J31" s="73">
        <v>1.15254237288135</v>
      </c>
      <c r="K31" s="73">
        <v>7.9661244823534039E-2</v>
      </c>
      <c r="L31" s="73">
        <v>12.417418198310287</v>
      </c>
      <c r="M31" s="73">
        <f t="shared" si="0"/>
        <v>2.6624067796610022E-2</v>
      </c>
      <c r="N31" s="73">
        <f t="shared" si="1"/>
        <v>-0.22547176624888082</v>
      </c>
      <c r="O31" s="73">
        <f t="shared" si="2"/>
        <v>-7.5641257774305332E-2</v>
      </c>
      <c r="P31" s="73">
        <f t="shared" si="3"/>
        <v>7.418925070027016E-2</v>
      </c>
      <c r="Q31" s="73">
        <f t="shared" si="4"/>
        <v>-0.19884769845227079</v>
      </c>
      <c r="R31" s="74">
        <f t="shared" si="5"/>
        <v>-4.9017189977695309E-2</v>
      </c>
      <c r="S31" s="73">
        <f t="shared" si="6"/>
        <v>0.10081331849688019</v>
      </c>
    </row>
    <row r="32" spans="2:19" ht="15.75" customHeight="1">
      <c r="B32" s="6" t="s">
        <v>288</v>
      </c>
      <c r="C32" s="66">
        <v>-2.52E-2</v>
      </c>
      <c r="D32" s="77"/>
      <c r="H32" s="71">
        <v>30</v>
      </c>
      <c r="I32" s="72">
        <v>10.1714285714285</v>
      </c>
      <c r="J32" s="73">
        <v>1.23163841807909</v>
      </c>
      <c r="K32" s="73">
        <v>9.2873921705020859E-2</v>
      </c>
      <c r="L32" s="73">
        <v>13.725203635335895</v>
      </c>
      <c r="M32" s="73">
        <f t="shared" si="0"/>
        <v>2.8617288135593069E-2</v>
      </c>
      <c r="N32" s="73">
        <f t="shared" si="1"/>
        <v>-0.24247808952243366</v>
      </c>
      <c r="O32" s="73">
        <f t="shared" si="2"/>
        <v>-8.2365095172151986E-2</v>
      </c>
      <c r="P32" s="73">
        <f t="shared" si="3"/>
        <v>7.7747899178129729E-2</v>
      </c>
      <c r="Q32" s="73">
        <f t="shared" si="4"/>
        <v>-0.2138608013868406</v>
      </c>
      <c r="R32" s="74">
        <f t="shared" si="5"/>
        <v>-5.3747807036558917E-2</v>
      </c>
      <c r="S32" s="73">
        <f t="shared" si="6"/>
        <v>0.1063651873137228</v>
      </c>
    </row>
    <row r="33" spans="2:19" ht="15.75" customHeight="1">
      <c r="B33" s="6" t="s">
        <v>289</v>
      </c>
      <c r="C33" s="78">
        <f>-0.00242</f>
        <v>-2.4199999999999998E-3</v>
      </c>
      <c r="H33" s="71">
        <v>31</v>
      </c>
      <c r="I33" s="72">
        <v>10.742857142857099</v>
      </c>
      <c r="J33" s="73">
        <v>1.3276836158192</v>
      </c>
      <c r="K33" s="73">
        <v>9.9929279790266473E-2</v>
      </c>
      <c r="L33" s="73">
        <v>14.434448543815277</v>
      </c>
      <c r="M33" s="73">
        <f t="shared" si="0"/>
        <v>3.1037627118643843E-2</v>
      </c>
      <c r="N33" s="73">
        <f t="shared" si="1"/>
        <v>-0.26158323706064174</v>
      </c>
      <c r="O33" s="73">
        <f t="shared" si="2"/>
        <v>-8.8984367004145734E-2</v>
      </c>
      <c r="P33" s="73">
        <f t="shared" si="3"/>
        <v>8.3614503052350284E-2</v>
      </c>
      <c r="Q33" s="73">
        <f t="shared" si="4"/>
        <v>-0.23054560994199791</v>
      </c>
      <c r="R33" s="74">
        <f t="shared" si="5"/>
        <v>-5.7946739885501891E-2</v>
      </c>
      <c r="S33" s="73">
        <f t="shared" si="6"/>
        <v>0.11465213017099413</v>
      </c>
    </row>
    <row r="34" spans="2:19" ht="15.75" customHeight="1">
      <c r="C34" s="66"/>
      <c r="H34" s="71">
        <v>32</v>
      </c>
      <c r="I34" s="72">
        <v>11.885714285714201</v>
      </c>
      <c r="J34" s="73">
        <v>1.4011299435028199</v>
      </c>
      <c r="K34" s="73">
        <v>0.11493230333481108</v>
      </c>
      <c r="L34" s="73">
        <v>15.836216456686234</v>
      </c>
      <c r="M34" s="73">
        <f t="shared" si="0"/>
        <v>3.2888474576271066E-2</v>
      </c>
      <c r="N34" s="73">
        <f t="shared" si="1"/>
        <v>-0.27927709322236294</v>
      </c>
      <c r="O34" s="73">
        <f t="shared" si="2"/>
        <v>-9.7130200566996366E-2</v>
      </c>
      <c r="P34" s="73">
        <f t="shared" si="3"/>
        <v>8.501669208837026E-2</v>
      </c>
      <c r="Q34" s="73">
        <f t="shared" si="4"/>
        <v>-0.24638861864609188</v>
      </c>
      <c r="R34" s="74">
        <f t="shared" si="5"/>
        <v>-6.4241725990725307E-2</v>
      </c>
      <c r="S34" s="73">
        <f t="shared" si="6"/>
        <v>0.11790516666464132</v>
      </c>
    </row>
    <row r="35" spans="2:19" ht="15.75" customHeight="1">
      <c r="C35" s="66"/>
      <c r="H35" s="71">
        <v>33</v>
      </c>
      <c r="I35" s="72">
        <v>12.6857142857142</v>
      </c>
      <c r="J35" s="73">
        <v>1.45197740112994</v>
      </c>
      <c r="K35" s="73">
        <v>0.12741763901749986</v>
      </c>
      <c r="L35" s="73">
        <v>16.822337937341679</v>
      </c>
      <c r="M35" s="73">
        <f t="shared" si="0"/>
        <v>3.416983050847449E-2</v>
      </c>
      <c r="N35" s="73">
        <f t="shared" si="1"/>
        <v>-0.29162234840285539</v>
      </c>
      <c r="O35" s="73">
        <f t="shared" si="2"/>
        <v>-0.1028652862559632</v>
      </c>
      <c r="P35" s="73">
        <f t="shared" si="3"/>
        <v>8.5891775890929015E-2</v>
      </c>
      <c r="Q35" s="73">
        <f t="shared" si="4"/>
        <v>-0.25745251789438089</v>
      </c>
      <c r="R35" s="74">
        <f t="shared" si="5"/>
        <v>-6.8695455747488698E-2</v>
      </c>
      <c r="S35" s="73">
        <f t="shared" si="6"/>
        <v>0.1200616063994035</v>
      </c>
    </row>
    <row r="36" spans="2:19" ht="15.75" customHeight="1">
      <c r="C36" s="66"/>
      <c r="H36" s="71">
        <v>34</v>
      </c>
      <c r="I36" s="72">
        <v>13.714285714285699</v>
      </c>
      <c r="J36" s="73">
        <v>1.5254237288135499</v>
      </c>
      <c r="K36" s="73">
        <v>0.14481154470900584</v>
      </c>
      <c r="L36" s="73">
        <v>18.087156233574532</v>
      </c>
      <c r="M36" s="73">
        <f t="shared" si="0"/>
        <v>3.6020677966101457E-2</v>
      </c>
      <c r="N36" s="73">
        <f t="shared" si="1"/>
        <v>-0.30933158834474073</v>
      </c>
      <c r="O36" s="73">
        <f t="shared" si="2"/>
        <v>-0.11102650359897918</v>
      </c>
      <c r="P36" s="73">
        <f t="shared" si="3"/>
        <v>8.7278581146782289E-2</v>
      </c>
      <c r="Q36" s="73">
        <f t="shared" si="4"/>
        <v>-0.27331091037863925</v>
      </c>
      <c r="R36" s="74">
        <f t="shared" si="5"/>
        <v>-7.5005825632877721E-2</v>
      </c>
      <c r="S36" s="73">
        <f t="shared" si="6"/>
        <v>0.12329925911288375</v>
      </c>
    </row>
    <row r="37" spans="2:19" ht="12.5">
      <c r="C37" s="66"/>
      <c r="H37" s="71">
        <v>35</v>
      </c>
      <c r="I37" s="72">
        <v>14.4</v>
      </c>
      <c r="J37" s="73">
        <v>1.5988700564971701</v>
      </c>
      <c r="K37" s="73">
        <v>0.15367372417543224</v>
      </c>
      <c r="L37" s="73">
        <v>18.887764546994113</v>
      </c>
      <c r="M37" s="73">
        <f t="shared" si="0"/>
        <v>3.7871525423728687E-2</v>
      </c>
      <c r="N37" s="73">
        <f t="shared" si="1"/>
        <v>-0.32676125929275723</v>
      </c>
      <c r="O37" s="73">
        <f t="shared" si="2"/>
        <v>-0.11890815194812508</v>
      </c>
      <c r="P37" s="73">
        <f t="shared" si="3"/>
        <v>8.8944955396507056E-2</v>
      </c>
      <c r="Q37" s="73">
        <f t="shared" si="4"/>
        <v>-0.28888973386902855</v>
      </c>
      <c r="R37" s="74">
        <f t="shared" si="5"/>
        <v>-8.1036626524396388E-2</v>
      </c>
      <c r="S37" s="73">
        <f t="shared" si="6"/>
        <v>0.12681648082023575</v>
      </c>
    </row>
    <row r="38" spans="2:19" ht="12.5">
      <c r="C38" s="66"/>
      <c r="H38" s="71">
        <v>36</v>
      </c>
      <c r="I38" s="72">
        <v>15.314285714285701</v>
      </c>
      <c r="J38" s="73">
        <v>1.58757062146892</v>
      </c>
      <c r="K38" s="73">
        <v>0.15466333475001987</v>
      </c>
      <c r="L38" s="73">
        <v>19.814541041948193</v>
      </c>
      <c r="M38" s="73">
        <f t="shared" si="0"/>
        <v>3.7586779661016784E-2</v>
      </c>
      <c r="N38" s="73">
        <f t="shared" si="1"/>
        <v>-0.33038531307985503</v>
      </c>
      <c r="O38" s="73">
        <f t="shared" si="2"/>
        <v>-0.12400113228889542</v>
      </c>
      <c r="P38" s="73">
        <f t="shared" si="3"/>
        <v>8.2383048502064168E-2</v>
      </c>
      <c r="Q38" s="73">
        <f t="shared" si="4"/>
        <v>-0.29279853341883821</v>
      </c>
      <c r="R38" s="74">
        <f t="shared" si="5"/>
        <v>-8.6414352627878638E-2</v>
      </c>
      <c r="S38" s="73">
        <f t="shared" si="6"/>
        <v>0.11996982816308095</v>
      </c>
    </row>
    <row r="39" spans="2:19" ht="12.5">
      <c r="C39" s="66"/>
      <c r="H39" s="71">
        <v>37</v>
      </c>
      <c r="I39" s="72">
        <v>16.571428571428498</v>
      </c>
      <c r="J39" s="73">
        <v>1.4745762711864401</v>
      </c>
      <c r="K39" s="73">
        <v>0.1291793749685293</v>
      </c>
      <c r="L39" s="73">
        <v>20.722340910592159</v>
      </c>
      <c r="M39" s="73">
        <f t="shared" si="0"/>
        <v>3.473932203389829E-2</v>
      </c>
      <c r="N39" s="73">
        <f t="shared" si="1"/>
        <v>-0.31925460995028887</v>
      </c>
      <c r="O39" s="73">
        <f t="shared" si="2"/>
        <v>-0.12755969469605161</v>
      </c>
      <c r="P39" s="73">
        <f t="shared" si="3"/>
        <v>6.4135220558185616E-2</v>
      </c>
      <c r="Q39" s="73">
        <f t="shared" si="4"/>
        <v>-0.28451528791639058</v>
      </c>
      <c r="R39" s="74">
        <f t="shared" si="5"/>
        <v>-9.2820372662153317E-2</v>
      </c>
      <c r="S39" s="73">
        <f t="shared" si="6"/>
        <v>9.8874542592083906E-2</v>
      </c>
    </row>
    <row r="40" spans="2:19" ht="12.5">
      <c r="C40" s="66"/>
      <c r="H40" s="71">
        <v>38</v>
      </c>
      <c r="I40" s="72">
        <v>17.0285714285714</v>
      </c>
      <c r="J40" s="73">
        <v>1.3785310734463201</v>
      </c>
      <c r="K40" s="73">
        <v>0.11577629489982361</v>
      </c>
      <c r="L40" s="73">
        <v>20.979879142420984</v>
      </c>
      <c r="M40" s="73">
        <f t="shared" si="0"/>
        <v>3.2318983050847266E-2</v>
      </c>
      <c r="N40" s="73">
        <f t="shared" si="1"/>
        <v>-0.30423763526403391</v>
      </c>
      <c r="O40" s="73">
        <f t="shared" si="2"/>
        <v>-0.1250285957160123</v>
      </c>
      <c r="P40" s="73">
        <f t="shared" si="3"/>
        <v>5.418044383200929E-2</v>
      </c>
      <c r="Q40" s="73">
        <f t="shared" si="4"/>
        <v>-0.27191865221318667</v>
      </c>
      <c r="R40" s="74">
        <f t="shared" si="5"/>
        <v>-9.2709612665165031E-2</v>
      </c>
      <c r="S40" s="73">
        <f t="shared" si="6"/>
        <v>8.6499426882856556E-2</v>
      </c>
    </row>
    <row r="41" spans="2:19" ht="12.5">
      <c r="C41" s="66"/>
      <c r="H41" s="71">
        <v>39</v>
      </c>
      <c r="I41" s="72">
        <v>18.0571428571428</v>
      </c>
      <c r="J41" s="73">
        <v>1.25988700564971</v>
      </c>
      <c r="K41" s="73">
        <v>9.2952374122571915E-2</v>
      </c>
      <c r="L41" s="73">
        <v>21.625438755065883</v>
      </c>
      <c r="M41" s="73">
        <f t="shared" si="0"/>
        <v>2.9329152542372693E-2</v>
      </c>
      <c r="N41" s="73">
        <f t="shared" si="1"/>
        <v>-0.28859640551060894</v>
      </c>
      <c r="O41" s="73">
        <f t="shared" si="2"/>
        <v>-0.12481109477614666</v>
      </c>
      <c r="P41" s="73">
        <f t="shared" si="3"/>
        <v>3.8974215958315669E-2</v>
      </c>
      <c r="Q41" s="73">
        <f t="shared" si="4"/>
        <v>-0.25926725296823627</v>
      </c>
      <c r="R41" s="74">
        <f t="shared" si="5"/>
        <v>-9.5481942233773959E-2</v>
      </c>
      <c r="S41" s="73">
        <f t="shared" si="6"/>
        <v>6.8303368500688355E-2</v>
      </c>
    </row>
    <row r="42" spans="2:19" ht="12.5">
      <c r="C42" s="66"/>
      <c r="H42" s="71">
        <v>40</v>
      </c>
      <c r="I42" s="72">
        <v>18.742857142857101</v>
      </c>
      <c r="J42" s="73">
        <v>1.2259887005649699</v>
      </c>
      <c r="K42" s="73">
        <v>8.7305170192193832E-2</v>
      </c>
      <c r="L42" s="73">
        <v>22.189739111558406</v>
      </c>
      <c r="M42" s="73">
        <f t="shared" si="0"/>
        <v>2.8474915254237242E-2</v>
      </c>
      <c r="N42" s="73">
        <f t="shared" si="1"/>
        <v>-0.28573030873056343</v>
      </c>
      <c r="O42" s="73">
        <f t="shared" si="2"/>
        <v>-0.12635177765711733</v>
      </c>
      <c r="P42" s="73">
        <f t="shared" si="3"/>
        <v>3.3026753416328769E-2</v>
      </c>
      <c r="Q42" s="73">
        <f t="shared" si="4"/>
        <v>-0.2572553934763262</v>
      </c>
      <c r="R42" s="74">
        <f t="shared" si="5"/>
        <v>-9.7876862402880085E-2</v>
      </c>
      <c r="S42" s="73">
        <f t="shared" si="6"/>
        <v>6.1501668670566015E-2</v>
      </c>
    </row>
    <row r="43" spans="2:19" ht="12.5">
      <c r="C43" s="66"/>
      <c r="H43" s="71">
        <v>41</v>
      </c>
      <c r="I43" s="72">
        <v>19.428571428571399</v>
      </c>
      <c r="J43" s="73">
        <v>1.1694915254237199</v>
      </c>
      <c r="K43" s="73">
        <v>8.259006521891743E-2</v>
      </c>
      <c r="L43" s="73">
        <v>22.769468538553866</v>
      </c>
      <c r="M43" s="73">
        <f t="shared" si="0"/>
        <v>2.7051186440677742E-2</v>
      </c>
      <c r="N43" s="73">
        <f t="shared" si="1"/>
        <v>-0.27774341036754963</v>
      </c>
      <c r="O43" s="73">
        <f t="shared" si="2"/>
        <v>-0.12570951206246603</v>
      </c>
      <c r="P43" s="73">
        <f t="shared" si="3"/>
        <v>2.6324386242617584E-2</v>
      </c>
      <c r="Q43" s="73">
        <f t="shared" si="4"/>
        <v>-0.2506922239268719</v>
      </c>
      <c r="R43" s="74">
        <f t="shared" si="5"/>
        <v>-9.8658325621788279E-2</v>
      </c>
      <c r="S43" s="73">
        <f t="shared" si="6"/>
        <v>5.3375572683295326E-2</v>
      </c>
    </row>
    <row r="44" spans="2:19" ht="12.5">
      <c r="C44" s="66"/>
      <c r="H44" s="71">
        <v>42</v>
      </c>
      <c r="I44" s="72">
        <v>20.342857142857099</v>
      </c>
      <c r="J44" s="73">
        <v>1.15254237288135</v>
      </c>
      <c r="K44" s="73">
        <v>7.7522377837309378E-2</v>
      </c>
      <c r="L44" s="73">
        <v>23.582855473221873</v>
      </c>
      <c r="M44" s="73">
        <f t="shared" si="0"/>
        <v>2.6624067796610022E-2</v>
      </c>
      <c r="N44" s="73">
        <f t="shared" si="1"/>
        <v>-0.2792089087165977</v>
      </c>
      <c r="O44" s="73">
        <f t="shared" si="2"/>
        <v>-0.12937840024202221</v>
      </c>
      <c r="P44" s="73">
        <f t="shared" si="3"/>
        <v>2.0452108232553279E-2</v>
      </c>
      <c r="Q44" s="73">
        <f t="shared" si="4"/>
        <v>-0.25258484091998767</v>
      </c>
      <c r="R44" s="74">
        <f t="shared" si="5"/>
        <v>-0.10275433244541218</v>
      </c>
      <c r="S44" s="73">
        <f t="shared" si="6"/>
        <v>4.7076176029163301E-2</v>
      </c>
    </row>
    <row r="45" spans="2:19" ht="12.5">
      <c r="C45" s="66"/>
      <c r="H45" s="71">
        <v>43</v>
      </c>
      <c r="I45" s="72">
        <v>20.457142857142799</v>
      </c>
      <c r="J45" s="73">
        <v>1.1694915254237199</v>
      </c>
      <c r="K45" s="73">
        <v>8.2249405173945772E-2</v>
      </c>
      <c r="L45" s="73">
        <v>23.790966762337632</v>
      </c>
      <c r="M45" s="73">
        <f t="shared" si="0"/>
        <v>2.7051186440677742E-2</v>
      </c>
      <c r="N45" s="73">
        <f t="shared" si="1"/>
        <v>-0.28276566510350687</v>
      </c>
      <c r="O45" s="73">
        <f t="shared" si="2"/>
        <v>-0.13073176679842324</v>
      </c>
      <c r="P45" s="73">
        <f t="shared" si="3"/>
        <v>2.1302131506660368E-2</v>
      </c>
      <c r="Q45" s="73">
        <f t="shared" si="4"/>
        <v>-0.25571447866282915</v>
      </c>
      <c r="R45" s="74">
        <f t="shared" si="5"/>
        <v>-0.10368058035774549</v>
      </c>
      <c r="S45" s="73">
        <f t="shared" si="6"/>
        <v>4.8353317947338111E-2</v>
      </c>
    </row>
    <row r="46" spans="2:19" ht="12.5">
      <c r="C46" s="66"/>
      <c r="I46" s="79"/>
      <c r="J46" s="19"/>
      <c r="K46" s="19"/>
      <c r="L46" s="19"/>
      <c r="M46" s="19"/>
      <c r="N46" s="19"/>
      <c r="O46" s="19"/>
      <c r="P46" s="19"/>
      <c r="Q46" s="19"/>
      <c r="R46" s="19"/>
      <c r="S46" s="19"/>
    </row>
    <row r="47" spans="2:19" ht="12.5">
      <c r="C47" s="66"/>
      <c r="I47" s="79"/>
      <c r="J47" s="19"/>
      <c r="K47" s="19"/>
      <c r="L47" s="19"/>
      <c r="M47" s="19"/>
      <c r="N47" s="19"/>
      <c r="O47" s="19"/>
      <c r="P47" s="19"/>
      <c r="Q47" s="19"/>
      <c r="R47" s="19"/>
      <c r="S47" s="19"/>
    </row>
    <row r="48" spans="2:19" ht="12.5">
      <c r="C48" s="66"/>
      <c r="I48" s="7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3:19" ht="12.5">
      <c r="C49" s="66"/>
      <c r="I49" s="79"/>
      <c r="J49" s="19"/>
      <c r="K49" s="19"/>
      <c r="L49" s="19"/>
      <c r="M49" s="19"/>
      <c r="N49" s="19"/>
      <c r="O49" s="19"/>
      <c r="P49" s="19"/>
      <c r="Q49" s="19"/>
      <c r="R49" s="19"/>
      <c r="S49" s="19"/>
    </row>
    <row r="50" spans="3:19" ht="12.5">
      <c r="C50" s="66"/>
      <c r="I50" s="7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3:19" ht="12.5">
      <c r="C51" s="66"/>
      <c r="I51" s="79"/>
      <c r="J51" s="19"/>
      <c r="K51" s="19"/>
      <c r="L51" s="19"/>
      <c r="M51" s="19"/>
      <c r="N51" s="19"/>
      <c r="O51" s="19"/>
      <c r="P51" s="19"/>
      <c r="Q51" s="19"/>
      <c r="R51" s="19"/>
      <c r="S51" s="19"/>
    </row>
    <row r="52" spans="3:19" ht="12.5">
      <c r="C52" s="66"/>
      <c r="I52" s="79"/>
      <c r="J52" s="19"/>
      <c r="K52" s="19"/>
      <c r="L52" s="19"/>
      <c r="M52" s="19"/>
      <c r="N52" s="19"/>
      <c r="O52" s="19"/>
      <c r="P52" s="19"/>
      <c r="Q52" s="19"/>
      <c r="R52" s="19"/>
      <c r="S52" s="19"/>
    </row>
    <row r="53" spans="3:19" ht="12.5">
      <c r="C53" s="66"/>
      <c r="I53" s="79"/>
      <c r="J53" s="19"/>
      <c r="K53" s="19"/>
      <c r="L53" s="19"/>
      <c r="M53" s="19"/>
      <c r="N53" s="19"/>
      <c r="O53" s="19"/>
      <c r="P53" s="19"/>
      <c r="Q53" s="19"/>
      <c r="R53" s="19"/>
      <c r="S53" s="19"/>
    </row>
    <row r="54" spans="3:19" ht="12.5">
      <c r="C54" s="66"/>
      <c r="I54" s="79"/>
      <c r="J54" s="19"/>
      <c r="K54" s="19"/>
      <c r="L54" s="19"/>
      <c r="M54" s="19"/>
      <c r="N54" s="19"/>
      <c r="O54" s="19"/>
      <c r="P54" s="19"/>
      <c r="Q54" s="19"/>
      <c r="R54" s="19"/>
      <c r="S54" s="19"/>
    </row>
    <row r="55" spans="3:19" ht="12.5">
      <c r="C55" s="66"/>
      <c r="I55" s="79"/>
      <c r="J55" s="19"/>
      <c r="K55" s="19"/>
      <c r="L55" s="19"/>
      <c r="M55" s="19"/>
      <c r="N55" s="19"/>
      <c r="O55" s="19"/>
      <c r="P55" s="19"/>
      <c r="Q55" s="19"/>
      <c r="R55" s="19"/>
      <c r="S55" s="19"/>
    </row>
    <row r="56" spans="3:19" ht="12.5">
      <c r="C56" s="66"/>
      <c r="I56" s="79"/>
      <c r="J56" s="19"/>
      <c r="K56" s="19"/>
      <c r="L56" s="19"/>
      <c r="M56" s="19"/>
      <c r="N56" s="19"/>
      <c r="O56" s="19"/>
      <c r="P56" s="19"/>
      <c r="Q56" s="19"/>
      <c r="R56" s="19"/>
      <c r="S56" s="19"/>
    </row>
    <row r="57" spans="3:19" ht="12.5">
      <c r="C57" s="66"/>
      <c r="I57" s="79"/>
      <c r="J57" s="19"/>
      <c r="K57" s="19"/>
      <c r="L57" s="19"/>
      <c r="M57" s="19"/>
      <c r="N57" s="19"/>
      <c r="O57" s="19"/>
      <c r="P57" s="19"/>
      <c r="Q57" s="19"/>
      <c r="R57" s="19"/>
      <c r="S57" s="19"/>
    </row>
    <row r="58" spans="3:19" ht="12.5">
      <c r="C58" s="66"/>
      <c r="I58" s="79"/>
      <c r="J58" s="19"/>
      <c r="K58" s="19"/>
      <c r="L58" s="19"/>
      <c r="M58" s="19"/>
      <c r="N58" s="19"/>
      <c r="O58" s="19"/>
      <c r="P58" s="19"/>
      <c r="Q58" s="19"/>
      <c r="R58" s="19"/>
      <c r="S58" s="19"/>
    </row>
    <row r="59" spans="3:19" ht="12.5">
      <c r="C59" s="66"/>
      <c r="I59" s="7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3:19" ht="12.5">
      <c r="C60" s="66"/>
      <c r="I60" s="7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3:19" ht="12.5">
      <c r="C61" s="66"/>
      <c r="I61" s="7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3:19" ht="12.5">
      <c r="C62" s="66"/>
      <c r="I62" s="7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3:19" ht="12.5">
      <c r="C63" s="66"/>
      <c r="I63" s="7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3:19" ht="12.5">
      <c r="C64" s="66"/>
      <c r="I64" s="7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3:19" ht="12.5">
      <c r="C65" s="66"/>
      <c r="I65" s="7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3:19" ht="12.5">
      <c r="C66" s="66"/>
      <c r="I66" s="7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3:19" ht="12.5">
      <c r="C67" s="66"/>
      <c r="I67" s="7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3:19" ht="12.5">
      <c r="C68" s="66"/>
      <c r="I68" s="7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3:19" ht="12.5">
      <c r="C69" s="66"/>
      <c r="I69" s="7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3:19" ht="12.5">
      <c r="C70" s="66"/>
      <c r="I70" s="7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3:19" ht="12.5">
      <c r="C71" s="66"/>
      <c r="I71" s="7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3:19" ht="12.5">
      <c r="C72" s="66"/>
      <c r="I72" s="7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3:19" ht="12.5">
      <c r="C73" s="66"/>
      <c r="I73" s="7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3:19" ht="12.5">
      <c r="C74" s="66"/>
      <c r="I74" s="7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3:19" ht="12.5">
      <c r="C75" s="66"/>
      <c r="I75" s="7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3:19" ht="12.5">
      <c r="C76" s="66"/>
      <c r="I76" s="7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3:19" ht="12.5">
      <c r="C77" s="66"/>
      <c r="I77" s="7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3:19" ht="12.5">
      <c r="C78" s="66"/>
      <c r="I78" s="7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3:19" ht="12.5">
      <c r="C79" s="66"/>
      <c r="I79" s="7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3:19" ht="12.5">
      <c r="C80" s="66"/>
      <c r="I80" s="7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3:19" ht="12.5">
      <c r="C81" s="66"/>
      <c r="I81" s="7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3:19" ht="12.5">
      <c r="C82" s="66"/>
      <c r="I82" s="7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3:19" ht="12.5">
      <c r="C83" s="66"/>
      <c r="I83" s="7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3:19" ht="12.5">
      <c r="C84" s="66"/>
      <c r="I84" s="7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3:19" ht="12.5">
      <c r="C85" s="66"/>
      <c r="I85" s="7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3:19" ht="12.5">
      <c r="C86" s="66"/>
      <c r="I86" s="7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3:19" ht="12.5">
      <c r="C87" s="66"/>
      <c r="I87" s="7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3:19" ht="12.5">
      <c r="C88" s="66"/>
      <c r="I88" s="7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3:19" ht="12.5">
      <c r="C89" s="66"/>
      <c r="I89" s="7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2.5">
      <c r="C90" s="66"/>
      <c r="I90" s="7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3:19" ht="12.5">
      <c r="C91" s="66"/>
      <c r="I91" s="7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3:19" ht="12.5">
      <c r="C92" s="66"/>
      <c r="I92" s="7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3:19" ht="12.5">
      <c r="C93" s="66"/>
      <c r="I93" s="7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3:19" ht="12.5">
      <c r="C94" s="66"/>
      <c r="I94" s="7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3:19" ht="12.5">
      <c r="C95" s="66"/>
      <c r="I95" s="7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3:19" ht="12.5">
      <c r="C96" s="66"/>
      <c r="I96" s="7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3:19" ht="12.5">
      <c r="C97" s="66"/>
      <c r="I97" s="7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3:19" ht="12.5">
      <c r="C98" s="66"/>
      <c r="I98" s="7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3:19" ht="12.5">
      <c r="C99" s="66"/>
      <c r="I99" s="7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3:19" ht="12.5">
      <c r="C100" s="66"/>
      <c r="I100" s="7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3:19" ht="12.5">
      <c r="C101" s="66"/>
      <c r="I101" s="7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3:19" ht="12.5">
      <c r="C102" s="66"/>
      <c r="I102" s="7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3:19" ht="12.5">
      <c r="C103" s="66"/>
      <c r="I103" s="7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3:19" ht="12.5">
      <c r="C104" s="66"/>
      <c r="I104" s="7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3:19" ht="12.5">
      <c r="C105" s="66"/>
      <c r="I105" s="7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3:19" ht="12.5">
      <c r="C106" s="66"/>
      <c r="I106" s="7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3:19" ht="12.5">
      <c r="C107" s="66"/>
      <c r="I107" s="7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  <row r="108" spans="3:19" ht="12.5">
      <c r="C108" s="66"/>
      <c r="I108" s="79"/>
      <c r="J108" s="19"/>
      <c r="K108" s="19"/>
      <c r="L108" s="19"/>
      <c r="M108" s="19"/>
      <c r="N108" s="19"/>
      <c r="O108" s="19"/>
      <c r="P108" s="19"/>
      <c r="Q108" s="19"/>
      <c r="R108" s="19"/>
      <c r="S108" s="19"/>
    </row>
    <row r="109" spans="3:19" ht="12.5">
      <c r="C109" s="66"/>
      <c r="I109" s="79"/>
      <c r="J109" s="19"/>
      <c r="K109" s="19"/>
      <c r="L109" s="19"/>
      <c r="M109" s="19"/>
      <c r="N109" s="19"/>
      <c r="O109" s="19"/>
      <c r="P109" s="19"/>
      <c r="Q109" s="19"/>
      <c r="R109" s="19"/>
      <c r="S109" s="19"/>
    </row>
    <row r="110" spans="3:19" ht="12.5">
      <c r="C110" s="66"/>
      <c r="I110" s="79"/>
      <c r="J110" s="19"/>
      <c r="K110" s="19"/>
      <c r="L110" s="19"/>
      <c r="M110" s="19"/>
      <c r="N110" s="19"/>
      <c r="O110" s="19"/>
      <c r="P110" s="19"/>
      <c r="Q110" s="19"/>
      <c r="R110" s="19"/>
      <c r="S110" s="19"/>
    </row>
    <row r="111" spans="3:19" ht="12.5">
      <c r="C111" s="66"/>
      <c r="I111" s="7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3:19" ht="12.5">
      <c r="C112" s="66"/>
      <c r="I112" s="79"/>
      <c r="J112" s="19"/>
      <c r="K112" s="19"/>
      <c r="L112" s="19"/>
      <c r="M112" s="19"/>
      <c r="N112" s="19"/>
      <c r="O112" s="19"/>
      <c r="P112" s="19"/>
      <c r="Q112" s="19"/>
      <c r="R112" s="19"/>
      <c r="S112" s="19"/>
    </row>
    <row r="113" spans="3:19" ht="12.5">
      <c r="C113" s="66"/>
      <c r="I113" s="79"/>
      <c r="J113" s="19"/>
      <c r="K113" s="19"/>
      <c r="L113" s="19"/>
      <c r="M113" s="19"/>
      <c r="N113" s="19"/>
      <c r="O113" s="19"/>
      <c r="P113" s="19"/>
      <c r="Q113" s="19"/>
      <c r="R113" s="19"/>
      <c r="S113" s="19"/>
    </row>
    <row r="114" spans="3:19" ht="12.5">
      <c r="C114" s="66"/>
      <c r="I114" s="79"/>
      <c r="J114" s="19"/>
      <c r="K114" s="19"/>
      <c r="L114" s="19"/>
      <c r="M114" s="19"/>
      <c r="N114" s="19"/>
      <c r="O114" s="19"/>
      <c r="P114" s="19"/>
      <c r="Q114" s="19"/>
      <c r="R114" s="19"/>
      <c r="S114" s="19"/>
    </row>
    <row r="115" spans="3:19" ht="12.5">
      <c r="C115" s="66"/>
      <c r="I115" s="79"/>
      <c r="J115" s="19"/>
      <c r="K115" s="19"/>
      <c r="L115" s="19"/>
      <c r="M115" s="19"/>
      <c r="N115" s="19"/>
      <c r="O115" s="19"/>
      <c r="P115" s="19"/>
      <c r="Q115" s="19"/>
      <c r="R115" s="19"/>
      <c r="S115" s="19"/>
    </row>
    <row r="116" spans="3:19" ht="12.5">
      <c r="C116" s="66"/>
      <c r="I116" s="79"/>
      <c r="J116" s="19"/>
      <c r="K116" s="19"/>
      <c r="L116" s="19"/>
      <c r="M116" s="19"/>
      <c r="N116" s="19"/>
      <c r="O116" s="19"/>
      <c r="P116" s="19"/>
      <c r="Q116" s="19"/>
      <c r="R116" s="19"/>
      <c r="S116" s="19"/>
    </row>
    <row r="117" spans="3:19" ht="12.5">
      <c r="C117" s="66"/>
      <c r="I117" s="79"/>
      <c r="J117" s="19"/>
      <c r="K117" s="19"/>
      <c r="L117" s="19"/>
      <c r="M117" s="19"/>
      <c r="N117" s="19"/>
      <c r="O117" s="19"/>
      <c r="P117" s="19"/>
      <c r="Q117" s="19"/>
      <c r="R117" s="19"/>
      <c r="S117" s="19"/>
    </row>
    <row r="118" spans="3:19" ht="12.5">
      <c r="C118" s="66"/>
      <c r="I118" s="79"/>
      <c r="J118" s="19"/>
      <c r="K118" s="19"/>
      <c r="L118" s="19"/>
      <c r="M118" s="19"/>
      <c r="N118" s="19"/>
      <c r="O118" s="19"/>
      <c r="P118" s="19"/>
      <c r="Q118" s="19"/>
      <c r="R118" s="19"/>
      <c r="S118" s="19"/>
    </row>
    <row r="119" spans="3:19" ht="12.5">
      <c r="C119" s="66"/>
      <c r="I119" s="79"/>
      <c r="J119" s="19"/>
      <c r="K119" s="19"/>
      <c r="L119" s="19"/>
      <c r="M119" s="19"/>
      <c r="N119" s="19"/>
      <c r="O119" s="19"/>
      <c r="P119" s="19"/>
      <c r="Q119" s="19"/>
      <c r="R119" s="19"/>
      <c r="S119" s="19"/>
    </row>
    <row r="120" spans="3:19" ht="12.5">
      <c r="C120" s="66"/>
      <c r="I120" s="79"/>
      <c r="J120" s="19"/>
      <c r="K120" s="19"/>
      <c r="L120" s="19"/>
      <c r="M120" s="19"/>
      <c r="N120" s="19"/>
      <c r="O120" s="19"/>
      <c r="P120" s="19"/>
      <c r="Q120" s="19"/>
      <c r="R120" s="19"/>
      <c r="S120" s="19"/>
    </row>
    <row r="121" spans="3:19" ht="12.5">
      <c r="C121" s="66"/>
      <c r="I121" s="79"/>
      <c r="J121" s="19"/>
      <c r="K121" s="19"/>
      <c r="L121" s="19"/>
      <c r="M121" s="19"/>
      <c r="N121" s="19"/>
      <c r="O121" s="19"/>
      <c r="P121" s="19"/>
      <c r="Q121" s="19"/>
      <c r="R121" s="19"/>
      <c r="S121" s="19"/>
    </row>
    <row r="122" spans="3:19" ht="12.5">
      <c r="C122" s="66"/>
      <c r="I122" s="79"/>
      <c r="J122" s="19"/>
      <c r="K122" s="19"/>
      <c r="L122" s="19"/>
      <c r="M122" s="19"/>
      <c r="N122" s="19"/>
      <c r="O122" s="19"/>
      <c r="P122" s="19"/>
      <c r="Q122" s="19"/>
      <c r="R122" s="19"/>
      <c r="S122" s="19"/>
    </row>
    <row r="123" spans="3:19" ht="12.5">
      <c r="C123" s="66"/>
      <c r="I123" s="79"/>
      <c r="J123" s="19"/>
      <c r="K123" s="19"/>
      <c r="L123" s="19"/>
      <c r="M123" s="19"/>
      <c r="N123" s="19"/>
      <c r="O123" s="19"/>
      <c r="P123" s="19"/>
      <c r="Q123" s="19"/>
      <c r="R123" s="19"/>
      <c r="S123" s="19"/>
    </row>
    <row r="124" spans="3:19" ht="12.5">
      <c r="C124" s="66"/>
      <c r="I124" s="79"/>
      <c r="J124" s="19"/>
      <c r="K124" s="19"/>
      <c r="L124" s="19"/>
      <c r="M124" s="19"/>
      <c r="N124" s="19"/>
      <c r="O124" s="19"/>
      <c r="P124" s="19"/>
      <c r="Q124" s="19"/>
      <c r="R124" s="19"/>
      <c r="S124" s="19"/>
    </row>
    <row r="125" spans="3:19" ht="12.5">
      <c r="C125" s="66"/>
      <c r="I125" s="79"/>
      <c r="J125" s="19"/>
      <c r="K125" s="19"/>
      <c r="L125" s="19"/>
      <c r="M125" s="19"/>
      <c r="N125" s="19"/>
      <c r="O125" s="19"/>
      <c r="P125" s="19"/>
      <c r="Q125" s="19"/>
      <c r="R125" s="19"/>
      <c r="S125" s="19"/>
    </row>
    <row r="126" spans="3:19" ht="12.5">
      <c r="C126" s="66"/>
      <c r="I126" s="79"/>
      <c r="J126" s="19"/>
      <c r="K126" s="19"/>
      <c r="L126" s="19"/>
      <c r="M126" s="19"/>
      <c r="N126" s="19"/>
      <c r="O126" s="19"/>
      <c r="P126" s="19"/>
      <c r="Q126" s="19"/>
      <c r="R126" s="19"/>
      <c r="S126" s="19"/>
    </row>
    <row r="127" spans="3:19" ht="12.5">
      <c r="C127" s="66"/>
      <c r="I127" s="79"/>
      <c r="J127" s="19"/>
      <c r="K127" s="19"/>
      <c r="L127" s="19"/>
      <c r="M127" s="19"/>
      <c r="N127" s="19"/>
      <c r="O127" s="19"/>
      <c r="P127" s="19"/>
      <c r="Q127" s="19"/>
      <c r="R127" s="19"/>
      <c r="S127" s="19"/>
    </row>
    <row r="128" spans="3:19" ht="12.5">
      <c r="C128" s="66"/>
      <c r="I128" s="79"/>
      <c r="J128" s="19"/>
      <c r="K128" s="19"/>
      <c r="L128" s="19"/>
      <c r="M128" s="19"/>
      <c r="N128" s="19"/>
      <c r="O128" s="19"/>
      <c r="P128" s="19"/>
      <c r="Q128" s="19"/>
      <c r="R128" s="19"/>
      <c r="S128" s="19"/>
    </row>
    <row r="129" spans="3:19" ht="12.5">
      <c r="C129" s="66"/>
      <c r="I129" s="79"/>
      <c r="J129" s="19"/>
      <c r="K129" s="19"/>
      <c r="L129" s="19"/>
      <c r="M129" s="19"/>
      <c r="N129" s="19"/>
      <c r="O129" s="19"/>
      <c r="P129" s="19"/>
      <c r="Q129" s="19"/>
      <c r="R129" s="19"/>
      <c r="S129" s="19"/>
    </row>
    <row r="130" spans="3:19" ht="12.5">
      <c r="C130" s="66"/>
      <c r="I130" s="79"/>
      <c r="J130" s="19"/>
      <c r="K130" s="19"/>
      <c r="L130" s="19"/>
      <c r="M130" s="19"/>
      <c r="N130" s="19"/>
      <c r="O130" s="19"/>
      <c r="P130" s="19"/>
      <c r="Q130" s="19"/>
      <c r="R130" s="19"/>
      <c r="S130" s="19"/>
    </row>
    <row r="131" spans="3:19" ht="12.5">
      <c r="C131" s="66"/>
      <c r="I131" s="79"/>
      <c r="J131" s="19"/>
      <c r="K131" s="19"/>
      <c r="L131" s="19"/>
      <c r="M131" s="19"/>
      <c r="N131" s="19"/>
      <c r="O131" s="19"/>
      <c r="P131" s="19"/>
      <c r="Q131" s="19"/>
      <c r="R131" s="19"/>
      <c r="S131" s="19"/>
    </row>
    <row r="132" spans="3:19" ht="12.5">
      <c r="C132" s="66"/>
      <c r="I132" s="79"/>
      <c r="J132" s="19"/>
      <c r="K132" s="19"/>
      <c r="L132" s="19"/>
      <c r="M132" s="19"/>
      <c r="N132" s="19"/>
      <c r="O132" s="19"/>
      <c r="P132" s="19"/>
      <c r="Q132" s="19"/>
      <c r="R132" s="19"/>
      <c r="S132" s="19"/>
    </row>
    <row r="133" spans="3:19" ht="12.5">
      <c r="C133" s="66"/>
      <c r="I133" s="79"/>
      <c r="J133" s="19"/>
      <c r="K133" s="19"/>
      <c r="L133" s="19"/>
      <c r="M133" s="19"/>
      <c r="N133" s="19"/>
      <c r="O133" s="19"/>
      <c r="P133" s="19"/>
      <c r="Q133" s="19"/>
      <c r="R133" s="19"/>
      <c r="S133" s="19"/>
    </row>
    <row r="134" spans="3:19" ht="12.5">
      <c r="C134" s="66"/>
      <c r="I134" s="79"/>
      <c r="J134" s="19"/>
      <c r="K134" s="19"/>
      <c r="L134" s="19"/>
      <c r="M134" s="19"/>
      <c r="N134" s="19"/>
      <c r="O134" s="19"/>
      <c r="P134" s="19"/>
      <c r="Q134" s="19"/>
      <c r="R134" s="19"/>
      <c r="S134" s="19"/>
    </row>
    <row r="135" spans="3:19" ht="12.5">
      <c r="C135" s="66"/>
      <c r="I135" s="79"/>
      <c r="J135" s="19"/>
      <c r="K135" s="19"/>
      <c r="L135" s="19"/>
      <c r="M135" s="19"/>
      <c r="N135" s="19"/>
      <c r="O135" s="19"/>
      <c r="P135" s="19"/>
      <c r="Q135" s="19"/>
      <c r="R135" s="19"/>
      <c r="S135" s="19"/>
    </row>
    <row r="136" spans="3:19" ht="12.5">
      <c r="C136" s="66"/>
      <c r="I136" s="79"/>
      <c r="J136" s="19"/>
      <c r="K136" s="19"/>
      <c r="L136" s="19"/>
      <c r="M136" s="19"/>
      <c r="N136" s="19"/>
      <c r="O136" s="19"/>
      <c r="P136" s="19"/>
      <c r="Q136" s="19"/>
      <c r="R136" s="19"/>
      <c r="S136" s="19"/>
    </row>
    <row r="137" spans="3:19" ht="12.5">
      <c r="C137" s="66"/>
      <c r="I137" s="79"/>
      <c r="J137" s="19"/>
      <c r="K137" s="19"/>
      <c r="L137" s="19"/>
      <c r="M137" s="19"/>
      <c r="N137" s="19"/>
      <c r="O137" s="19"/>
      <c r="P137" s="19"/>
      <c r="Q137" s="19"/>
      <c r="R137" s="19"/>
      <c r="S137" s="19"/>
    </row>
    <row r="138" spans="3:19" ht="12.5">
      <c r="C138" s="66"/>
      <c r="I138" s="79"/>
      <c r="J138" s="19"/>
      <c r="K138" s="19"/>
      <c r="L138" s="19"/>
      <c r="M138" s="19"/>
      <c r="N138" s="19"/>
      <c r="O138" s="19"/>
      <c r="P138" s="19"/>
      <c r="Q138" s="19"/>
      <c r="R138" s="19"/>
      <c r="S138" s="19"/>
    </row>
    <row r="139" spans="3:19" ht="12.5">
      <c r="C139" s="66"/>
      <c r="I139" s="79"/>
      <c r="J139" s="19"/>
      <c r="K139" s="19"/>
      <c r="L139" s="19"/>
      <c r="M139" s="19"/>
      <c r="N139" s="19"/>
      <c r="O139" s="19"/>
      <c r="P139" s="19"/>
      <c r="Q139" s="19"/>
      <c r="R139" s="19"/>
      <c r="S139" s="19"/>
    </row>
    <row r="140" spans="3:19" ht="12.5">
      <c r="C140" s="66"/>
      <c r="I140" s="79"/>
      <c r="J140" s="19"/>
      <c r="K140" s="19"/>
      <c r="L140" s="19"/>
      <c r="M140" s="19"/>
      <c r="N140" s="19"/>
      <c r="O140" s="19"/>
      <c r="P140" s="19"/>
      <c r="Q140" s="19"/>
      <c r="R140" s="19"/>
      <c r="S140" s="19"/>
    </row>
    <row r="141" spans="3:19" ht="12.5">
      <c r="C141" s="66"/>
      <c r="I141" s="79"/>
      <c r="J141" s="19"/>
      <c r="K141" s="19"/>
      <c r="L141" s="19"/>
      <c r="M141" s="19"/>
      <c r="N141" s="19"/>
      <c r="O141" s="19"/>
      <c r="P141" s="19"/>
      <c r="Q141" s="19"/>
      <c r="R141" s="19"/>
      <c r="S141" s="19"/>
    </row>
    <row r="142" spans="3:19" ht="12.5">
      <c r="C142" s="66"/>
      <c r="I142" s="79"/>
      <c r="J142" s="19"/>
      <c r="K142" s="19"/>
      <c r="L142" s="19"/>
      <c r="M142" s="19"/>
      <c r="N142" s="19"/>
      <c r="O142" s="19"/>
      <c r="P142" s="19"/>
      <c r="Q142" s="19"/>
      <c r="R142" s="19"/>
      <c r="S142" s="19"/>
    </row>
    <row r="143" spans="3:19" ht="12.5">
      <c r="C143" s="66"/>
      <c r="I143" s="79"/>
      <c r="J143" s="19"/>
      <c r="K143" s="19"/>
      <c r="L143" s="19"/>
      <c r="M143" s="19"/>
      <c r="N143" s="19"/>
      <c r="O143" s="19"/>
      <c r="P143" s="19"/>
      <c r="Q143" s="19"/>
      <c r="R143" s="19"/>
      <c r="S143" s="19"/>
    </row>
    <row r="144" spans="3:19" ht="12.5">
      <c r="C144" s="66"/>
      <c r="I144" s="79"/>
      <c r="J144" s="19"/>
      <c r="K144" s="19"/>
      <c r="L144" s="19"/>
      <c r="M144" s="19"/>
      <c r="N144" s="19"/>
      <c r="O144" s="19"/>
      <c r="P144" s="19"/>
      <c r="Q144" s="19"/>
      <c r="R144" s="19"/>
      <c r="S144" s="19"/>
    </row>
    <row r="145" spans="3:19" ht="12.5">
      <c r="C145" s="66"/>
      <c r="I145" s="79"/>
      <c r="J145" s="19"/>
      <c r="K145" s="19"/>
      <c r="L145" s="19"/>
      <c r="M145" s="19"/>
      <c r="N145" s="19"/>
      <c r="O145" s="19"/>
      <c r="P145" s="19"/>
      <c r="Q145" s="19"/>
      <c r="R145" s="19"/>
      <c r="S145" s="19"/>
    </row>
    <row r="146" spans="3:19" ht="12.5">
      <c r="C146" s="66"/>
      <c r="I146" s="79"/>
      <c r="J146" s="19"/>
      <c r="K146" s="19"/>
      <c r="L146" s="19"/>
      <c r="M146" s="19"/>
      <c r="N146" s="19"/>
      <c r="O146" s="19"/>
      <c r="P146" s="19"/>
      <c r="Q146" s="19"/>
      <c r="R146" s="19"/>
      <c r="S146" s="19"/>
    </row>
    <row r="147" spans="3:19" ht="12.5">
      <c r="C147" s="66"/>
      <c r="I147" s="79"/>
      <c r="J147" s="19"/>
      <c r="K147" s="19"/>
      <c r="L147" s="19"/>
      <c r="M147" s="19"/>
      <c r="N147" s="19"/>
      <c r="O147" s="19"/>
      <c r="P147" s="19"/>
      <c r="Q147" s="19"/>
      <c r="R147" s="19"/>
      <c r="S147" s="19"/>
    </row>
    <row r="148" spans="3:19" ht="12.5">
      <c r="C148" s="66"/>
      <c r="I148" s="79"/>
      <c r="J148" s="19"/>
      <c r="K148" s="19"/>
      <c r="L148" s="19"/>
      <c r="M148" s="19"/>
      <c r="N148" s="19"/>
      <c r="O148" s="19"/>
      <c r="P148" s="19"/>
      <c r="Q148" s="19"/>
      <c r="R148" s="19"/>
      <c r="S148" s="19"/>
    </row>
    <row r="149" spans="3:19" ht="12.5">
      <c r="C149" s="66"/>
      <c r="I149" s="79"/>
      <c r="J149" s="19"/>
      <c r="K149" s="19"/>
      <c r="L149" s="19"/>
      <c r="M149" s="19"/>
      <c r="N149" s="19"/>
      <c r="O149" s="19"/>
      <c r="P149" s="19"/>
      <c r="Q149" s="19"/>
      <c r="R149" s="19"/>
      <c r="S149" s="19"/>
    </row>
    <row r="150" spans="3:19" ht="12.5">
      <c r="C150" s="66"/>
      <c r="I150" s="79"/>
      <c r="J150" s="19"/>
      <c r="K150" s="19"/>
      <c r="L150" s="19"/>
      <c r="M150" s="19"/>
      <c r="N150" s="19"/>
      <c r="O150" s="19"/>
      <c r="P150" s="19"/>
      <c r="Q150" s="19"/>
      <c r="R150" s="19"/>
      <c r="S150" s="19"/>
    </row>
    <row r="151" spans="3:19" ht="12.5">
      <c r="C151" s="66"/>
      <c r="I151" s="79"/>
      <c r="J151" s="19"/>
      <c r="K151" s="19"/>
      <c r="L151" s="19"/>
      <c r="M151" s="19"/>
      <c r="N151" s="19"/>
      <c r="O151" s="19"/>
      <c r="P151" s="19"/>
      <c r="Q151" s="19"/>
      <c r="R151" s="19"/>
      <c r="S151" s="19"/>
    </row>
    <row r="152" spans="3:19" ht="12.5">
      <c r="C152" s="66"/>
      <c r="I152" s="79"/>
      <c r="J152" s="19"/>
      <c r="K152" s="19"/>
      <c r="L152" s="19"/>
      <c r="M152" s="19"/>
      <c r="N152" s="19"/>
      <c r="O152" s="19"/>
      <c r="P152" s="19"/>
      <c r="Q152" s="19"/>
      <c r="R152" s="19"/>
      <c r="S152" s="19"/>
    </row>
    <row r="153" spans="3:19" ht="12.5">
      <c r="C153" s="66"/>
      <c r="I153" s="79"/>
      <c r="J153" s="19"/>
      <c r="K153" s="19"/>
      <c r="L153" s="19"/>
      <c r="M153" s="19"/>
      <c r="N153" s="19"/>
      <c r="O153" s="19"/>
      <c r="P153" s="19"/>
      <c r="Q153" s="19"/>
      <c r="R153" s="19"/>
      <c r="S153" s="19"/>
    </row>
    <row r="154" spans="3:19" ht="12.5">
      <c r="C154" s="66"/>
      <c r="I154" s="79"/>
      <c r="J154" s="19"/>
      <c r="K154" s="19"/>
      <c r="L154" s="19"/>
      <c r="M154" s="19"/>
      <c r="N154" s="19"/>
      <c r="O154" s="19"/>
      <c r="P154" s="19"/>
      <c r="Q154" s="19"/>
      <c r="R154" s="19"/>
      <c r="S154" s="19"/>
    </row>
    <row r="155" spans="3:19" ht="12.5">
      <c r="C155" s="66"/>
      <c r="I155" s="79"/>
      <c r="J155" s="19"/>
      <c r="K155" s="19"/>
      <c r="L155" s="19"/>
      <c r="M155" s="19"/>
      <c r="N155" s="19"/>
      <c r="O155" s="19"/>
      <c r="P155" s="19"/>
      <c r="Q155" s="19"/>
      <c r="R155" s="19"/>
      <c r="S155" s="19"/>
    </row>
    <row r="156" spans="3:19" ht="12.5">
      <c r="C156" s="66"/>
      <c r="I156" s="79"/>
      <c r="J156" s="19"/>
      <c r="K156" s="19"/>
      <c r="L156" s="19"/>
      <c r="M156" s="19"/>
      <c r="N156" s="19"/>
      <c r="O156" s="19"/>
      <c r="P156" s="19"/>
      <c r="Q156" s="19"/>
      <c r="R156" s="19"/>
      <c r="S156" s="19"/>
    </row>
    <row r="157" spans="3:19" ht="12.5">
      <c r="C157" s="66"/>
      <c r="I157" s="79"/>
      <c r="J157" s="19"/>
      <c r="K157" s="19"/>
      <c r="L157" s="19"/>
      <c r="M157" s="19"/>
      <c r="N157" s="19"/>
      <c r="O157" s="19"/>
      <c r="P157" s="19"/>
      <c r="Q157" s="19"/>
      <c r="R157" s="19"/>
      <c r="S157" s="19"/>
    </row>
    <row r="158" spans="3:19" ht="12.5">
      <c r="C158" s="66"/>
      <c r="I158" s="79"/>
      <c r="J158" s="19"/>
      <c r="K158" s="19"/>
      <c r="L158" s="19"/>
      <c r="M158" s="19"/>
      <c r="N158" s="19"/>
      <c r="O158" s="19"/>
      <c r="P158" s="19"/>
      <c r="Q158" s="19"/>
      <c r="R158" s="19"/>
      <c r="S158" s="19"/>
    </row>
    <row r="159" spans="3:19" ht="12.5">
      <c r="C159" s="66"/>
      <c r="I159" s="79"/>
      <c r="J159" s="19"/>
      <c r="K159" s="19"/>
      <c r="L159" s="19"/>
      <c r="M159" s="19"/>
      <c r="N159" s="19"/>
      <c r="O159" s="19"/>
      <c r="P159" s="19"/>
      <c r="Q159" s="19"/>
      <c r="R159" s="19"/>
      <c r="S159" s="19"/>
    </row>
    <row r="160" spans="3:19" ht="12.5">
      <c r="C160" s="66"/>
      <c r="I160" s="79"/>
      <c r="J160" s="19"/>
      <c r="K160" s="19"/>
      <c r="L160" s="19"/>
      <c r="M160" s="19"/>
      <c r="N160" s="19"/>
      <c r="O160" s="19"/>
      <c r="P160" s="19"/>
      <c r="Q160" s="19"/>
      <c r="R160" s="19"/>
      <c r="S160" s="19"/>
    </row>
    <row r="161" spans="3:19" ht="12.5">
      <c r="C161" s="66"/>
      <c r="I161" s="79"/>
      <c r="J161" s="19"/>
      <c r="K161" s="19"/>
      <c r="L161" s="19"/>
      <c r="M161" s="19"/>
      <c r="N161" s="19"/>
      <c r="O161" s="19"/>
      <c r="P161" s="19"/>
      <c r="Q161" s="19"/>
      <c r="R161" s="19"/>
      <c r="S161" s="19"/>
    </row>
    <row r="162" spans="3:19" ht="12.5">
      <c r="C162" s="66"/>
      <c r="I162" s="79"/>
      <c r="J162" s="19"/>
      <c r="K162" s="19"/>
      <c r="L162" s="19"/>
      <c r="M162" s="19"/>
      <c r="N162" s="19"/>
      <c r="O162" s="19"/>
      <c r="P162" s="19"/>
      <c r="Q162" s="19"/>
      <c r="R162" s="19"/>
      <c r="S162" s="19"/>
    </row>
    <row r="163" spans="3:19" ht="12.5">
      <c r="C163" s="66"/>
      <c r="I163" s="79"/>
      <c r="J163" s="19"/>
      <c r="K163" s="19"/>
      <c r="L163" s="19"/>
      <c r="M163" s="19"/>
      <c r="N163" s="19"/>
      <c r="O163" s="19"/>
      <c r="P163" s="19"/>
      <c r="Q163" s="19"/>
      <c r="R163" s="19"/>
      <c r="S163" s="19"/>
    </row>
    <row r="164" spans="3:19" ht="12.5">
      <c r="C164" s="66"/>
      <c r="I164" s="79"/>
      <c r="J164" s="19"/>
      <c r="K164" s="19"/>
      <c r="L164" s="19"/>
      <c r="M164" s="19"/>
      <c r="N164" s="19"/>
      <c r="O164" s="19"/>
      <c r="P164" s="19"/>
      <c r="Q164" s="19"/>
      <c r="R164" s="19"/>
      <c r="S164" s="19"/>
    </row>
    <row r="165" spans="3:19" ht="12.5">
      <c r="C165" s="66"/>
      <c r="I165" s="79"/>
      <c r="J165" s="19"/>
      <c r="K165" s="19"/>
      <c r="L165" s="19"/>
      <c r="M165" s="19"/>
      <c r="N165" s="19"/>
      <c r="O165" s="19"/>
      <c r="P165" s="19"/>
      <c r="Q165" s="19"/>
      <c r="R165" s="19"/>
      <c r="S165" s="19"/>
    </row>
    <row r="166" spans="3:19" ht="12.5">
      <c r="C166" s="66"/>
      <c r="I166" s="79"/>
      <c r="J166" s="19"/>
      <c r="K166" s="19"/>
      <c r="L166" s="19"/>
      <c r="M166" s="19"/>
      <c r="N166" s="19"/>
      <c r="O166" s="19"/>
      <c r="P166" s="19"/>
      <c r="Q166" s="19"/>
      <c r="R166" s="19"/>
      <c r="S166" s="19"/>
    </row>
    <row r="167" spans="3:19" ht="12.5">
      <c r="C167" s="66"/>
      <c r="I167" s="79"/>
      <c r="J167" s="19"/>
      <c r="K167" s="19"/>
      <c r="L167" s="19"/>
      <c r="M167" s="19"/>
      <c r="N167" s="19"/>
      <c r="O167" s="19"/>
      <c r="P167" s="19"/>
      <c r="Q167" s="19"/>
      <c r="R167" s="19"/>
      <c r="S167" s="19"/>
    </row>
    <row r="168" spans="3:19" ht="12.5">
      <c r="C168" s="66"/>
      <c r="I168" s="79"/>
      <c r="J168" s="19"/>
      <c r="K168" s="19"/>
      <c r="L168" s="19"/>
      <c r="M168" s="19"/>
      <c r="N168" s="19"/>
      <c r="O168" s="19"/>
      <c r="P168" s="19"/>
      <c r="Q168" s="19"/>
      <c r="R168" s="19"/>
      <c r="S168" s="19"/>
    </row>
    <row r="169" spans="3:19" ht="12.5">
      <c r="C169" s="66"/>
      <c r="I169" s="79"/>
      <c r="J169" s="19"/>
      <c r="K169" s="19"/>
      <c r="L169" s="19"/>
      <c r="M169" s="19"/>
      <c r="N169" s="19"/>
      <c r="O169" s="19"/>
      <c r="P169" s="19"/>
      <c r="Q169" s="19"/>
      <c r="R169" s="19"/>
      <c r="S169" s="19"/>
    </row>
    <row r="170" spans="3:19" ht="12.5">
      <c r="C170" s="66"/>
      <c r="I170" s="79"/>
      <c r="J170" s="19"/>
      <c r="K170" s="19"/>
      <c r="L170" s="19"/>
      <c r="M170" s="19"/>
      <c r="N170" s="19"/>
      <c r="O170" s="19"/>
      <c r="P170" s="19"/>
      <c r="Q170" s="19"/>
      <c r="R170" s="19"/>
      <c r="S170" s="19"/>
    </row>
    <row r="171" spans="3:19" ht="12.5">
      <c r="C171" s="66"/>
      <c r="I171" s="79"/>
      <c r="J171" s="19"/>
      <c r="K171" s="19"/>
      <c r="L171" s="19"/>
      <c r="M171" s="19"/>
      <c r="N171" s="19"/>
      <c r="O171" s="19"/>
      <c r="P171" s="19"/>
      <c r="Q171" s="19"/>
      <c r="R171" s="19"/>
      <c r="S171" s="19"/>
    </row>
    <row r="172" spans="3:19" ht="12.5">
      <c r="C172" s="66"/>
      <c r="I172" s="79"/>
      <c r="J172" s="19"/>
      <c r="K172" s="19"/>
      <c r="L172" s="19"/>
      <c r="M172" s="19"/>
      <c r="N172" s="19"/>
      <c r="O172" s="19"/>
      <c r="P172" s="19"/>
      <c r="Q172" s="19"/>
      <c r="R172" s="19"/>
      <c r="S172" s="19"/>
    </row>
    <row r="173" spans="3:19" ht="12.5">
      <c r="C173" s="66"/>
      <c r="I173" s="79"/>
      <c r="J173" s="19"/>
      <c r="K173" s="19"/>
      <c r="L173" s="19"/>
      <c r="M173" s="19"/>
      <c r="N173" s="19"/>
      <c r="O173" s="19"/>
      <c r="P173" s="19"/>
      <c r="Q173" s="19"/>
      <c r="R173" s="19"/>
      <c r="S173" s="19"/>
    </row>
    <row r="174" spans="3:19" ht="12.5">
      <c r="C174" s="66"/>
      <c r="I174" s="79"/>
      <c r="J174" s="19"/>
      <c r="K174" s="19"/>
      <c r="L174" s="19"/>
      <c r="M174" s="19"/>
      <c r="N174" s="19"/>
      <c r="O174" s="19"/>
      <c r="P174" s="19"/>
      <c r="Q174" s="19"/>
      <c r="R174" s="19"/>
      <c r="S174" s="19"/>
    </row>
    <row r="175" spans="3:19" ht="12.5">
      <c r="C175" s="66"/>
      <c r="I175" s="79"/>
      <c r="J175" s="19"/>
      <c r="K175" s="19"/>
      <c r="L175" s="19"/>
      <c r="M175" s="19"/>
      <c r="N175" s="19"/>
      <c r="O175" s="19"/>
      <c r="P175" s="19"/>
      <c r="Q175" s="19"/>
      <c r="R175" s="19"/>
      <c r="S175" s="19"/>
    </row>
    <row r="176" spans="3:19" ht="12.5">
      <c r="C176" s="66"/>
      <c r="I176" s="79"/>
      <c r="J176" s="19"/>
      <c r="K176" s="19"/>
      <c r="L176" s="19"/>
      <c r="M176" s="19"/>
      <c r="N176" s="19"/>
      <c r="O176" s="19"/>
      <c r="P176" s="19"/>
      <c r="Q176" s="19"/>
      <c r="R176" s="19"/>
      <c r="S176" s="19"/>
    </row>
    <row r="177" spans="3:19" ht="12.5">
      <c r="C177" s="66"/>
      <c r="I177" s="79"/>
      <c r="J177" s="19"/>
      <c r="K177" s="19"/>
      <c r="L177" s="19"/>
      <c r="M177" s="19"/>
      <c r="N177" s="19"/>
      <c r="O177" s="19"/>
      <c r="P177" s="19"/>
      <c r="Q177" s="19"/>
      <c r="R177" s="19"/>
      <c r="S177" s="19"/>
    </row>
    <row r="178" spans="3:19" ht="12.5">
      <c r="C178" s="66"/>
      <c r="I178" s="79"/>
      <c r="J178" s="19"/>
      <c r="K178" s="19"/>
      <c r="L178" s="19"/>
      <c r="M178" s="19"/>
      <c r="N178" s="19"/>
      <c r="O178" s="19"/>
      <c r="P178" s="19"/>
      <c r="Q178" s="19"/>
      <c r="R178" s="19"/>
      <c r="S178" s="19"/>
    </row>
    <row r="179" spans="3:19" ht="12.5">
      <c r="C179" s="66"/>
      <c r="I179" s="79"/>
      <c r="J179" s="19"/>
      <c r="K179" s="19"/>
      <c r="L179" s="19"/>
      <c r="M179" s="19"/>
      <c r="N179" s="19"/>
      <c r="O179" s="19"/>
      <c r="P179" s="19"/>
      <c r="Q179" s="19"/>
      <c r="R179" s="19"/>
      <c r="S179" s="19"/>
    </row>
    <row r="180" spans="3:19" ht="12.5">
      <c r="C180" s="66"/>
      <c r="I180" s="79"/>
      <c r="J180" s="19"/>
      <c r="K180" s="19"/>
      <c r="L180" s="19"/>
      <c r="M180" s="19"/>
      <c r="N180" s="19"/>
      <c r="O180" s="19"/>
      <c r="P180" s="19"/>
      <c r="Q180" s="19"/>
      <c r="R180" s="19"/>
      <c r="S180" s="19"/>
    </row>
    <row r="181" spans="3:19" ht="12.5">
      <c r="C181" s="66"/>
      <c r="I181" s="79"/>
      <c r="J181" s="19"/>
      <c r="K181" s="19"/>
      <c r="L181" s="19"/>
      <c r="M181" s="19"/>
      <c r="N181" s="19"/>
      <c r="O181" s="19"/>
      <c r="P181" s="19"/>
      <c r="Q181" s="19"/>
      <c r="R181" s="19"/>
      <c r="S181" s="19"/>
    </row>
    <row r="182" spans="3:19" ht="12.5">
      <c r="C182" s="66"/>
      <c r="I182" s="79"/>
      <c r="J182" s="19"/>
      <c r="K182" s="19"/>
      <c r="L182" s="19"/>
      <c r="M182" s="19"/>
      <c r="N182" s="19"/>
      <c r="O182" s="19"/>
      <c r="P182" s="19"/>
      <c r="Q182" s="19"/>
      <c r="R182" s="19"/>
      <c r="S182" s="19"/>
    </row>
    <row r="183" spans="3:19" ht="12.5">
      <c r="C183" s="66"/>
      <c r="I183" s="79"/>
      <c r="J183" s="19"/>
      <c r="K183" s="19"/>
      <c r="L183" s="19"/>
      <c r="M183" s="19"/>
      <c r="N183" s="19"/>
      <c r="O183" s="19"/>
      <c r="P183" s="19"/>
      <c r="Q183" s="19"/>
      <c r="R183" s="19"/>
      <c r="S183" s="19"/>
    </row>
    <row r="184" spans="3:19" ht="12.5">
      <c r="C184" s="66"/>
      <c r="I184" s="79"/>
      <c r="J184" s="19"/>
      <c r="K184" s="19"/>
      <c r="L184" s="19"/>
      <c r="M184" s="19"/>
      <c r="N184" s="19"/>
      <c r="O184" s="19"/>
      <c r="P184" s="19"/>
      <c r="Q184" s="19"/>
      <c r="R184" s="19"/>
      <c r="S184" s="19"/>
    </row>
    <row r="185" spans="3:19" ht="12.5">
      <c r="C185" s="66"/>
      <c r="I185" s="79"/>
      <c r="J185" s="19"/>
      <c r="K185" s="19"/>
      <c r="L185" s="19"/>
      <c r="M185" s="19"/>
      <c r="N185" s="19"/>
      <c r="O185" s="19"/>
      <c r="P185" s="19"/>
      <c r="Q185" s="19"/>
      <c r="R185" s="19"/>
      <c r="S185" s="19"/>
    </row>
    <row r="186" spans="3:19" ht="12.5">
      <c r="C186" s="66"/>
      <c r="I186" s="79"/>
      <c r="J186" s="19"/>
      <c r="K186" s="19"/>
      <c r="L186" s="19"/>
      <c r="M186" s="19"/>
      <c r="N186" s="19"/>
      <c r="O186" s="19"/>
      <c r="P186" s="19"/>
      <c r="Q186" s="19"/>
      <c r="R186" s="19"/>
      <c r="S186" s="19"/>
    </row>
    <row r="187" spans="3:19" ht="12.5">
      <c r="C187" s="66"/>
      <c r="I187" s="79"/>
      <c r="J187" s="19"/>
      <c r="K187" s="19"/>
      <c r="L187" s="19"/>
      <c r="M187" s="19"/>
      <c r="N187" s="19"/>
      <c r="O187" s="19"/>
      <c r="P187" s="19"/>
      <c r="Q187" s="19"/>
      <c r="R187" s="19"/>
      <c r="S187" s="19"/>
    </row>
    <row r="188" spans="3:19" ht="12.5">
      <c r="C188" s="66"/>
      <c r="I188" s="79"/>
      <c r="J188" s="19"/>
      <c r="K188" s="19"/>
      <c r="L188" s="19"/>
      <c r="M188" s="19"/>
      <c r="N188" s="19"/>
      <c r="O188" s="19"/>
      <c r="P188" s="19"/>
      <c r="Q188" s="19"/>
      <c r="R188" s="19"/>
      <c r="S188" s="19"/>
    </row>
    <row r="189" spans="3:19" ht="12.5">
      <c r="C189" s="66"/>
      <c r="I189" s="79"/>
      <c r="J189" s="19"/>
      <c r="K189" s="19"/>
      <c r="L189" s="19"/>
      <c r="M189" s="19"/>
      <c r="N189" s="19"/>
      <c r="O189" s="19"/>
      <c r="P189" s="19"/>
      <c r="Q189" s="19"/>
      <c r="R189" s="19"/>
      <c r="S189" s="19"/>
    </row>
    <row r="190" spans="3:19" ht="12.5">
      <c r="C190" s="66"/>
      <c r="I190" s="79"/>
      <c r="J190" s="19"/>
      <c r="K190" s="19"/>
      <c r="L190" s="19"/>
      <c r="M190" s="19"/>
      <c r="N190" s="19"/>
      <c r="O190" s="19"/>
      <c r="P190" s="19"/>
      <c r="Q190" s="19"/>
      <c r="R190" s="19"/>
      <c r="S190" s="19"/>
    </row>
    <row r="191" spans="3:19" ht="12.5">
      <c r="C191" s="66"/>
      <c r="I191" s="79"/>
      <c r="J191" s="19"/>
      <c r="K191" s="19"/>
      <c r="L191" s="19"/>
      <c r="M191" s="19"/>
      <c r="N191" s="19"/>
      <c r="O191" s="19"/>
      <c r="P191" s="19"/>
      <c r="Q191" s="19"/>
      <c r="R191" s="19"/>
      <c r="S191" s="19"/>
    </row>
    <row r="192" spans="3:19" ht="12.5">
      <c r="C192" s="66"/>
      <c r="I192" s="79"/>
      <c r="J192" s="19"/>
      <c r="K192" s="19"/>
      <c r="L192" s="19"/>
      <c r="M192" s="19"/>
      <c r="N192" s="19"/>
      <c r="O192" s="19"/>
      <c r="P192" s="19"/>
      <c r="Q192" s="19"/>
      <c r="R192" s="19"/>
      <c r="S192" s="19"/>
    </row>
    <row r="193" spans="3:19" ht="12.5">
      <c r="C193" s="66"/>
      <c r="I193" s="79"/>
      <c r="J193" s="19"/>
      <c r="K193" s="19"/>
      <c r="L193" s="19"/>
      <c r="M193" s="19"/>
      <c r="N193" s="19"/>
      <c r="O193" s="19"/>
      <c r="P193" s="19"/>
      <c r="Q193" s="19"/>
      <c r="R193" s="19"/>
      <c r="S193" s="19"/>
    </row>
    <row r="194" spans="3:19" ht="12.5">
      <c r="C194" s="66"/>
      <c r="I194" s="79"/>
      <c r="J194" s="19"/>
      <c r="K194" s="19"/>
      <c r="L194" s="19"/>
      <c r="M194" s="19"/>
      <c r="N194" s="19"/>
      <c r="O194" s="19"/>
      <c r="P194" s="19"/>
      <c r="Q194" s="19"/>
      <c r="R194" s="19"/>
      <c r="S194" s="19"/>
    </row>
    <row r="195" spans="3:19" ht="12.5">
      <c r="C195" s="66"/>
      <c r="I195" s="79"/>
      <c r="J195" s="19"/>
      <c r="K195" s="19"/>
      <c r="L195" s="19"/>
      <c r="M195" s="19"/>
      <c r="N195" s="19"/>
      <c r="O195" s="19"/>
      <c r="P195" s="19"/>
      <c r="Q195" s="19"/>
      <c r="R195" s="19"/>
      <c r="S195" s="19"/>
    </row>
    <row r="196" spans="3:19" ht="12.5">
      <c r="C196" s="66"/>
      <c r="I196" s="79"/>
      <c r="J196" s="19"/>
      <c r="K196" s="19"/>
      <c r="L196" s="19"/>
      <c r="M196" s="19"/>
      <c r="N196" s="19"/>
      <c r="O196" s="19"/>
      <c r="P196" s="19"/>
      <c r="Q196" s="19"/>
      <c r="R196" s="19"/>
      <c r="S196" s="19"/>
    </row>
    <row r="197" spans="3:19" ht="12.5">
      <c r="C197" s="66"/>
      <c r="I197" s="79"/>
      <c r="J197" s="19"/>
      <c r="K197" s="19"/>
      <c r="L197" s="19"/>
      <c r="M197" s="19"/>
      <c r="N197" s="19"/>
      <c r="O197" s="19"/>
      <c r="P197" s="19"/>
      <c r="Q197" s="19"/>
      <c r="R197" s="19"/>
      <c r="S197" s="19"/>
    </row>
    <row r="198" spans="3:19" ht="12.5">
      <c r="C198" s="66"/>
      <c r="I198" s="79"/>
      <c r="J198" s="19"/>
      <c r="K198" s="19"/>
      <c r="L198" s="19"/>
      <c r="M198" s="19"/>
      <c r="N198" s="19"/>
      <c r="O198" s="19"/>
      <c r="P198" s="19"/>
      <c r="Q198" s="19"/>
      <c r="R198" s="19"/>
      <c r="S198" s="19"/>
    </row>
    <row r="199" spans="3:19" ht="12.5">
      <c r="C199" s="66"/>
      <c r="I199" s="79"/>
      <c r="J199" s="19"/>
      <c r="K199" s="19"/>
      <c r="L199" s="19"/>
      <c r="M199" s="19"/>
      <c r="N199" s="19"/>
      <c r="O199" s="19"/>
      <c r="P199" s="19"/>
      <c r="Q199" s="19"/>
      <c r="R199" s="19"/>
      <c r="S199" s="19"/>
    </row>
    <row r="200" spans="3:19" ht="12.5">
      <c r="C200" s="66"/>
      <c r="I200" s="79"/>
      <c r="J200" s="19"/>
      <c r="K200" s="19"/>
      <c r="L200" s="19"/>
      <c r="M200" s="19"/>
      <c r="N200" s="19"/>
      <c r="O200" s="19"/>
      <c r="P200" s="19"/>
      <c r="Q200" s="19"/>
      <c r="R200" s="19"/>
      <c r="S200" s="19"/>
    </row>
    <row r="201" spans="3:19" ht="12.5">
      <c r="C201" s="66"/>
      <c r="I201" s="79"/>
      <c r="J201" s="19"/>
      <c r="K201" s="19"/>
      <c r="L201" s="19"/>
      <c r="M201" s="19"/>
      <c r="N201" s="19"/>
      <c r="O201" s="19"/>
      <c r="P201" s="19"/>
      <c r="Q201" s="19"/>
      <c r="R201" s="19"/>
      <c r="S201" s="19"/>
    </row>
    <row r="202" spans="3:19" ht="12.5">
      <c r="C202" s="66"/>
      <c r="I202" s="79"/>
      <c r="J202" s="19"/>
      <c r="K202" s="19"/>
      <c r="L202" s="19"/>
      <c r="M202" s="19"/>
      <c r="N202" s="19"/>
      <c r="O202" s="19"/>
      <c r="P202" s="19"/>
      <c r="Q202" s="19"/>
      <c r="R202" s="19"/>
      <c r="S202" s="19"/>
    </row>
    <row r="203" spans="3:19" ht="12.5">
      <c r="C203" s="66"/>
      <c r="I203" s="79"/>
      <c r="J203" s="19"/>
      <c r="K203" s="19"/>
      <c r="L203" s="19"/>
      <c r="M203" s="19"/>
      <c r="N203" s="19"/>
      <c r="O203" s="19"/>
      <c r="P203" s="19"/>
      <c r="Q203" s="19"/>
      <c r="R203" s="19"/>
      <c r="S203" s="19"/>
    </row>
    <row r="204" spans="3:19" ht="12.5">
      <c r="C204" s="66"/>
      <c r="I204" s="79"/>
      <c r="J204" s="19"/>
      <c r="K204" s="19"/>
      <c r="L204" s="19"/>
      <c r="M204" s="19"/>
      <c r="N204" s="19"/>
      <c r="O204" s="19"/>
      <c r="P204" s="19"/>
      <c r="Q204" s="19"/>
      <c r="R204" s="19"/>
      <c r="S204" s="19"/>
    </row>
    <row r="205" spans="3:19" ht="12.5">
      <c r="C205" s="66"/>
      <c r="I205" s="79"/>
      <c r="J205" s="19"/>
      <c r="K205" s="19"/>
      <c r="L205" s="19"/>
      <c r="M205" s="19"/>
      <c r="N205" s="19"/>
      <c r="O205" s="19"/>
      <c r="P205" s="19"/>
      <c r="Q205" s="19"/>
      <c r="R205" s="19"/>
      <c r="S205" s="19"/>
    </row>
    <row r="206" spans="3:19" ht="12.5">
      <c r="C206" s="66"/>
      <c r="I206" s="79"/>
      <c r="J206" s="19"/>
      <c r="K206" s="19"/>
      <c r="L206" s="19"/>
      <c r="M206" s="19"/>
      <c r="N206" s="19"/>
      <c r="O206" s="19"/>
      <c r="P206" s="19"/>
      <c r="Q206" s="19"/>
      <c r="R206" s="19"/>
      <c r="S206" s="19"/>
    </row>
    <row r="207" spans="3:19" ht="12.5">
      <c r="C207" s="66"/>
      <c r="I207" s="79"/>
      <c r="J207" s="19"/>
      <c r="K207" s="19"/>
      <c r="L207" s="19"/>
      <c r="M207" s="19"/>
      <c r="N207" s="19"/>
      <c r="O207" s="19"/>
      <c r="P207" s="19"/>
      <c r="Q207" s="19"/>
      <c r="R207" s="19"/>
      <c r="S207" s="19"/>
    </row>
    <row r="208" spans="3:19" ht="12.5">
      <c r="C208" s="66"/>
      <c r="I208" s="79"/>
      <c r="J208" s="19"/>
      <c r="K208" s="19"/>
      <c r="L208" s="19"/>
      <c r="M208" s="19"/>
      <c r="N208" s="19"/>
      <c r="O208" s="19"/>
      <c r="P208" s="19"/>
      <c r="Q208" s="19"/>
      <c r="R208" s="19"/>
      <c r="S208" s="19"/>
    </row>
    <row r="209" spans="3:19" ht="12.5">
      <c r="C209" s="66"/>
      <c r="I209" s="79"/>
      <c r="J209" s="19"/>
      <c r="K209" s="19"/>
      <c r="L209" s="19"/>
      <c r="M209" s="19"/>
      <c r="N209" s="19"/>
      <c r="O209" s="19"/>
      <c r="P209" s="19"/>
      <c r="Q209" s="19"/>
      <c r="R209" s="19"/>
      <c r="S209" s="19"/>
    </row>
    <row r="210" spans="3:19" ht="12.5">
      <c r="C210" s="66"/>
      <c r="I210" s="79"/>
      <c r="J210" s="19"/>
      <c r="K210" s="19"/>
      <c r="L210" s="19"/>
      <c r="M210" s="19"/>
      <c r="N210" s="19"/>
      <c r="O210" s="19"/>
      <c r="P210" s="19"/>
      <c r="Q210" s="19"/>
      <c r="R210" s="19"/>
      <c r="S210" s="19"/>
    </row>
    <row r="211" spans="3:19" ht="12.5">
      <c r="C211" s="66"/>
      <c r="I211" s="79"/>
      <c r="J211" s="19"/>
      <c r="K211" s="19"/>
      <c r="L211" s="19"/>
      <c r="M211" s="19"/>
      <c r="N211" s="19"/>
      <c r="O211" s="19"/>
      <c r="P211" s="19"/>
      <c r="Q211" s="19"/>
      <c r="R211" s="19"/>
      <c r="S211" s="19"/>
    </row>
    <row r="212" spans="3:19" ht="12.5">
      <c r="C212" s="66"/>
      <c r="I212" s="79"/>
      <c r="J212" s="19"/>
      <c r="K212" s="19"/>
      <c r="L212" s="19"/>
      <c r="M212" s="19"/>
      <c r="N212" s="19"/>
      <c r="O212" s="19"/>
      <c r="P212" s="19"/>
      <c r="Q212" s="19"/>
      <c r="R212" s="19"/>
      <c r="S212" s="19"/>
    </row>
    <row r="213" spans="3:19" ht="12.5">
      <c r="C213" s="66"/>
      <c r="I213" s="79"/>
      <c r="J213" s="19"/>
      <c r="K213" s="19"/>
      <c r="L213" s="19"/>
      <c r="M213" s="19"/>
      <c r="N213" s="19"/>
      <c r="O213" s="19"/>
      <c r="P213" s="19"/>
      <c r="Q213" s="19"/>
      <c r="R213" s="19"/>
      <c r="S213" s="19"/>
    </row>
    <row r="214" spans="3:19" ht="12.5">
      <c r="C214" s="66"/>
      <c r="I214" s="79"/>
      <c r="J214" s="19"/>
      <c r="K214" s="19"/>
      <c r="L214" s="19"/>
      <c r="M214" s="19"/>
      <c r="N214" s="19"/>
      <c r="O214" s="19"/>
      <c r="P214" s="19"/>
      <c r="Q214" s="19"/>
      <c r="R214" s="19"/>
      <c r="S214" s="19"/>
    </row>
    <row r="215" spans="3:19" ht="12.5">
      <c r="C215" s="66"/>
      <c r="I215" s="79"/>
      <c r="J215" s="19"/>
      <c r="K215" s="19"/>
      <c r="L215" s="19"/>
      <c r="M215" s="19"/>
      <c r="N215" s="19"/>
      <c r="O215" s="19"/>
      <c r="P215" s="19"/>
      <c r="Q215" s="19"/>
      <c r="R215" s="19"/>
      <c r="S215" s="19"/>
    </row>
    <row r="216" spans="3:19" ht="12.5">
      <c r="C216" s="66"/>
      <c r="I216" s="79"/>
      <c r="J216" s="19"/>
      <c r="K216" s="19"/>
      <c r="L216" s="19"/>
      <c r="M216" s="19"/>
      <c r="N216" s="19"/>
      <c r="O216" s="19"/>
      <c r="P216" s="19"/>
      <c r="Q216" s="19"/>
      <c r="R216" s="19"/>
      <c r="S216" s="19"/>
    </row>
    <row r="217" spans="3:19" ht="12.5">
      <c r="C217" s="66"/>
      <c r="I217" s="79"/>
      <c r="J217" s="19"/>
      <c r="K217" s="19"/>
      <c r="L217" s="19"/>
      <c r="M217" s="19"/>
      <c r="N217" s="19"/>
      <c r="O217" s="19"/>
      <c r="P217" s="19"/>
      <c r="Q217" s="19"/>
      <c r="R217" s="19"/>
      <c r="S217" s="19"/>
    </row>
    <row r="218" spans="3:19" ht="12.5">
      <c r="C218" s="66"/>
      <c r="I218" s="79"/>
      <c r="J218" s="19"/>
      <c r="K218" s="19"/>
      <c r="L218" s="19"/>
      <c r="M218" s="19"/>
      <c r="N218" s="19"/>
      <c r="O218" s="19"/>
      <c r="P218" s="19"/>
      <c r="Q218" s="19"/>
      <c r="R218" s="19"/>
      <c r="S218" s="19"/>
    </row>
    <row r="219" spans="3:19" ht="12.5">
      <c r="C219" s="66"/>
      <c r="I219" s="79"/>
      <c r="J219" s="19"/>
      <c r="K219" s="19"/>
      <c r="L219" s="19"/>
      <c r="M219" s="19"/>
      <c r="N219" s="19"/>
      <c r="O219" s="19"/>
      <c r="P219" s="19"/>
      <c r="Q219" s="19"/>
      <c r="R219" s="19"/>
      <c r="S219" s="19"/>
    </row>
    <row r="220" spans="3:19" ht="12.5">
      <c r="C220" s="66"/>
      <c r="I220" s="79"/>
      <c r="J220" s="19"/>
      <c r="K220" s="19"/>
      <c r="L220" s="19"/>
      <c r="M220" s="19"/>
      <c r="N220" s="19"/>
      <c r="O220" s="19"/>
      <c r="P220" s="19"/>
      <c r="Q220" s="19"/>
      <c r="R220" s="19"/>
      <c r="S220" s="19"/>
    </row>
    <row r="221" spans="3:19" ht="12.5">
      <c r="C221" s="66"/>
      <c r="I221" s="79"/>
      <c r="J221" s="19"/>
      <c r="K221" s="19"/>
      <c r="L221" s="19"/>
      <c r="M221" s="19"/>
      <c r="N221" s="19"/>
      <c r="O221" s="19"/>
      <c r="P221" s="19"/>
      <c r="Q221" s="19"/>
      <c r="R221" s="19"/>
      <c r="S221" s="19"/>
    </row>
    <row r="222" spans="3:19" ht="12.5">
      <c r="C222" s="66"/>
      <c r="I222" s="79"/>
      <c r="J222" s="19"/>
      <c r="K222" s="19"/>
      <c r="L222" s="19"/>
      <c r="M222" s="19"/>
      <c r="N222" s="19"/>
      <c r="O222" s="19"/>
      <c r="P222" s="19"/>
      <c r="Q222" s="19"/>
      <c r="R222" s="19"/>
      <c r="S222" s="19"/>
    </row>
    <row r="223" spans="3:19" ht="12.5">
      <c r="C223" s="66"/>
      <c r="I223" s="79"/>
      <c r="J223" s="19"/>
      <c r="K223" s="19"/>
      <c r="L223" s="19"/>
      <c r="M223" s="19"/>
      <c r="N223" s="19"/>
      <c r="O223" s="19"/>
      <c r="P223" s="19"/>
      <c r="Q223" s="19"/>
      <c r="R223" s="19"/>
      <c r="S223" s="19"/>
    </row>
    <row r="224" spans="3:19" ht="12.5">
      <c r="C224" s="66"/>
      <c r="I224" s="79"/>
      <c r="J224" s="19"/>
      <c r="K224" s="19"/>
      <c r="L224" s="19"/>
      <c r="M224" s="19"/>
      <c r="N224" s="19"/>
      <c r="O224" s="19"/>
      <c r="P224" s="19"/>
      <c r="Q224" s="19"/>
      <c r="R224" s="19"/>
      <c r="S224" s="19"/>
    </row>
    <row r="225" spans="3:19" ht="12.5">
      <c r="C225" s="66"/>
      <c r="I225" s="79"/>
      <c r="J225" s="19"/>
      <c r="K225" s="19"/>
      <c r="L225" s="19"/>
      <c r="M225" s="19"/>
      <c r="N225" s="19"/>
      <c r="O225" s="19"/>
      <c r="P225" s="19"/>
      <c r="Q225" s="19"/>
      <c r="R225" s="19"/>
      <c r="S225" s="19"/>
    </row>
    <row r="226" spans="3:19" ht="12.5">
      <c r="C226" s="66"/>
      <c r="I226" s="79"/>
      <c r="J226" s="19"/>
      <c r="K226" s="19"/>
      <c r="L226" s="19"/>
      <c r="M226" s="19"/>
      <c r="N226" s="19"/>
      <c r="O226" s="19"/>
      <c r="P226" s="19"/>
      <c r="Q226" s="19"/>
      <c r="R226" s="19"/>
      <c r="S226" s="19"/>
    </row>
    <row r="227" spans="3:19" ht="12.5">
      <c r="C227" s="66"/>
      <c r="I227" s="79"/>
      <c r="J227" s="19"/>
      <c r="K227" s="19"/>
      <c r="L227" s="19"/>
      <c r="M227" s="19"/>
      <c r="N227" s="19"/>
      <c r="O227" s="19"/>
      <c r="P227" s="19"/>
      <c r="Q227" s="19"/>
      <c r="R227" s="19"/>
      <c r="S227" s="19"/>
    </row>
    <row r="228" spans="3:19" ht="12.5">
      <c r="C228" s="66"/>
      <c r="I228" s="79"/>
      <c r="J228" s="19"/>
      <c r="K228" s="19"/>
      <c r="L228" s="19"/>
      <c r="M228" s="19"/>
      <c r="N228" s="19"/>
      <c r="O228" s="19"/>
      <c r="P228" s="19"/>
      <c r="Q228" s="19"/>
      <c r="R228" s="19"/>
      <c r="S228" s="19"/>
    </row>
    <row r="229" spans="3:19" ht="12.5">
      <c r="C229" s="66"/>
      <c r="I229" s="79"/>
      <c r="J229" s="19"/>
      <c r="K229" s="19"/>
      <c r="L229" s="19"/>
      <c r="M229" s="19"/>
      <c r="N229" s="19"/>
      <c r="O229" s="19"/>
      <c r="P229" s="19"/>
      <c r="Q229" s="19"/>
      <c r="R229" s="19"/>
      <c r="S229" s="19"/>
    </row>
    <row r="230" spans="3:19" ht="12.5">
      <c r="C230" s="66"/>
      <c r="I230" s="79"/>
      <c r="J230" s="19"/>
      <c r="K230" s="19"/>
      <c r="L230" s="19"/>
      <c r="M230" s="19"/>
      <c r="N230" s="19"/>
      <c r="O230" s="19"/>
      <c r="P230" s="19"/>
      <c r="Q230" s="19"/>
      <c r="R230" s="19"/>
      <c r="S230" s="19"/>
    </row>
    <row r="231" spans="3:19" ht="12.5">
      <c r="C231" s="66"/>
      <c r="I231" s="79"/>
      <c r="J231" s="19"/>
      <c r="K231" s="19"/>
      <c r="L231" s="19"/>
      <c r="M231" s="19"/>
      <c r="N231" s="19"/>
      <c r="O231" s="19"/>
      <c r="P231" s="19"/>
      <c r="Q231" s="19"/>
      <c r="R231" s="19"/>
      <c r="S231" s="19"/>
    </row>
    <row r="232" spans="3:19" ht="12.5">
      <c r="C232" s="66"/>
      <c r="I232" s="79"/>
      <c r="J232" s="19"/>
      <c r="K232" s="19"/>
      <c r="L232" s="19"/>
      <c r="M232" s="19"/>
      <c r="N232" s="19"/>
      <c r="O232" s="19"/>
      <c r="P232" s="19"/>
      <c r="Q232" s="19"/>
      <c r="R232" s="19"/>
      <c r="S232" s="19"/>
    </row>
    <row r="233" spans="3:19" ht="12.5">
      <c r="C233" s="66"/>
      <c r="I233" s="79"/>
      <c r="J233" s="19"/>
      <c r="K233" s="19"/>
      <c r="L233" s="19"/>
      <c r="M233" s="19"/>
      <c r="N233" s="19"/>
      <c r="O233" s="19"/>
      <c r="P233" s="19"/>
      <c r="Q233" s="19"/>
      <c r="R233" s="19"/>
      <c r="S233" s="19"/>
    </row>
    <row r="234" spans="3:19" ht="12.5">
      <c r="C234" s="66"/>
      <c r="I234" s="79"/>
      <c r="J234" s="19"/>
      <c r="K234" s="19"/>
      <c r="L234" s="19"/>
      <c r="M234" s="19"/>
      <c r="N234" s="19"/>
      <c r="O234" s="19"/>
      <c r="P234" s="19"/>
      <c r="Q234" s="19"/>
      <c r="R234" s="19"/>
      <c r="S234" s="19"/>
    </row>
    <row r="235" spans="3:19" ht="12.5">
      <c r="C235" s="66"/>
      <c r="I235" s="79"/>
      <c r="J235" s="19"/>
      <c r="K235" s="19"/>
      <c r="L235" s="19"/>
      <c r="M235" s="19"/>
      <c r="N235" s="19"/>
      <c r="O235" s="19"/>
      <c r="P235" s="19"/>
      <c r="Q235" s="19"/>
      <c r="R235" s="19"/>
      <c r="S235" s="19"/>
    </row>
    <row r="236" spans="3:19" ht="12.5">
      <c r="C236" s="66"/>
      <c r="I236" s="79"/>
      <c r="J236" s="19"/>
      <c r="K236" s="19"/>
      <c r="L236" s="19"/>
      <c r="M236" s="19"/>
      <c r="N236" s="19"/>
      <c r="O236" s="19"/>
      <c r="P236" s="19"/>
      <c r="Q236" s="19"/>
      <c r="R236" s="19"/>
      <c r="S236" s="19"/>
    </row>
    <row r="237" spans="3:19" ht="12.5">
      <c r="C237" s="66"/>
      <c r="I237" s="79"/>
      <c r="J237" s="19"/>
      <c r="K237" s="19"/>
      <c r="L237" s="19"/>
      <c r="M237" s="19"/>
      <c r="N237" s="19"/>
      <c r="O237" s="19"/>
      <c r="P237" s="19"/>
      <c r="Q237" s="19"/>
      <c r="R237" s="19"/>
      <c r="S237" s="19"/>
    </row>
    <row r="238" spans="3:19" ht="12.5">
      <c r="C238" s="66"/>
      <c r="I238" s="79"/>
      <c r="J238" s="19"/>
      <c r="K238" s="19"/>
      <c r="L238" s="19"/>
      <c r="M238" s="19"/>
      <c r="N238" s="19"/>
      <c r="O238" s="19"/>
      <c r="P238" s="19"/>
      <c r="Q238" s="19"/>
      <c r="R238" s="19"/>
      <c r="S238" s="19"/>
    </row>
    <row r="239" spans="3:19" ht="12.5">
      <c r="C239" s="66"/>
      <c r="I239" s="79"/>
      <c r="J239" s="19"/>
      <c r="K239" s="19"/>
      <c r="L239" s="19"/>
      <c r="M239" s="19"/>
      <c r="N239" s="19"/>
      <c r="O239" s="19"/>
      <c r="P239" s="19"/>
      <c r="Q239" s="19"/>
      <c r="R239" s="19"/>
      <c r="S239" s="19"/>
    </row>
    <row r="240" spans="3:19" ht="12.5">
      <c r="C240" s="66"/>
      <c r="I240" s="79"/>
      <c r="J240" s="19"/>
      <c r="K240" s="19"/>
      <c r="L240" s="19"/>
      <c r="M240" s="19"/>
      <c r="N240" s="19"/>
      <c r="O240" s="19"/>
      <c r="P240" s="19"/>
      <c r="Q240" s="19"/>
      <c r="R240" s="19"/>
      <c r="S240" s="19"/>
    </row>
    <row r="241" spans="3:19" ht="12.5">
      <c r="C241" s="66"/>
      <c r="I241" s="79"/>
      <c r="J241" s="19"/>
      <c r="K241" s="19"/>
      <c r="L241" s="19"/>
      <c r="M241" s="19"/>
      <c r="N241" s="19"/>
      <c r="O241" s="19"/>
      <c r="P241" s="19"/>
      <c r="Q241" s="19"/>
      <c r="R241" s="19"/>
      <c r="S241" s="19"/>
    </row>
    <row r="242" spans="3:19" ht="12.5">
      <c r="C242" s="66"/>
      <c r="I242" s="79"/>
      <c r="J242" s="19"/>
      <c r="K242" s="19"/>
      <c r="L242" s="19"/>
      <c r="M242" s="19"/>
      <c r="N242" s="19"/>
      <c r="O242" s="19"/>
      <c r="P242" s="19"/>
      <c r="Q242" s="19"/>
      <c r="R242" s="19"/>
      <c r="S242" s="19"/>
    </row>
    <row r="243" spans="3:19" ht="12.5">
      <c r="C243" s="66"/>
      <c r="I243" s="79"/>
      <c r="J243" s="19"/>
      <c r="K243" s="19"/>
      <c r="L243" s="19"/>
      <c r="M243" s="19"/>
      <c r="N243" s="19"/>
      <c r="O243" s="19"/>
      <c r="P243" s="19"/>
      <c r="Q243" s="19"/>
      <c r="R243" s="19"/>
      <c r="S243" s="19"/>
    </row>
    <row r="244" spans="3:19" ht="12.5">
      <c r="C244" s="66"/>
      <c r="I244" s="79"/>
      <c r="J244" s="19"/>
      <c r="K244" s="19"/>
      <c r="L244" s="19"/>
      <c r="M244" s="19"/>
      <c r="N244" s="19"/>
      <c r="O244" s="19"/>
      <c r="P244" s="19"/>
      <c r="Q244" s="19"/>
      <c r="R244" s="19"/>
      <c r="S244" s="19"/>
    </row>
    <row r="245" spans="3:19" ht="12.5">
      <c r="C245" s="66"/>
      <c r="I245" s="79"/>
      <c r="J245" s="19"/>
      <c r="K245" s="19"/>
      <c r="L245" s="19"/>
      <c r="M245" s="19"/>
      <c r="N245" s="19"/>
      <c r="O245" s="19"/>
      <c r="P245" s="19"/>
      <c r="Q245" s="19"/>
      <c r="R245" s="19"/>
      <c r="S245" s="19"/>
    </row>
    <row r="246" spans="3:19" ht="12.5">
      <c r="C246" s="66"/>
      <c r="I246" s="79"/>
      <c r="J246" s="19"/>
      <c r="K246" s="19"/>
      <c r="L246" s="19"/>
      <c r="M246" s="19"/>
      <c r="N246" s="19"/>
      <c r="O246" s="19"/>
      <c r="P246" s="19"/>
      <c r="Q246" s="19"/>
      <c r="R246" s="19"/>
      <c r="S246" s="19"/>
    </row>
    <row r="247" spans="3:19" ht="12.5">
      <c r="C247" s="66"/>
      <c r="I247" s="79"/>
      <c r="J247" s="19"/>
      <c r="K247" s="19"/>
      <c r="L247" s="19"/>
      <c r="M247" s="19"/>
      <c r="N247" s="19"/>
      <c r="O247" s="19"/>
      <c r="P247" s="19"/>
      <c r="Q247" s="19"/>
      <c r="R247" s="19"/>
      <c r="S247" s="19"/>
    </row>
    <row r="248" spans="3:19" ht="12.5">
      <c r="C248" s="66"/>
      <c r="I248" s="79"/>
      <c r="J248" s="19"/>
      <c r="K248" s="19"/>
      <c r="L248" s="19"/>
      <c r="M248" s="19"/>
      <c r="N248" s="19"/>
      <c r="O248" s="19"/>
      <c r="P248" s="19"/>
      <c r="Q248" s="19"/>
      <c r="R248" s="19"/>
      <c r="S248" s="19"/>
    </row>
    <row r="249" spans="3:19" ht="12.5">
      <c r="C249" s="66"/>
      <c r="I249" s="79"/>
      <c r="J249" s="19"/>
      <c r="K249" s="19"/>
      <c r="L249" s="19"/>
      <c r="M249" s="19"/>
      <c r="N249" s="19"/>
      <c r="O249" s="19"/>
      <c r="P249" s="19"/>
      <c r="Q249" s="19"/>
      <c r="R249" s="19"/>
      <c r="S249" s="19"/>
    </row>
    <row r="250" spans="3:19" ht="12.5">
      <c r="C250" s="66"/>
      <c r="I250" s="79"/>
      <c r="J250" s="19"/>
      <c r="K250" s="19"/>
      <c r="L250" s="19"/>
      <c r="M250" s="19"/>
      <c r="N250" s="19"/>
      <c r="O250" s="19"/>
      <c r="P250" s="19"/>
      <c r="Q250" s="19"/>
      <c r="R250" s="19"/>
      <c r="S250" s="19"/>
    </row>
    <row r="251" spans="3:19" ht="12.5">
      <c r="C251" s="66"/>
      <c r="I251" s="79"/>
      <c r="J251" s="19"/>
      <c r="K251" s="19"/>
      <c r="L251" s="19"/>
      <c r="M251" s="19"/>
      <c r="N251" s="19"/>
      <c r="O251" s="19"/>
      <c r="P251" s="19"/>
      <c r="Q251" s="19"/>
      <c r="R251" s="19"/>
      <c r="S251" s="19"/>
    </row>
    <row r="252" spans="3:19" ht="12.5">
      <c r="C252" s="66"/>
      <c r="I252" s="79"/>
      <c r="J252" s="19"/>
      <c r="K252" s="19"/>
      <c r="L252" s="19"/>
      <c r="M252" s="19"/>
      <c r="N252" s="19"/>
      <c r="O252" s="19"/>
      <c r="P252" s="19"/>
      <c r="Q252" s="19"/>
      <c r="R252" s="19"/>
      <c r="S252" s="19"/>
    </row>
    <row r="253" spans="3:19" ht="12.5">
      <c r="C253" s="66"/>
      <c r="I253" s="79"/>
      <c r="J253" s="19"/>
      <c r="K253" s="19"/>
      <c r="L253" s="19"/>
      <c r="M253" s="19"/>
      <c r="N253" s="19"/>
      <c r="O253" s="19"/>
      <c r="P253" s="19"/>
      <c r="Q253" s="19"/>
      <c r="R253" s="19"/>
      <c r="S253" s="19"/>
    </row>
    <row r="254" spans="3:19" ht="12.5">
      <c r="C254" s="66"/>
      <c r="I254" s="79"/>
      <c r="J254" s="19"/>
      <c r="K254" s="19"/>
      <c r="L254" s="19"/>
      <c r="M254" s="19"/>
      <c r="N254" s="19"/>
      <c r="O254" s="19"/>
      <c r="P254" s="19"/>
      <c r="Q254" s="19"/>
      <c r="R254" s="19"/>
      <c r="S254" s="19"/>
    </row>
    <row r="255" spans="3:19" ht="12.5">
      <c r="C255" s="66"/>
      <c r="I255" s="79"/>
      <c r="J255" s="19"/>
      <c r="K255" s="19"/>
      <c r="L255" s="19"/>
      <c r="M255" s="19"/>
      <c r="N255" s="19"/>
      <c r="O255" s="19"/>
      <c r="P255" s="19"/>
      <c r="Q255" s="19"/>
      <c r="R255" s="19"/>
      <c r="S255" s="19"/>
    </row>
    <row r="256" spans="3:19" ht="12.5">
      <c r="C256" s="66"/>
      <c r="I256" s="79"/>
      <c r="J256" s="19"/>
      <c r="K256" s="19"/>
      <c r="L256" s="19"/>
      <c r="M256" s="19"/>
      <c r="N256" s="19"/>
      <c r="O256" s="19"/>
      <c r="P256" s="19"/>
      <c r="Q256" s="19"/>
      <c r="R256" s="19"/>
      <c r="S256" s="19"/>
    </row>
    <row r="257" spans="3:19" ht="12.5">
      <c r="C257" s="66"/>
      <c r="I257" s="79"/>
      <c r="J257" s="19"/>
      <c r="K257" s="19"/>
      <c r="L257" s="19"/>
      <c r="M257" s="19"/>
      <c r="N257" s="19"/>
      <c r="O257" s="19"/>
      <c r="P257" s="19"/>
      <c r="Q257" s="19"/>
      <c r="R257" s="19"/>
      <c r="S257" s="19"/>
    </row>
    <row r="258" spans="3:19" ht="12.5">
      <c r="C258" s="66"/>
      <c r="I258" s="79"/>
      <c r="J258" s="19"/>
      <c r="K258" s="19"/>
      <c r="L258" s="19"/>
      <c r="M258" s="19"/>
      <c r="N258" s="19"/>
      <c r="O258" s="19"/>
      <c r="P258" s="19"/>
      <c r="Q258" s="19"/>
      <c r="R258" s="19"/>
      <c r="S258" s="19"/>
    </row>
    <row r="259" spans="3:19" ht="12.5">
      <c r="C259" s="66"/>
      <c r="I259" s="79"/>
      <c r="J259" s="19"/>
      <c r="K259" s="19"/>
      <c r="L259" s="19"/>
      <c r="M259" s="19"/>
      <c r="N259" s="19"/>
      <c r="O259" s="19"/>
      <c r="P259" s="19"/>
      <c r="Q259" s="19"/>
      <c r="R259" s="19"/>
      <c r="S259" s="19"/>
    </row>
    <row r="260" spans="3:19" ht="12.5">
      <c r="C260" s="66"/>
      <c r="I260" s="79"/>
      <c r="J260" s="19"/>
      <c r="K260" s="19"/>
      <c r="L260" s="19"/>
      <c r="M260" s="19"/>
      <c r="N260" s="19"/>
      <c r="O260" s="19"/>
      <c r="P260" s="19"/>
      <c r="Q260" s="19"/>
      <c r="R260" s="19"/>
      <c r="S260" s="19"/>
    </row>
    <row r="261" spans="3:19" ht="12.5">
      <c r="C261" s="66"/>
      <c r="I261" s="79"/>
      <c r="J261" s="19"/>
      <c r="K261" s="19"/>
      <c r="L261" s="19"/>
      <c r="M261" s="19"/>
      <c r="N261" s="19"/>
      <c r="O261" s="19"/>
      <c r="P261" s="19"/>
      <c r="Q261" s="19"/>
      <c r="R261" s="19"/>
      <c r="S261" s="19"/>
    </row>
    <row r="262" spans="3:19" ht="12.5">
      <c r="C262" s="66"/>
      <c r="I262" s="79"/>
      <c r="J262" s="19"/>
      <c r="K262" s="19"/>
      <c r="L262" s="19"/>
      <c r="M262" s="19"/>
      <c r="N262" s="19"/>
      <c r="O262" s="19"/>
      <c r="P262" s="19"/>
      <c r="Q262" s="19"/>
      <c r="R262" s="19"/>
      <c r="S262" s="19"/>
    </row>
    <row r="263" spans="3:19" ht="12.5">
      <c r="C263" s="66"/>
      <c r="I263" s="79"/>
      <c r="J263" s="19"/>
      <c r="K263" s="19"/>
      <c r="L263" s="19"/>
      <c r="M263" s="19"/>
      <c r="N263" s="19"/>
      <c r="O263" s="19"/>
      <c r="P263" s="19"/>
      <c r="Q263" s="19"/>
      <c r="R263" s="19"/>
      <c r="S263" s="19"/>
    </row>
    <row r="264" spans="3:19" ht="12.5">
      <c r="C264" s="66"/>
      <c r="I264" s="79"/>
      <c r="J264" s="19"/>
      <c r="K264" s="19"/>
      <c r="L264" s="19"/>
      <c r="M264" s="19"/>
      <c r="N264" s="19"/>
      <c r="O264" s="19"/>
      <c r="P264" s="19"/>
      <c r="Q264" s="19"/>
      <c r="R264" s="19"/>
      <c r="S264" s="19"/>
    </row>
    <row r="265" spans="3:19" ht="12.5">
      <c r="C265" s="66"/>
      <c r="I265" s="79"/>
      <c r="J265" s="19"/>
      <c r="K265" s="19"/>
      <c r="L265" s="19"/>
      <c r="M265" s="19"/>
      <c r="N265" s="19"/>
      <c r="O265" s="19"/>
      <c r="P265" s="19"/>
      <c r="Q265" s="19"/>
      <c r="R265" s="19"/>
      <c r="S265" s="19"/>
    </row>
    <row r="266" spans="3:19" ht="12.5">
      <c r="C266" s="66"/>
      <c r="I266" s="79"/>
      <c r="J266" s="19"/>
      <c r="K266" s="19"/>
      <c r="L266" s="19"/>
      <c r="M266" s="19"/>
      <c r="N266" s="19"/>
      <c r="O266" s="19"/>
      <c r="P266" s="19"/>
      <c r="Q266" s="19"/>
      <c r="R266" s="19"/>
      <c r="S266" s="19"/>
    </row>
    <row r="267" spans="3:19" ht="12.5">
      <c r="C267" s="66"/>
      <c r="I267" s="79"/>
      <c r="J267" s="19"/>
      <c r="K267" s="19"/>
      <c r="L267" s="19"/>
      <c r="M267" s="19"/>
      <c r="N267" s="19"/>
      <c r="O267" s="19"/>
      <c r="P267" s="19"/>
      <c r="Q267" s="19"/>
      <c r="R267" s="19"/>
      <c r="S267" s="19"/>
    </row>
    <row r="268" spans="3:19" ht="12.5">
      <c r="C268" s="66"/>
      <c r="I268" s="7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3:19" ht="12.5">
      <c r="C269" s="66"/>
      <c r="I269" s="79"/>
      <c r="J269" s="19"/>
      <c r="K269" s="19"/>
      <c r="L269" s="19"/>
      <c r="M269" s="19"/>
      <c r="N269" s="19"/>
      <c r="O269" s="19"/>
      <c r="P269" s="19"/>
      <c r="Q269" s="19"/>
      <c r="R269" s="19"/>
      <c r="S269" s="19"/>
    </row>
    <row r="270" spans="3:19" ht="12.5">
      <c r="C270" s="66"/>
      <c r="I270" s="79"/>
      <c r="J270" s="19"/>
      <c r="K270" s="19"/>
      <c r="L270" s="19"/>
      <c r="M270" s="19"/>
      <c r="N270" s="19"/>
      <c r="O270" s="19"/>
      <c r="P270" s="19"/>
      <c r="Q270" s="19"/>
      <c r="R270" s="19"/>
      <c r="S270" s="19"/>
    </row>
    <row r="271" spans="3:19" ht="12.5">
      <c r="C271" s="66"/>
      <c r="I271" s="79"/>
      <c r="J271" s="19"/>
      <c r="K271" s="19"/>
      <c r="L271" s="19"/>
      <c r="M271" s="19"/>
      <c r="N271" s="19"/>
      <c r="O271" s="19"/>
      <c r="P271" s="19"/>
      <c r="Q271" s="19"/>
      <c r="R271" s="19"/>
      <c r="S271" s="19"/>
    </row>
    <row r="272" spans="3:19" ht="12.5">
      <c r="C272" s="66"/>
      <c r="I272" s="79"/>
      <c r="J272" s="19"/>
      <c r="K272" s="19"/>
      <c r="L272" s="19"/>
      <c r="M272" s="19"/>
      <c r="N272" s="19"/>
      <c r="O272" s="19"/>
      <c r="P272" s="19"/>
      <c r="Q272" s="19"/>
      <c r="R272" s="19"/>
      <c r="S272" s="19"/>
    </row>
    <row r="273" spans="3:19" ht="12.5">
      <c r="C273" s="66"/>
      <c r="I273" s="79"/>
      <c r="J273" s="19"/>
      <c r="K273" s="19"/>
      <c r="L273" s="19"/>
      <c r="M273" s="19"/>
      <c r="N273" s="19"/>
      <c r="O273" s="19"/>
      <c r="P273" s="19"/>
      <c r="Q273" s="19"/>
      <c r="R273" s="19"/>
      <c r="S273" s="19"/>
    </row>
    <row r="274" spans="3:19" ht="12.5">
      <c r="C274" s="66"/>
      <c r="I274" s="79"/>
      <c r="J274" s="19"/>
      <c r="K274" s="19"/>
      <c r="L274" s="19"/>
      <c r="M274" s="19"/>
      <c r="N274" s="19"/>
      <c r="O274" s="19"/>
      <c r="P274" s="19"/>
      <c r="Q274" s="19"/>
      <c r="R274" s="19"/>
      <c r="S274" s="19"/>
    </row>
    <row r="275" spans="3:19" ht="12.5">
      <c r="C275" s="66"/>
      <c r="I275" s="79"/>
      <c r="J275" s="19"/>
      <c r="K275" s="19"/>
      <c r="L275" s="19"/>
      <c r="M275" s="19"/>
      <c r="N275" s="19"/>
      <c r="O275" s="19"/>
      <c r="P275" s="19"/>
      <c r="Q275" s="19"/>
      <c r="R275" s="19"/>
      <c r="S275" s="19"/>
    </row>
    <row r="276" spans="3:19" ht="12.5">
      <c r="C276" s="66"/>
      <c r="I276" s="79"/>
      <c r="J276" s="19"/>
      <c r="K276" s="19"/>
      <c r="L276" s="19"/>
      <c r="M276" s="19"/>
      <c r="N276" s="19"/>
      <c r="O276" s="19"/>
      <c r="P276" s="19"/>
      <c r="Q276" s="19"/>
      <c r="R276" s="19"/>
      <c r="S276" s="19"/>
    </row>
    <row r="277" spans="3:19" ht="12.5">
      <c r="C277" s="66"/>
      <c r="I277" s="79"/>
      <c r="J277" s="19"/>
      <c r="K277" s="19"/>
      <c r="L277" s="19"/>
      <c r="M277" s="19"/>
      <c r="N277" s="19"/>
      <c r="O277" s="19"/>
      <c r="P277" s="19"/>
      <c r="Q277" s="19"/>
      <c r="R277" s="19"/>
      <c r="S277" s="19"/>
    </row>
    <row r="278" spans="3:19" ht="12.5">
      <c r="C278" s="66"/>
      <c r="I278" s="79"/>
      <c r="J278" s="19"/>
      <c r="K278" s="19"/>
      <c r="L278" s="19"/>
      <c r="M278" s="19"/>
      <c r="N278" s="19"/>
      <c r="O278" s="19"/>
      <c r="P278" s="19"/>
      <c r="Q278" s="19"/>
      <c r="R278" s="19"/>
      <c r="S278" s="19"/>
    </row>
    <row r="279" spans="3:19" ht="12.5">
      <c r="C279" s="66"/>
      <c r="I279" s="79"/>
      <c r="J279" s="19"/>
      <c r="K279" s="19"/>
      <c r="L279" s="19"/>
      <c r="M279" s="19"/>
      <c r="N279" s="19"/>
      <c r="O279" s="19"/>
      <c r="P279" s="19"/>
      <c r="Q279" s="19"/>
      <c r="R279" s="19"/>
      <c r="S279" s="19"/>
    </row>
    <row r="280" spans="3:19" ht="12.5">
      <c r="C280" s="66"/>
      <c r="I280" s="79"/>
      <c r="J280" s="19"/>
      <c r="K280" s="19"/>
      <c r="L280" s="19"/>
      <c r="M280" s="19"/>
      <c r="N280" s="19"/>
      <c r="O280" s="19"/>
      <c r="P280" s="19"/>
      <c r="Q280" s="19"/>
      <c r="R280" s="19"/>
      <c r="S280" s="19"/>
    </row>
    <row r="281" spans="3:19" ht="12.5">
      <c r="C281" s="66"/>
      <c r="I281" s="79"/>
      <c r="J281" s="19"/>
      <c r="K281" s="19"/>
      <c r="L281" s="19"/>
      <c r="M281" s="19"/>
      <c r="N281" s="19"/>
      <c r="O281" s="19"/>
      <c r="P281" s="19"/>
      <c r="Q281" s="19"/>
      <c r="R281" s="19"/>
      <c r="S281" s="19"/>
    </row>
    <row r="282" spans="3:19" ht="12.5">
      <c r="C282" s="66"/>
      <c r="I282" s="79"/>
      <c r="J282" s="19"/>
      <c r="K282" s="19"/>
      <c r="L282" s="19"/>
      <c r="M282" s="19"/>
      <c r="N282" s="19"/>
      <c r="O282" s="19"/>
      <c r="P282" s="19"/>
      <c r="Q282" s="19"/>
      <c r="R282" s="19"/>
      <c r="S282" s="19"/>
    </row>
    <row r="283" spans="3:19" ht="12.5">
      <c r="C283" s="66"/>
      <c r="I283" s="79"/>
      <c r="J283" s="19"/>
      <c r="K283" s="19"/>
      <c r="L283" s="19"/>
      <c r="M283" s="19"/>
      <c r="N283" s="19"/>
      <c r="O283" s="19"/>
      <c r="P283" s="19"/>
      <c r="Q283" s="19"/>
      <c r="R283" s="19"/>
      <c r="S283" s="19"/>
    </row>
    <row r="284" spans="3:19" ht="12.5">
      <c r="C284" s="66"/>
      <c r="I284" s="79"/>
      <c r="J284" s="19"/>
      <c r="K284" s="19"/>
      <c r="L284" s="19"/>
      <c r="M284" s="19"/>
      <c r="N284" s="19"/>
      <c r="O284" s="19"/>
      <c r="P284" s="19"/>
      <c r="Q284" s="19"/>
      <c r="R284" s="19"/>
      <c r="S284" s="19"/>
    </row>
    <row r="285" spans="3:19" ht="12.5">
      <c r="C285" s="66"/>
      <c r="I285" s="79"/>
      <c r="J285" s="19"/>
      <c r="K285" s="19"/>
      <c r="L285" s="19"/>
      <c r="M285" s="19"/>
      <c r="N285" s="19"/>
      <c r="O285" s="19"/>
      <c r="P285" s="19"/>
      <c r="Q285" s="19"/>
      <c r="R285" s="19"/>
      <c r="S285" s="19"/>
    </row>
    <row r="286" spans="3:19" ht="12.5">
      <c r="C286" s="66"/>
      <c r="I286" s="79"/>
      <c r="J286" s="19"/>
      <c r="K286" s="19"/>
      <c r="L286" s="19"/>
      <c r="M286" s="19"/>
      <c r="N286" s="19"/>
      <c r="O286" s="19"/>
      <c r="P286" s="19"/>
      <c r="Q286" s="19"/>
      <c r="R286" s="19"/>
      <c r="S286" s="19"/>
    </row>
    <row r="287" spans="3:19" ht="12.5">
      <c r="C287" s="66"/>
      <c r="I287" s="79"/>
      <c r="J287" s="19"/>
      <c r="K287" s="19"/>
      <c r="L287" s="19"/>
      <c r="M287" s="19"/>
      <c r="N287" s="19"/>
      <c r="O287" s="19"/>
      <c r="P287" s="19"/>
      <c r="Q287" s="19"/>
      <c r="R287" s="19"/>
      <c r="S287" s="19"/>
    </row>
    <row r="288" spans="3:19" ht="12.5">
      <c r="C288" s="66"/>
      <c r="I288" s="79"/>
      <c r="J288" s="19"/>
      <c r="K288" s="19"/>
      <c r="L288" s="19"/>
      <c r="M288" s="19"/>
      <c r="N288" s="19"/>
      <c r="O288" s="19"/>
      <c r="P288" s="19"/>
      <c r="Q288" s="19"/>
      <c r="R288" s="19"/>
      <c r="S288" s="19"/>
    </row>
    <row r="289" spans="3:19" ht="12.5">
      <c r="C289" s="66"/>
      <c r="I289" s="79"/>
      <c r="J289" s="19"/>
      <c r="K289" s="19"/>
      <c r="L289" s="19"/>
      <c r="M289" s="19"/>
      <c r="N289" s="19"/>
      <c r="O289" s="19"/>
      <c r="P289" s="19"/>
      <c r="Q289" s="19"/>
      <c r="R289" s="19"/>
      <c r="S289" s="19"/>
    </row>
    <row r="290" spans="3:19" ht="12.5">
      <c r="C290" s="66"/>
      <c r="I290" s="79"/>
      <c r="J290" s="19"/>
      <c r="K290" s="19"/>
      <c r="L290" s="19"/>
      <c r="M290" s="19"/>
      <c r="N290" s="19"/>
      <c r="O290" s="19"/>
      <c r="P290" s="19"/>
      <c r="Q290" s="19"/>
      <c r="R290" s="19"/>
      <c r="S290" s="19"/>
    </row>
    <row r="291" spans="3:19" ht="12.5">
      <c r="C291" s="66"/>
      <c r="I291" s="79"/>
      <c r="J291" s="19"/>
      <c r="K291" s="19"/>
      <c r="L291" s="19"/>
      <c r="M291" s="19"/>
      <c r="N291" s="19"/>
      <c r="O291" s="19"/>
      <c r="P291" s="19"/>
      <c r="Q291" s="19"/>
      <c r="R291" s="19"/>
      <c r="S291" s="19"/>
    </row>
    <row r="292" spans="3:19" ht="12.5">
      <c r="C292" s="66"/>
      <c r="I292" s="79"/>
      <c r="J292" s="19"/>
      <c r="K292" s="19"/>
      <c r="L292" s="19"/>
      <c r="M292" s="19"/>
      <c r="N292" s="19"/>
      <c r="O292" s="19"/>
      <c r="P292" s="19"/>
      <c r="Q292" s="19"/>
      <c r="R292" s="19"/>
      <c r="S292" s="19"/>
    </row>
    <row r="293" spans="3:19" ht="12.5">
      <c r="C293" s="66"/>
      <c r="I293" s="79"/>
      <c r="J293" s="19"/>
      <c r="K293" s="19"/>
      <c r="L293" s="19"/>
      <c r="M293" s="19"/>
      <c r="N293" s="19"/>
      <c r="O293" s="19"/>
      <c r="P293" s="19"/>
      <c r="Q293" s="19"/>
      <c r="R293" s="19"/>
      <c r="S293" s="19"/>
    </row>
    <row r="294" spans="3:19" ht="12.5">
      <c r="C294" s="66"/>
      <c r="I294" s="79"/>
      <c r="J294" s="19"/>
      <c r="K294" s="19"/>
      <c r="L294" s="19"/>
      <c r="M294" s="19"/>
      <c r="N294" s="19"/>
      <c r="O294" s="19"/>
      <c r="P294" s="19"/>
      <c r="Q294" s="19"/>
      <c r="R294" s="19"/>
      <c r="S294" s="19"/>
    </row>
    <row r="295" spans="3:19" ht="12.5">
      <c r="C295" s="66"/>
      <c r="I295" s="79"/>
      <c r="J295" s="19"/>
      <c r="K295" s="19"/>
      <c r="L295" s="19"/>
      <c r="M295" s="19"/>
      <c r="N295" s="19"/>
      <c r="O295" s="19"/>
      <c r="P295" s="19"/>
      <c r="Q295" s="19"/>
      <c r="R295" s="19"/>
      <c r="S295" s="19"/>
    </row>
    <row r="296" spans="3:19" ht="12.5">
      <c r="C296" s="66"/>
      <c r="I296" s="79"/>
      <c r="J296" s="19"/>
      <c r="K296" s="19"/>
      <c r="L296" s="19"/>
      <c r="M296" s="19"/>
      <c r="N296" s="19"/>
      <c r="O296" s="19"/>
      <c r="P296" s="19"/>
      <c r="Q296" s="19"/>
      <c r="R296" s="19"/>
      <c r="S296" s="19"/>
    </row>
    <row r="297" spans="3:19" ht="12.5">
      <c r="C297" s="66"/>
      <c r="I297" s="79"/>
      <c r="J297" s="19"/>
      <c r="K297" s="19"/>
      <c r="L297" s="19"/>
      <c r="M297" s="19"/>
      <c r="N297" s="19"/>
      <c r="O297" s="19"/>
      <c r="P297" s="19"/>
      <c r="Q297" s="19"/>
      <c r="R297" s="19"/>
      <c r="S297" s="19"/>
    </row>
    <row r="298" spans="3:19" ht="12.5">
      <c r="C298" s="66"/>
      <c r="I298" s="79"/>
      <c r="J298" s="19"/>
      <c r="K298" s="19"/>
      <c r="L298" s="19"/>
      <c r="M298" s="19"/>
      <c r="N298" s="19"/>
      <c r="O298" s="19"/>
      <c r="P298" s="19"/>
      <c r="Q298" s="19"/>
      <c r="R298" s="19"/>
      <c r="S298" s="19"/>
    </row>
    <row r="299" spans="3:19" ht="12.5">
      <c r="C299" s="66"/>
      <c r="I299" s="79"/>
      <c r="J299" s="19"/>
      <c r="K299" s="19"/>
      <c r="L299" s="19"/>
      <c r="M299" s="19"/>
      <c r="N299" s="19"/>
      <c r="O299" s="19"/>
      <c r="P299" s="19"/>
      <c r="Q299" s="19"/>
      <c r="R299" s="19"/>
      <c r="S299" s="19"/>
    </row>
    <row r="300" spans="3:19" ht="12.5">
      <c r="C300" s="66"/>
      <c r="I300" s="79"/>
      <c r="J300" s="19"/>
      <c r="K300" s="19"/>
      <c r="L300" s="19"/>
      <c r="M300" s="19"/>
      <c r="N300" s="19"/>
      <c r="O300" s="19"/>
      <c r="P300" s="19"/>
      <c r="Q300" s="19"/>
      <c r="R300" s="19"/>
      <c r="S300" s="19"/>
    </row>
    <row r="301" spans="3:19" ht="12.5">
      <c r="C301" s="66"/>
      <c r="I301" s="79"/>
      <c r="J301" s="19"/>
      <c r="K301" s="19"/>
      <c r="L301" s="19"/>
      <c r="M301" s="19"/>
      <c r="N301" s="19"/>
      <c r="O301" s="19"/>
      <c r="P301" s="19"/>
      <c r="Q301" s="19"/>
      <c r="R301" s="19"/>
      <c r="S301" s="19"/>
    </row>
    <row r="302" spans="3:19" ht="12.5">
      <c r="C302" s="66"/>
      <c r="I302" s="79"/>
      <c r="J302" s="19"/>
      <c r="K302" s="19"/>
      <c r="L302" s="19"/>
      <c r="M302" s="19"/>
      <c r="N302" s="19"/>
      <c r="O302" s="19"/>
      <c r="P302" s="19"/>
      <c r="Q302" s="19"/>
      <c r="R302" s="19"/>
      <c r="S302" s="19"/>
    </row>
    <row r="303" spans="3:19" ht="12.5">
      <c r="C303" s="66"/>
      <c r="I303" s="79"/>
      <c r="J303" s="19"/>
      <c r="K303" s="19"/>
      <c r="L303" s="19"/>
      <c r="M303" s="19"/>
      <c r="N303" s="19"/>
      <c r="O303" s="19"/>
      <c r="P303" s="19"/>
      <c r="Q303" s="19"/>
      <c r="R303" s="19"/>
      <c r="S303" s="19"/>
    </row>
    <row r="304" spans="3:19" ht="12.5">
      <c r="C304" s="66"/>
      <c r="I304" s="79"/>
      <c r="J304" s="19"/>
      <c r="K304" s="19"/>
      <c r="L304" s="19"/>
      <c r="M304" s="19"/>
      <c r="N304" s="19"/>
      <c r="O304" s="19"/>
      <c r="P304" s="19"/>
      <c r="Q304" s="19"/>
      <c r="R304" s="19"/>
      <c r="S304" s="19"/>
    </row>
    <row r="305" spans="3:19" ht="12.5">
      <c r="C305" s="66"/>
      <c r="I305" s="79"/>
      <c r="J305" s="19"/>
      <c r="K305" s="19"/>
      <c r="L305" s="19"/>
      <c r="M305" s="19"/>
      <c r="N305" s="19"/>
      <c r="O305" s="19"/>
      <c r="P305" s="19"/>
      <c r="Q305" s="19"/>
      <c r="R305" s="19"/>
      <c r="S305" s="19"/>
    </row>
    <row r="306" spans="3:19" ht="12.5">
      <c r="C306" s="66"/>
      <c r="I306" s="79"/>
      <c r="J306" s="19"/>
      <c r="K306" s="19"/>
      <c r="L306" s="19"/>
      <c r="M306" s="19"/>
      <c r="N306" s="19"/>
      <c r="O306" s="19"/>
      <c r="P306" s="19"/>
      <c r="Q306" s="19"/>
      <c r="R306" s="19"/>
      <c r="S306" s="19"/>
    </row>
    <row r="307" spans="3:19" ht="12.5">
      <c r="C307" s="66"/>
      <c r="I307" s="79"/>
      <c r="J307" s="19"/>
      <c r="K307" s="19"/>
      <c r="L307" s="19"/>
      <c r="M307" s="19"/>
      <c r="N307" s="19"/>
      <c r="O307" s="19"/>
      <c r="P307" s="19"/>
      <c r="Q307" s="19"/>
      <c r="R307" s="19"/>
      <c r="S307" s="19"/>
    </row>
    <row r="308" spans="3:19" ht="12.5">
      <c r="C308" s="66"/>
      <c r="I308" s="79"/>
      <c r="J308" s="19"/>
      <c r="K308" s="19"/>
      <c r="L308" s="19"/>
      <c r="M308" s="19"/>
      <c r="N308" s="19"/>
      <c r="O308" s="19"/>
      <c r="P308" s="19"/>
      <c r="Q308" s="19"/>
      <c r="R308" s="19"/>
      <c r="S308" s="19"/>
    </row>
    <row r="309" spans="3:19" ht="12.5">
      <c r="C309" s="66"/>
      <c r="I309" s="79"/>
      <c r="J309" s="19"/>
      <c r="K309" s="19"/>
      <c r="L309" s="19"/>
      <c r="M309" s="19"/>
      <c r="N309" s="19"/>
      <c r="O309" s="19"/>
      <c r="P309" s="19"/>
      <c r="Q309" s="19"/>
      <c r="R309" s="19"/>
      <c r="S309" s="19"/>
    </row>
    <row r="310" spans="3:19" ht="12.5">
      <c r="C310" s="66"/>
      <c r="I310" s="79"/>
      <c r="J310" s="19"/>
      <c r="K310" s="19"/>
      <c r="L310" s="19"/>
      <c r="M310" s="19"/>
      <c r="N310" s="19"/>
      <c r="O310" s="19"/>
      <c r="P310" s="19"/>
      <c r="Q310" s="19"/>
      <c r="R310" s="19"/>
      <c r="S310" s="19"/>
    </row>
    <row r="311" spans="3:19" ht="12.5">
      <c r="C311" s="66"/>
      <c r="I311" s="79"/>
      <c r="J311" s="19"/>
      <c r="K311" s="19"/>
      <c r="L311" s="19"/>
      <c r="M311" s="19"/>
      <c r="N311" s="19"/>
      <c r="O311" s="19"/>
      <c r="P311" s="19"/>
      <c r="Q311" s="19"/>
      <c r="R311" s="19"/>
      <c r="S311" s="19"/>
    </row>
    <row r="312" spans="3:19" ht="12.5">
      <c r="C312" s="66"/>
      <c r="I312" s="79"/>
      <c r="J312" s="19"/>
      <c r="K312" s="19"/>
      <c r="L312" s="19"/>
      <c r="M312" s="19"/>
      <c r="N312" s="19"/>
      <c r="O312" s="19"/>
      <c r="P312" s="19"/>
      <c r="Q312" s="19"/>
      <c r="R312" s="19"/>
      <c r="S312" s="19"/>
    </row>
    <row r="313" spans="3:19" ht="12.5">
      <c r="C313" s="66"/>
      <c r="I313" s="79"/>
      <c r="J313" s="19"/>
      <c r="K313" s="19"/>
      <c r="L313" s="19"/>
      <c r="M313" s="19"/>
      <c r="N313" s="19"/>
      <c r="O313" s="19"/>
      <c r="P313" s="19"/>
      <c r="Q313" s="19"/>
      <c r="R313" s="19"/>
      <c r="S313" s="19"/>
    </row>
    <row r="314" spans="3:19" ht="12.5">
      <c r="C314" s="66"/>
      <c r="I314" s="79"/>
      <c r="J314" s="19"/>
      <c r="K314" s="19"/>
      <c r="L314" s="19"/>
      <c r="M314" s="19"/>
      <c r="N314" s="19"/>
      <c r="O314" s="19"/>
      <c r="P314" s="19"/>
      <c r="Q314" s="19"/>
      <c r="R314" s="19"/>
      <c r="S314" s="19"/>
    </row>
    <row r="315" spans="3:19" ht="12.5">
      <c r="C315" s="66"/>
      <c r="I315" s="79"/>
      <c r="J315" s="19"/>
      <c r="K315" s="19"/>
      <c r="L315" s="19"/>
      <c r="M315" s="19"/>
      <c r="N315" s="19"/>
      <c r="O315" s="19"/>
      <c r="P315" s="19"/>
      <c r="Q315" s="19"/>
      <c r="R315" s="19"/>
      <c r="S315" s="19"/>
    </row>
    <row r="316" spans="3:19" ht="12.5">
      <c r="C316" s="66"/>
      <c r="I316" s="79"/>
      <c r="J316" s="19"/>
      <c r="K316" s="19"/>
      <c r="L316" s="19"/>
      <c r="M316" s="19"/>
      <c r="N316" s="19"/>
      <c r="O316" s="19"/>
      <c r="P316" s="19"/>
      <c r="Q316" s="19"/>
      <c r="R316" s="19"/>
      <c r="S316" s="19"/>
    </row>
    <row r="317" spans="3:19" ht="12.5">
      <c r="C317" s="66"/>
      <c r="I317" s="79"/>
      <c r="J317" s="19"/>
      <c r="K317" s="19"/>
      <c r="L317" s="19"/>
      <c r="M317" s="19"/>
      <c r="N317" s="19"/>
      <c r="O317" s="19"/>
      <c r="P317" s="19"/>
      <c r="Q317" s="19"/>
      <c r="R317" s="19"/>
      <c r="S317" s="19"/>
    </row>
    <row r="318" spans="3:19" ht="12.5">
      <c r="C318" s="66"/>
      <c r="I318" s="79"/>
      <c r="J318" s="19"/>
      <c r="K318" s="19"/>
      <c r="L318" s="19"/>
      <c r="M318" s="19"/>
      <c r="N318" s="19"/>
      <c r="O318" s="19"/>
      <c r="P318" s="19"/>
      <c r="Q318" s="19"/>
      <c r="R318" s="19"/>
      <c r="S318" s="19"/>
    </row>
    <row r="319" spans="3:19" ht="12.5">
      <c r="C319" s="66"/>
      <c r="I319" s="79"/>
      <c r="J319" s="19"/>
      <c r="K319" s="19"/>
      <c r="L319" s="19"/>
      <c r="M319" s="19"/>
      <c r="N319" s="19"/>
      <c r="O319" s="19"/>
      <c r="P319" s="19"/>
      <c r="Q319" s="19"/>
      <c r="R319" s="19"/>
      <c r="S319" s="19"/>
    </row>
    <row r="320" spans="3:19" ht="12.5">
      <c r="C320" s="66"/>
      <c r="I320" s="79"/>
      <c r="J320" s="19"/>
      <c r="K320" s="19"/>
      <c r="L320" s="19"/>
      <c r="M320" s="19"/>
      <c r="N320" s="19"/>
      <c r="O320" s="19"/>
      <c r="P320" s="19"/>
      <c r="Q320" s="19"/>
      <c r="R320" s="19"/>
      <c r="S320" s="19"/>
    </row>
    <row r="321" spans="3:19" ht="12.5">
      <c r="C321" s="66"/>
      <c r="I321" s="79"/>
      <c r="J321" s="19"/>
      <c r="K321" s="19"/>
      <c r="L321" s="19"/>
      <c r="M321" s="19"/>
      <c r="N321" s="19"/>
      <c r="O321" s="19"/>
      <c r="P321" s="19"/>
      <c r="Q321" s="19"/>
      <c r="R321" s="19"/>
      <c r="S321" s="19"/>
    </row>
    <row r="322" spans="3:19" ht="12.5">
      <c r="C322" s="66"/>
      <c r="I322" s="79"/>
      <c r="J322" s="19"/>
      <c r="K322" s="19"/>
      <c r="L322" s="19"/>
      <c r="M322" s="19"/>
      <c r="N322" s="19"/>
      <c r="O322" s="19"/>
      <c r="P322" s="19"/>
      <c r="Q322" s="19"/>
      <c r="R322" s="19"/>
      <c r="S322" s="19"/>
    </row>
    <row r="323" spans="3:19" ht="12.5">
      <c r="C323" s="66"/>
      <c r="I323" s="79"/>
      <c r="J323" s="19"/>
      <c r="K323" s="19"/>
      <c r="L323" s="19"/>
      <c r="M323" s="19"/>
      <c r="N323" s="19"/>
      <c r="O323" s="19"/>
      <c r="P323" s="19"/>
      <c r="Q323" s="19"/>
      <c r="R323" s="19"/>
      <c r="S323" s="19"/>
    </row>
    <row r="324" spans="3:19" ht="12.5">
      <c r="C324" s="66"/>
      <c r="I324" s="79"/>
      <c r="J324" s="19"/>
      <c r="K324" s="19"/>
      <c r="L324" s="19"/>
      <c r="M324" s="19"/>
      <c r="N324" s="19"/>
      <c r="O324" s="19"/>
      <c r="P324" s="19"/>
      <c r="Q324" s="19"/>
      <c r="R324" s="19"/>
      <c r="S324" s="19"/>
    </row>
    <row r="325" spans="3:19" ht="12.5">
      <c r="C325" s="66"/>
      <c r="I325" s="79"/>
      <c r="J325" s="19"/>
      <c r="K325" s="19"/>
      <c r="L325" s="19"/>
      <c r="M325" s="19"/>
      <c r="N325" s="19"/>
      <c r="O325" s="19"/>
      <c r="P325" s="19"/>
      <c r="Q325" s="19"/>
      <c r="R325" s="19"/>
      <c r="S325" s="19"/>
    </row>
    <row r="326" spans="3:19" ht="12.5">
      <c r="C326" s="66"/>
      <c r="I326" s="79"/>
      <c r="J326" s="19"/>
      <c r="K326" s="19"/>
      <c r="L326" s="19"/>
      <c r="M326" s="19"/>
      <c r="N326" s="19"/>
      <c r="O326" s="19"/>
      <c r="P326" s="19"/>
      <c r="Q326" s="19"/>
      <c r="R326" s="19"/>
      <c r="S326" s="19"/>
    </row>
    <row r="327" spans="3:19" ht="12.5">
      <c r="C327" s="66"/>
      <c r="I327" s="79"/>
      <c r="J327" s="19"/>
      <c r="K327" s="19"/>
      <c r="L327" s="19"/>
      <c r="M327" s="19"/>
      <c r="N327" s="19"/>
      <c r="O327" s="19"/>
      <c r="P327" s="19"/>
      <c r="Q327" s="19"/>
      <c r="R327" s="19"/>
      <c r="S327" s="19"/>
    </row>
    <row r="328" spans="3:19" ht="12.5">
      <c r="C328" s="66"/>
      <c r="I328" s="79"/>
      <c r="J328" s="19"/>
      <c r="K328" s="19"/>
      <c r="L328" s="19"/>
      <c r="M328" s="19"/>
      <c r="N328" s="19"/>
      <c r="O328" s="19"/>
      <c r="P328" s="19"/>
      <c r="Q328" s="19"/>
      <c r="R328" s="19"/>
      <c r="S328" s="19"/>
    </row>
    <row r="329" spans="3:19" ht="12.5">
      <c r="C329" s="66"/>
      <c r="I329" s="79"/>
      <c r="J329" s="19"/>
      <c r="K329" s="19"/>
      <c r="L329" s="19"/>
      <c r="M329" s="19"/>
      <c r="N329" s="19"/>
      <c r="O329" s="19"/>
      <c r="P329" s="19"/>
      <c r="Q329" s="19"/>
      <c r="R329" s="19"/>
      <c r="S329" s="19"/>
    </row>
    <row r="330" spans="3:19" ht="12.5">
      <c r="C330" s="66"/>
      <c r="I330" s="79"/>
      <c r="J330" s="19"/>
      <c r="K330" s="19"/>
      <c r="L330" s="19"/>
      <c r="M330" s="19"/>
      <c r="N330" s="19"/>
      <c r="O330" s="19"/>
      <c r="P330" s="19"/>
      <c r="Q330" s="19"/>
      <c r="R330" s="19"/>
      <c r="S330" s="19"/>
    </row>
    <row r="331" spans="3:19" ht="12.5">
      <c r="C331" s="66"/>
      <c r="I331" s="79"/>
      <c r="J331" s="19"/>
      <c r="K331" s="19"/>
      <c r="L331" s="19"/>
      <c r="M331" s="19"/>
      <c r="N331" s="19"/>
      <c r="O331" s="19"/>
      <c r="P331" s="19"/>
      <c r="Q331" s="19"/>
      <c r="R331" s="19"/>
      <c r="S331" s="19"/>
    </row>
    <row r="332" spans="3:19" ht="12.5">
      <c r="C332" s="66"/>
      <c r="I332" s="79"/>
      <c r="J332" s="19"/>
      <c r="K332" s="19"/>
      <c r="L332" s="19"/>
      <c r="M332" s="19"/>
      <c r="N332" s="19"/>
      <c r="O332" s="19"/>
      <c r="P332" s="19"/>
      <c r="Q332" s="19"/>
      <c r="R332" s="19"/>
      <c r="S332" s="19"/>
    </row>
    <row r="333" spans="3:19" ht="12.5">
      <c r="C333" s="66"/>
      <c r="I333" s="79"/>
      <c r="J333" s="19"/>
      <c r="K333" s="19"/>
      <c r="L333" s="19"/>
      <c r="M333" s="19"/>
      <c r="N333" s="19"/>
      <c r="O333" s="19"/>
      <c r="P333" s="19"/>
      <c r="Q333" s="19"/>
      <c r="R333" s="19"/>
      <c r="S333" s="19"/>
    </row>
    <row r="334" spans="3:19" ht="12.5">
      <c r="C334" s="66"/>
      <c r="I334" s="79"/>
      <c r="J334" s="19"/>
      <c r="K334" s="19"/>
      <c r="L334" s="19"/>
      <c r="M334" s="19"/>
      <c r="N334" s="19"/>
      <c r="O334" s="19"/>
      <c r="P334" s="19"/>
      <c r="Q334" s="19"/>
      <c r="R334" s="19"/>
      <c r="S334" s="19"/>
    </row>
    <row r="335" spans="3:19" ht="12.5">
      <c r="C335" s="66"/>
      <c r="I335" s="79"/>
      <c r="J335" s="19"/>
      <c r="K335" s="19"/>
      <c r="L335" s="19"/>
      <c r="M335" s="19"/>
      <c r="N335" s="19"/>
      <c r="O335" s="19"/>
      <c r="P335" s="19"/>
      <c r="Q335" s="19"/>
      <c r="R335" s="19"/>
      <c r="S335" s="19"/>
    </row>
    <row r="336" spans="3:19" ht="12.5">
      <c r="C336" s="66"/>
      <c r="I336" s="79"/>
      <c r="J336" s="19"/>
      <c r="K336" s="19"/>
      <c r="L336" s="19"/>
      <c r="M336" s="19"/>
      <c r="N336" s="19"/>
      <c r="O336" s="19"/>
      <c r="P336" s="19"/>
      <c r="Q336" s="19"/>
      <c r="R336" s="19"/>
      <c r="S336" s="19"/>
    </row>
    <row r="337" spans="3:19" ht="12.5">
      <c r="C337" s="66"/>
      <c r="I337" s="79"/>
      <c r="J337" s="19"/>
      <c r="K337" s="19"/>
      <c r="L337" s="19"/>
      <c r="M337" s="19"/>
      <c r="N337" s="19"/>
      <c r="O337" s="19"/>
      <c r="P337" s="19"/>
      <c r="Q337" s="19"/>
      <c r="R337" s="19"/>
      <c r="S337" s="19"/>
    </row>
    <row r="338" spans="3:19" ht="12.5">
      <c r="C338" s="66"/>
      <c r="I338" s="79"/>
      <c r="J338" s="19"/>
      <c r="K338" s="19"/>
      <c r="L338" s="19"/>
      <c r="M338" s="19"/>
      <c r="N338" s="19"/>
      <c r="O338" s="19"/>
      <c r="P338" s="19"/>
      <c r="Q338" s="19"/>
      <c r="R338" s="19"/>
      <c r="S338" s="19"/>
    </row>
    <row r="339" spans="3:19" ht="12.5">
      <c r="C339" s="66"/>
      <c r="I339" s="79"/>
      <c r="J339" s="19"/>
      <c r="K339" s="19"/>
      <c r="L339" s="19"/>
      <c r="M339" s="19"/>
      <c r="N339" s="19"/>
      <c r="O339" s="19"/>
      <c r="P339" s="19"/>
      <c r="Q339" s="19"/>
      <c r="R339" s="19"/>
      <c r="S339" s="19"/>
    </row>
    <row r="340" spans="3:19" ht="12.5">
      <c r="C340" s="66"/>
      <c r="I340" s="79"/>
      <c r="J340" s="19"/>
      <c r="K340" s="19"/>
      <c r="L340" s="19"/>
      <c r="M340" s="19"/>
      <c r="N340" s="19"/>
      <c r="O340" s="19"/>
      <c r="P340" s="19"/>
      <c r="Q340" s="19"/>
      <c r="R340" s="19"/>
      <c r="S340" s="19"/>
    </row>
    <row r="341" spans="3:19" ht="12.5">
      <c r="C341" s="66"/>
      <c r="I341" s="79"/>
      <c r="J341" s="19"/>
      <c r="K341" s="19"/>
      <c r="L341" s="19"/>
      <c r="M341" s="19"/>
      <c r="N341" s="19"/>
      <c r="O341" s="19"/>
      <c r="P341" s="19"/>
      <c r="Q341" s="19"/>
      <c r="R341" s="19"/>
      <c r="S341" s="19"/>
    </row>
    <row r="342" spans="3:19" ht="12.5">
      <c r="C342" s="66"/>
      <c r="I342" s="7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spans="3:19" ht="12.5">
      <c r="C343" s="66"/>
      <c r="I343" s="79"/>
      <c r="J343" s="19"/>
      <c r="K343" s="19"/>
      <c r="L343" s="19"/>
      <c r="M343" s="19"/>
      <c r="N343" s="19"/>
      <c r="O343" s="19"/>
      <c r="P343" s="19"/>
      <c r="Q343" s="19"/>
      <c r="R343" s="19"/>
      <c r="S343" s="19"/>
    </row>
    <row r="344" spans="3:19" ht="12.5">
      <c r="C344" s="66"/>
      <c r="I344" s="79"/>
      <c r="J344" s="19"/>
      <c r="K344" s="19"/>
      <c r="L344" s="19"/>
      <c r="M344" s="19"/>
      <c r="N344" s="19"/>
      <c r="O344" s="19"/>
      <c r="P344" s="19"/>
      <c r="Q344" s="19"/>
      <c r="R344" s="19"/>
      <c r="S344" s="19"/>
    </row>
    <row r="345" spans="3:19" ht="12.5">
      <c r="C345" s="66"/>
      <c r="I345" s="79"/>
      <c r="J345" s="19"/>
      <c r="K345" s="19"/>
      <c r="L345" s="19"/>
      <c r="M345" s="19"/>
      <c r="N345" s="19"/>
      <c r="O345" s="19"/>
      <c r="P345" s="19"/>
      <c r="Q345" s="19"/>
      <c r="R345" s="19"/>
      <c r="S345" s="19"/>
    </row>
    <row r="346" spans="3:19" ht="12.5">
      <c r="C346" s="66"/>
      <c r="I346" s="79"/>
      <c r="J346" s="19"/>
      <c r="K346" s="19"/>
      <c r="L346" s="19"/>
      <c r="M346" s="19"/>
      <c r="N346" s="19"/>
      <c r="O346" s="19"/>
      <c r="P346" s="19"/>
      <c r="Q346" s="19"/>
      <c r="R346" s="19"/>
      <c r="S346" s="19"/>
    </row>
    <row r="347" spans="3:19" ht="12.5">
      <c r="C347" s="66"/>
      <c r="I347" s="79"/>
      <c r="J347" s="19"/>
      <c r="K347" s="19"/>
      <c r="L347" s="19"/>
      <c r="M347" s="19"/>
      <c r="N347" s="19"/>
      <c r="O347" s="19"/>
      <c r="P347" s="19"/>
      <c r="Q347" s="19"/>
      <c r="R347" s="19"/>
      <c r="S347" s="19"/>
    </row>
    <row r="348" spans="3:19" ht="12.5">
      <c r="C348" s="66"/>
      <c r="I348" s="79"/>
      <c r="J348" s="19"/>
      <c r="K348" s="19"/>
      <c r="L348" s="19"/>
      <c r="M348" s="19"/>
      <c r="N348" s="19"/>
      <c r="O348" s="19"/>
      <c r="P348" s="19"/>
      <c r="Q348" s="19"/>
      <c r="R348" s="19"/>
      <c r="S348" s="19"/>
    </row>
    <row r="349" spans="3:19" ht="12.5">
      <c r="C349" s="66"/>
      <c r="I349" s="79"/>
      <c r="J349" s="19"/>
      <c r="K349" s="19"/>
      <c r="L349" s="19"/>
      <c r="M349" s="19"/>
      <c r="N349" s="19"/>
      <c r="O349" s="19"/>
      <c r="P349" s="19"/>
      <c r="Q349" s="19"/>
      <c r="R349" s="19"/>
      <c r="S349" s="19"/>
    </row>
    <row r="350" spans="3:19" ht="12.5">
      <c r="C350" s="66"/>
      <c r="I350" s="79"/>
      <c r="J350" s="19"/>
      <c r="K350" s="19"/>
      <c r="L350" s="19"/>
      <c r="M350" s="19"/>
      <c r="N350" s="19"/>
      <c r="O350" s="19"/>
      <c r="P350" s="19"/>
      <c r="Q350" s="19"/>
      <c r="R350" s="19"/>
      <c r="S350" s="19"/>
    </row>
    <row r="351" spans="3:19" ht="12.5">
      <c r="C351" s="66"/>
      <c r="I351" s="79"/>
      <c r="J351" s="19"/>
      <c r="K351" s="19"/>
      <c r="L351" s="19"/>
      <c r="M351" s="19"/>
      <c r="N351" s="19"/>
      <c r="O351" s="19"/>
      <c r="P351" s="19"/>
      <c r="Q351" s="19"/>
      <c r="R351" s="19"/>
      <c r="S351" s="19"/>
    </row>
    <row r="352" spans="3:19" ht="12.5">
      <c r="C352" s="66"/>
      <c r="I352" s="79"/>
      <c r="J352" s="19"/>
      <c r="K352" s="19"/>
      <c r="L352" s="19"/>
      <c r="M352" s="19"/>
      <c r="N352" s="19"/>
      <c r="O352" s="19"/>
      <c r="P352" s="19"/>
      <c r="Q352" s="19"/>
      <c r="R352" s="19"/>
      <c r="S352" s="19"/>
    </row>
    <row r="353" spans="3:19" ht="12.5">
      <c r="C353" s="66"/>
      <c r="I353" s="79"/>
      <c r="J353" s="19"/>
      <c r="K353" s="19"/>
      <c r="L353" s="19"/>
      <c r="M353" s="19"/>
      <c r="N353" s="19"/>
      <c r="O353" s="19"/>
      <c r="P353" s="19"/>
      <c r="Q353" s="19"/>
      <c r="R353" s="19"/>
      <c r="S353" s="19"/>
    </row>
    <row r="354" spans="3:19" ht="12.5">
      <c r="C354" s="66"/>
      <c r="I354" s="7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3:19" ht="12.5">
      <c r="C355" s="66"/>
      <c r="I355" s="79"/>
      <c r="J355" s="19"/>
      <c r="K355" s="19"/>
      <c r="L355" s="19"/>
      <c r="M355" s="19"/>
      <c r="N355" s="19"/>
      <c r="O355" s="19"/>
      <c r="P355" s="19"/>
      <c r="Q355" s="19"/>
      <c r="R355" s="19"/>
      <c r="S355" s="19"/>
    </row>
    <row r="356" spans="3:19" ht="12.5">
      <c r="C356" s="66"/>
      <c r="I356" s="79"/>
      <c r="J356" s="19"/>
      <c r="K356" s="19"/>
      <c r="L356" s="19"/>
      <c r="M356" s="19"/>
      <c r="N356" s="19"/>
      <c r="O356" s="19"/>
      <c r="P356" s="19"/>
      <c r="Q356" s="19"/>
      <c r="R356" s="19"/>
      <c r="S356" s="19"/>
    </row>
    <row r="357" spans="3:19" ht="12.5">
      <c r="C357" s="66"/>
      <c r="I357" s="79"/>
      <c r="J357" s="19"/>
      <c r="K357" s="19"/>
      <c r="L357" s="19"/>
      <c r="M357" s="19"/>
      <c r="N357" s="19"/>
      <c r="O357" s="19"/>
      <c r="P357" s="19"/>
      <c r="Q357" s="19"/>
      <c r="R357" s="19"/>
      <c r="S357" s="19"/>
    </row>
    <row r="358" spans="3:19" ht="12.5">
      <c r="C358" s="66"/>
      <c r="I358" s="79"/>
      <c r="J358" s="19"/>
      <c r="K358" s="19"/>
      <c r="L358" s="19"/>
      <c r="M358" s="19"/>
      <c r="N358" s="19"/>
      <c r="O358" s="19"/>
      <c r="P358" s="19"/>
      <c r="Q358" s="19"/>
      <c r="R358" s="19"/>
      <c r="S358" s="19"/>
    </row>
    <row r="359" spans="3:19" ht="12.5">
      <c r="C359" s="66"/>
      <c r="I359" s="79"/>
      <c r="J359" s="19"/>
      <c r="K359" s="19"/>
      <c r="L359" s="19"/>
      <c r="M359" s="19"/>
      <c r="N359" s="19"/>
      <c r="O359" s="19"/>
      <c r="P359" s="19"/>
      <c r="Q359" s="19"/>
      <c r="R359" s="19"/>
      <c r="S359" s="19"/>
    </row>
    <row r="360" spans="3:19" ht="12.5">
      <c r="C360" s="66"/>
      <c r="I360" s="79"/>
      <c r="J360" s="19"/>
      <c r="K360" s="19"/>
      <c r="L360" s="19"/>
      <c r="M360" s="19"/>
      <c r="N360" s="19"/>
      <c r="O360" s="19"/>
      <c r="P360" s="19"/>
      <c r="Q360" s="19"/>
      <c r="R360" s="19"/>
      <c r="S360" s="19"/>
    </row>
    <row r="361" spans="3:19" ht="12.5">
      <c r="C361" s="66"/>
      <c r="I361" s="79"/>
      <c r="J361" s="19"/>
      <c r="K361" s="19"/>
      <c r="L361" s="19"/>
      <c r="M361" s="19"/>
      <c r="N361" s="19"/>
      <c r="O361" s="19"/>
      <c r="P361" s="19"/>
      <c r="Q361" s="19"/>
      <c r="R361" s="19"/>
      <c r="S361" s="19"/>
    </row>
    <row r="362" spans="3:19" ht="12.5">
      <c r="C362" s="66"/>
      <c r="I362" s="79"/>
      <c r="J362" s="19"/>
      <c r="K362" s="19"/>
      <c r="L362" s="19"/>
      <c r="M362" s="19"/>
      <c r="N362" s="19"/>
      <c r="O362" s="19"/>
      <c r="P362" s="19"/>
      <c r="Q362" s="19"/>
      <c r="R362" s="19"/>
      <c r="S362" s="19"/>
    </row>
    <row r="363" spans="3:19" ht="12.5">
      <c r="C363" s="66"/>
      <c r="I363" s="79"/>
      <c r="J363" s="19"/>
      <c r="K363" s="19"/>
      <c r="L363" s="19"/>
      <c r="M363" s="19"/>
      <c r="N363" s="19"/>
      <c r="O363" s="19"/>
      <c r="P363" s="19"/>
      <c r="Q363" s="19"/>
      <c r="R363" s="19"/>
      <c r="S363" s="19"/>
    </row>
    <row r="364" spans="3:19" ht="12.5">
      <c r="C364" s="66"/>
      <c r="I364" s="79"/>
      <c r="J364" s="19"/>
      <c r="K364" s="19"/>
      <c r="L364" s="19"/>
      <c r="M364" s="19"/>
      <c r="N364" s="19"/>
      <c r="O364" s="19"/>
      <c r="P364" s="19"/>
      <c r="Q364" s="19"/>
      <c r="R364" s="19"/>
      <c r="S364" s="19"/>
    </row>
    <row r="365" spans="3:19" ht="12.5">
      <c r="C365" s="66"/>
      <c r="I365" s="79"/>
      <c r="J365" s="19"/>
      <c r="K365" s="19"/>
      <c r="L365" s="19"/>
      <c r="M365" s="19"/>
      <c r="N365" s="19"/>
      <c r="O365" s="19"/>
      <c r="P365" s="19"/>
      <c r="Q365" s="19"/>
      <c r="R365" s="19"/>
      <c r="S365" s="19"/>
    </row>
    <row r="366" spans="3:19" ht="12.5">
      <c r="C366" s="66"/>
      <c r="I366" s="79"/>
      <c r="J366" s="19"/>
      <c r="K366" s="19"/>
      <c r="L366" s="19"/>
      <c r="M366" s="19"/>
      <c r="N366" s="19"/>
      <c r="O366" s="19"/>
      <c r="P366" s="19"/>
      <c r="Q366" s="19"/>
      <c r="R366" s="19"/>
      <c r="S366" s="19"/>
    </row>
    <row r="367" spans="3:19" ht="12.5">
      <c r="C367" s="66"/>
      <c r="I367" s="79"/>
      <c r="J367" s="19"/>
      <c r="K367" s="19"/>
      <c r="L367" s="19"/>
      <c r="M367" s="19"/>
      <c r="N367" s="19"/>
      <c r="O367" s="19"/>
      <c r="P367" s="19"/>
      <c r="Q367" s="19"/>
      <c r="R367" s="19"/>
      <c r="S367" s="19"/>
    </row>
    <row r="368" spans="3:19" ht="12.5">
      <c r="C368" s="66"/>
      <c r="I368" s="79"/>
      <c r="J368" s="19"/>
      <c r="K368" s="19"/>
      <c r="L368" s="19"/>
      <c r="M368" s="19"/>
      <c r="N368" s="19"/>
      <c r="O368" s="19"/>
      <c r="P368" s="19"/>
      <c r="Q368" s="19"/>
      <c r="R368" s="19"/>
      <c r="S368" s="19"/>
    </row>
    <row r="369" spans="3:19" ht="12.5">
      <c r="C369" s="66"/>
      <c r="I369" s="79"/>
      <c r="J369" s="19"/>
      <c r="K369" s="19"/>
      <c r="L369" s="19"/>
      <c r="M369" s="19"/>
      <c r="N369" s="19"/>
      <c r="O369" s="19"/>
      <c r="P369" s="19"/>
      <c r="Q369" s="19"/>
      <c r="R369" s="19"/>
      <c r="S369" s="19"/>
    </row>
    <row r="370" spans="3:19" ht="12.5">
      <c r="C370" s="66"/>
      <c r="I370" s="79"/>
      <c r="J370" s="19"/>
      <c r="K370" s="19"/>
      <c r="L370" s="19"/>
      <c r="M370" s="19"/>
      <c r="N370" s="19"/>
      <c r="O370" s="19"/>
      <c r="P370" s="19"/>
      <c r="Q370" s="19"/>
      <c r="R370" s="19"/>
      <c r="S370" s="19"/>
    </row>
    <row r="371" spans="3:19" ht="12.5">
      <c r="C371" s="66"/>
      <c r="I371" s="79"/>
      <c r="J371" s="19"/>
      <c r="K371" s="19"/>
      <c r="L371" s="19"/>
      <c r="M371" s="19"/>
      <c r="N371" s="19"/>
      <c r="O371" s="19"/>
      <c r="P371" s="19"/>
      <c r="Q371" s="19"/>
      <c r="R371" s="19"/>
      <c r="S371" s="19"/>
    </row>
    <row r="372" spans="3:19" ht="12.5">
      <c r="C372" s="66"/>
      <c r="I372" s="79"/>
      <c r="J372" s="19"/>
      <c r="K372" s="19"/>
      <c r="L372" s="19"/>
      <c r="M372" s="19"/>
      <c r="N372" s="19"/>
      <c r="O372" s="19"/>
      <c r="P372" s="19"/>
      <c r="Q372" s="19"/>
      <c r="R372" s="19"/>
      <c r="S372" s="19"/>
    </row>
    <row r="373" spans="3:19" ht="12.5">
      <c r="C373" s="66"/>
      <c r="I373" s="79"/>
      <c r="J373" s="19"/>
      <c r="K373" s="19"/>
      <c r="L373" s="19"/>
      <c r="M373" s="19"/>
      <c r="N373" s="19"/>
      <c r="O373" s="19"/>
      <c r="P373" s="19"/>
      <c r="Q373" s="19"/>
      <c r="R373" s="19"/>
      <c r="S373" s="19"/>
    </row>
    <row r="374" spans="3:19" ht="12.5">
      <c r="C374" s="66"/>
      <c r="I374" s="79"/>
      <c r="J374" s="19"/>
      <c r="K374" s="19"/>
      <c r="L374" s="19"/>
      <c r="M374" s="19"/>
      <c r="N374" s="19"/>
      <c r="O374" s="19"/>
      <c r="P374" s="19"/>
      <c r="Q374" s="19"/>
      <c r="R374" s="19"/>
      <c r="S374" s="19"/>
    </row>
    <row r="375" spans="3:19" ht="12.5">
      <c r="C375" s="66"/>
      <c r="I375" s="79"/>
      <c r="J375" s="19"/>
      <c r="K375" s="19"/>
      <c r="L375" s="19"/>
      <c r="M375" s="19"/>
      <c r="N375" s="19"/>
      <c r="O375" s="19"/>
      <c r="P375" s="19"/>
      <c r="Q375" s="19"/>
      <c r="R375" s="19"/>
      <c r="S375" s="19"/>
    </row>
    <row r="376" spans="3:19" ht="12.5">
      <c r="C376" s="66"/>
      <c r="I376" s="79"/>
      <c r="J376" s="19"/>
      <c r="K376" s="19"/>
      <c r="L376" s="19"/>
      <c r="M376" s="19"/>
      <c r="N376" s="19"/>
      <c r="O376" s="19"/>
      <c r="P376" s="19"/>
      <c r="Q376" s="19"/>
      <c r="R376" s="19"/>
      <c r="S376" s="19"/>
    </row>
    <row r="377" spans="3:19" ht="12.5">
      <c r="C377" s="66"/>
      <c r="I377" s="79"/>
      <c r="J377" s="19"/>
      <c r="K377" s="19"/>
      <c r="L377" s="19"/>
      <c r="M377" s="19"/>
      <c r="N377" s="19"/>
      <c r="O377" s="19"/>
      <c r="P377" s="19"/>
      <c r="Q377" s="19"/>
      <c r="R377" s="19"/>
      <c r="S377" s="19"/>
    </row>
    <row r="378" spans="3:19" ht="12.5">
      <c r="C378" s="66"/>
      <c r="I378" s="79"/>
      <c r="J378" s="19"/>
      <c r="K378" s="19"/>
      <c r="L378" s="19"/>
      <c r="M378" s="19"/>
      <c r="N378" s="19"/>
      <c r="O378" s="19"/>
      <c r="P378" s="19"/>
      <c r="Q378" s="19"/>
      <c r="R378" s="19"/>
      <c r="S378" s="19"/>
    </row>
    <row r="379" spans="3:19" ht="12.5">
      <c r="C379" s="66"/>
      <c r="I379" s="79"/>
      <c r="J379" s="19"/>
      <c r="K379" s="19"/>
      <c r="L379" s="19"/>
      <c r="M379" s="19"/>
      <c r="N379" s="19"/>
      <c r="O379" s="19"/>
      <c r="P379" s="19"/>
      <c r="Q379" s="19"/>
      <c r="R379" s="19"/>
      <c r="S379" s="19"/>
    </row>
    <row r="380" spans="3:19" ht="12.5">
      <c r="C380" s="66"/>
      <c r="I380" s="79"/>
      <c r="J380" s="19"/>
      <c r="K380" s="19"/>
      <c r="L380" s="19"/>
      <c r="M380" s="19"/>
      <c r="N380" s="19"/>
      <c r="O380" s="19"/>
      <c r="P380" s="19"/>
      <c r="Q380" s="19"/>
      <c r="R380" s="19"/>
      <c r="S380" s="19"/>
    </row>
    <row r="381" spans="3:19" ht="12.5">
      <c r="C381" s="66"/>
      <c r="I381" s="79"/>
      <c r="J381" s="19"/>
      <c r="K381" s="19"/>
      <c r="L381" s="19"/>
      <c r="M381" s="19"/>
      <c r="N381" s="19"/>
      <c r="O381" s="19"/>
      <c r="P381" s="19"/>
      <c r="Q381" s="19"/>
      <c r="R381" s="19"/>
      <c r="S381" s="19"/>
    </row>
    <row r="382" spans="3:19" ht="12.5">
      <c r="C382" s="66"/>
      <c r="I382" s="79"/>
      <c r="J382" s="19"/>
      <c r="K382" s="19"/>
      <c r="L382" s="19"/>
      <c r="M382" s="19"/>
      <c r="N382" s="19"/>
      <c r="O382" s="19"/>
      <c r="P382" s="19"/>
      <c r="Q382" s="19"/>
      <c r="R382" s="19"/>
      <c r="S382" s="19"/>
    </row>
    <row r="383" spans="3:19" ht="12.5">
      <c r="C383" s="66"/>
      <c r="I383" s="79"/>
      <c r="J383" s="19"/>
      <c r="K383" s="19"/>
      <c r="L383" s="19"/>
      <c r="M383" s="19"/>
      <c r="N383" s="19"/>
      <c r="O383" s="19"/>
      <c r="P383" s="19"/>
      <c r="Q383" s="19"/>
      <c r="R383" s="19"/>
      <c r="S383" s="19"/>
    </row>
    <row r="384" spans="3:19" ht="12.5">
      <c r="C384" s="66"/>
      <c r="I384" s="79"/>
      <c r="J384" s="19"/>
      <c r="K384" s="19"/>
      <c r="L384" s="19"/>
      <c r="M384" s="19"/>
      <c r="N384" s="19"/>
      <c r="O384" s="19"/>
      <c r="P384" s="19"/>
      <c r="Q384" s="19"/>
      <c r="R384" s="19"/>
      <c r="S384" s="19"/>
    </row>
    <row r="385" spans="3:19" ht="12.5">
      <c r="C385" s="66"/>
      <c r="I385" s="79"/>
      <c r="J385" s="19"/>
      <c r="K385" s="19"/>
      <c r="L385" s="19"/>
      <c r="M385" s="19"/>
      <c r="N385" s="19"/>
      <c r="O385" s="19"/>
      <c r="P385" s="19"/>
      <c r="Q385" s="19"/>
      <c r="R385" s="19"/>
      <c r="S385" s="19"/>
    </row>
    <row r="386" spans="3:19" ht="12.5">
      <c r="C386" s="66"/>
      <c r="I386" s="79"/>
      <c r="J386" s="19"/>
      <c r="K386" s="19"/>
      <c r="L386" s="19"/>
      <c r="M386" s="19"/>
      <c r="N386" s="19"/>
      <c r="O386" s="19"/>
      <c r="P386" s="19"/>
      <c r="Q386" s="19"/>
      <c r="R386" s="19"/>
      <c r="S386" s="19"/>
    </row>
    <row r="387" spans="3:19" ht="12.5">
      <c r="C387" s="66"/>
      <c r="I387" s="79"/>
      <c r="J387" s="19"/>
      <c r="K387" s="19"/>
      <c r="L387" s="19"/>
      <c r="M387" s="19"/>
      <c r="N387" s="19"/>
      <c r="O387" s="19"/>
      <c r="P387" s="19"/>
      <c r="Q387" s="19"/>
      <c r="R387" s="19"/>
      <c r="S387" s="19"/>
    </row>
    <row r="388" spans="3:19" ht="12.5">
      <c r="C388" s="66"/>
      <c r="I388" s="79"/>
      <c r="J388" s="19"/>
      <c r="K388" s="19"/>
      <c r="L388" s="19"/>
      <c r="M388" s="19"/>
      <c r="N388" s="19"/>
      <c r="O388" s="19"/>
      <c r="P388" s="19"/>
      <c r="Q388" s="19"/>
      <c r="R388" s="19"/>
      <c r="S388" s="19"/>
    </row>
    <row r="389" spans="3:19" ht="12.5">
      <c r="C389" s="66"/>
      <c r="I389" s="79"/>
      <c r="J389" s="19"/>
      <c r="K389" s="19"/>
      <c r="L389" s="19"/>
      <c r="M389" s="19"/>
      <c r="N389" s="19"/>
      <c r="O389" s="19"/>
      <c r="P389" s="19"/>
      <c r="Q389" s="19"/>
      <c r="R389" s="19"/>
      <c r="S389" s="19"/>
    </row>
    <row r="390" spans="3:19" ht="12.5">
      <c r="C390" s="66"/>
      <c r="I390" s="79"/>
      <c r="J390" s="19"/>
      <c r="K390" s="19"/>
      <c r="L390" s="19"/>
      <c r="M390" s="19"/>
      <c r="N390" s="19"/>
      <c r="O390" s="19"/>
      <c r="P390" s="19"/>
      <c r="Q390" s="19"/>
      <c r="R390" s="19"/>
      <c r="S390" s="19"/>
    </row>
    <row r="391" spans="3:19" ht="12.5">
      <c r="C391" s="66"/>
      <c r="I391" s="79"/>
      <c r="J391" s="19"/>
      <c r="K391" s="19"/>
      <c r="L391" s="19"/>
      <c r="M391" s="19"/>
      <c r="N391" s="19"/>
      <c r="O391" s="19"/>
      <c r="P391" s="19"/>
      <c r="Q391" s="19"/>
      <c r="R391" s="19"/>
      <c r="S391" s="19"/>
    </row>
    <row r="392" spans="3:19" ht="12.5">
      <c r="C392" s="66"/>
      <c r="I392" s="79"/>
      <c r="J392" s="19"/>
      <c r="K392" s="19"/>
      <c r="L392" s="19"/>
      <c r="M392" s="19"/>
      <c r="N392" s="19"/>
      <c r="O392" s="19"/>
      <c r="P392" s="19"/>
      <c r="Q392" s="19"/>
      <c r="R392" s="19"/>
      <c r="S392" s="19"/>
    </row>
    <row r="393" spans="3:19" ht="12.5">
      <c r="C393" s="66"/>
      <c r="I393" s="79"/>
      <c r="J393" s="19"/>
      <c r="K393" s="19"/>
      <c r="L393" s="19"/>
      <c r="M393" s="19"/>
      <c r="N393" s="19"/>
      <c r="O393" s="19"/>
      <c r="P393" s="19"/>
      <c r="Q393" s="19"/>
      <c r="R393" s="19"/>
      <c r="S393" s="19"/>
    </row>
    <row r="394" spans="3:19" ht="12.5">
      <c r="C394" s="66"/>
      <c r="I394" s="79"/>
      <c r="J394" s="19"/>
      <c r="K394" s="19"/>
      <c r="L394" s="19"/>
      <c r="M394" s="19"/>
      <c r="N394" s="19"/>
      <c r="O394" s="19"/>
      <c r="P394" s="19"/>
      <c r="Q394" s="19"/>
      <c r="R394" s="19"/>
      <c r="S394" s="19"/>
    </row>
    <row r="395" spans="3:19" ht="12.5">
      <c r="C395" s="66"/>
      <c r="I395" s="79"/>
      <c r="J395" s="19"/>
      <c r="K395" s="19"/>
      <c r="L395" s="19"/>
      <c r="M395" s="19"/>
      <c r="N395" s="19"/>
      <c r="O395" s="19"/>
      <c r="P395" s="19"/>
      <c r="Q395" s="19"/>
      <c r="R395" s="19"/>
      <c r="S395" s="19"/>
    </row>
    <row r="396" spans="3:19" ht="12.5">
      <c r="C396" s="66"/>
      <c r="I396" s="79"/>
      <c r="J396" s="19"/>
      <c r="K396" s="19"/>
      <c r="L396" s="19"/>
      <c r="M396" s="19"/>
      <c r="N396" s="19"/>
      <c r="O396" s="19"/>
      <c r="P396" s="19"/>
      <c r="Q396" s="19"/>
      <c r="R396" s="19"/>
      <c r="S396" s="19"/>
    </row>
    <row r="397" spans="3:19" ht="12.5">
      <c r="C397" s="66"/>
      <c r="I397" s="79"/>
      <c r="J397" s="19"/>
      <c r="K397" s="19"/>
      <c r="L397" s="19"/>
      <c r="M397" s="19"/>
      <c r="N397" s="19"/>
      <c r="O397" s="19"/>
      <c r="P397" s="19"/>
      <c r="Q397" s="19"/>
      <c r="R397" s="19"/>
      <c r="S397" s="19"/>
    </row>
    <row r="398" spans="3:19" ht="12.5">
      <c r="C398" s="66"/>
      <c r="I398" s="79"/>
      <c r="J398" s="19"/>
      <c r="K398" s="19"/>
      <c r="L398" s="19"/>
      <c r="M398" s="19"/>
      <c r="N398" s="19"/>
      <c r="O398" s="19"/>
      <c r="P398" s="19"/>
      <c r="Q398" s="19"/>
      <c r="R398" s="19"/>
      <c r="S398" s="19"/>
    </row>
    <row r="399" spans="3:19" ht="12.5">
      <c r="C399" s="66"/>
      <c r="I399" s="79"/>
      <c r="J399" s="19"/>
      <c r="K399" s="19"/>
      <c r="L399" s="19"/>
      <c r="M399" s="19"/>
      <c r="N399" s="19"/>
      <c r="O399" s="19"/>
      <c r="P399" s="19"/>
      <c r="Q399" s="19"/>
      <c r="R399" s="19"/>
      <c r="S399" s="19"/>
    </row>
    <row r="400" spans="3:19" ht="12.5">
      <c r="C400" s="66"/>
      <c r="I400" s="79"/>
      <c r="J400" s="19"/>
      <c r="K400" s="19"/>
      <c r="L400" s="19"/>
      <c r="M400" s="19"/>
      <c r="N400" s="19"/>
      <c r="O400" s="19"/>
      <c r="P400" s="19"/>
      <c r="Q400" s="19"/>
      <c r="R400" s="19"/>
      <c r="S400" s="19"/>
    </row>
    <row r="401" spans="3:19" ht="12.5">
      <c r="C401" s="66"/>
      <c r="I401" s="79"/>
      <c r="J401" s="19"/>
      <c r="K401" s="19"/>
      <c r="L401" s="19"/>
      <c r="M401" s="19"/>
      <c r="N401" s="19"/>
      <c r="O401" s="19"/>
      <c r="P401" s="19"/>
      <c r="Q401" s="19"/>
      <c r="R401" s="19"/>
      <c r="S401" s="19"/>
    </row>
    <row r="402" spans="3:19" ht="12.5">
      <c r="C402" s="66"/>
      <c r="I402" s="79"/>
      <c r="J402" s="19"/>
      <c r="K402" s="19"/>
      <c r="L402" s="19"/>
      <c r="M402" s="19"/>
      <c r="N402" s="19"/>
      <c r="O402" s="19"/>
      <c r="P402" s="19"/>
      <c r="Q402" s="19"/>
      <c r="R402" s="19"/>
      <c r="S402" s="19"/>
    </row>
    <row r="403" spans="3:19" ht="12.5">
      <c r="C403" s="66"/>
      <c r="I403" s="79"/>
      <c r="J403" s="19"/>
      <c r="K403" s="19"/>
      <c r="L403" s="19"/>
      <c r="M403" s="19"/>
      <c r="N403" s="19"/>
      <c r="O403" s="19"/>
      <c r="P403" s="19"/>
      <c r="Q403" s="19"/>
      <c r="R403" s="19"/>
      <c r="S403" s="19"/>
    </row>
    <row r="404" spans="3:19" ht="12.5">
      <c r="C404" s="66"/>
      <c r="I404" s="79"/>
      <c r="J404" s="19"/>
      <c r="K404" s="19"/>
      <c r="L404" s="19"/>
      <c r="M404" s="19"/>
      <c r="N404" s="19"/>
      <c r="O404" s="19"/>
      <c r="P404" s="19"/>
      <c r="Q404" s="19"/>
      <c r="R404" s="19"/>
      <c r="S404" s="19"/>
    </row>
    <row r="405" spans="3:19" ht="12.5">
      <c r="C405" s="66"/>
      <c r="I405" s="79"/>
      <c r="J405" s="19"/>
      <c r="K405" s="19"/>
      <c r="L405" s="19"/>
      <c r="M405" s="19"/>
      <c r="N405" s="19"/>
      <c r="O405" s="19"/>
      <c r="P405" s="19"/>
      <c r="Q405" s="19"/>
      <c r="R405" s="19"/>
      <c r="S405" s="19"/>
    </row>
    <row r="406" spans="3:19" ht="12.5">
      <c r="C406" s="66"/>
      <c r="I406" s="79"/>
      <c r="J406" s="19"/>
      <c r="K406" s="19"/>
      <c r="L406" s="19"/>
      <c r="M406" s="19"/>
      <c r="N406" s="19"/>
      <c r="O406" s="19"/>
      <c r="P406" s="19"/>
      <c r="Q406" s="19"/>
      <c r="R406" s="19"/>
      <c r="S406" s="19"/>
    </row>
    <row r="407" spans="3:19" ht="12.5">
      <c r="C407" s="66"/>
      <c r="I407" s="79"/>
      <c r="J407" s="19"/>
      <c r="K407" s="19"/>
      <c r="L407" s="19"/>
      <c r="M407" s="19"/>
      <c r="N407" s="19"/>
      <c r="O407" s="19"/>
      <c r="P407" s="19"/>
      <c r="Q407" s="19"/>
      <c r="R407" s="19"/>
      <c r="S407" s="19"/>
    </row>
    <row r="408" spans="3:19" ht="12.5">
      <c r="C408" s="66"/>
      <c r="I408" s="79"/>
      <c r="J408" s="19"/>
      <c r="K408" s="19"/>
      <c r="L408" s="19"/>
      <c r="M408" s="19"/>
      <c r="N408" s="19"/>
      <c r="O408" s="19"/>
      <c r="P408" s="19"/>
      <c r="Q408" s="19"/>
      <c r="R408" s="19"/>
      <c r="S408" s="19"/>
    </row>
    <row r="409" spans="3:19" ht="12.5">
      <c r="C409" s="66"/>
      <c r="I409" s="79"/>
      <c r="J409" s="19"/>
      <c r="K409" s="19"/>
      <c r="L409" s="19"/>
      <c r="M409" s="19"/>
      <c r="N409" s="19"/>
      <c r="O409" s="19"/>
      <c r="P409" s="19"/>
      <c r="Q409" s="19"/>
      <c r="R409" s="19"/>
      <c r="S409" s="19"/>
    </row>
    <row r="410" spans="3:19" ht="12.5">
      <c r="C410" s="66"/>
      <c r="I410" s="79"/>
      <c r="J410" s="19"/>
      <c r="K410" s="19"/>
      <c r="L410" s="19"/>
      <c r="M410" s="19"/>
      <c r="N410" s="19"/>
      <c r="O410" s="19"/>
      <c r="P410" s="19"/>
      <c r="Q410" s="19"/>
      <c r="R410" s="19"/>
      <c r="S410" s="19"/>
    </row>
    <row r="411" spans="3:19" ht="12.5">
      <c r="C411" s="66"/>
      <c r="I411" s="79"/>
      <c r="J411" s="19"/>
      <c r="K411" s="19"/>
      <c r="L411" s="19"/>
      <c r="M411" s="19"/>
      <c r="N411" s="19"/>
      <c r="O411" s="19"/>
      <c r="P411" s="19"/>
      <c r="Q411" s="19"/>
      <c r="R411" s="19"/>
      <c r="S411" s="19"/>
    </row>
    <row r="412" spans="3:19" ht="12.5">
      <c r="C412" s="66"/>
      <c r="I412" s="79"/>
      <c r="J412" s="19"/>
      <c r="K412" s="19"/>
      <c r="L412" s="19"/>
      <c r="M412" s="19"/>
      <c r="N412" s="19"/>
      <c r="O412" s="19"/>
      <c r="P412" s="19"/>
      <c r="Q412" s="19"/>
      <c r="R412" s="19"/>
      <c r="S412" s="19"/>
    </row>
    <row r="413" spans="3:19" ht="12.5">
      <c r="C413" s="66"/>
      <c r="I413" s="79"/>
      <c r="J413" s="19"/>
      <c r="K413" s="19"/>
      <c r="L413" s="19"/>
      <c r="M413" s="19"/>
      <c r="N413" s="19"/>
      <c r="O413" s="19"/>
      <c r="P413" s="19"/>
      <c r="Q413" s="19"/>
      <c r="R413" s="19"/>
      <c r="S413" s="19"/>
    </row>
    <row r="414" spans="3:19" ht="12.5">
      <c r="C414" s="66"/>
      <c r="I414" s="79"/>
      <c r="J414" s="19"/>
      <c r="K414" s="19"/>
      <c r="L414" s="19"/>
      <c r="M414" s="19"/>
      <c r="N414" s="19"/>
      <c r="O414" s="19"/>
      <c r="P414" s="19"/>
      <c r="Q414" s="19"/>
      <c r="R414" s="19"/>
      <c r="S414" s="19"/>
    </row>
    <row r="415" spans="3:19" ht="12.5">
      <c r="C415" s="66"/>
      <c r="I415" s="79"/>
      <c r="J415" s="19"/>
      <c r="K415" s="19"/>
      <c r="L415" s="19"/>
      <c r="M415" s="19"/>
      <c r="N415" s="19"/>
      <c r="O415" s="19"/>
      <c r="P415" s="19"/>
      <c r="Q415" s="19"/>
      <c r="R415" s="19"/>
      <c r="S415" s="19"/>
    </row>
    <row r="416" spans="3:19" ht="12.5">
      <c r="C416" s="66"/>
      <c r="I416" s="79"/>
      <c r="J416" s="19"/>
      <c r="K416" s="19"/>
      <c r="L416" s="19"/>
      <c r="M416" s="19"/>
      <c r="N416" s="19"/>
      <c r="O416" s="19"/>
      <c r="P416" s="19"/>
      <c r="Q416" s="19"/>
      <c r="R416" s="19"/>
      <c r="S416" s="19"/>
    </row>
    <row r="417" spans="3:19" ht="12.5">
      <c r="C417" s="66"/>
      <c r="I417" s="79"/>
      <c r="J417" s="19"/>
      <c r="K417" s="19"/>
      <c r="L417" s="19"/>
      <c r="M417" s="19"/>
      <c r="N417" s="19"/>
      <c r="O417" s="19"/>
      <c r="P417" s="19"/>
      <c r="Q417" s="19"/>
      <c r="R417" s="19"/>
      <c r="S417" s="19"/>
    </row>
    <row r="418" spans="3:19" ht="12.5">
      <c r="C418" s="66"/>
      <c r="I418" s="79"/>
      <c r="J418" s="19"/>
      <c r="K418" s="19"/>
      <c r="L418" s="19"/>
      <c r="M418" s="19"/>
      <c r="N418" s="19"/>
      <c r="O418" s="19"/>
      <c r="P418" s="19"/>
      <c r="Q418" s="19"/>
      <c r="R418" s="19"/>
      <c r="S418" s="19"/>
    </row>
    <row r="419" spans="3:19" ht="12.5">
      <c r="C419" s="66"/>
      <c r="I419" s="79"/>
      <c r="J419" s="19"/>
      <c r="K419" s="19"/>
      <c r="L419" s="19"/>
      <c r="M419" s="19"/>
      <c r="N419" s="19"/>
      <c r="O419" s="19"/>
      <c r="P419" s="19"/>
      <c r="Q419" s="19"/>
      <c r="R419" s="19"/>
      <c r="S419" s="19"/>
    </row>
    <row r="420" spans="3:19" ht="12.5">
      <c r="C420" s="66"/>
      <c r="I420" s="79"/>
      <c r="J420" s="19"/>
      <c r="K420" s="19"/>
      <c r="L420" s="19"/>
      <c r="M420" s="19"/>
      <c r="N420" s="19"/>
      <c r="O420" s="19"/>
      <c r="P420" s="19"/>
      <c r="Q420" s="19"/>
      <c r="R420" s="19"/>
      <c r="S420" s="19"/>
    </row>
    <row r="421" spans="3:19" ht="12.5">
      <c r="C421" s="66"/>
      <c r="I421" s="79"/>
      <c r="J421" s="19"/>
      <c r="K421" s="19"/>
      <c r="L421" s="19"/>
      <c r="M421" s="19"/>
      <c r="N421" s="19"/>
      <c r="O421" s="19"/>
      <c r="P421" s="19"/>
      <c r="Q421" s="19"/>
      <c r="R421" s="19"/>
      <c r="S421" s="19"/>
    </row>
    <row r="422" spans="3:19" ht="12.5">
      <c r="C422" s="66"/>
      <c r="I422" s="79"/>
      <c r="J422" s="19"/>
      <c r="K422" s="19"/>
      <c r="L422" s="19"/>
      <c r="M422" s="19"/>
      <c r="N422" s="19"/>
      <c r="O422" s="19"/>
      <c r="P422" s="19"/>
      <c r="Q422" s="19"/>
      <c r="R422" s="19"/>
      <c r="S422" s="19"/>
    </row>
    <row r="423" spans="3:19" ht="12.5">
      <c r="C423" s="66"/>
      <c r="I423" s="79"/>
      <c r="J423" s="19"/>
      <c r="K423" s="19"/>
      <c r="L423" s="19"/>
      <c r="M423" s="19"/>
      <c r="N423" s="19"/>
      <c r="O423" s="19"/>
      <c r="P423" s="19"/>
      <c r="Q423" s="19"/>
      <c r="R423" s="19"/>
      <c r="S423" s="19"/>
    </row>
    <row r="424" spans="3:19" ht="12.5">
      <c r="C424" s="66"/>
      <c r="I424" s="79"/>
      <c r="J424" s="19"/>
      <c r="K424" s="19"/>
      <c r="L424" s="19"/>
      <c r="M424" s="19"/>
      <c r="N424" s="19"/>
      <c r="O424" s="19"/>
      <c r="P424" s="19"/>
      <c r="Q424" s="19"/>
      <c r="R424" s="19"/>
      <c r="S424" s="19"/>
    </row>
    <row r="425" spans="3:19" ht="12.5">
      <c r="C425" s="66"/>
      <c r="I425" s="79"/>
      <c r="J425" s="19"/>
      <c r="K425" s="19"/>
      <c r="L425" s="19"/>
      <c r="M425" s="19"/>
      <c r="N425" s="19"/>
      <c r="O425" s="19"/>
      <c r="P425" s="19"/>
      <c r="Q425" s="19"/>
      <c r="R425" s="19"/>
      <c r="S425" s="19"/>
    </row>
    <row r="426" spans="3:19" ht="12.5">
      <c r="C426" s="66"/>
      <c r="I426" s="79"/>
      <c r="J426" s="19"/>
      <c r="K426" s="19"/>
      <c r="L426" s="19"/>
      <c r="M426" s="19"/>
      <c r="N426" s="19"/>
      <c r="O426" s="19"/>
      <c r="P426" s="19"/>
      <c r="Q426" s="19"/>
      <c r="R426" s="19"/>
      <c r="S426" s="19"/>
    </row>
    <row r="427" spans="3:19" ht="12.5">
      <c r="C427" s="66"/>
      <c r="I427" s="79"/>
      <c r="J427" s="19"/>
      <c r="K427" s="19"/>
      <c r="L427" s="19"/>
      <c r="M427" s="19"/>
      <c r="N427" s="19"/>
      <c r="O427" s="19"/>
      <c r="P427" s="19"/>
      <c r="Q427" s="19"/>
      <c r="R427" s="19"/>
      <c r="S427" s="19"/>
    </row>
    <row r="428" spans="3:19" ht="12.5">
      <c r="C428" s="66"/>
      <c r="I428" s="79"/>
      <c r="J428" s="19"/>
      <c r="K428" s="19"/>
      <c r="L428" s="19"/>
      <c r="M428" s="19"/>
      <c r="N428" s="19"/>
      <c r="O428" s="19"/>
      <c r="P428" s="19"/>
      <c r="Q428" s="19"/>
      <c r="R428" s="19"/>
      <c r="S428" s="19"/>
    </row>
    <row r="429" spans="3:19" ht="12.5">
      <c r="C429" s="66"/>
      <c r="I429" s="79"/>
      <c r="J429" s="19"/>
      <c r="K429" s="19"/>
      <c r="L429" s="19"/>
      <c r="M429" s="19"/>
      <c r="N429" s="19"/>
      <c r="O429" s="19"/>
      <c r="P429" s="19"/>
      <c r="Q429" s="19"/>
      <c r="R429" s="19"/>
      <c r="S429" s="19"/>
    </row>
    <row r="430" spans="3:19" ht="12.5">
      <c r="C430" s="66"/>
      <c r="I430" s="79"/>
      <c r="J430" s="19"/>
      <c r="K430" s="19"/>
      <c r="L430" s="19"/>
      <c r="M430" s="19"/>
      <c r="N430" s="19"/>
      <c r="O430" s="19"/>
      <c r="P430" s="19"/>
      <c r="Q430" s="19"/>
      <c r="R430" s="19"/>
      <c r="S430" s="19"/>
    </row>
    <row r="431" spans="3:19" ht="12.5">
      <c r="C431" s="66"/>
      <c r="I431" s="79"/>
      <c r="J431" s="19"/>
      <c r="K431" s="19"/>
      <c r="L431" s="19"/>
      <c r="M431" s="19"/>
      <c r="N431" s="19"/>
      <c r="O431" s="19"/>
      <c r="P431" s="19"/>
      <c r="Q431" s="19"/>
      <c r="R431" s="19"/>
      <c r="S431" s="19"/>
    </row>
    <row r="432" spans="3:19" ht="12.5">
      <c r="C432" s="66"/>
      <c r="I432" s="79"/>
      <c r="J432" s="19"/>
      <c r="K432" s="19"/>
      <c r="L432" s="19"/>
      <c r="M432" s="19"/>
      <c r="N432" s="19"/>
      <c r="O432" s="19"/>
      <c r="P432" s="19"/>
      <c r="Q432" s="19"/>
      <c r="R432" s="19"/>
      <c r="S432" s="19"/>
    </row>
    <row r="433" spans="3:19" ht="12.5">
      <c r="C433" s="66"/>
      <c r="I433" s="79"/>
      <c r="J433" s="19"/>
      <c r="K433" s="19"/>
      <c r="L433" s="19"/>
      <c r="M433" s="19"/>
      <c r="N433" s="19"/>
      <c r="O433" s="19"/>
      <c r="P433" s="19"/>
      <c r="Q433" s="19"/>
      <c r="R433" s="19"/>
      <c r="S433" s="19"/>
    </row>
    <row r="434" spans="3:19" ht="12.5">
      <c r="C434" s="66"/>
      <c r="I434" s="79"/>
      <c r="J434" s="19"/>
      <c r="K434" s="19"/>
      <c r="L434" s="19"/>
      <c r="M434" s="19"/>
      <c r="N434" s="19"/>
      <c r="O434" s="19"/>
      <c r="P434" s="19"/>
      <c r="Q434" s="19"/>
      <c r="R434" s="19"/>
      <c r="S434" s="19"/>
    </row>
    <row r="435" spans="3:19" ht="12.5">
      <c r="C435" s="66"/>
      <c r="I435" s="79"/>
      <c r="J435" s="19"/>
      <c r="K435" s="19"/>
      <c r="L435" s="19"/>
      <c r="M435" s="19"/>
      <c r="N435" s="19"/>
      <c r="O435" s="19"/>
      <c r="P435" s="19"/>
      <c r="Q435" s="19"/>
      <c r="R435" s="19"/>
      <c r="S435" s="19"/>
    </row>
    <row r="436" spans="3:19" ht="12.5">
      <c r="C436" s="66"/>
      <c r="I436" s="79"/>
      <c r="J436" s="19"/>
      <c r="K436" s="19"/>
      <c r="L436" s="19"/>
      <c r="M436" s="19"/>
      <c r="N436" s="19"/>
      <c r="O436" s="19"/>
      <c r="P436" s="19"/>
      <c r="Q436" s="19"/>
      <c r="R436" s="19"/>
      <c r="S436" s="19"/>
    </row>
    <row r="437" spans="3:19" ht="12.5">
      <c r="C437" s="66"/>
      <c r="I437" s="79"/>
      <c r="J437" s="19"/>
      <c r="K437" s="19"/>
      <c r="L437" s="19"/>
      <c r="M437" s="19"/>
      <c r="N437" s="19"/>
      <c r="O437" s="19"/>
      <c r="P437" s="19"/>
      <c r="Q437" s="19"/>
      <c r="R437" s="19"/>
      <c r="S437" s="19"/>
    </row>
    <row r="438" spans="3:19" ht="12.5">
      <c r="C438" s="66"/>
      <c r="I438" s="79"/>
      <c r="J438" s="19"/>
      <c r="K438" s="19"/>
      <c r="L438" s="19"/>
      <c r="M438" s="19"/>
      <c r="N438" s="19"/>
      <c r="O438" s="19"/>
      <c r="P438" s="19"/>
      <c r="Q438" s="19"/>
      <c r="R438" s="19"/>
      <c r="S438" s="19"/>
    </row>
    <row r="439" spans="3:19" ht="12.5">
      <c r="C439" s="66"/>
      <c r="I439" s="79"/>
      <c r="J439" s="19"/>
      <c r="K439" s="19"/>
      <c r="L439" s="19"/>
      <c r="M439" s="19"/>
      <c r="N439" s="19"/>
      <c r="O439" s="19"/>
      <c r="P439" s="19"/>
      <c r="Q439" s="19"/>
      <c r="R439" s="19"/>
      <c r="S439" s="19"/>
    </row>
    <row r="440" spans="3:19" ht="12.5">
      <c r="C440" s="66"/>
      <c r="I440" s="79"/>
      <c r="J440" s="19"/>
      <c r="K440" s="19"/>
      <c r="L440" s="19"/>
      <c r="M440" s="19"/>
      <c r="N440" s="19"/>
      <c r="O440" s="19"/>
      <c r="P440" s="19"/>
      <c r="Q440" s="19"/>
      <c r="R440" s="19"/>
      <c r="S440" s="19"/>
    </row>
    <row r="441" spans="3:19" ht="12.5">
      <c r="C441" s="66"/>
      <c r="I441" s="79"/>
      <c r="J441" s="19"/>
      <c r="K441" s="19"/>
      <c r="L441" s="19"/>
      <c r="M441" s="19"/>
      <c r="N441" s="19"/>
      <c r="O441" s="19"/>
      <c r="P441" s="19"/>
      <c r="Q441" s="19"/>
      <c r="R441" s="19"/>
      <c r="S441" s="19"/>
    </row>
    <row r="442" spans="3:19" ht="12.5">
      <c r="C442" s="66"/>
      <c r="I442" s="79"/>
      <c r="J442" s="19"/>
      <c r="K442" s="19"/>
      <c r="L442" s="19"/>
      <c r="M442" s="19"/>
      <c r="N442" s="19"/>
      <c r="O442" s="19"/>
      <c r="P442" s="19"/>
      <c r="Q442" s="19"/>
      <c r="R442" s="19"/>
      <c r="S442" s="19"/>
    </row>
    <row r="443" spans="3:19" ht="12.5">
      <c r="C443" s="66"/>
      <c r="I443" s="79"/>
      <c r="J443" s="19"/>
      <c r="K443" s="19"/>
      <c r="L443" s="19"/>
      <c r="M443" s="19"/>
      <c r="N443" s="19"/>
      <c r="O443" s="19"/>
      <c r="P443" s="19"/>
      <c r="Q443" s="19"/>
      <c r="R443" s="19"/>
      <c r="S443" s="19"/>
    </row>
    <row r="444" spans="3:19" ht="12.5">
      <c r="C444" s="66"/>
      <c r="I444" s="79"/>
      <c r="J444" s="19"/>
      <c r="K444" s="19"/>
      <c r="L444" s="19"/>
      <c r="M444" s="19"/>
      <c r="N444" s="19"/>
      <c r="O444" s="19"/>
      <c r="P444" s="19"/>
      <c r="Q444" s="19"/>
      <c r="R444" s="19"/>
      <c r="S444" s="19"/>
    </row>
    <row r="445" spans="3:19" ht="12.5">
      <c r="C445" s="66"/>
      <c r="I445" s="79"/>
      <c r="J445" s="19"/>
      <c r="K445" s="19"/>
      <c r="L445" s="19"/>
      <c r="M445" s="19"/>
      <c r="N445" s="19"/>
      <c r="O445" s="19"/>
      <c r="P445" s="19"/>
      <c r="Q445" s="19"/>
      <c r="R445" s="19"/>
      <c r="S445" s="19"/>
    </row>
    <row r="446" spans="3:19" ht="12.5">
      <c r="C446" s="66"/>
      <c r="I446" s="79"/>
      <c r="J446" s="19"/>
      <c r="K446" s="19"/>
      <c r="L446" s="19"/>
      <c r="M446" s="19"/>
      <c r="N446" s="19"/>
      <c r="O446" s="19"/>
      <c r="P446" s="19"/>
      <c r="Q446" s="19"/>
      <c r="R446" s="19"/>
      <c r="S446" s="19"/>
    </row>
    <row r="447" spans="3:19" ht="12.5">
      <c r="C447" s="66"/>
      <c r="I447" s="79"/>
      <c r="J447" s="19"/>
      <c r="K447" s="19"/>
      <c r="L447" s="19"/>
      <c r="M447" s="19"/>
      <c r="N447" s="19"/>
      <c r="O447" s="19"/>
      <c r="P447" s="19"/>
      <c r="Q447" s="19"/>
      <c r="R447" s="19"/>
      <c r="S447" s="19"/>
    </row>
    <row r="448" spans="3:19" ht="12.5">
      <c r="C448" s="66"/>
      <c r="I448" s="79"/>
      <c r="J448" s="19"/>
      <c r="K448" s="19"/>
      <c r="L448" s="19"/>
      <c r="M448" s="19"/>
      <c r="N448" s="19"/>
      <c r="O448" s="19"/>
      <c r="P448" s="19"/>
      <c r="Q448" s="19"/>
      <c r="R448" s="19"/>
      <c r="S448" s="19"/>
    </row>
    <row r="449" spans="3:19" ht="12.5">
      <c r="C449" s="66"/>
      <c r="I449" s="79"/>
      <c r="J449" s="19"/>
      <c r="K449" s="19"/>
      <c r="L449" s="19"/>
      <c r="M449" s="19"/>
      <c r="N449" s="19"/>
      <c r="O449" s="19"/>
      <c r="P449" s="19"/>
      <c r="Q449" s="19"/>
      <c r="R449" s="19"/>
      <c r="S449" s="19"/>
    </row>
    <row r="450" spans="3:19" ht="12.5">
      <c r="C450" s="66"/>
      <c r="I450" s="79"/>
      <c r="J450" s="19"/>
      <c r="K450" s="19"/>
      <c r="L450" s="19"/>
      <c r="M450" s="19"/>
      <c r="N450" s="19"/>
      <c r="O450" s="19"/>
      <c r="P450" s="19"/>
      <c r="Q450" s="19"/>
      <c r="R450" s="19"/>
      <c r="S450" s="19"/>
    </row>
    <row r="451" spans="3:19" ht="12.5">
      <c r="C451" s="66"/>
      <c r="I451" s="79"/>
      <c r="J451" s="19"/>
      <c r="K451" s="19"/>
      <c r="L451" s="19"/>
      <c r="M451" s="19"/>
      <c r="N451" s="19"/>
      <c r="O451" s="19"/>
      <c r="P451" s="19"/>
      <c r="Q451" s="19"/>
      <c r="R451" s="19"/>
      <c r="S451" s="19"/>
    </row>
    <row r="452" spans="3:19" ht="12.5">
      <c r="C452" s="66"/>
      <c r="I452" s="79"/>
      <c r="J452" s="19"/>
      <c r="K452" s="19"/>
      <c r="L452" s="19"/>
      <c r="M452" s="19"/>
      <c r="N452" s="19"/>
      <c r="O452" s="19"/>
      <c r="P452" s="19"/>
      <c r="Q452" s="19"/>
      <c r="R452" s="19"/>
      <c r="S452" s="19"/>
    </row>
    <row r="453" spans="3:19" ht="12.5">
      <c r="C453" s="66"/>
      <c r="I453" s="79"/>
      <c r="J453" s="19"/>
      <c r="K453" s="19"/>
      <c r="L453" s="19"/>
      <c r="M453" s="19"/>
      <c r="N453" s="19"/>
      <c r="O453" s="19"/>
      <c r="P453" s="19"/>
      <c r="Q453" s="19"/>
      <c r="R453" s="19"/>
      <c r="S453" s="19"/>
    </row>
    <row r="454" spans="3:19" ht="12.5">
      <c r="C454" s="66"/>
      <c r="I454" s="79"/>
      <c r="J454" s="19"/>
      <c r="K454" s="19"/>
      <c r="L454" s="19"/>
      <c r="M454" s="19"/>
      <c r="N454" s="19"/>
      <c r="O454" s="19"/>
      <c r="P454" s="19"/>
      <c r="Q454" s="19"/>
      <c r="R454" s="19"/>
      <c r="S454" s="19"/>
    </row>
    <row r="455" spans="3:19" ht="12.5">
      <c r="C455" s="66"/>
      <c r="I455" s="79"/>
      <c r="J455" s="19"/>
      <c r="K455" s="19"/>
      <c r="L455" s="19"/>
      <c r="M455" s="19"/>
      <c r="N455" s="19"/>
      <c r="O455" s="19"/>
      <c r="P455" s="19"/>
      <c r="Q455" s="19"/>
      <c r="R455" s="19"/>
      <c r="S455" s="19"/>
    </row>
    <row r="456" spans="3:19" ht="12.5">
      <c r="C456" s="66"/>
      <c r="I456" s="79"/>
      <c r="J456" s="19"/>
      <c r="K456" s="19"/>
      <c r="L456" s="19"/>
      <c r="M456" s="19"/>
      <c r="N456" s="19"/>
      <c r="O456" s="19"/>
      <c r="P456" s="19"/>
      <c r="Q456" s="19"/>
      <c r="R456" s="19"/>
      <c r="S456" s="19"/>
    </row>
    <row r="457" spans="3:19" ht="12.5">
      <c r="C457" s="66"/>
      <c r="I457" s="79"/>
      <c r="J457" s="19"/>
      <c r="K457" s="19"/>
      <c r="L457" s="19"/>
      <c r="M457" s="19"/>
      <c r="N457" s="19"/>
      <c r="O457" s="19"/>
      <c r="P457" s="19"/>
      <c r="Q457" s="19"/>
      <c r="R457" s="19"/>
      <c r="S457" s="19"/>
    </row>
    <row r="458" spans="3:19" ht="12.5">
      <c r="C458" s="66"/>
      <c r="I458" s="79"/>
      <c r="J458" s="19"/>
      <c r="K458" s="19"/>
      <c r="L458" s="19"/>
      <c r="M458" s="19"/>
      <c r="N458" s="19"/>
      <c r="O458" s="19"/>
      <c r="P458" s="19"/>
      <c r="Q458" s="19"/>
      <c r="R458" s="19"/>
      <c r="S458" s="19"/>
    </row>
    <row r="459" spans="3:19" ht="12.5">
      <c r="C459" s="66"/>
      <c r="I459" s="79"/>
      <c r="J459" s="19"/>
      <c r="K459" s="19"/>
      <c r="L459" s="19"/>
      <c r="M459" s="19"/>
      <c r="N459" s="19"/>
      <c r="O459" s="19"/>
      <c r="P459" s="19"/>
      <c r="Q459" s="19"/>
      <c r="R459" s="19"/>
      <c r="S459" s="19"/>
    </row>
    <row r="460" spans="3:19" ht="12.5">
      <c r="C460" s="66"/>
      <c r="I460" s="79"/>
      <c r="J460" s="19"/>
      <c r="K460" s="19"/>
      <c r="L460" s="19"/>
      <c r="M460" s="19"/>
      <c r="N460" s="19"/>
      <c r="O460" s="19"/>
      <c r="P460" s="19"/>
      <c r="Q460" s="19"/>
      <c r="R460" s="19"/>
      <c r="S460" s="19"/>
    </row>
    <row r="461" spans="3:19" ht="12.5">
      <c r="C461" s="66"/>
      <c r="I461" s="79"/>
      <c r="J461" s="19"/>
      <c r="K461" s="19"/>
      <c r="L461" s="19"/>
      <c r="M461" s="19"/>
      <c r="N461" s="19"/>
      <c r="O461" s="19"/>
      <c r="P461" s="19"/>
      <c r="Q461" s="19"/>
      <c r="R461" s="19"/>
      <c r="S461" s="19"/>
    </row>
    <row r="462" spans="3:19" ht="12.5">
      <c r="C462" s="66"/>
      <c r="I462" s="79"/>
      <c r="J462" s="19"/>
      <c r="K462" s="19"/>
      <c r="L462" s="19"/>
      <c r="M462" s="19"/>
      <c r="N462" s="19"/>
      <c r="O462" s="19"/>
      <c r="P462" s="19"/>
      <c r="Q462" s="19"/>
      <c r="R462" s="19"/>
      <c r="S462" s="19"/>
    </row>
    <row r="463" spans="3:19" ht="12.5">
      <c r="C463" s="66"/>
      <c r="I463" s="79"/>
      <c r="J463" s="19"/>
      <c r="K463" s="19"/>
      <c r="L463" s="19"/>
      <c r="M463" s="19"/>
      <c r="N463" s="19"/>
      <c r="O463" s="19"/>
      <c r="P463" s="19"/>
      <c r="Q463" s="19"/>
      <c r="R463" s="19"/>
      <c r="S463" s="19"/>
    </row>
    <row r="464" spans="3:19" ht="12.5">
      <c r="C464" s="66"/>
      <c r="I464" s="79"/>
      <c r="J464" s="19"/>
      <c r="K464" s="19"/>
      <c r="L464" s="19"/>
      <c r="M464" s="19"/>
      <c r="N464" s="19"/>
      <c r="O464" s="19"/>
      <c r="P464" s="19"/>
      <c r="Q464" s="19"/>
      <c r="R464" s="19"/>
      <c r="S464" s="19"/>
    </row>
    <row r="465" spans="3:19" ht="12.5">
      <c r="C465" s="66"/>
      <c r="I465" s="79"/>
      <c r="J465" s="19"/>
      <c r="K465" s="19"/>
      <c r="L465" s="19"/>
      <c r="M465" s="19"/>
      <c r="N465" s="19"/>
      <c r="O465" s="19"/>
      <c r="P465" s="19"/>
      <c r="Q465" s="19"/>
      <c r="R465" s="19"/>
      <c r="S465" s="19"/>
    </row>
    <row r="466" spans="3:19" ht="12.5">
      <c r="C466" s="66"/>
      <c r="I466" s="79"/>
      <c r="J466" s="19"/>
      <c r="K466" s="19"/>
      <c r="L466" s="19"/>
      <c r="M466" s="19"/>
      <c r="N466" s="19"/>
      <c r="O466" s="19"/>
      <c r="P466" s="19"/>
      <c r="Q466" s="19"/>
      <c r="R466" s="19"/>
      <c r="S466" s="19"/>
    </row>
    <row r="467" spans="3:19" ht="12.5">
      <c r="C467" s="66"/>
      <c r="I467" s="79"/>
      <c r="J467" s="19"/>
      <c r="K467" s="19"/>
      <c r="L467" s="19"/>
      <c r="M467" s="19"/>
      <c r="N467" s="19"/>
      <c r="O467" s="19"/>
      <c r="P467" s="19"/>
      <c r="Q467" s="19"/>
      <c r="R467" s="19"/>
      <c r="S467" s="19"/>
    </row>
    <row r="468" spans="3:19" ht="12.5">
      <c r="C468" s="66"/>
      <c r="I468" s="79"/>
      <c r="J468" s="19"/>
      <c r="K468" s="19"/>
      <c r="L468" s="19"/>
      <c r="M468" s="19"/>
      <c r="N468" s="19"/>
      <c r="O468" s="19"/>
      <c r="P468" s="19"/>
      <c r="Q468" s="19"/>
      <c r="R468" s="19"/>
      <c r="S468" s="19"/>
    </row>
    <row r="469" spans="3:19" ht="12.5">
      <c r="C469" s="66"/>
      <c r="I469" s="79"/>
      <c r="J469" s="19"/>
      <c r="K469" s="19"/>
      <c r="L469" s="19"/>
      <c r="M469" s="19"/>
      <c r="N469" s="19"/>
      <c r="O469" s="19"/>
      <c r="P469" s="19"/>
      <c r="Q469" s="19"/>
      <c r="R469" s="19"/>
      <c r="S469" s="19"/>
    </row>
    <row r="470" spans="3:19" ht="12.5">
      <c r="C470" s="66"/>
      <c r="I470" s="79"/>
      <c r="J470" s="19"/>
      <c r="K470" s="19"/>
      <c r="L470" s="19"/>
      <c r="M470" s="19"/>
      <c r="N470" s="19"/>
      <c r="O470" s="19"/>
      <c r="P470" s="19"/>
      <c r="Q470" s="19"/>
      <c r="R470" s="19"/>
      <c r="S470" s="19"/>
    </row>
    <row r="471" spans="3:19" ht="12.5">
      <c r="C471" s="66"/>
      <c r="I471" s="79"/>
      <c r="J471" s="19"/>
      <c r="K471" s="19"/>
      <c r="L471" s="19"/>
      <c r="M471" s="19"/>
      <c r="N471" s="19"/>
      <c r="O471" s="19"/>
      <c r="P471" s="19"/>
      <c r="Q471" s="19"/>
      <c r="R471" s="19"/>
      <c r="S471" s="19"/>
    </row>
    <row r="472" spans="3:19" ht="12.5">
      <c r="C472" s="66"/>
      <c r="I472" s="79"/>
      <c r="J472" s="19"/>
      <c r="K472" s="19"/>
      <c r="L472" s="19"/>
      <c r="M472" s="19"/>
      <c r="N472" s="19"/>
      <c r="O472" s="19"/>
      <c r="P472" s="19"/>
      <c r="Q472" s="19"/>
      <c r="R472" s="19"/>
      <c r="S472" s="19"/>
    </row>
    <row r="473" spans="3:19" ht="12.5">
      <c r="C473" s="66"/>
      <c r="I473" s="79"/>
      <c r="J473" s="19"/>
      <c r="K473" s="19"/>
      <c r="L473" s="19"/>
      <c r="M473" s="19"/>
      <c r="N473" s="19"/>
      <c r="O473" s="19"/>
      <c r="P473" s="19"/>
      <c r="Q473" s="19"/>
      <c r="R473" s="19"/>
      <c r="S473" s="19"/>
    </row>
    <row r="474" spans="3:19" ht="12.5">
      <c r="C474" s="66"/>
      <c r="I474" s="79"/>
      <c r="J474" s="19"/>
      <c r="K474" s="19"/>
      <c r="L474" s="19"/>
      <c r="M474" s="19"/>
      <c r="N474" s="19"/>
      <c r="O474" s="19"/>
      <c r="P474" s="19"/>
      <c r="Q474" s="19"/>
      <c r="R474" s="19"/>
      <c r="S474" s="19"/>
    </row>
    <row r="475" spans="3:19" ht="12.5">
      <c r="C475" s="66"/>
      <c r="I475" s="79"/>
      <c r="J475" s="19"/>
      <c r="K475" s="19"/>
      <c r="L475" s="19"/>
      <c r="M475" s="19"/>
      <c r="N475" s="19"/>
      <c r="O475" s="19"/>
      <c r="P475" s="19"/>
      <c r="Q475" s="19"/>
      <c r="R475" s="19"/>
      <c r="S475" s="19"/>
    </row>
    <row r="476" spans="3:19" ht="12.5">
      <c r="C476" s="66"/>
      <c r="I476" s="79"/>
      <c r="J476" s="19"/>
      <c r="K476" s="19"/>
      <c r="L476" s="19"/>
      <c r="M476" s="19"/>
      <c r="N476" s="19"/>
      <c r="O476" s="19"/>
      <c r="P476" s="19"/>
      <c r="Q476" s="19"/>
      <c r="R476" s="19"/>
      <c r="S476" s="19"/>
    </row>
    <row r="477" spans="3:19" ht="12.5">
      <c r="C477" s="66"/>
      <c r="I477" s="79"/>
      <c r="J477" s="19"/>
      <c r="K477" s="19"/>
      <c r="L477" s="19"/>
      <c r="M477" s="19"/>
      <c r="N477" s="19"/>
      <c r="O477" s="19"/>
      <c r="P477" s="19"/>
      <c r="Q477" s="19"/>
      <c r="R477" s="19"/>
      <c r="S477" s="19"/>
    </row>
    <row r="478" spans="3:19" ht="12.5">
      <c r="C478" s="66"/>
      <c r="I478" s="79"/>
      <c r="J478" s="19"/>
      <c r="K478" s="19"/>
      <c r="L478" s="19"/>
      <c r="M478" s="19"/>
      <c r="N478" s="19"/>
      <c r="O478" s="19"/>
      <c r="P478" s="19"/>
      <c r="Q478" s="19"/>
      <c r="R478" s="19"/>
      <c r="S478" s="19"/>
    </row>
    <row r="479" spans="3:19" ht="12.5">
      <c r="C479" s="66"/>
      <c r="I479" s="79"/>
      <c r="J479" s="19"/>
      <c r="K479" s="19"/>
      <c r="L479" s="19"/>
      <c r="M479" s="19"/>
      <c r="N479" s="19"/>
      <c r="O479" s="19"/>
      <c r="P479" s="19"/>
      <c r="Q479" s="19"/>
      <c r="R479" s="19"/>
      <c r="S479" s="19"/>
    </row>
    <row r="480" spans="3:19" ht="12.5">
      <c r="C480" s="66"/>
      <c r="I480" s="79"/>
      <c r="J480" s="19"/>
      <c r="K480" s="19"/>
      <c r="L480" s="19"/>
      <c r="M480" s="19"/>
      <c r="N480" s="19"/>
      <c r="O480" s="19"/>
      <c r="P480" s="19"/>
      <c r="Q480" s="19"/>
      <c r="R480" s="19"/>
      <c r="S480" s="19"/>
    </row>
    <row r="481" spans="3:19" ht="12.5">
      <c r="C481" s="66"/>
      <c r="I481" s="79"/>
      <c r="J481" s="19"/>
      <c r="K481" s="19"/>
      <c r="L481" s="19"/>
      <c r="M481" s="19"/>
      <c r="N481" s="19"/>
      <c r="O481" s="19"/>
      <c r="P481" s="19"/>
      <c r="Q481" s="19"/>
      <c r="R481" s="19"/>
      <c r="S481" s="19"/>
    </row>
    <row r="482" spans="3:19" ht="12.5">
      <c r="C482" s="66"/>
      <c r="I482" s="79"/>
      <c r="J482" s="19"/>
      <c r="K482" s="19"/>
      <c r="L482" s="19"/>
      <c r="M482" s="19"/>
      <c r="N482" s="19"/>
      <c r="O482" s="19"/>
      <c r="P482" s="19"/>
      <c r="Q482" s="19"/>
      <c r="R482" s="19"/>
      <c r="S482" s="19"/>
    </row>
    <row r="483" spans="3:19" ht="12.5">
      <c r="C483" s="66"/>
      <c r="I483" s="79"/>
      <c r="J483" s="19"/>
      <c r="K483" s="19"/>
      <c r="L483" s="19"/>
      <c r="M483" s="19"/>
      <c r="N483" s="19"/>
      <c r="O483" s="19"/>
      <c r="P483" s="19"/>
      <c r="Q483" s="19"/>
      <c r="R483" s="19"/>
      <c r="S483" s="19"/>
    </row>
    <row r="484" spans="3:19" ht="12.5">
      <c r="C484" s="66"/>
      <c r="I484" s="79"/>
      <c r="J484" s="19"/>
      <c r="K484" s="19"/>
      <c r="L484" s="19"/>
      <c r="M484" s="19"/>
      <c r="N484" s="19"/>
      <c r="O484" s="19"/>
      <c r="P484" s="19"/>
      <c r="Q484" s="19"/>
      <c r="R484" s="19"/>
      <c r="S484" s="19"/>
    </row>
    <row r="485" spans="3:19" ht="12.5">
      <c r="C485" s="66"/>
      <c r="I485" s="79"/>
      <c r="J485" s="19"/>
      <c r="K485" s="19"/>
      <c r="L485" s="19"/>
      <c r="M485" s="19"/>
      <c r="N485" s="19"/>
      <c r="O485" s="19"/>
      <c r="P485" s="19"/>
      <c r="Q485" s="19"/>
      <c r="R485" s="19"/>
      <c r="S485" s="19"/>
    </row>
    <row r="486" spans="3:19" ht="12.5">
      <c r="C486" s="66"/>
      <c r="I486" s="79"/>
      <c r="J486" s="19"/>
      <c r="K486" s="19"/>
      <c r="L486" s="19"/>
      <c r="M486" s="19"/>
      <c r="N486" s="19"/>
      <c r="O486" s="19"/>
      <c r="P486" s="19"/>
      <c r="Q486" s="19"/>
      <c r="R486" s="19"/>
      <c r="S486" s="19"/>
    </row>
    <row r="487" spans="3:19" ht="12.5">
      <c r="C487" s="66"/>
      <c r="I487" s="79"/>
      <c r="J487" s="19"/>
      <c r="K487" s="19"/>
      <c r="L487" s="19"/>
      <c r="M487" s="19"/>
      <c r="N487" s="19"/>
      <c r="O487" s="19"/>
      <c r="P487" s="19"/>
      <c r="Q487" s="19"/>
      <c r="R487" s="19"/>
      <c r="S487" s="19"/>
    </row>
    <row r="488" spans="3:19" ht="12.5">
      <c r="C488" s="66"/>
      <c r="I488" s="79"/>
      <c r="J488" s="19"/>
      <c r="K488" s="19"/>
      <c r="L488" s="19"/>
      <c r="M488" s="19"/>
      <c r="N488" s="19"/>
      <c r="O488" s="19"/>
      <c r="P488" s="19"/>
      <c r="Q488" s="19"/>
      <c r="R488" s="19"/>
      <c r="S488" s="19"/>
    </row>
    <row r="489" spans="3:19" ht="12.5">
      <c r="C489" s="66"/>
      <c r="I489" s="79"/>
      <c r="J489" s="19"/>
      <c r="K489" s="19"/>
      <c r="L489" s="19"/>
      <c r="M489" s="19"/>
      <c r="N489" s="19"/>
      <c r="O489" s="19"/>
      <c r="P489" s="19"/>
      <c r="Q489" s="19"/>
      <c r="R489" s="19"/>
      <c r="S489" s="19"/>
    </row>
    <row r="490" spans="3:19" ht="12.5">
      <c r="C490" s="66"/>
      <c r="I490" s="79"/>
      <c r="J490" s="19"/>
      <c r="K490" s="19"/>
      <c r="L490" s="19"/>
      <c r="M490" s="19"/>
      <c r="N490" s="19"/>
      <c r="O490" s="19"/>
      <c r="P490" s="19"/>
      <c r="Q490" s="19"/>
      <c r="R490" s="19"/>
      <c r="S490" s="19"/>
    </row>
    <row r="491" spans="3:19" ht="12.5">
      <c r="C491" s="66"/>
      <c r="I491" s="79"/>
      <c r="J491" s="19"/>
      <c r="K491" s="19"/>
      <c r="L491" s="19"/>
      <c r="M491" s="19"/>
      <c r="N491" s="19"/>
      <c r="O491" s="19"/>
      <c r="P491" s="19"/>
      <c r="Q491" s="19"/>
      <c r="R491" s="19"/>
      <c r="S491" s="19"/>
    </row>
    <row r="492" spans="3:19" ht="12.5">
      <c r="C492" s="66"/>
      <c r="I492" s="79"/>
      <c r="J492" s="19"/>
      <c r="K492" s="19"/>
      <c r="L492" s="19"/>
      <c r="M492" s="19"/>
      <c r="N492" s="19"/>
      <c r="O492" s="19"/>
      <c r="P492" s="19"/>
      <c r="Q492" s="19"/>
      <c r="R492" s="19"/>
      <c r="S492" s="19"/>
    </row>
    <row r="493" spans="3:19" ht="12.5">
      <c r="C493" s="66"/>
      <c r="I493" s="79"/>
      <c r="J493" s="19"/>
      <c r="K493" s="19"/>
      <c r="L493" s="19"/>
      <c r="M493" s="19"/>
      <c r="N493" s="19"/>
      <c r="O493" s="19"/>
      <c r="P493" s="19"/>
      <c r="Q493" s="19"/>
      <c r="R493" s="19"/>
      <c r="S493" s="19"/>
    </row>
    <row r="494" spans="3:19" ht="12.5">
      <c r="C494" s="66"/>
      <c r="I494" s="79"/>
      <c r="J494" s="19"/>
      <c r="K494" s="19"/>
      <c r="L494" s="19"/>
      <c r="M494" s="19"/>
      <c r="N494" s="19"/>
      <c r="O494" s="19"/>
      <c r="P494" s="19"/>
      <c r="Q494" s="19"/>
      <c r="R494" s="19"/>
      <c r="S494" s="19"/>
    </row>
    <row r="495" spans="3:19" ht="12.5">
      <c r="C495" s="66"/>
      <c r="I495" s="79"/>
      <c r="J495" s="19"/>
      <c r="K495" s="19"/>
      <c r="L495" s="19"/>
      <c r="M495" s="19"/>
      <c r="N495" s="19"/>
      <c r="O495" s="19"/>
      <c r="P495" s="19"/>
      <c r="Q495" s="19"/>
      <c r="R495" s="19"/>
      <c r="S495" s="19"/>
    </row>
    <row r="496" spans="3:19" ht="12.5">
      <c r="C496" s="66"/>
      <c r="I496" s="79"/>
      <c r="J496" s="19"/>
      <c r="K496" s="19"/>
      <c r="L496" s="19"/>
      <c r="M496" s="19"/>
      <c r="N496" s="19"/>
      <c r="O496" s="19"/>
      <c r="P496" s="19"/>
      <c r="Q496" s="19"/>
      <c r="R496" s="19"/>
      <c r="S496" s="19"/>
    </row>
    <row r="497" spans="3:19" ht="12.5">
      <c r="C497" s="66"/>
      <c r="I497" s="79"/>
      <c r="J497" s="19"/>
      <c r="K497" s="19"/>
      <c r="L497" s="19"/>
      <c r="M497" s="19"/>
      <c r="N497" s="19"/>
      <c r="O497" s="19"/>
      <c r="P497" s="19"/>
      <c r="Q497" s="19"/>
      <c r="R497" s="19"/>
      <c r="S497" s="19"/>
    </row>
    <row r="498" spans="3:19" ht="12.5">
      <c r="C498" s="66"/>
      <c r="I498" s="79"/>
      <c r="J498" s="19"/>
      <c r="K498" s="19"/>
      <c r="L498" s="19"/>
      <c r="M498" s="19"/>
      <c r="N498" s="19"/>
      <c r="O498" s="19"/>
      <c r="P498" s="19"/>
      <c r="Q498" s="19"/>
      <c r="R498" s="19"/>
      <c r="S498" s="19"/>
    </row>
    <row r="499" spans="3:19" ht="12.5">
      <c r="C499" s="66"/>
      <c r="I499" s="79"/>
      <c r="J499" s="19"/>
      <c r="K499" s="19"/>
      <c r="L499" s="19"/>
      <c r="M499" s="19"/>
      <c r="N499" s="19"/>
      <c r="O499" s="19"/>
      <c r="P499" s="19"/>
      <c r="Q499" s="19"/>
      <c r="R499" s="19"/>
      <c r="S499" s="19"/>
    </row>
    <row r="500" spans="3:19" ht="12.5">
      <c r="C500" s="66"/>
      <c r="I500" s="79"/>
      <c r="J500" s="19"/>
      <c r="K500" s="19"/>
      <c r="L500" s="19"/>
      <c r="M500" s="19"/>
      <c r="N500" s="19"/>
      <c r="O500" s="19"/>
      <c r="P500" s="19"/>
      <c r="Q500" s="19"/>
      <c r="R500" s="19"/>
      <c r="S500" s="19"/>
    </row>
    <row r="501" spans="3:19" ht="12.5">
      <c r="C501" s="66"/>
      <c r="I501" s="79"/>
      <c r="J501" s="19"/>
      <c r="K501" s="19"/>
      <c r="L501" s="19"/>
      <c r="M501" s="19"/>
      <c r="N501" s="19"/>
      <c r="O501" s="19"/>
      <c r="P501" s="19"/>
      <c r="Q501" s="19"/>
      <c r="R501" s="19"/>
      <c r="S501" s="19"/>
    </row>
    <row r="502" spans="3:19" ht="12.5">
      <c r="C502" s="66"/>
      <c r="I502" s="79"/>
      <c r="J502" s="19"/>
      <c r="K502" s="19"/>
      <c r="L502" s="19"/>
      <c r="M502" s="19"/>
      <c r="N502" s="19"/>
      <c r="O502" s="19"/>
      <c r="P502" s="19"/>
      <c r="Q502" s="19"/>
      <c r="R502" s="19"/>
      <c r="S502" s="19"/>
    </row>
    <row r="503" spans="3:19" ht="12.5">
      <c r="C503" s="66"/>
      <c r="I503" s="79"/>
      <c r="J503" s="19"/>
      <c r="K503" s="19"/>
      <c r="L503" s="19"/>
      <c r="M503" s="19"/>
      <c r="N503" s="19"/>
      <c r="O503" s="19"/>
      <c r="P503" s="19"/>
      <c r="Q503" s="19"/>
      <c r="R503" s="19"/>
      <c r="S503" s="19"/>
    </row>
    <row r="504" spans="3:19" ht="12.5">
      <c r="C504" s="66"/>
      <c r="I504" s="79"/>
      <c r="J504" s="19"/>
      <c r="K504" s="19"/>
      <c r="L504" s="19"/>
      <c r="M504" s="19"/>
      <c r="N504" s="19"/>
      <c r="O504" s="19"/>
      <c r="P504" s="19"/>
      <c r="Q504" s="19"/>
      <c r="R504" s="19"/>
      <c r="S504" s="19"/>
    </row>
    <row r="505" spans="3:19" ht="12.5">
      <c r="C505" s="66"/>
      <c r="I505" s="79"/>
      <c r="J505" s="19"/>
      <c r="K505" s="19"/>
      <c r="L505" s="19"/>
      <c r="M505" s="19"/>
      <c r="N505" s="19"/>
      <c r="O505" s="19"/>
      <c r="P505" s="19"/>
      <c r="Q505" s="19"/>
      <c r="R505" s="19"/>
      <c r="S505" s="19"/>
    </row>
    <row r="506" spans="3:19" ht="12.5">
      <c r="C506" s="66"/>
      <c r="I506" s="79"/>
      <c r="J506" s="19"/>
      <c r="K506" s="19"/>
      <c r="L506" s="19"/>
      <c r="M506" s="19"/>
      <c r="N506" s="19"/>
      <c r="O506" s="19"/>
      <c r="P506" s="19"/>
      <c r="Q506" s="19"/>
      <c r="R506" s="19"/>
      <c r="S506" s="19"/>
    </row>
    <row r="507" spans="3:19" ht="12.5">
      <c r="C507" s="66"/>
      <c r="I507" s="79"/>
      <c r="J507" s="19"/>
      <c r="K507" s="19"/>
      <c r="L507" s="19"/>
      <c r="M507" s="19"/>
      <c r="N507" s="19"/>
      <c r="O507" s="19"/>
      <c r="P507" s="19"/>
      <c r="Q507" s="19"/>
      <c r="R507" s="19"/>
      <c r="S507" s="19"/>
    </row>
    <row r="508" spans="3:19" ht="12.5">
      <c r="C508" s="66"/>
      <c r="I508" s="79"/>
      <c r="J508" s="19"/>
      <c r="K508" s="19"/>
      <c r="L508" s="19"/>
      <c r="M508" s="19"/>
      <c r="N508" s="19"/>
      <c r="O508" s="19"/>
      <c r="P508" s="19"/>
      <c r="Q508" s="19"/>
      <c r="R508" s="19"/>
      <c r="S508" s="19"/>
    </row>
    <row r="509" spans="3:19" ht="12.5">
      <c r="C509" s="66"/>
      <c r="I509" s="79"/>
      <c r="J509" s="19"/>
      <c r="K509" s="19"/>
      <c r="L509" s="19"/>
      <c r="M509" s="19"/>
      <c r="N509" s="19"/>
      <c r="O509" s="19"/>
      <c r="P509" s="19"/>
      <c r="Q509" s="19"/>
      <c r="R509" s="19"/>
      <c r="S509" s="19"/>
    </row>
    <row r="510" spans="3:19" ht="12.5">
      <c r="C510" s="66"/>
      <c r="I510" s="79"/>
      <c r="J510" s="19"/>
      <c r="K510" s="19"/>
      <c r="L510" s="19"/>
      <c r="M510" s="19"/>
      <c r="N510" s="19"/>
      <c r="O510" s="19"/>
      <c r="P510" s="19"/>
      <c r="Q510" s="19"/>
      <c r="R510" s="19"/>
      <c r="S510" s="19"/>
    </row>
    <row r="511" spans="3:19" ht="12.5">
      <c r="C511" s="66"/>
      <c r="I511" s="79"/>
      <c r="J511" s="19"/>
      <c r="K511" s="19"/>
      <c r="L511" s="19"/>
      <c r="M511" s="19"/>
      <c r="N511" s="19"/>
      <c r="O511" s="19"/>
      <c r="P511" s="19"/>
      <c r="Q511" s="19"/>
      <c r="R511" s="19"/>
      <c r="S511" s="19"/>
    </row>
    <row r="512" spans="3:19" ht="12.5">
      <c r="C512" s="66"/>
      <c r="I512" s="79"/>
      <c r="J512" s="19"/>
      <c r="K512" s="19"/>
      <c r="L512" s="19"/>
      <c r="M512" s="19"/>
      <c r="N512" s="19"/>
      <c r="O512" s="19"/>
      <c r="P512" s="19"/>
      <c r="Q512" s="19"/>
      <c r="R512" s="19"/>
      <c r="S512" s="19"/>
    </row>
    <row r="513" spans="3:19" ht="12.5">
      <c r="C513" s="66"/>
      <c r="I513" s="79"/>
      <c r="J513" s="19"/>
      <c r="K513" s="19"/>
      <c r="L513" s="19"/>
      <c r="M513" s="19"/>
      <c r="N513" s="19"/>
      <c r="O513" s="19"/>
      <c r="P513" s="19"/>
      <c r="Q513" s="19"/>
      <c r="R513" s="19"/>
      <c r="S513" s="19"/>
    </row>
    <row r="514" spans="3:19" ht="12.5">
      <c r="C514" s="66"/>
      <c r="I514" s="79"/>
      <c r="J514" s="19"/>
      <c r="K514" s="19"/>
      <c r="L514" s="19"/>
      <c r="M514" s="19"/>
      <c r="N514" s="19"/>
      <c r="O514" s="19"/>
      <c r="P514" s="19"/>
      <c r="Q514" s="19"/>
      <c r="R514" s="19"/>
      <c r="S514" s="19"/>
    </row>
    <row r="515" spans="3:19" ht="12.5">
      <c r="C515" s="66"/>
      <c r="I515" s="79"/>
      <c r="J515" s="19"/>
      <c r="K515" s="19"/>
      <c r="L515" s="19"/>
      <c r="M515" s="19"/>
      <c r="N515" s="19"/>
      <c r="O515" s="19"/>
      <c r="P515" s="19"/>
      <c r="Q515" s="19"/>
      <c r="R515" s="19"/>
      <c r="S515" s="19"/>
    </row>
    <row r="516" spans="3:19" ht="12.5">
      <c r="C516" s="66"/>
      <c r="I516" s="79"/>
      <c r="J516" s="19"/>
      <c r="K516" s="19"/>
      <c r="L516" s="19"/>
      <c r="M516" s="19"/>
      <c r="N516" s="19"/>
      <c r="O516" s="19"/>
      <c r="P516" s="19"/>
      <c r="Q516" s="19"/>
      <c r="R516" s="19"/>
      <c r="S516" s="19"/>
    </row>
    <row r="517" spans="3:19" ht="12.5">
      <c r="C517" s="66"/>
      <c r="I517" s="79"/>
      <c r="J517" s="19"/>
      <c r="K517" s="19"/>
      <c r="L517" s="19"/>
      <c r="M517" s="19"/>
      <c r="N517" s="19"/>
      <c r="O517" s="19"/>
      <c r="P517" s="19"/>
      <c r="Q517" s="19"/>
      <c r="R517" s="19"/>
      <c r="S517" s="19"/>
    </row>
    <row r="518" spans="3:19" ht="12.5">
      <c r="C518" s="66"/>
      <c r="I518" s="79"/>
      <c r="J518" s="19"/>
      <c r="K518" s="19"/>
      <c r="L518" s="19"/>
      <c r="M518" s="19"/>
      <c r="N518" s="19"/>
      <c r="O518" s="19"/>
      <c r="P518" s="19"/>
      <c r="Q518" s="19"/>
      <c r="R518" s="19"/>
      <c r="S518" s="19"/>
    </row>
    <row r="519" spans="3:19" ht="12.5">
      <c r="C519" s="66"/>
      <c r="I519" s="79"/>
      <c r="J519" s="19"/>
      <c r="K519" s="19"/>
      <c r="L519" s="19"/>
      <c r="M519" s="19"/>
      <c r="N519" s="19"/>
      <c r="O519" s="19"/>
      <c r="P519" s="19"/>
      <c r="Q519" s="19"/>
      <c r="R519" s="19"/>
      <c r="S519" s="19"/>
    </row>
    <row r="520" spans="3:19" ht="12.5">
      <c r="C520" s="66"/>
      <c r="I520" s="79"/>
      <c r="J520" s="19"/>
      <c r="K520" s="19"/>
      <c r="L520" s="19"/>
      <c r="M520" s="19"/>
      <c r="N520" s="19"/>
      <c r="O520" s="19"/>
      <c r="P520" s="19"/>
      <c r="Q520" s="19"/>
      <c r="R520" s="19"/>
      <c r="S520" s="19"/>
    </row>
    <row r="521" spans="3:19" ht="12.5">
      <c r="C521" s="66"/>
      <c r="I521" s="79"/>
      <c r="J521" s="19"/>
      <c r="K521" s="19"/>
      <c r="L521" s="19"/>
      <c r="M521" s="19"/>
      <c r="N521" s="19"/>
      <c r="O521" s="19"/>
      <c r="P521" s="19"/>
      <c r="Q521" s="19"/>
      <c r="R521" s="19"/>
      <c r="S521" s="19"/>
    </row>
    <row r="522" spans="3:19" ht="12.5">
      <c r="C522" s="66"/>
      <c r="I522" s="79"/>
      <c r="J522" s="19"/>
      <c r="K522" s="19"/>
      <c r="L522" s="19"/>
      <c r="M522" s="19"/>
      <c r="N522" s="19"/>
      <c r="O522" s="19"/>
      <c r="P522" s="19"/>
      <c r="Q522" s="19"/>
      <c r="R522" s="19"/>
      <c r="S522" s="19"/>
    </row>
    <row r="523" spans="3:19" ht="12.5">
      <c r="C523" s="66"/>
      <c r="I523" s="79"/>
      <c r="J523" s="19"/>
      <c r="K523" s="19"/>
      <c r="L523" s="19"/>
      <c r="M523" s="19"/>
      <c r="N523" s="19"/>
      <c r="O523" s="19"/>
      <c r="P523" s="19"/>
      <c r="Q523" s="19"/>
      <c r="R523" s="19"/>
      <c r="S523" s="19"/>
    </row>
    <row r="524" spans="3:19" ht="12.5">
      <c r="C524" s="66"/>
      <c r="I524" s="79"/>
      <c r="J524" s="19"/>
      <c r="K524" s="19"/>
      <c r="L524" s="19"/>
      <c r="M524" s="19"/>
      <c r="N524" s="19"/>
      <c r="O524" s="19"/>
      <c r="P524" s="19"/>
      <c r="Q524" s="19"/>
      <c r="R524" s="19"/>
      <c r="S524" s="19"/>
    </row>
    <row r="525" spans="3:19" ht="12.5">
      <c r="C525" s="66"/>
      <c r="I525" s="79"/>
      <c r="J525" s="19"/>
      <c r="K525" s="19"/>
      <c r="L525" s="19"/>
      <c r="M525" s="19"/>
      <c r="N525" s="19"/>
      <c r="O525" s="19"/>
      <c r="P525" s="19"/>
      <c r="Q525" s="19"/>
      <c r="R525" s="19"/>
      <c r="S525" s="19"/>
    </row>
    <row r="526" spans="3:19" ht="12.5">
      <c r="C526" s="66"/>
      <c r="I526" s="79"/>
      <c r="J526" s="19"/>
      <c r="K526" s="19"/>
      <c r="L526" s="19"/>
      <c r="M526" s="19"/>
      <c r="N526" s="19"/>
      <c r="O526" s="19"/>
      <c r="P526" s="19"/>
      <c r="Q526" s="19"/>
      <c r="R526" s="19"/>
      <c r="S526" s="19"/>
    </row>
    <row r="527" spans="3:19" ht="12.5">
      <c r="C527" s="66"/>
      <c r="I527" s="79"/>
      <c r="J527" s="19"/>
      <c r="K527" s="19"/>
      <c r="L527" s="19"/>
      <c r="M527" s="19"/>
      <c r="N527" s="19"/>
      <c r="O527" s="19"/>
      <c r="P527" s="19"/>
      <c r="Q527" s="19"/>
      <c r="R527" s="19"/>
      <c r="S527" s="19"/>
    </row>
    <row r="528" spans="3:19" ht="12.5">
      <c r="C528" s="66"/>
      <c r="I528" s="79"/>
      <c r="J528" s="19"/>
      <c r="K528" s="19"/>
      <c r="L528" s="19"/>
      <c r="M528" s="19"/>
      <c r="N528" s="19"/>
      <c r="O528" s="19"/>
      <c r="P528" s="19"/>
      <c r="Q528" s="19"/>
      <c r="R528" s="19"/>
      <c r="S528" s="19"/>
    </row>
    <row r="529" spans="3:19" ht="12.5">
      <c r="C529" s="66"/>
      <c r="I529" s="79"/>
      <c r="J529" s="19"/>
      <c r="K529" s="19"/>
      <c r="L529" s="19"/>
      <c r="M529" s="19"/>
      <c r="N529" s="19"/>
      <c r="O529" s="19"/>
      <c r="P529" s="19"/>
      <c r="Q529" s="19"/>
      <c r="R529" s="19"/>
      <c r="S529" s="19"/>
    </row>
    <row r="530" spans="3:19" ht="12.5">
      <c r="C530" s="66"/>
      <c r="I530" s="79"/>
      <c r="J530" s="19"/>
      <c r="K530" s="19"/>
      <c r="L530" s="19"/>
      <c r="M530" s="19"/>
      <c r="N530" s="19"/>
      <c r="O530" s="19"/>
      <c r="P530" s="19"/>
      <c r="Q530" s="19"/>
      <c r="R530" s="19"/>
      <c r="S530" s="19"/>
    </row>
    <row r="531" spans="3:19" ht="12.5">
      <c r="C531" s="66"/>
      <c r="I531" s="79"/>
      <c r="J531" s="19"/>
      <c r="K531" s="19"/>
      <c r="L531" s="19"/>
      <c r="M531" s="19"/>
      <c r="N531" s="19"/>
      <c r="O531" s="19"/>
      <c r="P531" s="19"/>
      <c r="Q531" s="19"/>
      <c r="R531" s="19"/>
      <c r="S531" s="19"/>
    </row>
    <row r="532" spans="3:19" ht="12.5">
      <c r="C532" s="66"/>
      <c r="I532" s="79"/>
      <c r="J532" s="19"/>
      <c r="K532" s="19"/>
      <c r="L532" s="19"/>
      <c r="M532" s="19"/>
      <c r="N532" s="19"/>
      <c r="O532" s="19"/>
      <c r="P532" s="19"/>
      <c r="Q532" s="19"/>
      <c r="R532" s="19"/>
      <c r="S532" s="19"/>
    </row>
    <row r="533" spans="3:19" ht="12.5">
      <c r="C533" s="66"/>
      <c r="I533" s="79"/>
      <c r="J533" s="19"/>
      <c r="K533" s="19"/>
      <c r="L533" s="19"/>
      <c r="M533" s="19"/>
      <c r="N533" s="19"/>
      <c r="O533" s="19"/>
      <c r="P533" s="19"/>
      <c r="Q533" s="19"/>
      <c r="R533" s="19"/>
      <c r="S533" s="19"/>
    </row>
    <row r="534" spans="3:19" ht="12.5">
      <c r="C534" s="66"/>
      <c r="I534" s="79"/>
      <c r="J534" s="19"/>
      <c r="K534" s="19"/>
      <c r="L534" s="19"/>
      <c r="M534" s="19"/>
      <c r="N534" s="19"/>
      <c r="O534" s="19"/>
      <c r="P534" s="19"/>
      <c r="Q534" s="19"/>
      <c r="R534" s="19"/>
      <c r="S534" s="19"/>
    </row>
    <row r="535" spans="3:19" ht="12.5">
      <c r="C535" s="66"/>
      <c r="I535" s="79"/>
      <c r="J535" s="19"/>
      <c r="K535" s="19"/>
      <c r="L535" s="19"/>
      <c r="M535" s="19"/>
      <c r="N535" s="19"/>
      <c r="O535" s="19"/>
      <c r="P535" s="19"/>
      <c r="Q535" s="19"/>
      <c r="R535" s="19"/>
      <c r="S535" s="19"/>
    </row>
    <row r="536" spans="3:19" ht="12.5">
      <c r="C536" s="66"/>
      <c r="I536" s="79"/>
      <c r="J536" s="19"/>
      <c r="K536" s="19"/>
      <c r="L536" s="19"/>
      <c r="M536" s="19"/>
      <c r="N536" s="19"/>
      <c r="O536" s="19"/>
      <c r="P536" s="19"/>
      <c r="Q536" s="19"/>
      <c r="R536" s="19"/>
      <c r="S536" s="19"/>
    </row>
    <row r="537" spans="3:19" ht="12.5">
      <c r="C537" s="66"/>
      <c r="I537" s="79"/>
      <c r="J537" s="19"/>
      <c r="K537" s="19"/>
      <c r="L537" s="19"/>
      <c r="M537" s="19"/>
      <c r="N537" s="19"/>
      <c r="O537" s="19"/>
      <c r="P537" s="19"/>
      <c r="Q537" s="19"/>
      <c r="R537" s="19"/>
      <c r="S537" s="19"/>
    </row>
    <row r="538" spans="3:19" ht="12.5">
      <c r="C538" s="66"/>
      <c r="I538" s="79"/>
      <c r="J538" s="19"/>
      <c r="K538" s="19"/>
      <c r="L538" s="19"/>
      <c r="M538" s="19"/>
      <c r="N538" s="19"/>
      <c r="O538" s="19"/>
      <c r="P538" s="19"/>
      <c r="Q538" s="19"/>
      <c r="R538" s="19"/>
      <c r="S538" s="19"/>
    </row>
    <row r="539" spans="3:19" ht="12.5">
      <c r="C539" s="66"/>
      <c r="I539" s="79"/>
      <c r="J539" s="19"/>
      <c r="K539" s="19"/>
      <c r="L539" s="19"/>
      <c r="M539" s="19"/>
      <c r="N539" s="19"/>
      <c r="O539" s="19"/>
      <c r="P539" s="19"/>
      <c r="Q539" s="19"/>
      <c r="R539" s="19"/>
      <c r="S539" s="19"/>
    </row>
    <row r="540" spans="3:19" ht="12.5">
      <c r="C540" s="66"/>
      <c r="I540" s="79"/>
      <c r="J540" s="19"/>
      <c r="K540" s="19"/>
      <c r="L540" s="19"/>
      <c r="M540" s="19"/>
      <c r="N540" s="19"/>
      <c r="O540" s="19"/>
      <c r="P540" s="19"/>
      <c r="Q540" s="19"/>
      <c r="R540" s="19"/>
      <c r="S540" s="19"/>
    </row>
    <row r="541" spans="3:19" ht="12.5">
      <c r="C541" s="66"/>
      <c r="I541" s="79"/>
      <c r="J541" s="19"/>
      <c r="K541" s="19"/>
      <c r="L541" s="19"/>
      <c r="M541" s="19"/>
      <c r="N541" s="19"/>
      <c r="O541" s="19"/>
      <c r="P541" s="19"/>
      <c r="Q541" s="19"/>
      <c r="R541" s="19"/>
      <c r="S541" s="19"/>
    </row>
    <row r="542" spans="3:19" ht="12.5">
      <c r="C542" s="66"/>
      <c r="I542" s="79"/>
      <c r="J542" s="19"/>
      <c r="K542" s="19"/>
      <c r="L542" s="19"/>
      <c r="M542" s="19"/>
      <c r="N542" s="19"/>
      <c r="O542" s="19"/>
      <c r="P542" s="19"/>
      <c r="Q542" s="19"/>
      <c r="R542" s="19"/>
      <c r="S542" s="19"/>
    </row>
    <row r="543" spans="3:19" ht="12.5">
      <c r="C543" s="66"/>
      <c r="I543" s="79"/>
      <c r="J543" s="19"/>
      <c r="K543" s="19"/>
      <c r="L543" s="19"/>
      <c r="M543" s="19"/>
      <c r="N543" s="19"/>
      <c r="O543" s="19"/>
      <c r="P543" s="19"/>
      <c r="Q543" s="19"/>
      <c r="R543" s="19"/>
      <c r="S543" s="19"/>
    </row>
    <row r="544" spans="3:19" ht="12.5">
      <c r="C544" s="66"/>
      <c r="I544" s="79"/>
      <c r="J544" s="19"/>
      <c r="K544" s="19"/>
      <c r="L544" s="19"/>
      <c r="M544" s="19"/>
      <c r="N544" s="19"/>
      <c r="O544" s="19"/>
      <c r="P544" s="19"/>
      <c r="Q544" s="19"/>
      <c r="R544" s="19"/>
      <c r="S544" s="19"/>
    </row>
    <row r="545" spans="3:19" ht="12.5">
      <c r="C545" s="66"/>
      <c r="I545" s="79"/>
      <c r="J545" s="19"/>
      <c r="K545" s="19"/>
      <c r="L545" s="19"/>
      <c r="M545" s="19"/>
      <c r="N545" s="19"/>
      <c r="O545" s="19"/>
      <c r="P545" s="19"/>
      <c r="Q545" s="19"/>
      <c r="R545" s="19"/>
      <c r="S545" s="19"/>
    </row>
    <row r="546" spans="3:19" ht="12.5">
      <c r="C546" s="66"/>
      <c r="I546" s="79"/>
      <c r="J546" s="19"/>
      <c r="K546" s="19"/>
      <c r="L546" s="19"/>
      <c r="M546" s="19"/>
      <c r="N546" s="19"/>
      <c r="O546" s="19"/>
      <c r="P546" s="19"/>
      <c r="Q546" s="19"/>
      <c r="R546" s="19"/>
      <c r="S546" s="19"/>
    </row>
    <row r="547" spans="3:19" ht="12.5">
      <c r="C547" s="66"/>
      <c r="I547" s="79"/>
      <c r="J547" s="19"/>
      <c r="K547" s="19"/>
      <c r="L547" s="19"/>
      <c r="M547" s="19"/>
      <c r="N547" s="19"/>
      <c r="O547" s="19"/>
      <c r="P547" s="19"/>
      <c r="Q547" s="19"/>
      <c r="R547" s="19"/>
      <c r="S547" s="19"/>
    </row>
    <row r="548" spans="3:19" ht="12.5">
      <c r="C548" s="66"/>
      <c r="I548" s="79"/>
      <c r="J548" s="19"/>
      <c r="K548" s="19"/>
      <c r="L548" s="19"/>
      <c r="M548" s="19"/>
      <c r="N548" s="19"/>
      <c r="O548" s="19"/>
      <c r="P548" s="19"/>
      <c r="Q548" s="19"/>
      <c r="R548" s="19"/>
      <c r="S548" s="19"/>
    </row>
    <row r="549" spans="3:19" ht="12.5">
      <c r="C549" s="66"/>
      <c r="I549" s="79"/>
      <c r="J549" s="19"/>
      <c r="K549" s="19"/>
      <c r="L549" s="19"/>
      <c r="M549" s="19"/>
      <c r="N549" s="19"/>
      <c r="O549" s="19"/>
      <c r="P549" s="19"/>
      <c r="Q549" s="19"/>
      <c r="R549" s="19"/>
      <c r="S549" s="19"/>
    </row>
    <row r="550" spans="3:19" ht="12.5">
      <c r="C550" s="66"/>
      <c r="I550" s="79"/>
      <c r="J550" s="19"/>
      <c r="K550" s="19"/>
      <c r="L550" s="19"/>
      <c r="M550" s="19"/>
      <c r="N550" s="19"/>
      <c r="O550" s="19"/>
      <c r="P550" s="19"/>
      <c r="Q550" s="19"/>
      <c r="R550" s="19"/>
      <c r="S550" s="19"/>
    </row>
    <row r="551" spans="3:19" ht="12.5">
      <c r="C551" s="66"/>
      <c r="I551" s="79"/>
      <c r="J551" s="19"/>
      <c r="K551" s="19"/>
      <c r="L551" s="19"/>
      <c r="M551" s="19"/>
      <c r="N551" s="19"/>
      <c r="O551" s="19"/>
      <c r="P551" s="19"/>
      <c r="Q551" s="19"/>
      <c r="R551" s="19"/>
      <c r="S551" s="19"/>
    </row>
    <row r="552" spans="3:19" ht="12.5">
      <c r="C552" s="66"/>
      <c r="I552" s="79"/>
      <c r="J552" s="19"/>
      <c r="K552" s="19"/>
      <c r="L552" s="19"/>
      <c r="M552" s="19"/>
      <c r="N552" s="19"/>
      <c r="O552" s="19"/>
      <c r="P552" s="19"/>
      <c r="Q552" s="19"/>
      <c r="R552" s="19"/>
      <c r="S552" s="19"/>
    </row>
    <row r="553" spans="3:19" ht="12.5">
      <c r="C553" s="66"/>
      <c r="I553" s="79"/>
      <c r="J553" s="19"/>
      <c r="K553" s="19"/>
      <c r="L553" s="19"/>
      <c r="M553" s="19"/>
      <c r="N553" s="19"/>
      <c r="O553" s="19"/>
      <c r="P553" s="19"/>
      <c r="Q553" s="19"/>
      <c r="R553" s="19"/>
      <c r="S553" s="19"/>
    </row>
    <row r="554" spans="3:19" ht="12.5">
      <c r="C554" s="66"/>
      <c r="I554" s="79"/>
      <c r="J554" s="19"/>
      <c r="K554" s="19"/>
      <c r="L554" s="19"/>
      <c r="M554" s="19"/>
      <c r="N554" s="19"/>
      <c r="O554" s="19"/>
      <c r="P554" s="19"/>
      <c r="Q554" s="19"/>
      <c r="R554" s="19"/>
      <c r="S554" s="19"/>
    </row>
    <row r="555" spans="3:19" ht="12.5">
      <c r="C555" s="66"/>
      <c r="I555" s="79"/>
      <c r="J555" s="19"/>
      <c r="K555" s="19"/>
      <c r="L555" s="19"/>
      <c r="M555" s="19"/>
      <c r="N555" s="19"/>
      <c r="O555" s="19"/>
      <c r="P555" s="19"/>
      <c r="Q555" s="19"/>
      <c r="R555" s="19"/>
      <c r="S555" s="19"/>
    </row>
    <row r="556" spans="3:19" ht="12.5">
      <c r="C556" s="66"/>
      <c r="I556" s="79"/>
      <c r="J556" s="19"/>
      <c r="K556" s="19"/>
      <c r="L556" s="19"/>
      <c r="M556" s="19"/>
      <c r="N556" s="19"/>
      <c r="O556" s="19"/>
      <c r="P556" s="19"/>
      <c r="Q556" s="19"/>
      <c r="R556" s="19"/>
      <c r="S556" s="19"/>
    </row>
    <row r="557" spans="3:19" ht="12.5">
      <c r="C557" s="66"/>
      <c r="I557" s="79"/>
      <c r="J557" s="19"/>
      <c r="K557" s="19"/>
      <c r="L557" s="19"/>
      <c r="M557" s="19"/>
      <c r="N557" s="19"/>
      <c r="O557" s="19"/>
      <c r="P557" s="19"/>
      <c r="Q557" s="19"/>
      <c r="R557" s="19"/>
      <c r="S557" s="19"/>
    </row>
    <row r="558" spans="3:19" ht="12.5">
      <c r="C558" s="66"/>
      <c r="I558" s="79"/>
      <c r="J558" s="19"/>
      <c r="K558" s="19"/>
      <c r="L558" s="19"/>
      <c r="M558" s="19"/>
      <c r="N558" s="19"/>
      <c r="O558" s="19"/>
      <c r="P558" s="19"/>
      <c r="Q558" s="19"/>
      <c r="R558" s="19"/>
      <c r="S558" s="19"/>
    </row>
    <row r="559" spans="3:19" ht="12.5">
      <c r="C559" s="66"/>
      <c r="I559" s="79"/>
      <c r="J559" s="19"/>
      <c r="K559" s="19"/>
      <c r="L559" s="19"/>
      <c r="M559" s="19"/>
      <c r="N559" s="19"/>
      <c r="O559" s="19"/>
      <c r="P559" s="19"/>
      <c r="Q559" s="19"/>
      <c r="R559" s="19"/>
      <c r="S559" s="19"/>
    </row>
    <row r="560" spans="3:19" ht="12.5">
      <c r="C560" s="66"/>
      <c r="I560" s="79"/>
      <c r="J560" s="19"/>
      <c r="K560" s="19"/>
      <c r="L560" s="19"/>
      <c r="M560" s="19"/>
      <c r="N560" s="19"/>
      <c r="O560" s="19"/>
      <c r="P560" s="19"/>
      <c r="Q560" s="19"/>
      <c r="R560" s="19"/>
      <c r="S560" s="19"/>
    </row>
    <row r="561" spans="3:19" ht="12.5">
      <c r="C561" s="66"/>
      <c r="I561" s="79"/>
      <c r="J561" s="19"/>
      <c r="K561" s="19"/>
      <c r="L561" s="19"/>
      <c r="M561" s="19"/>
      <c r="N561" s="19"/>
      <c r="O561" s="19"/>
      <c r="P561" s="19"/>
      <c r="Q561" s="19"/>
      <c r="R561" s="19"/>
      <c r="S561" s="19"/>
    </row>
    <row r="562" spans="3:19" ht="12.5">
      <c r="C562" s="66"/>
      <c r="I562" s="79"/>
      <c r="J562" s="19"/>
      <c r="K562" s="19"/>
      <c r="L562" s="19"/>
      <c r="M562" s="19"/>
      <c r="N562" s="19"/>
      <c r="O562" s="19"/>
      <c r="P562" s="19"/>
      <c r="Q562" s="19"/>
      <c r="R562" s="19"/>
      <c r="S562" s="19"/>
    </row>
    <row r="563" spans="3:19" ht="12.5">
      <c r="C563" s="66"/>
      <c r="I563" s="79"/>
      <c r="J563" s="19"/>
      <c r="K563" s="19"/>
      <c r="L563" s="19"/>
      <c r="M563" s="19"/>
      <c r="N563" s="19"/>
      <c r="O563" s="19"/>
      <c r="P563" s="19"/>
      <c r="Q563" s="19"/>
      <c r="R563" s="19"/>
      <c r="S563" s="19"/>
    </row>
    <row r="564" spans="3:19" ht="12.5">
      <c r="C564" s="66"/>
      <c r="I564" s="79"/>
      <c r="J564" s="19"/>
      <c r="K564" s="19"/>
      <c r="L564" s="19"/>
      <c r="M564" s="19"/>
      <c r="N564" s="19"/>
      <c r="O564" s="19"/>
      <c r="P564" s="19"/>
      <c r="Q564" s="19"/>
      <c r="R564" s="19"/>
      <c r="S564" s="19"/>
    </row>
    <row r="565" spans="3:19" ht="12.5">
      <c r="C565" s="66"/>
      <c r="I565" s="79"/>
      <c r="J565" s="19"/>
      <c r="K565" s="19"/>
      <c r="L565" s="19"/>
      <c r="M565" s="19"/>
      <c r="N565" s="19"/>
      <c r="O565" s="19"/>
      <c r="P565" s="19"/>
      <c r="Q565" s="19"/>
      <c r="R565" s="19"/>
      <c r="S565" s="19"/>
    </row>
    <row r="566" spans="3:19" ht="12.5">
      <c r="C566" s="66"/>
      <c r="I566" s="79"/>
      <c r="J566" s="19"/>
      <c r="K566" s="19"/>
      <c r="L566" s="19"/>
      <c r="M566" s="19"/>
      <c r="N566" s="19"/>
      <c r="O566" s="19"/>
      <c r="P566" s="19"/>
      <c r="Q566" s="19"/>
      <c r="R566" s="19"/>
      <c r="S566" s="19"/>
    </row>
    <row r="567" spans="3:19" ht="12.5">
      <c r="C567" s="66"/>
      <c r="I567" s="79"/>
      <c r="J567" s="19"/>
      <c r="K567" s="19"/>
      <c r="L567" s="19"/>
      <c r="M567" s="19"/>
      <c r="N567" s="19"/>
      <c r="O567" s="19"/>
      <c r="P567" s="19"/>
      <c r="Q567" s="19"/>
      <c r="R567" s="19"/>
      <c r="S567" s="19"/>
    </row>
    <row r="568" spans="3:19" ht="12.5">
      <c r="C568" s="66"/>
      <c r="I568" s="79"/>
      <c r="J568" s="19"/>
      <c r="K568" s="19"/>
      <c r="L568" s="19"/>
      <c r="M568" s="19"/>
      <c r="N568" s="19"/>
      <c r="O568" s="19"/>
      <c r="P568" s="19"/>
      <c r="Q568" s="19"/>
      <c r="R568" s="19"/>
      <c r="S568" s="19"/>
    </row>
    <row r="569" spans="3:19" ht="12.5">
      <c r="C569" s="66"/>
      <c r="I569" s="79"/>
      <c r="J569" s="19"/>
      <c r="K569" s="19"/>
      <c r="L569" s="19"/>
      <c r="M569" s="19"/>
      <c r="N569" s="19"/>
      <c r="O569" s="19"/>
      <c r="P569" s="19"/>
      <c r="Q569" s="19"/>
      <c r="R569" s="19"/>
      <c r="S569" s="19"/>
    </row>
    <row r="570" spans="3:19" ht="12.5">
      <c r="C570" s="66"/>
      <c r="I570" s="79"/>
      <c r="J570" s="19"/>
      <c r="K570" s="19"/>
      <c r="L570" s="19"/>
      <c r="M570" s="19"/>
      <c r="N570" s="19"/>
      <c r="O570" s="19"/>
      <c r="P570" s="19"/>
      <c r="Q570" s="19"/>
      <c r="R570" s="19"/>
      <c r="S570" s="19"/>
    </row>
    <row r="571" spans="3:19" ht="12.5">
      <c r="C571" s="66"/>
      <c r="I571" s="79"/>
      <c r="J571" s="19"/>
      <c r="K571" s="19"/>
      <c r="L571" s="19"/>
      <c r="M571" s="19"/>
      <c r="N571" s="19"/>
      <c r="O571" s="19"/>
      <c r="P571" s="19"/>
      <c r="Q571" s="19"/>
      <c r="R571" s="19"/>
      <c r="S571" s="19"/>
    </row>
    <row r="572" spans="3:19" ht="12.5">
      <c r="C572" s="66"/>
      <c r="I572" s="79"/>
      <c r="J572" s="19"/>
      <c r="K572" s="19"/>
      <c r="L572" s="19"/>
      <c r="M572" s="19"/>
      <c r="N572" s="19"/>
      <c r="O572" s="19"/>
      <c r="P572" s="19"/>
      <c r="Q572" s="19"/>
      <c r="R572" s="19"/>
      <c r="S572" s="19"/>
    </row>
    <row r="573" spans="3:19" ht="12.5">
      <c r="C573" s="66"/>
      <c r="I573" s="79"/>
      <c r="J573" s="19"/>
      <c r="K573" s="19"/>
      <c r="L573" s="19"/>
      <c r="M573" s="19"/>
      <c r="N573" s="19"/>
      <c r="O573" s="19"/>
      <c r="P573" s="19"/>
      <c r="Q573" s="19"/>
      <c r="R573" s="19"/>
      <c r="S573" s="19"/>
    </row>
    <row r="574" spans="3:19" ht="12.5">
      <c r="C574" s="66"/>
      <c r="I574" s="79"/>
      <c r="J574" s="19"/>
      <c r="K574" s="19"/>
      <c r="L574" s="19"/>
      <c r="M574" s="19"/>
      <c r="N574" s="19"/>
      <c r="O574" s="19"/>
      <c r="P574" s="19"/>
      <c r="Q574" s="19"/>
      <c r="R574" s="19"/>
      <c r="S574" s="19"/>
    </row>
    <row r="575" spans="3:19" ht="12.5">
      <c r="C575" s="66"/>
      <c r="I575" s="79"/>
      <c r="J575" s="19"/>
      <c r="K575" s="19"/>
      <c r="L575" s="19"/>
      <c r="M575" s="19"/>
      <c r="N575" s="19"/>
      <c r="O575" s="19"/>
      <c r="P575" s="19"/>
      <c r="Q575" s="19"/>
      <c r="R575" s="19"/>
      <c r="S575" s="19"/>
    </row>
    <row r="576" spans="3:19" ht="12.5">
      <c r="C576" s="66"/>
      <c r="I576" s="79"/>
      <c r="J576" s="19"/>
      <c r="K576" s="19"/>
      <c r="L576" s="19"/>
      <c r="M576" s="19"/>
      <c r="N576" s="19"/>
      <c r="O576" s="19"/>
      <c r="P576" s="19"/>
      <c r="Q576" s="19"/>
      <c r="R576" s="19"/>
      <c r="S576" s="19"/>
    </row>
    <row r="577" spans="3:19" ht="12.5">
      <c r="C577" s="66"/>
      <c r="I577" s="79"/>
      <c r="J577" s="19"/>
      <c r="K577" s="19"/>
      <c r="L577" s="19"/>
      <c r="M577" s="19"/>
      <c r="N577" s="19"/>
      <c r="O577" s="19"/>
      <c r="P577" s="19"/>
      <c r="Q577" s="19"/>
      <c r="R577" s="19"/>
      <c r="S577" s="19"/>
    </row>
    <row r="578" spans="3:19" ht="12.5">
      <c r="C578" s="66"/>
      <c r="I578" s="79"/>
      <c r="J578" s="19"/>
      <c r="K578" s="19"/>
      <c r="L578" s="19"/>
      <c r="M578" s="19"/>
      <c r="N578" s="19"/>
      <c r="O578" s="19"/>
      <c r="P578" s="19"/>
      <c r="Q578" s="19"/>
      <c r="R578" s="19"/>
      <c r="S578" s="19"/>
    </row>
    <row r="579" spans="3:19" ht="12.5">
      <c r="C579" s="66"/>
      <c r="I579" s="79"/>
      <c r="J579" s="19"/>
      <c r="K579" s="19"/>
      <c r="L579" s="19"/>
      <c r="M579" s="19"/>
      <c r="N579" s="19"/>
      <c r="O579" s="19"/>
      <c r="P579" s="19"/>
      <c r="Q579" s="19"/>
      <c r="R579" s="19"/>
      <c r="S579" s="19"/>
    </row>
    <row r="580" spans="3:19" ht="12.5">
      <c r="C580" s="66"/>
      <c r="I580" s="79"/>
      <c r="J580" s="19"/>
      <c r="K580" s="19"/>
      <c r="L580" s="19"/>
      <c r="M580" s="19"/>
      <c r="N580" s="19"/>
      <c r="O580" s="19"/>
      <c r="P580" s="19"/>
      <c r="Q580" s="19"/>
      <c r="R580" s="19"/>
      <c r="S580" s="19"/>
    </row>
    <row r="581" spans="3:19" ht="12.5">
      <c r="C581" s="66"/>
      <c r="I581" s="79"/>
      <c r="J581" s="19"/>
      <c r="K581" s="19"/>
      <c r="L581" s="19"/>
      <c r="M581" s="19"/>
      <c r="N581" s="19"/>
      <c r="O581" s="19"/>
      <c r="P581" s="19"/>
      <c r="Q581" s="19"/>
      <c r="R581" s="19"/>
      <c r="S581" s="19"/>
    </row>
    <row r="582" spans="3:19" ht="12.5">
      <c r="C582" s="66"/>
      <c r="I582" s="79"/>
      <c r="J582" s="19"/>
      <c r="K582" s="19"/>
      <c r="L582" s="19"/>
      <c r="M582" s="19"/>
      <c r="N582" s="19"/>
      <c r="O582" s="19"/>
      <c r="P582" s="19"/>
      <c r="Q582" s="19"/>
      <c r="R582" s="19"/>
      <c r="S582" s="19"/>
    </row>
    <row r="583" spans="3:19" ht="12.5">
      <c r="C583" s="66"/>
      <c r="I583" s="79"/>
      <c r="J583" s="19"/>
      <c r="K583" s="19"/>
      <c r="L583" s="19"/>
      <c r="M583" s="19"/>
      <c r="N583" s="19"/>
      <c r="O583" s="19"/>
      <c r="P583" s="19"/>
      <c r="Q583" s="19"/>
      <c r="R583" s="19"/>
      <c r="S583" s="19"/>
    </row>
    <row r="584" spans="3:19" ht="12.5">
      <c r="C584" s="66"/>
      <c r="I584" s="79"/>
      <c r="J584" s="19"/>
      <c r="K584" s="19"/>
      <c r="L584" s="19"/>
      <c r="M584" s="19"/>
      <c r="N584" s="19"/>
      <c r="O584" s="19"/>
      <c r="P584" s="19"/>
      <c r="Q584" s="19"/>
      <c r="R584" s="19"/>
      <c r="S584" s="19"/>
    </row>
    <row r="585" spans="3:19" ht="12.5">
      <c r="C585" s="66"/>
      <c r="I585" s="79"/>
      <c r="J585" s="19"/>
      <c r="K585" s="19"/>
      <c r="L585" s="19"/>
      <c r="M585" s="19"/>
      <c r="N585" s="19"/>
      <c r="O585" s="19"/>
      <c r="P585" s="19"/>
      <c r="Q585" s="19"/>
      <c r="R585" s="19"/>
      <c r="S585" s="19"/>
    </row>
    <row r="586" spans="3:19" ht="12.5">
      <c r="C586" s="66"/>
      <c r="I586" s="79"/>
      <c r="J586" s="19"/>
      <c r="K586" s="19"/>
      <c r="L586" s="19"/>
      <c r="M586" s="19"/>
      <c r="N586" s="19"/>
      <c r="O586" s="19"/>
      <c r="P586" s="19"/>
      <c r="Q586" s="19"/>
      <c r="R586" s="19"/>
      <c r="S586" s="19"/>
    </row>
    <row r="587" spans="3:19" ht="12.5">
      <c r="C587" s="66"/>
      <c r="I587" s="79"/>
      <c r="J587" s="19"/>
      <c r="K587" s="19"/>
      <c r="L587" s="19"/>
      <c r="M587" s="19"/>
      <c r="N587" s="19"/>
      <c r="O587" s="19"/>
      <c r="P587" s="19"/>
      <c r="Q587" s="19"/>
      <c r="R587" s="19"/>
      <c r="S587" s="19"/>
    </row>
    <row r="588" spans="3:19" ht="12.5">
      <c r="C588" s="66"/>
      <c r="I588" s="79"/>
      <c r="J588" s="19"/>
      <c r="K588" s="19"/>
      <c r="L588" s="19"/>
      <c r="M588" s="19"/>
      <c r="N588" s="19"/>
      <c r="O588" s="19"/>
      <c r="P588" s="19"/>
      <c r="Q588" s="19"/>
      <c r="R588" s="19"/>
      <c r="S588" s="19"/>
    </row>
    <row r="589" spans="3:19" ht="12.5">
      <c r="C589" s="66"/>
      <c r="I589" s="79"/>
      <c r="J589" s="19"/>
      <c r="K589" s="19"/>
      <c r="L589" s="19"/>
      <c r="M589" s="19"/>
      <c r="N589" s="19"/>
      <c r="O589" s="19"/>
      <c r="P589" s="19"/>
      <c r="Q589" s="19"/>
      <c r="R589" s="19"/>
      <c r="S589" s="19"/>
    </row>
    <row r="590" spans="3:19" ht="12.5">
      <c r="C590" s="66"/>
      <c r="I590" s="79"/>
      <c r="J590" s="19"/>
      <c r="K590" s="19"/>
      <c r="L590" s="19"/>
      <c r="M590" s="19"/>
      <c r="N590" s="19"/>
      <c r="O590" s="19"/>
      <c r="P590" s="19"/>
      <c r="Q590" s="19"/>
      <c r="R590" s="19"/>
      <c r="S590" s="19"/>
    </row>
    <row r="591" spans="3:19" ht="12.5">
      <c r="C591" s="66"/>
      <c r="I591" s="79"/>
      <c r="J591" s="19"/>
      <c r="K591" s="19"/>
      <c r="L591" s="19"/>
      <c r="M591" s="19"/>
      <c r="N591" s="19"/>
      <c r="O591" s="19"/>
      <c r="P591" s="19"/>
      <c r="Q591" s="19"/>
      <c r="R591" s="19"/>
      <c r="S591" s="19"/>
    </row>
    <row r="592" spans="3:19" ht="12.5">
      <c r="C592" s="66"/>
      <c r="I592" s="79"/>
      <c r="J592" s="19"/>
      <c r="K592" s="19"/>
      <c r="L592" s="19"/>
      <c r="M592" s="19"/>
      <c r="N592" s="19"/>
      <c r="O592" s="19"/>
      <c r="P592" s="19"/>
      <c r="Q592" s="19"/>
      <c r="R592" s="19"/>
      <c r="S592" s="19"/>
    </row>
    <row r="593" spans="3:19" ht="12.5">
      <c r="C593" s="66"/>
      <c r="I593" s="79"/>
      <c r="J593" s="19"/>
      <c r="K593" s="19"/>
      <c r="L593" s="19"/>
      <c r="M593" s="19"/>
      <c r="N593" s="19"/>
      <c r="O593" s="19"/>
      <c r="P593" s="19"/>
      <c r="Q593" s="19"/>
      <c r="R593" s="19"/>
      <c r="S593" s="19"/>
    </row>
    <row r="594" spans="3:19" ht="12.5">
      <c r="C594" s="66"/>
      <c r="I594" s="79"/>
      <c r="J594" s="19"/>
      <c r="K594" s="19"/>
      <c r="L594" s="19"/>
      <c r="M594" s="19"/>
      <c r="N594" s="19"/>
      <c r="O594" s="19"/>
      <c r="P594" s="19"/>
      <c r="Q594" s="19"/>
      <c r="R594" s="19"/>
      <c r="S594" s="19"/>
    </row>
    <row r="595" spans="3:19" ht="12.5">
      <c r="C595" s="66"/>
      <c r="I595" s="79"/>
      <c r="J595" s="19"/>
      <c r="K595" s="19"/>
      <c r="L595" s="19"/>
      <c r="M595" s="19"/>
      <c r="N595" s="19"/>
      <c r="O595" s="19"/>
      <c r="P595" s="19"/>
      <c r="Q595" s="19"/>
      <c r="R595" s="19"/>
      <c r="S595" s="19"/>
    </row>
    <row r="596" spans="3:19" ht="12.5">
      <c r="C596" s="66"/>
      <c r="I596" s="79"/>
      <c r="J596" s="19"/>
      <c r="K596" s="19"/>
      <c r="L596" s="19"/>
      <c r="M596" s="19"/>
      <c r="N596" s="19"/>
      <c r="O596" s="19"/>
      <c r="P596" s="19"/>
      <c r="Q596" s="19"/>
      <c r="R596" s="19"/>
      <c r="S596" s="19"/>
    </row>
    <row r="597" spans="3:19" ht="12.5">
      <c r="C597" s="66"/>
      <c r="I597" s="79"/>
      <c r="J597" s="19"/>
      <c r="K597" s="19"/>
      <c r="L597" s="19"/>
      <c r="M597" s="19"/>
      <c r="N597" s="19"/>
      <c r="O597" s="19"/>
      <c r="P597" s="19"/>
      <c r="Q597" s="19"/>
      <c r="R597" s="19"/>
      <c r="S597" s="19"/>
    </row>
    <row r="598" spans="3:19" ht="12.5">
      <c r="C598" s="66"/>
      <c r="I598" s="79"/>
      <c r="J598" s="19"/>
      <c r="K598" s="19"/>
      <c r="L598" s="19"/>
      <c r="M598" s="19"/>
      <c r="N598" s="19"/>
      <c r="O598" s="19"/>
      <c r="P598" s="19"/>
      <c r="Q598" s="19"/>
      <c r="R598" s="19"/>
      <c r="S598" s="19"/>
    </row>
    <row r="599" spans="3:19" ht="12.5">
      <c r="C599" s="66"/>
      <c r="I599" s="79"/>
      <c r="J599" s="19"/>
      <c r="K599" s="19"/>
      <c r="L599" s="19"/>
      <c r="M599" s="19"/>
      <c r="N599" s="19"/>
      <c r="O599" s="19"/>
      <c r="P599" s="19"/>
      <c r="Q599" s="19"/>
      <c r="R599" s="19"/>
      <c r="S599" s="19"/>
    </row>
    <row r="600" spans="3:19" ht="12.5">
      <c r="C600" s="66"/>
      <c r="I600" s="79"/>
      <c r="J600" s="19"/>
      <c r="K600" s="19"/>
      <c r="L600" s="19"/>
      <c r="M600" s="19"/>
      <c r="N600" s="19"/>
      <c r="O600" s="19"/>
      <c r="P600" s="19"/>
      <c r="Q600" s="19"/>
      <c r="R600" s="19"/>
      <c r="S600" s="19"/>
    </row>
    <row r="601" spans="3:19" ht="12.5">
      <c r="C601" s="66"/>
      <c r="I601" s="79"/>
      <c r="J601" s="19"/>
      <c r="K601" s="19"/>
      <c r="L601" s="19"/>
      <c r="M601" s="19"/>
      <c r="N601" s="19"/>
      <c r="O601" s="19"/>
      <c r="P601" s="19"/>
      <c r="Q601" s="19"/>
      <c r="R601" s="19"/>
      <c r="S601" s="19"/>
    </row>
    <row r="602" spans="3:19" ht="12.5">
      <c r="C602" s="66"/>
      <c r="I602" s="79"/>
      <c r="J602" s="19"/>
      <c r="K602" s="19"/>
      <c r="L602" s="19"/>
      <c r="M602" s="19"/>
      <c r="N602" s="19"/>
      <c r="O602" s="19"/>
      <c r="P602" s="19"/>
      <c r="Q602" s="19"/>
      <c r="R602" s="19"/>
      <c r="S602" s="19"/>
    </row>
    <row r="603" spans="3:19" ht="12.5">
      <c r="C603" s="66"/>
      <c r="I603" s="79"/>
      <c r="J603" s="19"/>
      <c r="K603" s="19"/>
      <c r="L603" s="19"/>
      <c r="M603" s="19"/>
      <c r="N603" s="19"/>
      <c r="O603" s="19"/>
      <c r="P603" s="19"/>
      <c r="Q603" s="19"/>
      <c r="R603" s="19"/>
      <c r="S603" s="19"/>
    </row>
    <row r="604" spans="3:19" ht="12.5">
      <c r="C604" s="66"/>
      <c r="I604" s="79"/>
      <c r="J604" s="19"/>
      <c r="K604" s="19"/>
      <c r="L604" s="19"/>
      <c r="M604" s="19"/>
      <c r="N604" s="19"/>
      <c r="O604" s="19"/>
      <c r="P604" s="19"/>
      <c r="Q604" s="19"/>
      <c r="R604" s="19"/>
      <c r="S604" s="19"/>
    </row>
    <row r="605" spans="3:19" ht="12.5">
      <c r="C605" s="66"/>
      <c r="I605" s="79"/>
      <c r="J605" s="19"/>
      <c r="K605" s="19"/>
      <c r="L605" s="19"/>
      <c r="M605" s="19"/>
      <c r="N605" s="19"/>
      <c r="O605" s="19"/>
      <c r="P605" s="19"/>
      <c r="Q605" s="19"/>
      <c r="R605" s="19"/>
      <c r="S605" s="19"/>
    </row>
    <row r="606" spans="3:19" ht="12.5">
      <c r="C606" s="66"/>
      <c r="I606" s="79"/>
      <c r="J606" s="19"/>
      <c r="K606" s="19"/>
      <c r="L606" s="19"/>
      <c r="M606" s="19"/>
      <c r="N606" s="19"/>
      <c r="O606" s="19"/>
      <c r="P606" s="19"/>
      <c r="Q606" s="19"/>
      <c r="R606" s="19"/>
      <c r="S606" s="19"/>
    </row>
    <row r="607" spans="3:19" ht="12.5">
      <c r="C607" s="66"/>
      <c r="I607" s="79"/>
      <c r="J607" s="19"/>
      <c r="K607" s="19"/>
      <c r="L607" s="19"/>
      <c r="M607" s="19"/>
      <c r="N607" s="19"/>
      <c r="O607" s="19"/>
      <c r="P607" s="19"/>
      <c r="Q607" s="19"/>
      <c r="R607" s="19"/>
      <c r="S607" s="19"/>
    </row>
    <row r="608" spans="3:19" ht="12.5">
      <c r="C608" s="66"/>
      <c r="I608" s="79"/>
      <c r="J608" s="19"/>
      <c r="K608" s="19"/>
      <c r="L608" s="19"/>
      <c r="M608" s="19"/>
      <c r="N608" s="19"/>
      <c r="O608" s="19"/>
      <c r="P608" s="19"/>
      <c r="Q608" s="19"/>
      <c r="R608" s="19"/>
      <c r="S608" s="19"/>
    </row>
    <row r="609" spans="3:19" ht="12.5">
      <c r="C609" s="66"/>
      <c r="I609" s="79"/>
      <c r="J609" s="19"/>
      <c r="K609" s="19"/>
      <c r="L609" s="19"/>
      <c r="M609" s="19"/>
      <c r="N609" s="19"/>
      <c r="O609" s="19"/>
      <c r="P609" s="19"/>
      <c r="Q609" s="19"/>
      <c r="R609" s="19"/>
      <c r="S609" s="19"/>
    </row>
    <row r="610" spans="3:19" ht="12.5">
      <c r="C610" s="66"/>
      <c r="I610" s="79"/>
      <c r="J610" s="19"/>
      <c r="K610" s="19"/>
      <c r="L610" s="19"/>
      <c r="M610" s="19"/>
      <c r="N610" s="19"/>
      <c r="O610" s="19"/>
      <c r="P610" s="19"/>
      <c r="Q610" s="19"/>
      <c r="R610" s="19"/>
      <c r="S610" s="19"/>
    </row>
    <row r="611" spans="3:19" ht="12.5">
      <c r="C611" s="66"/>
      <c r="I611" s="79"/>
      <c r="J611" s="19"/>
      <c r="K611" s="19"/>
      <c r="L611" s="19"/>
      <c r="M611" s="19"/>
      <c r="N611" s="19"/>
      <c r="O611" s="19"/>
      <c r="P611" s="19"/>
      <c r="Q611" s="19"/>
      <c r="R611" s="19"/>
      <c r="S611" s="19"/>
    </row>
    <row r="612" spans="3:19" ht="12.5">
      <c r="C612" s="66"/>
      <c r="I612" s="79"/>
      <c r="J612" s="19"/>
      <c r="K612" s="19"/>
      <c r="L612" s="19"/>
      <c r="M612" s="19"/>
      <c r="N612" s="19"/>
      <c r="O612" s="19"/>
      <c r="P612" s="19"/>
      <c r="Q612" s="19"/>
      <c r="R612" s="19"/>
      <c r="S612" s="19"/>
    </row>
    <row r="613" spans="3:19" ht="12.5">
      <c r="C613" s="66"/>
      <c r="I613" s="79"/>
      <c r="J613" s="19"/>
      <c r="K613" s="19"/>
      <c r="L613" s="19"/>
      <c r="M613" s="19"/>
      <c r="N613" s="19"/>
      <c r="O613" s="19"/>
      <c r="P613" s="19"/>
      <c r="Q613" s="19"/>
      <c r="R613" s="19"/>
      <c r="S613" s="19"/>
    </row>
    <row r="614" spans="3:19" ht="12.5">
      <c r="C614" s="66"/>
      <c r="I614" s="79"/>
      <c r="J614" s="19"/>
      <c r="K614" s="19"/>
      <c r="L614" s="19"/>
      <c r="M614" s="19"/>
      <c r="N614" s="19"/>
      <c r="O614" s="19"/>
      <c r="P614" s="19"/>
      <c r="Q614" s="19"/>
      <c r="R614" s="19"/>
      <c r="S614" s="19"/>
    </row>
    <row r="615" spans="3:19" ht="12.5">
      <c r="C615" s="66"/>
      <c r="I615" s="79"/>
      <c r="J615" s="19"/>
      <c r="K615" s="19"/>
      <c r="L615" s="19"/>
      <c r="M615" s="19"/>
      <c r="N615" s="19"/>
      <c r="O615" s="19"/>
      <c r="P615" s="19"/>
      <c r="Q615" s="19"/>
      <c r="R615" s="19"/>
      <c r="S615" s="19"/>
    </row>
    <row r="616" spans="3:19" ht="12.5">
      <c r="C616" s="66"/>
      <c r="I616" s="79"/>
      <c r="J616" s="19"/>
      <c r="K616" s="19"/>
      <c r="L616" s="19"/>
      <c r="M616" s="19"/>
      <c r="N616" s="19"/>
      <c r="O616" s="19"/>
      <c r="P616" s="19"/>
      <c r="Q616" s="19"/>
      <c r="R616" s="19"/>
      <c r="S616" s="19"/>
    </row>
    <row r="617" spans="3:19" ht="12.5">
      <c r="C617" s="66"/>
      <c r="I617" s="79"/>
      <c r="J617" s="19"/>
      <c r="K617" s="19"/>
      <c r="L617" s="19"/>
      <c r="M617" s="19"/>
      <c r="N617" s="19"/>
      <c r="O617" s="19"/>
      <c r="P617" s="19"/>
      <c r="Q617" s="19"/>
      <c r="R617" s="19"/>
      <c r="S617" s="19"/>
    </row>
    <row r="618" spans="3:19" ht="12.5">
      <c r="C618" s="66"/>
      <c r="I618" s="79"/>
      <c r="J618" s="19"/>
      <c r="K618" s="19"/>
      <c r="L618" s="19"/>
      <c r="M618" s="19"/>
      <c r="N618" s="19"/>
      <c r="O618" s="19"/>
      <c r="P618" s="19"/>
      <c r="Q618" s="19"/>
      <c r="R618" s="19"/>
      <c r="S618" s="19"/>
    </row>
    <row r="619" spans="3:19" ht="12.5">
      <c r="C619" s="66"/>
      <c r="I619" s="79"/>
      <c r="J619" s="19"/>
      <c r="K619" s="19"/>
      <c r="L619" s="19"/>
      <c r="M619" s="19"/>
      <c r="N619" s="19"/>
      <c r="O619" s="19"/>
      <c r="P619" s="19"/>
      <c r="Q619" s="19"/>
      <c r="R619" s="19"/>
      <c r="S619" s="19"/>
    </row>
    <row r="620" spans="3:19" ht="12.5">
      <c r="C620" s="66"/>
      <c r="I620" s="79"/>
      <c r="J620" s="19"/>
      <c r="K620" s="19"/>
      <c r="L620" s="19"/>
      <c r="M620" s="19"/>
      <c r="N620" s="19"/>
      <c r="O620" s="19"/>
      <c r="P620" s="19"/>
      <c r="Q620" s="19"/>
      <c r="R620" s="19"/>
      <c r="S620" s="19"/>
    </row>
    <row r="621" spans="3:19" ht="12.5">
      <c r="C621" s="66"/>
      <c r="I621" s="79"/>
      <c r="J621" s="19"/>
      <c r="K621" s="19"/>
      <c r="L621" s="19"/>
      <c r="M621" s="19"/>
      <c r="N621" s="19"/>
      <c r="O621" s="19"/>
      <c r="P621" s="19"/>
      <c r="Q621" s="19"/>
      <c r="R621" s="19"/>
      <c r="S621" s="19"/>
    </row>
    <row r="622" spans="3:19" ht="12.5">
      <c r="C622" s="66"/>
      <c r="I622" s="79"/>
      <c r="J622" s="19"/>
      <c r="K622" s="19"/>
      <c r="L622" s="19"/>
      <c r="M622" s="19"/>
      <c r="N622" s="19"/>
      <c r="O622" s="19"/>
      <c r="P622" s="19"/>
      <c r="Q622" s="19"/>
      <c r="R622" s="19"/>
      <c r="S622" s="19"/>
    </row>
    <row r="623" spans="3:19" ht="12.5">
      <c r="C623" s="66"/>
      <c r="I623" s="79"/>
      <c r="J623" s="19"/>
      <c r="K623" s="19"/>
      <c r="L623" s="19"/>
      <c r="M623" s="19"/>
      <c r="N623" s="19"/>
      <c r="O623" s="19"/>
      <c r="P623" s="19"/>
      <c r="Q623" s="19"/>
      <c r="R623" s="19"/>
      <c r="S623" s="19"/>
    </row>
    <row r="624" spans="3:19" ht="12.5">
      <c r="C624" s="66"/>
      <c r="I624" s="79"/>
      <c r="J624" s="19"/>
      <c r="K624" s="19"/>
      <c r="L624" s="19"/>
      <c r="M624" s="19"/>
      <c r="N624" s="19"/>
      <c r="O624" s="19"/>
      <c r="P624" s="19"/>
      <c r="Q624" s="19"/>
      <c r="R624" s="19"/>
      <c r="S624" s="19"/>
    </row>
    <row r="625" spans="3:19" ht="12.5">
      <c r="C625" s="66"/>
      <c r="I625" s="79"/>
      <c r="J625" s="19"/>
      <c r="K625" s="19"/>
      <c r="L625" s="19"/>
      <c r="M625" s="19"/>
      <c r="N625" s="19"/>
      <c r="O625" s="19"/>
      <c r="P625" s="19"/>
      <c r="Q625" s="19"/>
      <c r="R625" s="19"/>
      <c r="S625" s="19"/>
    </row>
    <row r="626" spans="3:19" ht="12.5">
      <c r="C626" s="66"/>
      <c r="I626" s="79"/>
      <c r="J626" s="19"/>
      <c r="K626" s="19"/>
      <c r="L626" s="19"/>
      <c r="M626" s="19"/>
      <c r="N626" s="19"/>
      <c r="O626" s="19"/>
      <c r="P626" s="19"/>
      <c r="Q626" s="19"/>
      <c r="R626" s="19"/>
      <c r="S626" s="19"/>
    </row>
    <row r="627" spans="3:19" ht="12.5">
      <c r="C627" s="66"/>
      <c r="I627" s="79"/>
      <c r="J627" s="19"/>
      <c r="K627" s="19"/>
      <c r="L627" s="19"/>
      <c r="M627" s="19"/>
      <c r="N627" s="19"/>
      <c r="O627" s="19"/>
      <c r="P627" s="19"/>
      <c r="Q627" s="19"/>
      <c r="R627" s="19"/>
      <c r="S627" s="19"/>
    </row>
    <row r="628" spans="3:19" ht="12.5">
      <c r="C628" s="66"/>
      <c r="I628" s="79"/>
      <c r="J628" s="19"/>
      <c r="K628" s="19"/>
      <c r="L628" s="19"/>
      <c r="M628" s="19"/>
      <c r="N628" s="19"/>
      <c r="O628" s="19"/>
      <c r="P628" s="19"/>
      <c r="Q628" s="19"/>
      <c r="R628" s="19"/>
      <c r="S628" s="19"/>
    </row>
    <row r="629" spans="3:19" ht="12.5">
      <c r="C629" s="66"/>
      <c r="I629" s="79"/>
      <c r="J629" s="19"/>
      <c r="K629" s="19"/>
      <c r="L629" s="19"/>
      <c r="M629" s="19"/>
      <c r="N629" s="19"/>
      <c r="O629" s="19"/>
      <c r="P629" s="19"/>
      <c r="Q629" s="19"/>
      <c r="R629" s="19"/>
      <c r="S629" s="19"/>
    </row>
    <row r="630" spans="3:19" ht="12.5">
      <c r="C630" s="66"/>
      <c r="I630" s="79"/>
      <c r="J630" s="19"/>
      <c r="K630" s="19"/>
      <c r="L630" s="19"/>
      <c r="M630" s="19"/>
      <c r="N630" s="19"/>
      <c r="O630" s="19"/>
      <c r="P630" s="19"/>
      <c r="Q630" s="19"/>
      <c r="R630" s="19"/>
      <c r="S630" s="19"/>
    </row>
    <row r="631" spans="3:19" ht="12.5">
      <c r="C631" s="66"/>
      <c r="I631" s="79"/>
      <c r="J631" s="19"/>
      <c r="K631" s="19"/>
      <c r="L631" s="19"/>
      <c r="M631" s="19"/>
      <c r="N631" s="19"/>
      <c r="O631" s="19"/>
      <c r="P631" s="19"/>
      <c r="Q631" s="19"/>
      <c r="R631" s="19"/>
      <c r="S631" s="19"/>
    </row>
    <row r="632" spans="3:19" ht="12.5">
      <c r="C632" s="66"/>
      <c r="I632" s="79"/>
      <c r="J632" s="19"/>
      <c r="K632" s="19"/>
      <c r="L632" s="19"/>
      <c r="M632" s="19"/>
      <c r="N632" s="19"/>
      <c r="O632" s="19"/>
      <c r="P632" s="19"/>
      <c r="Q632" s="19"/>
      <c r="R632" s="19"/>
      <c r="S632" s="19"/>
    </row>
    <row r="633" spans="3:19" ht="12.5">
      <c r="C633" s="66"/>
      <c r="I633" s="79"/>
      <c r="J633" s="19"/>
      <c r="K633" s="19"/>
      <c r="L633" s="19"/>
      <c r="M633" s="19"/>
      <c r="N633" s="19"/>
      <c r="O633" s="19"/>
      <c r="P633" s="19"/>
      <c r="Q633" s="19"/>
      <c r="R633" s="19"/>
      <c r="S633" s="19"/>
    </row>
    <row r="634" spans="3:19" ht="12.5">
      <c r="C634" s="66"/>
      <c r="I634" s="79"/>
      <c r="J634" s="19"/>
      <c r="K634" s="19"/>
      <c r="L634" s="19"/>
      <c r="M634" s="19"/>
      <c r="N634" s="19"/>
      <c r="O634" s="19"/>
      <c r="P634" s="19"/>
      <c r="Q634" s="19"/>
      <c r="R634" s="19"/>
      <c r="S634" s="19"/>
    </row>
    <row r="635" spans="3:19" ht="12.5">
      <c r="C635" s="66"/>
      <c r="I635" s="79"/>
      <c r="J635" s="19"/>
      <c r="K635" s="19"/>
      <c r="L635" s="19"/>
      <c r="M635" s="19"/>
      <c r="N635" s="19"/>
      <c r="O635" s="19"/>
      <c r="P635" s="19"/>
      <c r="Q635" s="19"/>
      <c r="R635" s="19"/>
      <c r="S635" s="19"/>
    </row>
    <row r="636" spans="3:19" ht="12.5">
      <c r="C636" s="66"/>
      <c r="I636" s="79"/>
      <c r="J636" s="19"/>
      <c r="K636" s="19"/>
      <c r="L636" s="19"/>
      <c r="M636" s="19"/>
      <c r="N636" s="19"/>
      <c r="O636" s="19"/>
      <c r="P636" s="19"/>
      <c r="Q636" s="19"/>
      <c r="R636" s="19"/>
      <c r="S636" s="19"/>
    </row>
    <row r="637" spans="3:19" ht="12.5">
      <c r="C637" s="66"/>
      <c r="I637" s="79"/>
      <c r="J637" s="19"/>
      <c r="K637" s="19"/>
      <c r="L637" s="19"/>
      <c r="M637" s="19"/>
      <c r="N637" s="19"/>
      <c r="O637" s="19"/>
      <c r="P637" s="19"/>
      <c r="Q637" s="19"/>
      <c r="R637" s="19"/>
      <c r="S637" s="19"/>
    </row>
    <row r="638" spans="3:19" ht="12.5">
      <c r="C638" s="66"/>
      <c r="I638" s="79"/>
      <c r="J638" s="19"/>
      <c r="K638" s="19"/>
      <c r="L638" s="19"/>
      <c r="M638" s="19"/>
      <c r="N638" s="19"/>
      <c r="O638" s="19"/>
      <c r="P638" s="19"/>
      <c r="Q638" s="19"/>
      <c r="R638" s="19"/>
      <c r="S638" s="19"/>
    </row>
    <row r="639" spans="3:19" ht="12.5">
      <c r="C639" s="66"/>
      <c r="I639" s="79"/>
      <c r="J639" s="19"/>
      <c r="K639" s="19"/>
      <c r="L639" s="19"/>
      <c r="M639" s="19"/>
      <c r="N639" s="19"/>
      <c r="O639" s="19"/>
      <c r="P639" s="19"/>
      <c r="Q639" s="19"/>
      <c r="R639" s="19"/>
      <c r="S639" s="19"/>
    </row>
    <row r="640" spans="3:19" ht="12.5">
      <c r="C640" s="66"/>
      <c r="I640" s="79"/>
      <c r="J640" s="19"/>
      <c r="K640" s="19"/>
      <c r="L640" s="19"/>
      <c r="M640" s="19"/>
      <c r="N640" s="19"/>
      <c r="O640" s="19"/>
      <c r="P640" s="19"/>
      <c r="Q640" s="19"/>
      <c r="R640" s="19"/>
      <c r="S640" s="19"/>
    </row>
    <row r="641" spans="3:19" ht="12.5">
      <c r="C641" s="66"/>
      <c r="I641" s="79"/>
      <c r="J641" s="19"/>
      <c r="K641" s="19"/>
      <c r="L641" s="19"/>
      <c r="M641" s="19"/>
      <c r="N641" s="19"/>
      <c r="O641" s="19"/>
      <c r="P641" s="19"/>
      <c r="Q641" s="19"/>
      <c r="R641" s="19"/>
      <c r="S641" s="19"/>
    </row>
    <row r="642" spans="3:19" ht="12.5">
      <c r="C642" s="66"/>
      <c r="I642" s="79"/>
      <c r="J642" s="19"/>
      <c r="K642" s="19"/>
      <c r="L642" s="19"/>
      <c r="M642" s="19"/>
      <c r="N642" s="19"/>
      <c r="O642" s="19"/>
      <c r="P642" s="19"/>
      <c r="Q642" s="19"/>
      <c r="R642" s="19"/>
      <c r="S642" s="19"/>
    </row>
    <row r="643" spans="3:19" ht="12.5">
      <c r="C643" s="66"/>
      <c r="I643" s="79"/>
      <c r="J643" s="19"/>
      <c r="K643" s="19"/>
      <c r="L643" s="19"/>
      <c r="M643" s="19"/>
      <c r="N643" s="19"/>
      <c r="O643" s="19"/>
      <c r="P643" s="19"/>
      <c r="Q643" s="19"/>
      <c r="R643" s="19"/>
      <c r="S643" s="19"/>
    </row>
    <row r="644" spans="3:19" ht="12.5">
      <c r="C644" s="66"/>
      <c r="I644" s="79"/>
      <c r="J644" s="19"/>
      <c r="K644" s="19"/>
      <c r="L644" s="19"/>
      <c r="M644" s="19"/>
      <c r="N644" s="19"/>
      <c r="O644" s="19"/>
      <c r="P644" s="19"/>
      <c r="Q644" s="19"/>
      <c r="R644" s="19"/>
      <c r="S644" s="19"/>
    </row>
    <row r="645" spans="3:19" ht="12.5">
      <c r="C645" s="66"/>
      <c r="I645" s="79"/>
      <c r="J645" s="19"/>
      <c r="K645" s="19"/>
      <c r="L645" s="19"/>
      <c r="M645" s="19"/>
      <c r="N645" s="19"/>
      <c r="O645" s="19"/>
      <c r="P645" s="19"/>
      <c r="Q645" s="19"/>
      <c r="R645" s="19"/>
      <c r="S645" s="19"/>
    </row>
    <row r="646" spans="3:19" ht="12.5">
      <c r="C646" s="66"/>
      <c r="I646" s="79"/>
      <c r="J646" s="19"/>
      <c r="K646" s="19"/>
      <c r="L646" s="19"/>
      <c r="M646" s="19"/>
      <c r="N646" s="19"/>
      <c r="O646" s="19"/>
      <c r="P646" s="19"/>
      <c r="Q646" s="19"/>
      <c r="R646" s="19"/>
      <c r="S646" s="19"/>
    </row>
    <row r="647" spans="3:19" ht="12.5">
      <c r="C647" s="66"/>
      <c r="I647" s="79"/>
      <c r="J647" s="19"/>
      <c r="K647" s="19"/>
      <c r="L647" s="19"/>
      <c r="M647" s="19"/>
      <c r="N647" s="19"/>
      <c r="O647" s="19"/>
      <c r="P647" s="19"/>
      <c r="Q647" s="19"/>
      <c r="R647" s="19"/>
      <c r="S647" s="19"/>
    </row>
    <row r="648" spans="3:19" ht="12.5">
      <c r="C648" s="66"/>
      <c r="I648" s="79"/>
      <c r="J648" s="19"/>
      <c r="K648" s="19"/>
      <c r="L648" s="19"/>
      <c r="M648" s="19"/>
      <c r="N648" s="19"/>
      <c r="O648" s="19"/>
      <c r="P648" s="19"/>
      <c r="Q648" s="19"/>
      <c r="R648" s="19"/>
      <c r="S648" s="19"/>
    </row>
    <row r="649" spans="3:19" ht="12.5">
      <c r="C649" s="66"/>
      <c r="I649" s="79"/>
      <c r="J649" s="19"/>
      <c r="K649" s="19"/>
      <c r="L649" s="19"/>
      <c r="M649" s="19"/>
      <c r="N649" s="19"/>
      <c r="O649" s="19"/>
      <c r="P649" s="19"/>
      <c r="Q649" s="19"/>
      <c r="R649" s="19"/>
      <c r="S649" s="19"/>
    </row>
    <row r="650" spans="3:19" ht="12.5">
      <c r="C650" s="66"/>
      <c r="I650" s="79"/>
      <c r="J650" s="19"/>
      <c r="K650" s="19"/>
      <c r="L650" s="19"/>
      <c r="M650" s="19"/>
      <c r="N650" s="19"/>
      <c r="O650" s="19"/>
      <c r="P650" s="19"/>
      <c r="Q650" s="19"/>
      <c r="R650" s="19"/>
      <c r="S650" s="19"/>
    </row>
    <row r="651" spans="3:19" ht="12.5">
      <c r="C651" s="66"/>
      <c r="I651" s="79"/>
      <c r="J651" s="19"/>
      <c r="K651" s="19"/>
      <c r="L651" s="19"/>
      <c r="M651" s="19"/>
      <c r="N651" s="19"/>
      <c r="O651" s="19"/>
      <c r="P651" s="19"/>
      <c r="Q651" s="19"/>
      <c r="R651" s="19"/>
      <c r="S651" s="19"/>
    </row>
    <row r="652" spans="3:19" ht="12.5">
      <c r="C652" s="66"/>
      <c r="I652" s="79"/>
      <c r="J652" s="19"/>
      <c r="K652" s="19"/>
      <c r="L652" s="19"/>
      <c r="M652" s="19"/>
      <c r="N652" s="19"/>
      <c r="O652" s="19"/>
      <c r="P652" s="19"/>
      <c r="Q652" s="19"/>
      <c r="R652" s="19"/>
      <c r="S652" s="19"/>
    </row>
    <row r="653" spans="3:19" ht="12.5">
      <c r="C653" s="66"/>
      <c r="I653" s="79"/>
      <c r="J653" s="19"/>
      <c r="K653" s="19"/>
      <c r="L653" s="19"/>
      <c r="M653" s="19"/>
      <c r="N653" s="19"/>
      <c r="O653" s="19"/>
      <c r="P653" s="19"/>
      <c r="Q653" s="19"/>
      <c r="R653" s="19"/>
      <c r="S653" s="19"/>
    </row>
    <row r="654" spans="3:19" ht="12.5">
      <c r="C654" s="66"/>
      <c r="I654" s="79"/>
      <c r="J654" s="19"/>
      <c r="K654" s="19"/>
      <c r="L654" s="19"/>
      <c r="M654" s="19"/>
      <c r="N654" s="19"/>
      <c r="O654" s="19"/>
      <c r="P654" s="19"/>
      <c r="Q654" s="19"/>
      <c r="R654" s="19"/>
      <c r="S654" s="19"/>
    </row>
    <row r="655" spans="3:19" ht="12.5">
      <c r="C655" s="66"/>
      <c r="I655" s="79"/>
      <c r="J655" s="19"/>
      <c r="K655" s="19"/>
      <c r="L655" s="19"/>
      <c r="M655" s="19"/>
      <c r="N655" s="19"/>
      <c r="O655" s="19"/>
      <c r="P655" s="19"/>
      <c r="Q655" s="19"/>
      <c r="R655" s="19"/>
      <c r="S655" s="19"/>
    </row>
    <row r="656" spans="3:19" ht="12.5">
      <c r="C656" s="66"/>
      <c r="I656" s="79"/>
      <c r="J656" s="19"/>
      <c r="K656" s="19"/>
      <c r="L656" s="19"/>
      <c r="M656" s="19"/>
      <c r="N656" s="19"/>
      <c r="O656" s="19"/>
      <c r="P656" s="19"/>
      <c r="Q656" s="19"/>
      <c r="R656" s="19"/>
      <c r="S656" s="19"/>
    </row>
    <row r="657" spans="3:19" ht="12.5">
      <c r="C657" s="66"/>
      <c r="I657" s="79"/>
      <c r="J657" s="19"/>
      <c r="K657" s="19"/>
      <c r="L657" s="19"/>
      <c r="M657" s="19"/>
      <c r="N657" s="19"/>
      <c r="O657" s="19"/>
      <c r="P657" s="19"/>
      <c r="Q657" s="19"/>
      <c r="R657" s="19"/>
      <c r="S657" s="19"/>
    </row>
    <row r="658" spans="3:19" ht="12.5">
      <c r="C658" s="66"/>
      <c r="I658" s="79"/>
      <c r="J658" s="19"/>
      <c r="K658" s="19"/>
      <c r="L658" s="19"/>
      <c r="M658" s="19"/>
      <c r="N658" s="19"/>
      <c r="O658" s="19"/>
      <c r="P658" s="19"/>
      <c r="Q658" s="19"/>
      <c r="R658" s="19"/>
      <c r="S658" s="19"/>
    </row>
    <row r="659" spans="3:19" ht="12.5">
      <c r="C659" s="66"/>
      <c r="I659" s="79"/>
      <c r="J659" s="19"/>
      <c r="K659" s="19"/>
      <c r="L659" s="19"/>
      <c r="M659" s="19"/>
      <c r="N659" s="19"/>
      <c r="O659" s="19"/>
      <c r="P659" s="19"/>
      <c r="Q659" s="19"/>
      <c r="R659" s="19"/>
      <c r="S659" s="19"/>
    </row>
    <row r="660" spans="3:19" ht="12.5">
      <c r="C660" s="66"/>
      <c r="I660" s="79"/>
      <c r="J660" s="19"/>
      <c r="K660" s="19"/>
      <c r="L660" s="19"/>
      <c r="M660" s="19"/>
      <c r="N660" s="19"/>
      <c r="O660" s="19"/>
      <c r="P660" s="19"/>
      <c r="Q660" s="19"/>
      <c r="R660" s="19"/>
      <c r="S660" s="19"/>
    </row>
    <row r="661" spans="3:19" ht="12.5">
      <c r="C661" s="66"/>
      <c r="I661" s="79"/>
      <c r="J661" s="19"/>
      <c r="K661" s="19"/>
      <c r="L661" s="19"/>
      <c r="M661" s="19"/>
      <c r="N661" s="19"/>
      <c r="O661" s="19"/>
      <c r="P661" s="19"/>
      <c r="Q661" s="19"/>
      <c r="R661" s="19"/>
      <c r="S661" s="19"/>
    </row>
    <row r="662" spans="3:19" ht="12.5">
      <c r="C662" s="66"/>
      <c r="I662" s="79"/>
      <c r="J662" s="19"/>
      <c r="K662" s="19"/>
      <c r="L662" s="19"/>
      <c r="M662" s="19"/>
      <c r="N662" s="19"/>
      <c r="O662" s="19"/>
      <c r="P662" s="19"/>
      <c r="Q662" s="19"/>
      <c r="R662" s="19"/>
      <c r="S662" s="19"/>
    </row>
    <row r="663" spans="3:19" ht="12.5">
      <c r="C663" s="66"/>
      <c r="I663" s="79"/>
      <c r="J663" s="19"/>
      <c r="K663" s="19"/>
      <c r="L663" s="19"/>
      <c r="M663" s="19"/>
      <c r="N663" s="19"/>
      <c r="O663" s="19"/>
      <c r="P663" s="19"/>
      <c r="Q663" s="19"/>
      <c r="R663" s="19"/>
      <c r="S663" s="19"/>
    </row>
    <row r="664" spans="3:19" ht="12.5">
      <c r="C664" s="66"/>
      <c r="I664" s="79"/>
      <c r="J664" s="19"/>
      <c r="K664" s="19"/>
      <c r="L664" s="19"/>
      <c r="M664" s="19"/>
      <c r="N664" s="19"/>
      <c r="O664" s="19"/>
      <c r="P664" s="19"/>
      <c r="Q664" s="19"/>
      <c r="R664" s="19"/>
      <c r="S664" s="19"/>
    </row>
    <row r="665" spans="3:19" ht="12.5">
      <c r="C665" s="66"/>
      <c r="I665" s="79"/>
      <c r="J665" s="19"/>
      <c r="K665" s="19"/>
      <c r="L665" s="19"/>
      <c r="M665" s="19"/>
      <c r="N665" s="19"/>
      <c r="O665" s="19"/>
      <c r="P665" s="19"/>
      <c r="Q665" s="19"/>
      <c r="R665" s="19"/>
      <c r="S665" s="19"/>
    </row>
    <row r="666" spans="3:19" ht="12.5">
      <c r="C666" s="66"/>
      <c r="I666" s="79"/>
      <c r="J666" s="19"/>
      <c r="K666" s="19"/>
      <c r="L666" s="19"/>
      <c r="M666" s="19"/>
      <c r="N666" s="19"/>
      <c r="O666" s="19"/>
      <c r="P666" s="19"/>
      <c r="Q666" s="19"/>
      <c r="R666" s="19"/>
      <c r="S666" s="19"/>
    </row>
    <row r="667" spans="3:19" ht="12.5">
      <c r="C667" s="66"/>
      <c r="I667" s="79"/>
      <c r="J667" s="19"/>
      <c r="K667" s="19"/>
      <c r="L667" s="19"/>
      <c r="M667" s="19"/>
      <c r="N667" s="19"/>
      <c r="O667" s="19"/>
      <c r="P667" s="19"/>
      <c r="Q667" s="19"/>
      <c r="R667" s="19"/>
      <c r="S667" s="19"/>
    </row>
    <row r="668" spans="3:19" ht="12.5">
      <c r="C668" s="66"/>
      <c r="I668" s="79"/>
      <c r="J668" s="19"/>
      <c r="K668" s="19"/>
      <c r="L668" s="19"/>
      <c r="M668" s="19"/>
      <c r="N668" s="19"/>
      <c r="O668" s="19"/>
      <c r="P668" s="19"/>
      <c r="Q668" s="19"/>
      <c r="R668" s="19"/>
      <c r="S668" s="19"/>
    </row>
    <row r="669" spans="3:19" ht="12.5">
      <c r="C669" s="66"/>
      <c r="I669" s="79"/>
      <c r="J669" s="19"/>
      <c r="K669" s="19"/>
      <c r="L669" s="19"/>
      <c r="M669" s="19"/>
      <c r="N669" s="19"/>
      <c r="O669" s="19"/>
      <c r="P669" s="19"/>
      <c r="Q669" s="19"/>
      <c r="R669" s="19"/>
      <c r="S669" s="19"/>
    </row>
    <row r="670" spans="3:19" ht="12.5">
      <c r="C670" s="66"/>
      <c r="I670" s="79"/>
      <c r="J670" s="19"/>
      <c r="K670" s="19"/>
      <c r="L670" s="19"/>
      <c r="M670" s="19"/>
      <c r="N670" s="19"/>
      <c r="O670" s="19"/>
      <c r="P670" s="19"/>
      <c r="Q670" s="19"/>
      <c r="R670" s="19"/>
      <c r="S670" s="19"/>
    </row>
    <row r="671" spans="3:19" ht="12.5">
      <c r="C671" s="66"/>
      <c r="I671" s="79"/>
      <c r="J671" s="19"/>
      <c r="K671" s="19"/>
      <c r="L671" s="19"/>
      <c r="M671" s="19"/>
      <c r="N671" s="19"/>
      <c r="O671" s="19"/>
      <c r="P671" s="19"/>
      <c r="Q671" s="19"/>
      <c r="R671" s="19"/>
      <c r="S671" s="19"/>
    </row>
    <row r="672" spans="3:19" ht="12.5">
      <c r="C672" s="66"/>
      <c r="I672" s="79"/>
      <c r="J672" s="19"/>
      <c r="K672" s="19"/>
      <c r="L672" s="19"/>
      <c r="M672" s="19"/>
      <c r="N672" s="19"/>
      <c r="O672" s="19"/>
      <c r="P672" s="19"/>
      <c r="Q672" s="19"/>
      <c r="R672" s="19"/>
      <c r="S672" s="19"/>
    </row>
    <row r="673" spans="3:19" ht="12.5">
      <c r="C673" s="66"/>
      <c r="I673" s="79"/>
      <c r="J673" s="19"/>
      <c r="K673" s="19"/>
      <c r="L673" s="19"/>
      <c r="M673" s="19"/>
      <c r="N673" s="19"/>
      <c r="O673" s="19"/>
      <c r="P673" s="19"/>
      <c r="Q673" s="19"/>
      <c r="R673" s="19"/>
      <c r="S673" s="19"/>
    </row>
    <row r="674" spans="3:19" ht="12.5">
      <c r="C674" s="66"/>
      <c r="I674" s="79"/>
      <c r="J674" s="19"/>
      <c r="K674" s="19"/>
      <c r="L674" s="19"/>
      <c r="M674" s="19"/>
      <c r="N674" s="19"/>
      <c r="O674" s="19"/>
      <c r="P674" s="19"/>
      <c r="Q674" s="19"/>
      <c r="R674" s="19"/>
      <c r="S674" s="19"/>
    </row>
    <row r="675" spans="3:19" ht="12.5">
      <c r="C675" s="66"/>
      <c r="I675" s="79"/>
      <c r="J675" s="19"/>
      <c r="K675" s="19"/>
      <c r="L675" s="19"/>
      <c r="M675" s="19"/>
      <c r="N675" s="19"/>
      <c r="O675" s="19"/>
      <c r="P675" s="19"/>
      <c r="Q675" s="19"/>
      <c r="R675" s="19"/>
      <c r="S675" s="19"/>
    </row>
    <row r="676" spans="3:19" ht="12.5">
      <c r="C676" s="66"/>
      <c r="I676" s="79"/>
      <c r="J676" s="19"/>
      <c r="K676" s="19"/>
      <c r="L676" s="19"/>
      <c r="M676" s="19"/>
      <c r="N676" s="19"/>
      <c r="O676" s="19"/>
      <c r="P676" s="19"/>
      <c r="Q676" s="19"/>
      <c r="R676" s="19"/>
      <c r="S676" s="19"/>
    </row>
    <row r="677" spans="3:19" ht="12.5">
      <c r="C677" s="66"/>
      <c r="I677" s="79"/>
      <c r="J677" s="19"/>
      <c r="K677" s="19"/>
      <c r="L677" s="19"/>
      <c r="M677" s="19"/>
      <c r="N677" s="19"/>
      <c r="O677" s="19"/>
      <c r="P677" s="19"/>
      <c r="Q677" s="19"/>
      <c r="R677" s="19"/>
      <c r="S677" s="19"/>
    </row>
    <row r="678" spans="3:19" ht="12.5">
      <c r="C678" s="66"/>
      <c r="I678" s="79"/>
      <c r="J678" s="19"/>
      <c r="K678" s="19"/>
      <c r="L678" s="19"/>
      <c r="M678" s="19"/>
      <c r="N678" s="19"/>
      <c r="O678" s="19"/>
      <c r="P678" s="19"/>
      <c r="Q678" s="19"/>
      <c r="R678" s="19"/>
      <c r="S678" s="19"/>
    </row>
    <row r="679" spans="3:19" ht="12.5">
      <c r="C679" s="66"/>
      <c r="I679" s="79"/>
      <c r="J679" s="19"/>
      <c r="K679" s="19"/>
      <c r="L679" s="19"/>
      <c r="M679" s="19"/>
      <c r="N679" s="19"/>
      <c r="O679" s="19"/>
      <c r="P679" s="19"/>
      <c r="Q679" s="19"/>
      <c r="R679" s="19"/>
      <c r="S679" s="19"/>
    </row>
    <row r="680" spans="3:19" ht="12.5">
      <c r="C680" s="66"/>
      <c r="I680" s="79"/>
      <c r="J680" s="19"/>
      <c r="K680" s="19"/>
      <c r="L680" s="19"/>
      <c r="M680" s="19"/>
      <c r="N680" s="19"/>
      <c r="O680" s="19"/>
      <c r="P680" s="19"/>
      <c r="Q680" s="19"/>
      <c r="R680" s="19"/>
      <c r="S680" s="19"/>
    </row>
    <row r="681" spans="3:19" ht="12.5">
      <c r="C681" s="66"/>
      <c r="I681" s="79"/>
      <c r="J681" s="19"/>
      <c r="K681" s="19"/>
      <c r="L681" s="19"/>
      <c r="M681" s="19"/>
      <c r="N681" s="19"/>
      <c r="O681" s="19"/>
      <c r="P681" s="19"/>
      <c r="Q681" s="19"/>
      <c r="R681" s="19"/>
      <c r="S681" s="19"/>
    </row>
    <row r="682" spans="3:19" ht="12.5">
      <c r="C682" s="66"/>
      <c r="I682" s="79"/>
      <c r="J682" s="19"/>
      <c r="K682" s="19"/>
      <c r="L682" s="19"/>
      <c r="M682" s="19"/>
      <c r="N682" s="19"/>
      <c r="O682" s="19"/>
      <c r="P682" s="19"/>
      <c r="Q682" s="19"/>
      <c r="R682" s="19"/>
      <c r="S682" s="19"/>
    </row>
    <row r="683" spans="3:19" ht="12.5">
      <c r="C683" s="66"/>
      <c r="I683" s="79"/>
      <c r="J683" s="19"/>
      <c r="K683" s="19"/>
      <c r="L683" s="19"/>
      <c r="M683" s="19"/>
      <c r="N683" s="19"/>
      <c r="O683" s="19"/>
      <c r="P683" s="19"/>
      <c r="Q683" s="19"/>
      <c r="R683" s="19"/>
      <c r="S683" s="19"/>
    </row>
    <row r="684" spans="3:19" ht="12.5">
      <c r="C684" s="66"/>
      <c r="I684" s="79"/>
      <c r="J684" s="19"/>
      <c r="K684" s="19"/>
      <c r="L684" s="19"/>
      <c r="M684" s="19"/>
      <c r="N684" s="19"/>
      <c r="O684" s="19"/>
      <c r="P684" s="19"/>
      <c r="Q684" s="19"/>
      <c r="R684" s="19"/>
      <c r="S684" s="19"/>
    </row>
    <row r="685" spans="3:19" ht="12.5">
      <c r="C685" s="66"/>
      <c r="I685" s="79"/>
      <c r="J685" s="19"/>
      <c r="K685" s="19"/>
      <c r="L685" s="19"/>
      <c r="M685" s="19"/>
      <c r="N685" s="19"/>
      <c r="O685" s="19"/>
      <c r="P685" s="19"/>
      <c r="Q685" s="19"/>
      <c r="R685" s="19"/>
      <c r="S685" s="19"/>
    </row>
    <row r="686" spans="3:19" ht="12.5">
      <c r="C686" s="66"/>
      <c r="I686" s="79"/>
      <c r="J686" s="19"/>
      <c r="K686" s="19"/>
      <c r="L686" s="19"/>
      <c r="M686" s="19"/>
      <c r="N686" s="19"/>
      <c r="O686" s="19"/>
      <c r="P686" s="19"/>
      <c r="Q686" s="19"/>
      <c r="R686" s="19"/>
      <c r="S686" s="19"/>
    </row>
    <row r="687" spans="3:19" ht="12.5">
      <c r="C687" s="66"/>
      <c r="I687" s="79"/>
      <c r="J687" s="19"/>
      <c r="K687" s="19"/>
      <c r="L687" s="19"/>
      <c r="M687" s="19"/>
      <c r="N687" s="19"/>
      <c r="O687" s="19"/>
      <c r="P687" s="19"/>
      <c r="Q687" s="19"/>
      <c r="R687" s="19"/>
      <c r="S687" s="19"/>
    </row>
    <row r="688" spans="3:19" ht="12.5">
      <c r="C688" s="66"/>
      <c r="I688" s="79"/>
      <c r="J688" s="19"/>
      <c r="K688" s="19"/>
      <c r="L688" s="19"/>
      <c r="M688" s="19"/>
      <c r="N688" s="19"/>
      <c r="O688" s="19"/>
      <c r="P688" s="19"/>
      <c r="Q688" s="19"/>
      <c r="R688" s="19"/>
      <c r="S688" s="19"/>
    </row>
    <row r="689" spans="3:19" ht="12.5">
      <c r="C689" s="66"/>
      <c r="I689" s="79"/>
      <c r="J689" s="19"/>
      <c r="K689" s="19"/>
      <c r="L689" s="19"/>
      <c r="M689" s="19"/>
      <c r="N689" s="19"/>
      <c r="O689" s="19"/>
      <c r="P689" s="19"/>
      <c r="Q689" s="19"/>
      <c r="R689" s="19"/>
      <c r="S689" s="19"/>
    </row>
    <row r="690" spans="3:19" ht="12.5">
      <c r="C690" s="66"/>
      <c r="I690" s="79"/>
      <c r="J690" s="19"/>
      <c r="K690" s="19"/>
      <c r="L690" s="19"/>
      <c r="M690" s="19"/>
      <c r="N690" s="19"/>
      <c r="O690" s="19"/>
      <c r="P690" s="19"/>
      <c r="Q690" s="19"/>
      <c r="R690" s="19"/>
      <c r="S690" s="19"/>
    </row>
    <row r="691" spans="3:19" ht="12.5">
      <c r="C691" s="66"/>
      <c r="I691" s="79"/>
      <c r="J691" s="19"/>
      <c r="K691" s="19"/>
      <c r="L691" s="19"/>
      <c r="M691" s="19"/>
      <c r="N691" s="19"/>
      <c r="O691" s="19"/>
      <c r="P691" s="19"/>
      <c r="Q691" s="19"/>
      <c r="R691" s="19"/>
      <c r="S691" s="19"/>
    </row>
    <row r="692" spans="3:19" ht="12.5">
      <c r="C692" s="66"/>
      <c r="I692" s="79"/>
      <c r="J692" s="19"/>
      <c r="K692" s="19"/>
      <c r="L692" s="19"/>
      <c r="M692" s="19"/>
      <c r="N692" s="19"/>
      <c r="O692" s="19"/>
      <c r="P692" s="19"/>
      <c r="Q692" s="19"/>
      <c r="R692" s="19"/>
      <c r="S692" s="19"/>
    </row>
    <row r="693" spans="3:19" ht="12.5">
      <c r="C693" s="66"/>
      <c r="I693" s="79"/>
      <c r="J693" s="19"/>
      <c r="K693" s="19"/>
      <c r="L693" s="19"/>
      <c r="M693" s="19"/>
      <c r="N693" s="19"/>
      <c r="O693" s="19"/>
      <c r="P693" s="19"/>
      <c r="Q693" s="19"/>
      <c r="R693" s="19"/>
      <c r="S693" s="19"/>
    </row>
    <row r="694" spans="3:19" ht="12.5">
      <c r="C694" s="66"/>
      <c r="I694" s="79"/>
      <c r="J694" s="19"/>
      <c r="K694" s="19"/>
      <c r="L694" s="19"/>
      <c r="M694" s="19"/>
      <c r="N694" s="19"/>
      <c r="O694" s="19"/>
      <c r="P694" s="19"/>
      <c r="Q694" s="19"/>
      <c r="R694" s="19"/>
      <c r="S694" s="19"/>
    </row>
    <row r="695" spans="3:19" ht="12.5">
      <c r="C695" s="66"/>
      <c r="I695" s="79"/>
      <c r="J695" s="19"/>
      <c r="K695" s="19"/>
      <c r="L695" s="19"/>
      <c r="M695" s="19"/>
      <c r="N695" s="19"/>
      <c r="O695" s="19"/>
      <c r="P695" s="19"/>
      <c r="Q695" s="19"/>
      <c r="R695" s="19"/>
      <c r="S695" s="19"/>
    </row>
    <row r="696" spans="3:19" ht="12.5">
      <c r="C696" s="66"/>
      <c r="I696" s="79"/>
      <c r="J696" s="19"/>
      <c r="K696" s="19"/>
      <c r="L696" s="19"/>
      <c r="M696" s="19"/>
      <c r="N696" s="19"/>
      <c r="O696" s="19"/>
      <c r="P696" s="19"/>
      <c r="Q696" s="19"/>
      <c r="R696" s="19"/>
      <c r="S696" s="19"/>
    </row>
    <row r="697" spans="3:19" ht="12.5">
      <c r="C697" s="66"/>
      <c r="I697" s="79"/>
      <c r="J697" s="19"/>
      <c r="K697" s="19"/>
      <c r="L697" s="19"/>
      <c r="M697" s="19"/>
      <c r="N697" s="19"/>
      <c r="O697" s="19"/>
      <c r="P697" s="19"/>
      <c r="Q697" s="19"/>
      <c r="R697" s="19"/>
      <c r="S697" s="19"/>
    </row>
    <row r="698" spans="3:19" ht="12.5">
      <c r="C698" s="66"/>
      <c r="I698" s="79"/>
      <c r="J698" s="19"/>
      <c r="K698" s="19"/>
      <c r="L698" s="19"/>
      <c r="M698" s="19"/>
      <c r="N698" s="19"/>
      <c r="O698" s="19"/>
      <c r="P698" s="19"/>
      <c r="Q698" s="19"/>
      <c r="R698" s="19"/>
      <c r="S698" s="19"/>
    </row>
    <row r="699" spans="3:19" ht="12.5">
      <c r="C699" s="66"/>
      <c r="I699" s="79"/>
      <c r="J699" s="19"/>
      <c r="K699" s="19"/>
      <c r="L699" s="19"/>
      <c r="M699" s="19"/>
      <c r="N699" s="19"/>
      <c r="O699" s="19"/>
      <c r="P699" s="19"/>
      <c r="Q699" s="19"/>
      <c r="R699" s="19"/>
      <c r="S699" s="19"/>
    </row>
    <row r="700" spans="3:19" ht="12.5">
      <c r="C700" s="66"/>
      <c r="I700" s="79"/>
      <c r="J700" s="19"/>
      <c r="K700" s="19"/>
      <c r="L700" s="19"/>
      <c r="M700" s="19"/>
      <c r="N700" s="19"/>
      <c r="O700" s="19"/>
      <c r="P700" s="19"/>
      <c r="Q700" s="19"/>
      <c r="R700" s="19"/>
      <c r="S700" s="19"/>
    </row>
    <row r="701" spans="3:19" ht="12.5">
      <c r="C701" s="66"/>
      <c r="I701" s="79"/>
      <c r="J701" s="19"/>
      <c r="K701" s="19"/>
      <c r="L701" s="19"/>
      <c r="M701" s="19"/>
      <c r="N701" s="19"/>
      <c r="O701" s="19"/>
      <c r="P701" s="19"/>
      <c r="Q701" s="19"/>
      <c r="R701" s="19"/>
      <c r="S701" s="19"/>
    </row>
    <row r="702" spans="3:19" ht="12.5">
      <c r="C702" s="66"/>
      <c r="I702" s="79"/>
      <c r="J702" s="19"/>
      <c r="K702" s="19"/>
      <c r="L702" s="19"/>
      <c r="M702" s="19"/>
      <c r="N702" s="19"/>
      <c r="O702" s="19"/>
      <c r="P702" s="19"/>
      <c r="Q702" s="19"/>
      <c r="R702" s="19"/>
      <c r="S702" s="19"/>
    </row>
    <row r="703" spans="3:19" ht="12.5">
      <c r="C703" s="66"/>
      <c r="I703" s="79"/>
      <c r="J703" s="19"/>
      <c r="K703" s="19"/>
      <c r="L703" s="19"/>
      <c r="M703" s="19"/>
      <c r="N703" s="19"/>
      <c r="O703" s="19"/>
      <c r="P703" s="19"/>
      <c r="Q703" s="19"/>
      <c r="R703" s="19"/>
      <c r="S703" s="19"/>
    </row>
    <row r="704" spans="3:19" ht="12.5">
      <c r="C704" s="66"/>
      <c r="I704" s="79"/>
      <c r="J704" s="19"/>
      <c r="K704" s="19"/>
      <c r="L704" s="19"/>
      <c r="M704" s="19"/>
      <c r="N704" s="19"/>
      <c r="O704" s="19"/>
      <c r="P704" s="19"/>
      <c r="Q704" s="19"/>
      <c r="R704" s="19"/>
      <c r="S704" s="19"/>
    </row>
    <row r="705" spans="3:19" ht="12.5">
      <c r="C705" s="66"/>
      <c r="I705" s="79"/>
      <c r="J705" s="19"/>
      <c r="K705" s="19"/>
      <c r="L705" s="19"/>
      <c r="M705" s="19"/>
      <c r="N705" s="19"/>
      <c r="O705" s="19"/>
      <c r="P705" s="19"/>
      <c r="Q705" s="19"/>
      <c r="R705" s="19"/>
      <c r="S705" s="19"/>
    </row>
    <row r="706" spans="3:19" ht="12.5">
      <c r="C706" s="66"/>
      <c r="I706" s="79"/>
      <c r="J706" s="19"/>
      <c r="K706" s="19"/>
      <c r="L706" s="19"/>
      <c r="M706" s="19"/>
      <c r="N706" s="19"/>
      <c r="O706" s="19"/>
      <c r="P706" s="19"/>
      <c r="Q706" s="19"/>
      <c r="R706" s="19"/>
      <c r="S706" s="19"/>
    </row>
    <row r="707" spans="3:19" ht="12.5">
      <c r="C707" s="66"/>
      <c r="I707" s="79"/>
      <c r="J707" s="19"/>
      <c r="K707" s="19"/>
      <c r="L707" s="19"/>
      <c r="M707" s="19"/>
      <c r="N707" s="19"/>
      <c r="O707" s="19"/>
      <c r="P707" s="19"/>
      <c r="Q707" s="19"/>
      <c r="R707" s="19"/>
      <c r="S707" s="19"/>
    </row>
    <row r="708" spans="3:19" ht="12.5">
      <c r="C708" s="66"/>
      <c r="I708" s="79"/>
      <c r="J708" s="19"/>
      <c r="K708" s="19"/>
      <c r="L708" s="19"/>
      <c r="M708" s="19"/>
      <c r="N708" s="19"/>
      <c r="O708" s="19"/>
      <c r="P708" s="19"/>
      <c r="Q708" s="19"/>
      <c r="R708" s="19"/>
      <c r="S708" s="19"/>
    </row>
    <row r="709" spans="3:19" ht="12.5">
      <c r="C709" s="66"/>
      <c r="I709" s="79"/>
      <c r="J709" s="19"/>
      <c r="K709" s="19"/>
      <c r="L709" s="19"/>
      <c r="M709" s="19"/>
      <c r="N709" s="19"/>
      <c r="O709" s="19"/>
      <c r="P709" s="19"/>
      <c r="Q709" s="19"/>
      <c r="R709" s="19"/>
      <c r="S709" s="19"/>
    </row>
    <row r="710" spans="3:19" ht="12.5">
      <c r="C710" s="66"/>
      <c r="I710" s="79"/>
      <c r="J710" s="19"/>
      <c r="K710" s="19"/>
      <c r="L710" s="19"/>
      <c r="M710" s="19"/>
      <c r="N710" s="19"/>
      <c r="O710" s="19"/>
      <c r="P710" s="19"/>
      <c r="Q710" s="19"/>
      <c r="R710" s="19"/>
      <c r="S710" s="19"/>
    </row>
    <row r="711" spans="3:19" ht="12.5">
      <c r="C711" s="66"/>
      <c r="I711" s="79"/>
      <c r="J711" s="19"/>
      <c r="K711" s="19"/>
      <c r="L711" s="19"/>
      <c r="M711" s="19"/>
      <c r="N711" s="19"/>
      <c r="O711" s="19"/>
      <c r="P711" s="19"/>
      <c r="Q711" s="19"/>
      <c r="R711" s="19"/>
      <c r="S711" s="19"/>
    </row>
    <row r="712" spans="3:19" ht="12.5">
      <c r="C712" s="66"/>
      <c r="I712" s="79"/>
      <c r="J712" s="19"/>
      <c r="K712" s="19"/>
      <c r="L712" s="19"/>
      <c r="M712" s="19"/>
      <c r="N712" s="19"/>
      <c r="O712" s="19"/>
      <c r="P712" s="19"/>
      <c r="Q712" s="19"/>
      <c r="R712" s="19"/>
      <c r="S712" s="19"/>
    </row>
    <row r="713" spans="3:19" ht="12.5">
      <c r="C713" s="66"/>
      <c r="I713" s="79"/>
      <c r="J713" s="19"/>
      <c r="K713" s="19"/>
      <c r="L713" s="19"/>
      <c r="M713" s="19"/>
      <c r="N713" s="19"/>
      <c r="O713" s="19"/>
      <c r="P713" s="19"/>
      <c r="Q713" s="19"/>
      <c r="R713" s="19"/>
      <c r="S713" s="19"/>
    </row>
    <row r="714" spans="3:19" ht="12.5">
      <c r="C714" s="66"/>
      <c r="I714" s="79"/>
      <c r="J714" s="19"/>
      <c r="K714" s="19"/>
      <c r="L714" s="19"/>
      <c r="M714" s="19"/>
      <c r="N714" s="19"/>
      <c r="O714" s="19"/>
      <c r="P714" s="19"/>
      <c r="Q714" s="19"/>
      <c r="R714" s="19"/>
      <c r="S714" s="19"/>
    </row>
    <row r="715" spans="3:19" ht="12.5">
      <c r="C715" s="66"/>
      <c r="I715" s="79"/>
      <c r="J715" s="19"/>
      <c r="K715" s="19"/>
      <c r="L715" s="19"/>
      <c r="M715" s="19"/>
      <c r="N715" s="19"/>
      <c r="O715" s="19"/>
      <c r="P715" s="19"/>
      <c r="Q715" s="19"/>
      <c r="R715" s="19"/>
      <c r="S715" s="19"/>
    </row>
    <row r="716" spans="3:19" ht="12.5">
      <c r="C716" s="66"/>
      <c r="I716" s="79"/>
      <c r="J716" s="19"/>
      <c r="K716" s="19"/>
      <c r="L716" s="19"/>
      <c r="M716" s="19"/>
      <c r="N716" s="19"/>
      <c r="O716" s="19"/>
      <c r="P716" s="19"/>
      <c r="Q716" s="19"/>
      <c r="R716" s="19"/>
      <c r="S716" s="19"/>
    </row>
    <row r="717" spans="3:19" ht="12.5">
      <c r="C717" s="66"/>
      <c r="I717" s="79"/>
      <c r="J717" s="19"/>
      <c r="K717" s="19"/>
      <c r="L717" s="19"/>
      <c r="M717" s="19"/>
      <c r="N717" s="19"/>
      <c r="O717" s="19"/>
      <c r="P717" s="19"/>
      <c r="Q717" s="19"/>
      <c r="R717" s="19"/>
      <c r="S717" s="19"/>
    </row>
    <row r="718" spans="3:19" ht="12.5">
      <c r="C718" s="66"/>
      <c r="I718" s="79"/>
      <c r="J718" s="19"/>
      <c r="K718" s="19"/>
      <c r="L718" s="19"/>
      <c r="M718" s="19"/>
      <c r="N718" s="19"/>
      <c r="O718" s="19"/>
      <c r="P718" s="19"/>
      <c r="Q718" s="19"/>
      <c r="R718" s="19"/>
      <c r="S718" s="19"/>
    </row>
    <row r="719" spans="3:19" ht="12.5">
      <c r="C719" s="66"/>
      <c r="I719" s="79"/>
      <c r="J719" s="19"/>
      <c r="K719" s="19"/>
      <c r="L719" s="19"/>
      <c r="M719" s="19"/>
      <c r="N719" s="19"/>
      <c r="O719" s="19"/>
      <c r="P719" s="19"/>
      <c r="Q719" s="19"/>
      <c r="R719" s="19"/>
      <c r="S719" s="19"/>
    </row>
    <row r="720" spans="3:19" ht="12.5">
      <c r="C720" s="66"/>
      <c r="I720" s="79"/>
      <c r="J720" s="19"/>
      <c r="K720" s="19"/>
      <c r="L720" s="19"/>
      <c r="M720" s="19"/>
      <c r="N720" s="19"/>
      <c r="O720" s="19"/>
      <c r="P720" s="19"/>
      <c r="Q720" s="19"/>
      <c r="R720" s="19"/>
      <c r="S720" s="19"/>
    </row>
    <row r="721" spans="3:19" ht="12.5">
      <c r="C721" s="66"/>
      <c r="I721" s="79"/>
      <c r="J721" s="19"/>
      <c r="K721" s="19"/>
      <c r="L721" s="19"/>
      <c r="M721" s="19"/>
      <c r="N721" s="19"/>
      <c r="O721" s="19"/>
      <c r="P721" s="19"/>
      <c r="Q721" s="19"/>
      <c r="R721" s="19"/>
      <c r="S721" s="19"/>
    </row>
    <row r="722" spans="3:19" ht="12.5">
      <c r="C722" s="66"/>
      <c r="I722" s="79"/>
      <c r="J722" s="19"/>
      <c r="K722" s="19"/>
      <c r="L722" s="19"/>
      <c r="M722" s="19"/>
      <c r="N722" s="19"/>
      <c r="O722" s="19"/>
      <c r="P722" s="19"/>
      <c r="Q722" s="19"/>
      <c r="R722" s="19"/>
      <c r="S722" s="19"/>
    </row>
    <row r="723" spans="3:19" ht="12.5">
      <c r="C723" s="66"/>
      <c r="I723" s="79"/>
      <c r="J723" s="19"/>
      <c r="K723" s="19"/>
      <c r="L723" s="19"/>
      <c r="M723" s="19"/>
      <c r="N723" s="19"/>
      <c r="O723" s="19"/>
      <c r="P723" s="19"/>
      <c r="Q723" s="19"/>
      <c r="R723" s="19"/>
      <c r="S723" s="19"/>
    </row>
    <row r="724" spans="3:19" ht="12.5">
      <c r="C724" s="66"/>
      <c r="I724" s="79"/>
      <c r="J724" s="19"/>
      <c r="K724" s="19"/>
      <c r="L724" s="19"/>
      <c r="M724" s="19"/>
      <c r="N724" s="19"/>
      <c r="O724" s="19"/>
      <c r="P724" s="19"/>
      <c r="Q724" s="19"/>
      <c r="R724" s="19"/>
      <c r="S724" s="19"/>
    </row>
    <row r="725" spans="3:19" ht="12.5">
      <c r="C725" s="66"/>
      <c r="I725" s="79"/>
      <c r="J725" s="19"/>
      <c r="K725" s="19"/>
      <c r="L725" s="19"/>
      <c r="M725" s="19"/>
      <c r="N725" s="19"/>
      <c r="O725" s="19"/>
      <c r="P725" s="19"/>
      <c r="Q725" s="19"/>
      <c r="R725" s="19"/>
      <c r="S725" s="19"/>
    </row>
    <row r="726" spans="3:19" ht="12.5">
      <c r="C726" s="66"/>
      <c r="I726" s="79"/>
      <c r="J726" s="19"/>
      <c r="K726" s="19"/>
      <c r="L726" s="19"/>
      <c r="M726" s="19"/>
      <c r="N726" s="19"/>
      <c r="O726" s="19"/>
      <c r="P726" s="19"/>
      <c r="Q726" s="19"/>
      <c r="R726" s="19"/>
      <c r="S726" s="19"/>
    </row>
    <row r="727" spans="3:19" ht="12.5">
      <c r="C727" s="66"/>
      <c r="I727" s="79"/>
      <c r="J727" s="19"/>
      <c r="K727" s="19"/>
      <c r="L727" s="19"/>
      <c r="M727" s="19"/>
      <c r="N727" s="19"/>
      <c r="O727" s="19"/>
      <c r="P727" s="19"/>
      <c r="Q727" s="19"/>
      <c r="R727" s="19"/>
      <c r="S727" s="19"/>
    </row>
    <row r="728" spans="3:19" ht="12.5">
      <c r="C728" s="66"/>
      <c r="I728" s="79"/>
      <c r="J728" s="19"/>
      <c r="K728" s="19"/>
      <c r="L728" s="19"/>
      <c r="M728" s="19"/>
      <c r="N728" s="19"/>
      <c r="O728" s="19"/>
      <c r="P728" s="19"/>
      <c r="Q728" s="19"/>
      <c r="R728" s="19"/>
      <c r="S728" s="19"/>
    </row>
    <row r="729" spans="3:19" ht="12.5">
      <c r="C729" s="66"/>
      <c r="I729" s="79"/>
      <c r="J729" s="19"/>
      <c r="K729" s="19"/>
      <c r="L729" s="19"/>
      <c r="M729" s="19"/>
      <c r="N729" s="19"/>
      <c r="O729" s="19"/>
      <c r="P729" s="19"/>
      <c r="Q729" s="19"/>
      <c r="R729" s="19"/>
      <c r="S729" s="19"/>
    </row>
    <row r="730" spans="3:19" ht="12.5">
      <c r="C730" s="66"/>
      <c r="I730" s="79"/>
      <c r="J730" s="19"/>
      <c r="K730" s="19"/>
      <c r="L730" s="19"/>
      <c r="M730" s="19"/>
      <c r="N730" s="19"/>
      <c r="O730" s="19"/>
      <c r="P730" s="19"/>
      <c r="Q730" s="19"/>
      <c r="R730" s="19"/>
      <c r="S730" s="19"/>
    </row>
    <row r="731" spans="3:19" ht="12.5">
      <c r="C731" s="66"/>
      <c r="I731" s="79"/>
      <c r="J731" s="19"/>
      <c r="K731" s="19"/>
      <c r="L731" s="19"/>
      <c r="M731" s="19"/>
      <c r="N731" s="19"/>
      <c r="O731" s="19"/>
      <c r="P731" s="19"/>
      <c r="Q731" s="19"/>
      <c r="R731" s="19"/>
      <c r="S731" s="19"/>
    </row>
    <row r="732" spans="3:19" ht="12.5">
      <c r="C732" s="66"/>
      <c r="I732" s="79"/>
      <c r="J732" s="19"/>
      <c r="K732" s="19"/>
      <c r="L732" s="19"/>
      <c r="M732" s="19"/>
      <c r="N732" s="19"/>
      <c r="O732" s="19"/>
      <c r="P732" s="19"/>
      <c r="Q732" s="19"/>
      <c r="R732" s="19"/>
      <c r="S732" s="19"/>
    </row>
    <row r="733" spans="3:19" ht="12.5">
      <c r="C733" s="66"/>
      <c r="I733" s="79"/>
      <c r="J733" s="19"/>
      <c r="K733" s="19"/>
      <c r="L733" s="19"/>
      <c r="M733" s="19"/>
      <c r="N733" s="19"/>
      <c r="O733" s="19"/>
      <c r="P733" s="19"/>
      <c r="Q733" s="19"/>
      <c r="R733" s="19"/>
      <c r="S733" s="19"/>
    </row>
    <row r="734" spans="3:19" ht="12.5">
      <c r="C734" s="66"/>
      <c r="I734" s="79"/>
      <c r="J734" s="19"/>
      <c r="K734" s="19"/>
      <c r="L734" s="19"/>
      <c r="M734" s="19"/>
      <c r="N734" s="19"/>
      <c r="O734" s="19"/>
      <c r="P734" s="19"/>
      <c r="Q734" s="19"/>
      <c r="R734" s="19"/>
      <c r="S734" s="19"/>
    </row>
    <row r="735" spans="3:19" ht="12.5">
      <c r="C735" s="66"/>
      <c r="I735" s="79"/>
      <c r="J735" s="19"/>
      <c r="K735" s="19"/>
      <c r="L735" s="19"/>
      <c r="M735" s="19"/>
      <c r="N735" s="19"/>
      <c r="O735" s="19"/>
      <c r="P735" s="19"/>
      <c r="Q735" s="19"/>
      <c r="R735" s="19"/>
      <c r="S735" s="19"/>
    </row>
    <row r="736" spans="3:19" ht="12.5">
      <c r="C736" s="66"/>
      <c r="I736" s="79"/>
      <c r="J736" s="19"/>
      <c r="K736" s="19"/>
      <c r="L736" s="19"/>
      <c r="M736" s="19"/>
      <c r="N736" s="19"/>
      <c r="O736" s="19"/>
      <c r="P736" s="19"/>
      <c r="Q736" s="19"/>
      <c r="R736" s="19"/>
      <c r="S736" s="19"/>
    </row>
    <row r="737" spans="3:19" ht="12.5">
      <c r="C737" s="66"/>
      <c r="I737" s="79"/>
      <c r="J737" s="19"/>
      <c r="K737" s="19"/>
      <c r="L737" s="19"/>
      <c r="M737" s="19"/>
      <c r="N737" s="19"/>
      <c r="O737" s="19"/>
      <c r="P737" s="19"/>
      <c r="Q737" s="19"/>
      <c r="R737" s="19"/>
      <c r="S737" s="19"/>
    </row>
    <row r="738" spans="3:19" ht="12.5">
      <c r="C738" s="66"/>
      <c r="I738" s="79"/>
      <c r="J738" s="19"/>
      <c r="K738" s="19"/>
      <c r="L738" s="19"/>
      <c r="M738" s="19"/>
      <c r="N738" s="19"/>
      <c r="O738" s="19"/>
      <c r="P738" s="19"/>
      <c r="Q738" s="19"/>
      <c r="R738" s="19"/>
      <c r="S738" s="19"/>
    </row>
    <row r="739" spans="3:19" ht="12.5">
      <c r="C739" s="66"/>
      <c r="I739" s="79"/>
      <c r="J739" s="19"/>
      <c r="K739" s="19"/>
      <c r="L739" s="19"/>
      <c r="M739" s="19"/>
      <c r="N739" s="19"/>
      <c r="O739" s="19"/>
      <c r="P739" s="19"/>
      <c r="Q739" s="19"/>
      <c r="R739" s="19"/>
      <c r="S739" s="19"/>
    </row>
    <row r="740" spans="3:19" ht="12.5">
      <c r="C740" s="66"/>
      <c r="I740" s="79"/>
      <c r="J740" s="19"/>
      <c r="K740" s="19"/>
      <c r="L740" s="19"/>
      <c r="M740" s="19"/>
      <c r="N740" s="19"/>
      <c r="O740" s="19"/>
      <c r="P740" s="19"/>
      <c r="Q740" s="19"/>
      <c r="R740" s="19"/>
      <c r="S740" s="19"/>
    </row>
    <row r="741" spans="3:19" ht="12.5">
      <c r="C741" s="66"/>
      <c r="I741" s="79"/>
      <c r="J741" s="19"/>
      <c r="K741" s="19"/>
      <c r="L741" s="19"/>
      <c r="M741" s="19"/>
      <c r="N741" s="19"/>
      <c r="O741" s="19"/>
      <c r="P741" s="19"/>
      <c r="Q741" s="19"/>
      <c r="R741" s="19"/>
      <c r="S741" s="19"/>
    </row>
    <row r="742" spans="3:19" ht="12.5">
      <c r="C742" s="66"/>
      <c r="I742" s="79"/>
      <c r="J742" s="19"/>
      <c r="K742" s="19"/>
      <c r="L742" s="19"/>
      <c r="M742" s="19"/>
      <c r="N742" s="19"/>
      <c r="O742" s="19"/>
      <c r="P742" s="19"/>
      <c r="Q742" s="19"/>
      <c r="R742" s="19"/>
      <c r="S742" s="19"/>
    </row>
    <row r="743" spans="3:19" ht="12.5">
      <c r="C743" s="66"/>
      <c r="I743" s="79"/>
      <c r="J743" s="19"/>
      <c r="K743" s="19"/>
      <c r="L743" s="19"/>
      <c r="M743" s="19"/>
      <c r="N743" s="19"/>
      <c r="O743" s="19"/>
      <c r="P743" s="19"/>
      <c r="Q743" s="19"/>
      <c r="R743" s="19"/>
      <c r="S743" s="19"/>
    </row>
    <row r="744" spans="3:19" ht="12.5">
      <c r="C744" s="66"/>
      <c r="I744" s="79"/>
      <c r="J744" s="19"/>
      <c r="K744" s="19"/>
      <c r="L744" s="19"/>
      <c r="M744" s="19"/>
      <c r="N744" s="19"/>
      <c r="O744" s="19"/>
      <c r="P744" s="19"/>
      <c r="Q744" s="19"/>
      <c r="R744" s="19"/>
      <c r="S744" s="19"/>
    </row>
    <row r="745" spans="3:19" ht="12.5">
      <c r="C745" s="66"/>
      <c r="I745" s="79"/>
      <c r="J745" s="19"/>
      <c r="K745" s="19"/>
      <c r="L745" s="19"/>
      <c r="M745" s="19"/>
      <c r="N745" s="19"/>
      <c r="O745" s="19"/>
      <c r="P745" s="19"/>
      <c r="Q745" s="19"/>
      <c r="R745" s="19"/>
      <c r="S745" s="19"/>
    </row>
    <row r="746" spans="3:19" ht="12.5">
      <c r="C746" s="66"/>
      <c r="I746" s="79"/>
      <c r="J746" s="19"/>
      <c r="K746" s="19"/>
      <c r="L746" s="19"/>
      <c r="M746" s="19"/>
      <c r="N746" s="19"/>
      <c r="O746" s="19"/>
      <c r="P746" s="19"/>
      <c r="Q746" s="19"/>
      <c r="R746" s="19"/>
      <c r="S746" s="19"/>
    </row>
    <row r="747" spans="3:19" ht="12.5">
      <c r="C747" s="66"/>
      <c r="I747" s="79"/>
      <c r="J747" s="19"/>
      <c r="K747" s="19"/>
      <c r="L747" s="19"/>
      <c r="M747" s="19"/>
      <c r="N747" s="19"/>
      <c r="O747" s="19"/>
      <c r="P747" s="19"/>
      <c r="Q747" s="19"/>
      <c r="R747" s="19"/>
      <c r="S747" s="19"/>
    </row>
    <row r="748" spans="3:19" ht="12.5">
      <c r="C748" s="66"/>
      <c r="I748" s="79"/>
      <c r="J748" s="19"/>
      <c r="K748" s="19"/>
      <c r="L748" s="19"/>
      <c r="M748" s="19"/>
      <c r="N748" s="19"/>
      <c r="O748" s="19"/>
      <c r="P748" s="19"/>
      <c r="Q748" s="19"/>
      <c r="R748" s="19"/>
      <c r="S748" s="19"/>
    </row>
    <row r="749" spans="3:19" ht="12.5">
      <c r="C749" s="66"/>
      <c r="I749" s="79"/>
      <c r="J749" s="19"/>
      <c r="K749" s="19"/>
      <c r="L749" s="19"/>
      <c r="M749" s="19"/>
      <c r="N749" s="19"/>
      <c r="O749" s="19"/>
      <c r="P749" s="19"/>
      <c r="Q749" s="19"/>
      <c r="R749" s="19"/>
      <c r="S749" s="19"/>
    </row>
    <row r="750" spans="3:19" ht="12.5">
      <c r="C750" s="66"/>
      <c r="I750" s="79"/>
      <c r="J750" s="19"/>
      <c r="K750" s="19"/>
      <c r="L750" s="19"/>
      <c r="M750" s="19"/>
      <c r="N750" s="19"/>
      <c r="O750" s="19"/>
      <c r="P750" s="19"/>
      <c r="Q750" s="19"/>
      <c r="R750" s="19"/>
      <c r="S750" s="19"/>
    </row>
    <row r="751" spans="3:19" ht="12.5">
      <c r="C751" s="66"/>
      <c r="I751" s="79"/>
      <c r="J751" s="19"/>
      <c r="K751" s="19"/>
      <c r="L751" s="19"/>
      <c r="M751" s="19"/>
      <c r="N751" s="19"/>
      <c r="O751" s="19"/>
      <c r="P751" s="19"/>
      <c r="Q751" s="19"/>
      <c r="R751" s="19"/>
      <c r="S751" s="19"/>
    </row>
    <row r="752" spans="3:19" ht="12.5">
      <c r="C752" s="66"/>
      <c r="I752" s="79"/>
      <c r="J752" s="19"/>
      <c r="K752" s="19"/>
      <c r="L752" s="19"/>
      <c r="M752" s="19"/>
      <c r="N752" s="19"/>
      <c r="O752" s="19"/>
      <c r="P752" s="19"/>
      <c r="Q752" s="19"/>
      <c r="R752" s="19"/>
      <c r="S752" s="19"/>
    </row>
    <row r="753" spans="3:19" ht="12.5">
      <c r="C753" s="66"/>
      <c r="I753" s="79"/>
      <c r="J753" s="19"/>
      <c r="K753" s="19"/>
      <c r="L753" s="19"/>
      <c r="M753" s="19"/>
      <c r="N753" s="19"/>
      <c r="O753" s="19"/>
      <c r="P753" s="19"/>
      <c r="Q753" s="19"/>
      <c r="R753" s="19"/>
      <c r="S753" s="19"/>
    </row>
    <row r="754" spans="3:19" ht="12.5">
      <c r="C754" s="66"/>
      <c r="I754" s="79"/>
      <c r="J754" s="19"/>
      <c r="K754" s="19"/>
      <c r="L754" s="19"/>
      <c r="M754" s="19"/>
      <c r="N754" s="19"/>
      <c r="O754" s="19"/>
      <c r="P754" s="19"/>
      <c r="Q754" s="19"/>
      <c r="R754" s="19"/>
      <c r="S754" s="19"/>
    </row>
    <row r="755" spans="3:19" ht="12.5">
      <c r="C755" s="66"/>
      <c r="I755" s="79"/>
      <c r="J755" s="19"/>
      <c r="K755" s="19"/>
      <c r="L755" s="19"/>
      <c r="M755" s="19"/>
      <c r="N755" s="19"/>
      <c r="O755" s="19"/>
      <c r="P755" s="19"/>
      <c r="Q755" s="19"/>
      <c r="R755" s="19"/>
      <c r="S755" s="19"/>
    </row>
    <row r="756" spans="3:19" ht="12.5">
      <c r="C756" s="66"/>
      <c r="I756" s="79"/>
      <c r="J756" s="19"/>
      <c r="K756" s="19"/>
      <c r="L756" s="19"/>
      <c r="M756" s="19"/>
      <c r="N756" s="19"/>
      <c r="O756" s="19"/>
      <c r="P756" s="19"/>
      <c r="Q756" s="19"/>
      <c r="R756" s="19"/>
      <c r="S756" s="19"/>
    </row>
    <row r="757" spans="3:19" ht="12.5">
      <c r="C757" s="66"/>
      <c r="I757" s="79"/>
      <c r="J757" s="19"/>
      <c r="K757" s="19"/>
      <c r="L757" s="19"/>
      <c r="M757" s="19"/>
      <c r="N757" s="19"/>
      <c r="O757" s="19"/>
      <c r="P757" s="19"/>
      <c r="Q757" s="19"/>
      <c r="R757" s="19"/>
      <c r="S757" s="19"/>
    </row>
    <row r="758" spans="3:19" ht="12.5">
      <c r="C758" s="66"/>
      <c r="I758" s="79"/>
      <c r="J758" s="19"/>
      <c r="K758" s="19"/>
      <c r="L758" s="19"/>
      <c r="M758" s="19"/>
      <c r="N758" s="19"/>
      <c r="O758" s="19"/>
      <c r="P758" s="19"/>
      <c r="Q758" s="19"/>
      <c r="R758" s="19"/>
      <c r="S758" s="19"/>
    </row>
    <row r="759" spans="3:19" ht="12.5">
      <c r="C759" s="66"/>
      <c r="I759" s="79"/>
      <c r="J759" s="19"/>
      <c r="K759" s="19"/>
      <c r="L759" s="19"/>
      <c r="M759" s="19"/>
      <c r="N759" s="19"/>
      <c r="O759" s="19"/>
      <c r="P759" s="19"/>
      <c r="Q759" s="19"/>
      <c r="R759" s="19"/>
      <c r="S759" s="19"/>
    </row>
    <row r="760" spans="3:19" ht="12.5">
      <c r="C760" s="66"/>
      <c r="I760" s="79"/>
      <c r="J760" s="19"/>
      <c r="K760" s="19"/>
      <c r="L760" s="19"/>
      <c r="M760" s="19"/>
      <c r="N760" s="19"/>
      <c r="O760" s="19"/>
      <c r="P760" s="19"/>
      <c r="Q760" s="19"/>
      <c r="R760" s="19"/>
      <c r="S760" s="19"/>
    </row>
    <row r="761" spans="3:19" ht="12.5">
      <c r="C761" s="66"/>
      <c r="I761" s="79"/>
      <c r="J761" s="19"/>
      <c r="K761" s="19"/>
      <c r="L761" s="19"/>
      <c r="M761" s="19"/>
      <c r="N761" s="19"/>
      <c r="O761" s="19"/>
      <c r="P761" s="19"/>
      <c r="Q761" s="19"/>
      <c r="R761" s="19"/>
      <c r="S761" s="19"/>
    </row>
    <row r="762" spans="3:19" ht="12.5">
      <c r="C762" s="66"/>
      <c r="I762" s="79"/>
      <c r="J762" s="19"/>
      <c r="K762" s="19"/>
      <c r="L762" s="19"/>
      <c r="M762" s="19"/>
      <c r="N762" s="19"/>
      <c r="O762" s="19"/>
      <c r="P762" s="19"/>
      <c r="Q762" s="19"/>
      <c r="R762" s="19"/>
      <c r="S762" s="19"/>
    </row>
    <row r="763" spans="3:19" ht="12.5">
      <c r="C763" s="66"/>
      <c r="I763" s="79"/>
      <c r="J763" s="19"/>
      <c r="K763" s="19"/>
      <c r="L763" s="19"/>
      <c r="M763" s="19"/>
      <c r="N763" s="19"/>
      <c r="O763" s="19"/>
      <c r="P763" s="19"/>
      <c r="Q763" s="19"/>
      <c r="R763" s="19"/>
      <c r="S763" s="19"/>
    </row>
    <row r="764" spans="3:19" ht="12.5">
      <c r="C764" s="66"/>
      <c r="I764" s="79"/>
      <c r="J764" s="19"/>
      <c r="K764" s="19"/>
      <c r="L764" s="19"/>
      <c r="M764" s="19"/>
      <c r="N764" s="19"/>
      <c r="O764" s="19"/>
      <c r="P764" s="19"/>
      <c r="Q764" s="19"/>
      <c r="R764" s="19"/>
      <c r="S764" s="19"/>
    </row>
    <row r="765" spans="3:19" ht="12.5">
      <c r="C765" s="66"/>
      <c r="I765" s="79"/>
      <c r="J765" s="19"/>
      <c r="K765" s="19"/>
      <c r="L765" s="19"/>
      <c r="M765" s="19"/>
      <c r="N765" s="19"/>
      <c r="O765" s="19"/>
      <c r="P765" s="19"/>
      <c r="Q765" s="19"/>
      <c r="R765" s="19"/>
      <c r="S765" s="19"/>
    </row>
    <row r="766" spans="3:19" ht="12.5">
      <c r="C766" s="66"/>
      <c r="I766" s="79"/>
      <c r="J766" s="19"/>
      <c r="K766" s="19"/>
      <c r="L766" s="19"/>
      <c r="M766" s="19"/>
      <c r="N766" s="19"/>
      <c r="O766" s="19"/>
      <c r="P766" s="19"/>
      <c r="Q766" s="19"/>
      <c r="R766" s="19"/>
      <c r="S766" s="19"/>
    </row>
    <row r="767" spans="3:19" ht="12.5">
      <c r="C767" s="66"/>
      <c r="I767" s="79"/>
      <c r="J767" s="19"/>
      <c r="K767" s="19"/>
      <c r="L767" s="19"/>
      <c r="M767" s="19"/>
      <c r="N767" s="19"/>
      <c r="O767" s="19"/>
      <c r="P767" s="19"/>
      <c r="Q767" s="19"/>
      <c r="R767" s="19"/>
      <c r="S767" s="19"/>
    </row>
    <row r="768" spans="3:19" ht="12.5">
      <c r="C768" s="66"/>
      <c r="I768" s="79"/>
      <c r="J768" s="19"/>
      <c r="K768" s="19"/>
      <c r="L768" s="19"/>
      <c r="M768" s="19"/>
      <c r="N768" s="19"/>
      <c r="O768" s="19"/>
      <c r="P768" s="19"/>
      <c r="Q768" s="19"/>
      <c r="R768" s="19"/>
      <c r="S768" s="19"/>
    </row>
    <row r="769" spans="3:19" ht="12.5">
      <c r="C769" s="66"/>
      <c r="I769" s="79"/>
      <c r="J769" s="19"/>
      <c r="K769" s="19"/>
      <c r="L769" s="19"/>
      <c r="M769" s="19"/>
      <c r="N769" s="19"/>
      <c r="O769" s="19"/>
      <c r="P769" s="19"/>
      <c r="Q769" s="19"/>
      <c r="R769" s="19"/>
      <c r="S769" s="19"/>
    </row>
    <row r="770" spans="3:19" ht="12.5">
      <c r="C770" s="66"/>
      <c r="I770" s="79"/>
      <c r="J770" s="19"/>
      <c r="K770" s="19"/>
      <c r="L770" s="19"/>
      <c r="M770" s="19"/>
      <c r="N770" s="19"/>
      <c r="O770" s="19"/>
      <c r="P770" s="19"/>
      <c r="Q770" s="19"/>
      <c r="R770" s="19"/>
      <c r="S770" s="19"/>
    </row>
    <row r="771" spans="3:19" ht="12.5">
      <c r="C771" s="66"/>
      <c r="I771" s="79"/>
      <c r="J771" s="19"/>
      <c r="K771" s="19"/>
      <c r="L771" s="19"/>
      <c r="M771" s="19"/>
      <c r="N771" s="19"/>
      <c r="O771" s="19"/>
      <c r="P771" s="19"/>
      <c r="Q771" s="19"/>
      <c r="R771" s="19"/>
      <c r="S771" s="19"/>
    </row>
    <row r="772" spans="3:19" ht="12.5">
      <c r="C772" s="66"/>
      <c r="I772" s="79"/>
      <c r="J772" s="19"/>
      <c r="K772" s="19"/>
      <c r="L772" s="19"/>
      <c r="M772" s="19"/>
      <c r="N772" s="19"/>
      <c r="O772" s="19"/>
      <c r="P772" s="19"/>
      <c r="Q772" s="19"/>
      <c r="R772" s="19"/>
      <c r="S772" s="19"/>
    </row>
    <row r="773" spans="3:19" ht="12.5">
      <c r="C773" s="66"/>
      <c r="I773" s="79"/>
      <c r="J773" s="19"/>
      <c r="K773" s="19"/>
      <c r="L773" s="19"/>
      <c r="M773" s="19"/>
      <c r="N773" s="19"/>
      <c r="O773" s="19"/>
      <c r="P773" s="19"/>
      <c r="Q773" s="19"/>
      <c r="R773" s="19"/>
      <c r="S773" s="19"/>
    </row>
    <row r="774" spans="3:19" ht="12.5">
      <c r="C774" s="66"/>
      <c r="I774" s="79"/>
      <c r="J774" s="19"/>
      <c r="K774" s="19"/>
      <c r="L774" s="19"/>
      <c r="M774" s="19"/>
      <c r="N774" s="19"/>
      <c r="O774" s="19"/>
      <c r="P774" s="19"/>
      <c r="Q774" s="19"/>
      <c r="R774" s="19"/>
      <c r="S774" s="19"/>
    </row>
    <row r="775" spans="3:19" ht="12.5">
      <c r="C775" s="66"/>
      <c r="I775" s="79"/>
      <c r="J775" s="19"/>
      <c r="K775" s="19"/>
      <c r="L775" s="19"/>
      <c r="M775" s="19"/>
      <c r="N775" s="19"/>
      <c r="O775" s="19"/>
      <c r="P775" s="19"/>
      <c r="Q775" s="19"/>
      <c r="R775" s="19"/>
      <c r="S775" s="19"/>
    </row>
    <row r="776" spans="3:19" ht="12.5">
      <c r="C776" s="66"/>
      <c r="I776" s="79"/>
      <c r="J776" s="19"/>
      <c r="K776" s="19"/>
      <c r="L776" s="19"/>
      <c r="M776" s="19"/>
      <c r="N776" s="19"/>
      <c r="O776" s="19"/>
      <c r="P776" s="19"/>
      <c r="Q776" s="19"/>
      <c r="R776" s="19"/>
      <c r="S776" s="19"/>
    </row>
    <row r="777" spans="3:19" ht="12.5">
      <c r="C777" s="66"/>
      <c r="I777" s="79"/>
      <c r="J777" s="19"/>
      <c r="K777" s="19"/>
      <c r="L777" s="19"/>
      <c r="M777" s="19"/>
      <c r="N777" s="19"/>
      <c r="O777" s="19"/>
      <c r="P777" s="19"/>
      <c r="Q777" s="19"/>
      <c r="R777" s="19"/>
      <c r="S777" s="19"/>
    </row>
    <row r="778" spans="3:19" ht="12.5">
      <c r="C778" s="66"/>
      <c r="I778" s="79"/>
      <c r="J778" s="19"/>
      <c r="K778" s="19"/>
      <c r="L778" s="19"/>
      <c r="M778" s="19"/>
      <c r="N778" s="19"/>
      <c r="O778" s="19"/>
      <c r="P778" s="19"/>
      <c r="Q778" s="19"/>
      <c r="R778" s="19"/>
      <c r="S778" s="19"/>
    </row>
    <row r="779" spans="3:19" ht="12.5">
      <c r="C779" s="66"/>
      <c r="I779" s="79"/>
      <c r="J779" s="19"/>
      <c r="K779" s="19"/>
      <c r="L779" s="19"/>
      <c r="M779" s="19"/>
      <c r="N779" s="19"/>
      <c r="O779" s="19"/>
      <c r="P779" s="19"/>
      <c r="Q779" s="19"/>
      <c r="R779" s="19"/>
      <c r="S779" s="19"/>
    </row>
    <row r="780" spans="3:19" ht="12.5">
      <c r="C780" s="66"/>
      <c r="I780" s="79"/>
      <c r="J780" s="19"/>
      <c r="K780" s="19"/>
      <c r="L780" s="19"/>
      <c r="M780" s="19"/>
      <c r="N780" s="19"/>
      <c r="O780" s="19"/>
      <c r="P780" s="19"/>
      <c r="Q780" s="19"/>
      <c r="R780" s="19"/>
      <c r="S780" s="19"/>
    </row>
    <row r="781" spans="3:19" ht="12.5">
      <c r="C781" s="66"/>
      <c r="I781" s="79"/>
      <c r="J781" s="19"/>
      <c r="K781" s="19"/>
      <c r="L781" s="19"/>
      <c r="M781" s="19"/>
      <c r="N781" s="19"/>
      <c r="O781" s="19"/>
      <c r="P781" s="19"/>
      <c r="Q781" s="19"/>
      <c r="R781" s="19"/>
      <c r="S781" s="19"/>
    </row>
    <row r="782" spans="3:19" ht="12.5">
      <c r="C782" s="66"/>
      <c r="I782" s="79"/>
      <c r="J782" s="19"/>
      <c r="K782" s="19"/>
      <c r="L782" s="19"/>
      <c r="M782" s="19"/>
      <c r="N782" s="19"/>
      <c r="O782" s="19"/>
      <c r="P782" s="19"/>
      <c r="Q782" s="19"/>
      <c r="R782" s="19"/>
      <c r="S782" s="19"/>
    </row>
    <row r="783" spans="3:19" ht="12.5">
      <c r="C783" s="66"/>
      <c r="I783" s="79"/>
      <c r="J783" s="19"/>
      <c r="K783" s="19"/>
      <c r="L783" s="19"/>
      <c r="M783" s="19"/>
      <c r="N783" s="19"/>
      <c r="O783" s="19"/>
      <c r="P783" s="19"/>
      <c r="Q783" s="19"/>
      <c r="R783" s="19"/>
      <c r="S783" s="19"/>
    </row>
    <row r="784" spans="3:19" ht="12.5">
      <c r="C784" s="66"/>
      <c r="I784" s="79"/>
      <c r="J784" s="19"/>
      <c r="K784" s="19"/>
      <c r="L784" s="19"/>
      <c r="M784" s="19"/>
      <c r="N784" s="19"/>
      <c r="O784" s="19"/>
      <c r="P784" s="19"/>
      <c r="Q784" s="19"/>
      <c r="R784" s="19"/>
      <c r="S784" s="19"/>
    </row>
    <row r="785" spans="3:19" ht="12.5">
      <c r="C785" s="66"/>
      <c r="I785" s="79"/>
      <c r="J785" s="19"/>
      <c r="K785" s="19"/>
      <c r="L785" s="19"/>
      <c r="M785" s="19"/>
      <c r="N785" s="19"/>
      <c r="O785" s="19"/>
      <c r="P785" s="19"/>
      <c r="Q785" s="19"/>
      <c r="R785" s="19"/>
      <c r="S785" s="19"/>
    </row>
    <row r="786" spans="3:19" ht="12.5">
      <c r="C786" s="66"/>
      <c r="I786" s="79"/>
      <c r="J786" s="19"/>
      <c r="K786" s="19"/>
      <c r="L786" s="19"/>
      <c r="M786" s="19"/>
      <c r="N786" s="19"/>
      <c r="O786" s="19"/>
      <c r="P786" s="19"/>
      <c r="Q786" s="19"/>
      <c r="R786" s="19"/>
      <c r="S786" s="19"/>
    </row>
    <row r="787" spans="3:19" ht="12.5">
      <c r="C787" s="66"/>
      <c r="I787" s="79"/>
      <c r="J787" s="19"/>
      <c r="K787" s="19"/>
      <c r="L787" s="19"/>
      <c r="M787" s="19"/>
      <c r="N787" s="19"/>
      <c r="O787" s="19"/>
      <c r="P787" s="19"/>
      <c r="Q787" s="19"/>
      <c r="R787" s="19"/>
      <c r="S787" s="19"/>
    </row>
    <row r="788" spans="3:19" ht="12.5">
      <c r="C788" s="66"/>
      <c r="I788" s="79"/>
      <c r="J788" s="19"/>
      <c r="K788" s="19"/>
      <c r="L788" s="19"/>
      <c r="M788" s="19"/>
      <c r="N788" s="19"/>
      <c r="O788" s="19"/>
      <c r="P788" s="19"/>
      <c r="Q788" s="19"/>
      <c r="R788" s="19"/>
      <c r="S788" s="19"/>
    </row>
    <row r="789" spans="3:19" ht="12.5">
      <c r="C789" s="66"/>
      <c r="I789" s="79"/>
      <c r="J789" s="19"/>
      <c r="K789" s="19"/>
      <c r="L789" s="19"/>
      <c r="M789" s="19"/>
      <c r="N789" s="19"/>
      <c r="O789" s="19"/>
      <c r="P789" s="19"/>
      <c r="Q789" s="19"/>
      <c r="R789" s="19"/>
      <c r="S789" s="19"/>
    </row>
    <row r="790" spans="3:19" ht="12.5">
      <c r="C790" s="66"/>
      <c r="I790" s="79"/>
      <c r="J790" s="19"/>
      <c r="K790" s="19"/>
      <c r="L790" s="19"/>
      <c r="M790" s="19"/>
      <c r="N790" s="19"/>
      <c r="O790" s="19"/>
      <c r="P790" s="19"/>
      <c r="Q790" s="19"/>
      <c r="R790" s="19"/>
      <c r="S790" s="19"/>
    </row>
    <row r="791" spans="3:19" ht="12.5">
      <c r="C791" s="66"/>
      <c r="I791" s="79"/>
      <c r="J791" s="19"/>
      <c r="K791" s="19"/>
      <c r="L791" s="19"/>
      <c r="M791" s="19"/>
      <c r="N791" s="19"/>
      <c r="O791" s="19"/>
      <c r="P791" s="19"/>
      <c r="Q791" s="19"/>
      <c r="R791" s="19"/>
      <c r="S791" s="19"/>
    </row>
    <row r="792" spans="3:19" ht="12.5">
      <c r="C792" s="66"/>
      <c r="I792" s="79"/>
      <c r="J792" s="19"/>
      <c r="K792" s="19"/>
      <c r="L792" s="19"/>
      <c r="M792" s="19"/>
      <c r="N792" s="19"/>
      <c r="O792" s="19"/>
      <c r="P792" s="19"/>
      <c r="Q792" s="19"/>
      <c r="R792" s="19"/>
      <c r="S792" s="19"/>
    </row>
    <row r="793" spans="3:19" ht="12.5">
      <c r="C793" s="66"/>
      <c r="I793" s="79"/>
      <c r="J793" s="19"/>
      <c r="K793" s="19"/>
      <c r="L793" s="19"/>
      <c r="M793" s="19"/>
      <c r="N793" s="19"/>
      <c r="O793" s="19"/>
      <c r="P793" s="19"/>
      <c r="Q793" s="19"/>
      <c r="R793" s="19"/>
      <c r="S793" s="19"/>
    </row>
    <row r="794" spans="3:19" ht="12.5">
      <c r="C794" s="66"/>
      <c r="I794" s="79"/>
      <c r="J794" s="19"/>
      <c r="K794" s="19"/>
      <c r="L794" s="19"/>
      <c r="M794" s="19"/>
      <c r="N794" s="19"/>
      <c r="O794" s="19"/>
      <c r="P794" s="19"/>
      <c r="Q794" s="19"/>
      <c r="R794" s="19"/>
      <c r="S794" s="19"/>
    </row>
    <row r="795" spans="3:19" ht="12.5">
      <c r="C795" s="66"/>
      <c r="I795" s="79"/>
      <c r="J795" s="19"/>
      <c r="K795" s="19"/>
      <c r="L795" s="19"/>
      <c r="M795" s="19"/>
      <c r="N795" s="19"/>
      <c r="O795" s="19"/>
      <c r="P795" s="19"/>
      <c r="Q795" s="19"/>
      <c r="R795" s="19"/>
      <c r="S795" s="19"/>
    </row>
    <row r="796" spans="3:19" ht="12.5">
      <c r="C796" s="66"/>
      <c r="I796" s="79"/>
      <c r="J796" s="19"/>
      <c r="K796" s="19"/>
      <c r="L796" s="19"/>
      <c r="M796" s="19"/>
      <c r="N796" s="19"/>
      <c r="O796" s="19"/>
      <c r="P796" s="19"/>
      <c r="Q796" s="19"/>
      <c r="R796" s="19"/>
      <c r="S796" s="19"/>
    </row>
    <row r="797" spans="3:19" ht="12.5">
      <c r="C797" s="66"/>
      <c r="I797" s="79"/>
      <c r="J797" s="19"/>
      <c r="K797" s="19"/>
      <c r="L797" s="19"/>
      <c r="M797" s="19"/>
      <c r="N797" s="19"/>
      <c r="O797" s="19"/>
      <c r="P797" s="19"/>
      <c r="Q797" s="19"/>
      <c r="R797" s="19"/>
      <c r="S797" s="19"/>
    </row>
    <row r="798" spans="3:19" ht="12.5">
      <c r="C798" s="66"/>
      <c r="I798" s="79"/>
      <c r="J798" s="19"/>
      <c r="K798" s="19"/>
      <c r="L798" s="19"/>
      <c r="M798" s="19"/>
      <c r="N798" s="19"/>
      <c r="O798" s="19"/>
      <c r="P798" s="19"/>
      <c r="Q798" s="19"/>
      <c r="R798" s="19"/>
      <c r="S798" s="19"/>
    </row>
    <row r="799" spans="3:19" ht="12.5">
      <c r="C799" s="66"/>
      <c r="I799" s="79"/>
      <c r="J799" s="19"/>
      <c r="K799" s="19"/>
      <c r="L799" s="19"/>
      <c r="M799" s="19"/>
      <c r="N799" s="19"/>
      <c r="O799" s="19"/>
      <c r="P799" s="19"/>
      <c r="Q799" s="19"/>
      <c r="R799" s="19"/>
      <c r="S799" s="19"/>
    </row>
    <row r="800" spans="3:19" ht="12.5">
      <c r="C800" s="66"/>
      <c r="I800" s="79"/>
      <c r="J800" s="19"/>
      <c r="K800" s="19"/>
      <c r="L800" s="19"/>
      <c r="M800" s="19"/>
      <c r="N800" s="19"/>
      <c r="O800" s="19"/>
      <c r="P800" s="19"/>
      <c r="Q800" s="19"/>
      <c r="R800" s="19"/>
      <c r="S800" s="19"/>
    </row>
    <row r="801" spans="3:19" ht="12.5">
      <c r="C801" s="66"/>
      <c r="I801" s="79"/>
      <c r="J801" s="19"/>
      <c r="K801" s="19"/>
      <c r="L801" s="19"/>
      <c r="M801" s="19"/>
      <c r="N801" s="19"/>
      <c r="O801" s="19"/>
      <c r="P801" s="19"/>
      <c r="Q801" s="19"/>
      <c r="R801" s="19"/>
      <c r="S801" s="19"/>
    </row>
    <row r="802" spans="3:19" ht="12.5">
      <c r="C802" s="66"/>
      <c r="I802" s="79"/>
      <c r="J802" s="19"/>
      <c r="K802" s="19"/>
      <c r="L802" s="19"/>
      <c r="M802" s="19"/>
      <c r="N802" s="19"/>
      <c r="O802" s="19"/>
      <c r="P802" s="19"/>
      <c r="Q802" s="19"/>
      <c r="R802" s="19"/>
      <c r="S802" s="19"/>
    </row>
    <row r="803" spans="3:19" ht="12.5">
      <c r="C803" s="66"/>
      <c r="I803" s="79"/>
      <c r="J803" s="19"/>
      <c r="K803" s="19"/>
      <c r="L803" s="19"/>
      <c r="M803" s="19"/>
      <c r="N803" s="19"/>
      <c r="O803" s="19"/>
      <c r="P803" s="19"/>
      <c r="Q803" s="19"/>
      <c r="R803" s="19"/>
      <c r="S803" s="19"/>
    </row>
    <row r="804" spans="3:19" ht="12.5">
      <c r="C804" s="66"/>
      <c r="I804" s="79"/>
      <c r="J804" s="19"/>
      <c r="K804" s="19"/>
      <c r="L804" s="19"/>
      <c r="M804" s="19"/>
      <c r="N804" s="19"/>
      <c r="O804" s="19"/>
      <c r="P804" s="19"/>
      <c r="Q804" s="19"/>
      <c r="R804" s="19"/>
      <c r="S804" s="19"/>
    </row>
    <row r="805" spans="3:19" ht="12.5">
      <c r="C805" s="66"/>
      <c r="I805" s="79"/>
      <c r="J805" s="19"/>
      <c r="K805" s="19"/>
      <c r="L805" s="19"/>
      <c r="M805" s="19"/>
      <c r="N805" s="19"/>
      <c r="O805" s="19"/>
      <c r="P805" s="19"/>
      <c r="Q805" s="19"/>
      <c r="R805" s="19"/>
      <c r="S805" s="19"/>
    </row>
    <row r="806" spans="3:19" ht="12.5">
      <c r="C806" s="66"/>
      <c r="I806" s="79"/>
      <c r="J806" s="19"/>
      <c r="K806" s="19"/>
      <c r="L806" s="19"/>
      <c r="M806" s="19"/>
      <c r="N806" s="19"/>
      <c r="O806" s="19"/>
      <c r="P806" s="19"/>
      <c r="Q806" s="19"/>
      <c r="R806" s="19"/>
      <c r="S806" s="19"/>
    </row>
    <row r="807" spans="3:19" ht="12.5">
      <c r="C807" s="66"/>
      <c r="I807" s="79"/>
      <c r="J807" s="19"/>
      <c r="K807" s="19"/>
      <c r="L807" s="19"/>
      <c r="M807" s="19"/>
      <c r="N807" s="19"/>
      <c r="O807" s="19"/>
      <c r="P807" s="19"/>
      <c r="Q807" s="19"/>
      <c r="R807" s="19"/>
      <c r="S807" s="19"/>
    </row>
    <row r="808" spans="3:19" ht="12.5">
      <c r="C808" s="66"/>
      <c r="I808" s="79"/>
      <c r="J808" s="19"/>
      <c r="K808" s="19"/>
      <c r="L808" s="19"/>
      <c r="M808" s="19"/>
      <c r="N808" s="19"/>
      <c r="O808" s="19"/>
      <c r="P808" s="19"/>
      <c r="Q808" s="19"/>
      <c r="R808" s="19"/>
      <c r="S808" s="19"/>
    </row>
    <row r="809" spans="3:19" ht="12.5">
      <c r="C809" s="66"/>
      <c r="I809" s="79"/>
      <c r="J809" s="19"/>
      <c r="K809" s="19"/>
      <c r="L809" s="19"/>
      <c r="M809" s="19"/>
      <c r="N809" s="19"/>
      <c r="O809" s="19"/>
      <c r="P809" s="19"/>
      <c r="Q809" s="19"/>
      <c r="R809" s="19"/>
      <c r="S809" s="19"/>
    </row>
    <row r="810" spans="3:19" ht="12.5">
      <c r="C810" s="66"/>
      <c r="I810" s="79"/>
      <c r="J810" s="19"/>
      <c r="K810" s="19"/>
      <c r="L810" s="19"/>
      <c r="M810" s="19"/>
      <c r="N810" s="19"/>
      <c r="O810" s="19"/>
      <c r="P810" s="19"/>
      <c r="Q810" s="19"/>
      <c r="R810" s="19"/>
      <c r="S810" s="19"/>
    </row>
    <row r="811" spans="3:19" ht="12.5">
      <c r="C811" s="66"/>
      <c r="I811" s="79"/>
      <c r="J811" s="19"/>
      <c r="K811" s="19"/>
      <c r="L811" s="19"/>
      <c r="M811" s="19"/>
      <c r="N811" s="19"/>
      <c r="O811" s="19"/>
      <c r="P811" s="19"/>
      <c r="Q811" s="19"/>
      <c r="R811" s="19"/>
      <c r="S811" s="19"/>
    </row>
    <row r="812" spans="3:19" ht="12.5">
      <c r="C812" s="66"/>
      <c r="I812" s="79"/>
      <c r="J812" s="19"/>
      <c r="K812" s="19"/>
      <c r="L812" s="19"/>
      <c r="M812" s="19"/>
      <c r="N812" s="19"/>
      <c r="O812" s="19"/>
      <c r="P812" s="19"/>
      <c r="Q812" s="19"/>
      <c r="R812" s="19"/>
      <c r="S812" s="19"/>
    </row>
    <row r="813" spans="3:19" ht="12.5">
      <c r="C813" s="66"/>
      <c r="I813" s="79"/>
      <c r="J813" s="19"/>
      <c r="K813" s="19"/>
      <c r="L813" s="19"/>
      <c r="M813" s="19"/>
      <c r="N813" s="19"/>
      <c r="O813" s="19"/>
      <c r="P813" s="19"/>
      <c r="Q813" s="19"/>
      <c r="R813" s="19"/>
      <c r="S813" s="19"/>
    </row>
    <row r="814" spans="3:19" ht="12.5">
      <c r="C814" s="66"/>
      <c r="I814" s="79"/>
      <c r="J814" s="19"/>
      <c r="K814" s="19"/>
      <c r="L814" s="19"/>
      <c r="M814" s="19"/>
      <c r="N814" s="19"/>
      <c r="O814" s="19"/>
      <c r="P814" s="19"/>
      <c r="Q814" s="19"/>
      <c r="R814" s="19"/>
      <c r="S814" s="19"/>
    </row>
    <row r="815" spans="3:19" ht="12.5">
      <c r="C815" s="66"/>
      <c r="I815" s="79"/>
      <c r="J815" s="19"/>
      <c r="K815" s="19"/>
      <c r="L815" s="19"/>
      <c r="M815" s="19"/>
      <c r="N815" s="19"/>
      <c r="O815" s="19"/>
      <c r="P815" s="19"/>
      <c r="Q815" s="19"/>
      <c r="R815" s="19"/>
      <c r="S815" s="19"/>
    </row>
    <row r="816" spans="3:19" ht="12.5">
      <c r="C816" s="66"/>
      <c r="I816" s="79"/>
      <c r="J816" s="19"/>
      <c r="K816" s="19"/>
      <c r="L816" s="19"/>
      <c r="M816" s="19"/>
      <c r="N816" s="19"/>
      <c r="O816" s="19"/>
      <c r="P816" s="19"/>
      <c r="Q816" s="19"/>
      <c r="R816" s="19"/>
      <c r="S816" s="19"/>
    </row>
    <row r="817" spans="3:19" ht="12.5">
      <c r="C817" s="66"/>
      <c r="I817" s="79"/>
      <c r="J817" s="19"/>
      <c r="K817" s="19"/>
      <c r="L817" s="19"/>
      <c r="M817" s="19"/>
      <c r="N817" s="19"/>
      <c r="O817" s="19"/>
      <c r="P817" s="19"/>
      <c r="Q817" s="19"/>
      <c r="R817" s="19"/>
      <c r="S817" s="19"/>
    </row>
    <row r="818" spans="3:19" ht="12.5">
      <c r="C818" s="66"/>
      <c r="I818" s="79"/>
      <c r="J818" s="19"/>
      <c r="K818" s="19"/>
      <c r="L818" s="19"/>
      <c r="M818" s="19"/>
      <c r="N818" s="19"/>
      <c r="O818" s="19"/>
      <c r="P818" s="19"/>
      <c r="Q818" s="19"/>
      <c r="R818" s="19"/>
      <c r="S818" s="19"/>
    </row>
    <row r="819" spans="3:19" ht="12.5">
      <c r="C819" s="66"/>
      <c r="I819" s="79"/>
      <c r="J819" s="19"/>
      <c r="K819" s="19"/>
      <c r="L819" s="19"/>
      <c r="M819" s="19"/>
      <c r="N819" s="19"/>
      <c r="O819" s="19"/>
      <c r="P819" s="19"/>
      <c r="Q819" s="19"/>
      <c r="R819" s="19"/>
      <c r="S819" s="19"/>
    </row>
    <row r="820" spans="3:19" ht="12.5">
      <c r="C820" s="66"/>
      <c r="I820" s="79"/>
      <c r="J820" s="19"/>
      <c r="K820" s="19"/>
      <c r="L820" s="19"/>
      <c r="M820" s="19"/>
      <c r="N820" s="19"/>
      <c r="O820" s="19"/>
      <c r="P820" s="19"/>
      <c r="Q820" s="19"/>
      <c r="R820" s="19"/>
      <c r="S820" s="19"/>
    </row>
    <row r="821" spans="3:19" ht="12.5">
      <c r="C821" s="66"/>
      <c r="I821" s="79"/>
      <c r="J821" s="19"/>
      <c r="K821" s="19"/>
      <c r="L821" s="19"/>
      <c r="M821" s="19"/>
      <c r="N821" s="19"/>
      <c r="O821" s="19"/>
      <c r="P821" s="19"/>
      <c r="Q821" s="19"/>
      <c r="R821" s="19"/>
      <c r="S821" s="19"/>
    </row>
    <row r="822" spans="3:19" ht="12.5">
      <c r="C822" s="66"/>
      <c r="I822" s="79"/>
      <c r="J822" s="19"/>
      <c r="K822" s="19"/>
      <c r="L822" s="19"/>
      <c r="M822" s="19"/>
      <c r="N822" s="19"/>
      <c r="O822" s="19"/>
      <c r="P822" s="19"/>
      <c r="Q822" s="19"/>
      <c r="R822" s="19"/>
      <c r="S822" s="19"/>
    </row>
    <row r="823" spans="3:19" ht="12.5">
      <c r="C823" s="66"/>
      <c r="I823" s="79"/>
      <c r="J823" s="19"/>
      <c r="K823" s="19"/>
      <c r="L823" s="19"/>
      <c r="M823" s="19"/>
      <c r="N823" s="19"/>
      <c r="O823" s="19"/>
      <c r="P823" s="19"/>
      <c r="Q823" s="19"/>
      <c r="R823" s="19"/>
      <c r="S823" s="19"/>
    </row>
    <row r="824" spans="3:19" ht="12.5">
      <c r="C824" s="66"/>
      <c r="I824" s="79"/>
      <c r="J824" s="19"/>
      <c r="K824" s="19"/>
      <c r="L824" s="19"/>
      <c r="M824" s="19"/>
      <c r="N824" s="19"/>
      <c r="O824" s="19"/>
      <c r="P824" s="19"/>
      <c r="Q824" s="19"/>
      <c r="R824" s="19"/>
      <c r="S824" s="19"/>
    </row>
    <row r="825" spans="3:19" ht="12.5">
      <c r="C825" s="66"/>
      <c r="I825" s="79"/>
      <c r="J825" s="19"/>
      <c r="K825" s="19"/>
      <c r="L825" s="19"/>
      <c r="M825" s="19"/>
      <c r="N825" s="19"/>
      <c r="O825" s="19"/>
      <c r="P825" s="19"/>
      <c r="Q825" s="19"/>
      <c r="R825" s="19"/>
      <c r="S825" s="19"/>
    </row>
    <row r="826" spans="3:19" ht="12.5">
      <c r="C826" s="66"/>
      <c r="I826" s="79"/>
      <c r="J826" s="19"/>
      <c r="K826" s="19"/>
      <c r="L826" s="19"/>
      <c r="M826" s="19"/>
      <c r="N826" s="19"/>
      <c r="O826" s="19"/>
      <c r="P826" s="19"/>
      <c r="Q826" s="19"/>
      <c r="R826" s="19"/>
      <c r="S826" s="19"/>
    </row>
    <row r="827" spans="3:19" ht="12.5">
      <c r="C827" s="66"/>
      <c r="I827" s="79"/>
      <c r="J827" s="19"/>
      <c r="K827" s="19"/>
      <c r="L827" s="19"/>
      <c r="M827" s="19"/>
      <c r="N827" s="19"/>
      <c r="O827" s="19"/>
      <c r="P827" s="19"/>
      <c r="Q827" s="19"/>
      <c r="R827" s="19"/>
      <c r="S827" s="19"/>
    </row>
    <row r="828" spans="3:19" ht="12.5">
      <c r="C828" s="66"/>
      <c r="I828" s="79"/>
      <c r="J828" s="19"/>
      <c r="K828" s="19"/>
      <c r="L828" s="19"/>
      <c r="M828" s="19"/>
      <c r="N828" s="19"/>
      <c r="O828" s="19"/>
      <c r="P828" s="19"/>
      <c r="Q828" s="19"/>
      <c r="R828" s="19"/>
      <c r="S828" s="19"/>
    </row>
    <row r="829" spans="3:19" ht="12.5">
      <c r="C829" s="66"/>
      <c r="I829" s="79"/>
      <c r="J829" s="19"/>
      <c r="K829" s="19"/>
      <c r="L829" s="19"/>
      <c r="M829" s="19"/>
      <c r="N829" s="19"/>
      <c r="O829" s="19"/>
      <c r="P829" s="19"/>
      <c r="Q829" s="19"/>
      <c r="R829" s="19"/>
      <c r="S829" s="19"/>
    </row>
    <row r="830" spans="3:19" ht="12.5">
      <c r="C830" s="66"/>
      <c r="I830" s="79"/>
      <c r="J830" s="19"/>
      <c r="K830" s="19"/>
      <c r="L830" s="19"/>
      <c r="M830" s="19"/>
      <c r="N830" s="19"/>
      <c r="O830" s="19"/>
      <c r="P830" s="19"/>
      <c r="Q830" s="19"/>
      <c r="R830" s="19"/>
      <c r="S830" s="19"/>
    </row>
    <row r="831" spans="3:19" ht="12.5">
      <c r="C831" s="66"/>
      <c r="I831" s="79"/>
      <c r="J831" s="19"/>
      <c r="K831" s="19"/>
      <c r="L831" s="19"/>
      <c r="M831" s="19"/>
      <c r="N831" s="19"/>
      <c r="O831" s="19"/>
      <c r="P831" s="19"/>
      <c r="Q831" s="19"/>
      <c r="R831" s="19"/>
      <c r="S831" s="19"/>
    </row>
    <row r="832" spans="3:19" ht="12.5">
      <c r="C832" s="66"/>
      <c r="I832" s="79"/>
      <c r="J832" s="19"/>
      <c r="K832" s="19"/>
      <c r="L832" s="19"/>
      <c r="M832" s="19"/>
      <c r="N832" s="19"/>
      <c r="O832" s="19"/>
      <c r="P832" s="19"/>
      <c r="Q832" s="19"/>
      <c r="R832" s="19"/>
      <c r="S832" s="19"/>
    </row>
    <row r="833" spans="3:19" ht="12.5">
      <c r="C833" s="66"/>
      <c r="I833" s="79"/>
      <c r="J833" s="19"/>
      <c r="K833" s="19"/>
      <c r="L833" s="19"/>
      <c r="M833" s="19"/>
      <c r="N833" s="19"/>
      <c r="O833" s="19"/>
      <c r="P833" s="19"/>
      <c r="Q833" s="19"/>
      <c r="R833" s="19"/>
      <c r="S833" s="19"/>
    </row>
    <row r="834" spans="3:19" ht="12.5">
      <c r="C834" s="66"/>
      <c r="I834" s="79"/>
      <c r="J834" s="19"/>
      <c r="K834" s="19"/>
      <c r="L834" s="19"/>
      <c r="M834" s="19"/>
      <c r="N834" s="19"/>
      <c r="O834" s="19"/>
      <c r="P834" s="19"/>
      <c r="Q834" s="19"/>
      <c r="R834" s="19"/>
      <c r="S834" s="19"/>
    </row>
    <row r="835" spans="3:19" ht="12.5">
      <c r="C835" s="66"/>
      <c r="I835" s="79"/>
      <c r="J835" s="19"/>
      <c r="K835" s="19"/>
      <c r="L835" s="19"/>
      <c r="M835" s="19"/>
      <c r="N835" s="19"/>
      <c r="O835" s="19"/>
      <c r="P835" s="19"/>
      <c r="Q835" s="19"/>
      <c r="R835" s="19"/>
      <c r="S835" s="19"/>
    </row>
    <row r="836" spans="3:19" ht="12.5">
      <c r="C836" s="66"/>
      <c r="I836" s="79"/>
      <c r="J836" s="19"/>
      <c r="K836" s="19"/>
      <c r="L836" s="19"/>
      <c r="M836" s="19"/>
      <c r="N836" s="19"/>
      <c r="O836" s="19"/>
      <c r="P836" s="19"/>
      <c r="Q836" s="19"/>
      <c r="R836" s="19"/>
      <c r="S836" s="19"/>
    </row>
    <row r="837" spans="3:19" ht="12.5">
      <c r="C837" s="66"/>
      <c r="I837" s="79"/>
      <c r="J837" s="19"/>
      <c r="K837" s="19"/>
      <c r="L837" s="19"/>
      <c r="M837" s="19"/>
      <c r="N837" s="19"/>
      <c r="O837" s="19"/>
      <c r="P837" s="19"/>
      <c r="Q837" s="19"/>
      <c r="R837" s="19"/>
      <c r="S837" s="19"/>
    </row>
    <row r="838" spans="3:19" ht="12.5">
      <c r="C838" s="66"/>
      <c r="I838" s="79"/>
      <c r="J838" s="19"/>
      <c r="K838" s="19"/>
      <c r="L838" s="19"/>
      <c r="M838" s="19"/>
      <c r="N838" s="19"/>
      <c r="O838" s="19"/>
      <c r="P838" s="19"/>
      <c r="Q838" s="19"/>
      <c r="R838" s="19"/>
      <c r="S838" s="19"/>
    </row>
    <row r="839" spans="3:19" ht="12.5">
      <c r="C839" s="66"/>
      <c r="I839" s="79"/>
      <c r="J839" s="19"/>
      <c r="K839" s="19"/>
      <c r="L839" s="19"/>
      <c r="M839" s="19"/>
      <c r="N839" s="19"/>
      <c r="O839" s="19"/>
      <c r="P839" s="19"/>
      <c r="Q839" s="19"/>
      <c r="R839" s="19"/>
      <c r="S839" s="19"/>
    </row>
    <row r="840" spans="3:19" ht="12.5">
      <c r="C840" s="66"/>
      <c r="I840" s="79"/>
      <c r="J840" s="19"/>
      <c r="K840" s="19"/>
      <c r="L840" s="19"/>
      <c r="M840" s="19"/>
      <c r="N840" s="19"/>
      <c r="O840" s="19"/>
      <c r="P840" s="19"/>
      <c r="Q840" s="19"/>
      <c r="R840" s="19"/>
      <c r="S840" s="19"/>
    </row>
    <row r="841" spans="3:19" ht="12.5">
      <c r="C841" s="66"/>
      <c r="I841" s="79"/>
      <c r="J841" s="19"/>
      <c r="K841" s="19"/>
      <c r="L841" s="19"/>
      <c r="M841" s="19"/>
      <c r="N841" s="19"/>
      <c r="O841" s="19"/>
      <c r="P841" s="19"/>
      <c r="Q841" s="19"/>
      <c r="R841" s="19"/>
      <c r="S841" s="19"/>
    </row>
    <row r="842" spans="3:19" ht="12.5">
      <c r="C842" s="66"/>
      <c r="I842" s="79"/>
      <c r="J842" s="19"/>
      <c r="K842" s="19"/>
      <c r="L842" s="19"/>
      <c r="M842" s="19"/>
      <c r="N842" s="19"/>
      <c r="O842" s="19"/>
      <c r="P842" s="19"/>
      <c r="Q842" s="19"/>
      <c r="R842" s="19"/>
      <c r="S842" s="19"/>
    </row>
    <row r="843" spans="3:19" ht="12.5">
      <c r="C843" s="66"/>
      <c r="I843" s="79"/>
      <c r="J843" s="19"/>
      <c r="K843" s="19"/>
      <c r="L843" s="19"/>
      <c r="M843" s="19"/>
      <c r="N843" s="19"/>
      <c r="O843" s="19"/>
      <c r="P843" s="19"/>
      <c r="Q843" s="19"/>
      <c r="R843" s="19"/>
      <c r="S843" s="19"/>
    </row>
    <row r="844" spans="3:19" ht="12.5">
      <c r="C844" s="66"/>
      <c r="I844" s="79"/>
      <c r="J844" s="19"/>
      <c r="K844" s="19"/>
      <c r="L844" s="19"/>
      <c r="M844" s="19"/>
      <c r="N844" s="19"/>
      <c r="O844" s="19"/>
      <c r="P844" s="19"/>
      <c r="Q844" s="19"/>
      <c r="R844" s="19"/>
      <c r="S844" s="19"/>
    </row>
    <row r="845" spans="3:19" ht="12.5">
      <c r="C845" s="66"/>
      <c r="I845" s="79"/>
      <c r="J845" s="19"/>
      <c r="K845" s="19"/>
      <c r="L845" s="19"/>
      <c r="M845" s="19"/>
      <c r="N845" s="19"/>
      <c r="O845" s="19"/>
      <c r="P845" s="19"/>
      <c r="Q845" s="19"/>
      <c r="R845" s="19"/>
      <c r="S845" s="19"/>
    </row>
    <row r="846" spans="3:19" ht="12.5">
      <c r="C846" s="66"/>
      <c r="I846" s="79"/>
      <c r="J846" s="19"/>
      <c r="K846" s="19"/>
      <c r="L846" s="19"/>
      <c r="M846" s="19"/>
      <c r="N846" s="19"/>
      <c r="O846" s="19"/>
      <c r="P846" s="19"/>
      <c r="Q846" s="19"/>
      <c r="R846" s="19"/>
      <c r="S846" s="19"/>
    </row>
    <row r="847" spans="3:19" ht="12.5">
      <c r="C847" s="66"/>
      <c r="I847" s="79"/>
      <c r="J847" s="19"/>
      <c r="K847" s="19"/>
      <c r="L847" s="19"/>
      <c r="M847" s="19"/>
      <c r="N847" s="19"/>
      <c r="O847" s="19"/>
      <c r="P847" s="19"/>
      <c r="Q847" s="19"/>
      <c r="R847" s="19"/>
      <c r="S847" s="19"/>
    </row>
    <row r="848" spans="3:19" ht="12.5">
      <c r="C848" s="66"/>
      <c r="I848" s="79"/>
      <c r="J848" s="19"/>
      <c r="K848" s="19"/>
      <c r="L848" s="19"/>
      <c r="M848" s="19"/>
      <c r="N848" s="19"/>
      <c r="O848" s="19"/>
      <c r="P848" s="19"/>
      <c r="Q848" s="19"/>
      <c r="R848" s="19"/>
      <c r="S848" s="19"/>
    </row>
    <row r="849" spans="3:19" ht="12.5">
      <c r="C849" s="66"/>
      <c r="I849" s="79"/>
      <c r="J849" s="19"/>
      <c r="K849" s="19"/>
      <c r="L849" s="19"/>
      <c r="M849" s="19"/>
      <c r="N849" s="19"/>
      <c r="O849" s="19"/>
      <c r="P849" s="19"/>
      <c r="Q849" s="19"/>
      <c r="R849" s="19"/>
      <c r="S849" s="19"/>
    </row>
    <row r="850" spans="3:19" ht="12.5">
      <c r="C850" s="66"/>
      <c r="I850" s="79"/>
      <c r="J850" s="19"/>
      <c r="K850" s="19"/>
      <c r="L850" s="19"/>
      <c r="M850" s="19"/>
      <c r="N850" s="19"/>
      <c r="O850" s="19"/>
      <c r="P850" s="19"/>
      <c r="Q850" s="19"/>
      <c r="R850" s="19"/>
      <c r="S850" s="19"/>
    </row>
    <row r="851" spans="3:19" ht="12.5">
      <c r="C851" s="66"/>
      <c r="I851" s="79"/>
      <c r="J851" s="19"/>
      <c r="K851" s="19"/>
      <c r="L851" s="19"/>
      <c r="M851" s="19"/>
      <c r="N851" s="19"/>
      <c r="O851" s="19"/>
      <c r="P851" s="19"/>
      <c r="Q851" s="19"/>
      <c r="R851" s="19"/>
      <c r="S851" s="19"/>
    </row>
    <row r="852" spans="3:19" ht="12.5">
      <c r="C852" s="66"/>
      <c r="I852" s="79"/>
      <c r="J852" s="19"/>
      <c r="K852" s="19"/>
      <c r="L852" s="19"/>
      <c r="M852" s="19"/>
      <c r="N852" s="19"/>
      <c r="O852" s="19"/>
      <c r="P852" s="19"/>
      <c r="Q852" s="19"/>
      <c r="R852" s="19"/>
      <c r="S852" s="19"/>
    </row>
    <row r="853" spans="3:19" ht="12.5">
      <c r="C853" s="66"/>
      <c r="I853" s="79"/>
      <c r="J853" s="19"/>
      <c r="K853" s="19"/>
      <c r="L853" s="19"/>
      <c r="M853" s="19"/>
      <c r="N853" s="19"/>
      <c r="O853" s="19"/>
      <c r="P853" s="19"/>
      <c r="Q853" s="19"/>
      <c r="R853" s="19"/>
      <c r="S853" s="19"/>
    </row>
    <row r="854" spans="3:19" ht="12.5">
      <c r="C854" s="66"/>
      <c r="I854" s="79"/>
      <c r="J854" s="19"/>
      <c r="K854" s="19"/>
      <c r="L854" s="19"/>
      <c r="M854" s="19"/>
      <c r="N854" s="19"/>
      <c r="O854" s="19"/>
      <c r="P854" s="19"/>
      <c r="Q854" s="19"/>
      <c r="R854" s="19"/>
      <c r="S854" s="19"/>
    </row>
    <row r="855" spans="3:19" ht="12.5">
      <c r="C855" s="66"/>
      <c r="I855" s="79"/>
      <c r="J855" s="19"/>
      <c r="K855" s="19"/>
      <c r="L855" s="19"/>
      <c r="M855" s="19"/>
      <c r="N855" s="19"/>
      <c r="O855" s="19"/>
      <c r="P855" s="19"/>
      <c r="Q855" s="19"/>
      <c r="R855" s="19"/>
      <c r="S855" s="19"/>
    </row>
    <row r="856" spans="3:19" ht="12.5">
      <c r="C856" s="66"/>
      <c r="I856" s="79"/>
      <c r="J856" s="19"/>
      <c r="K856" s="19"/>
      <c r="L856" s="19"/>
      <c r="M856" s="19"/>
      <c r="N856" s="19"/>
      <c r="O856" s="19"/>
      <c r="P856" s="19"/>
      <c r="Q856" s="19"/>
      <c r="R856" s="19"/>
      <c r="S856" s="19"/>
    </row>
    <row r="857" spans="3:19" ht="12.5">
      <c r="C857" s="66"/>
      <c r="I857" s="79"/>
      <c r="J857" s="19"/>
      <c r="K857" s="19"/>
      <c r="L857" s="19"/>
      <c r="M857" s="19"/>
      <c r="N857" s="19"/>
      <c r="O857" s="19"/>
      <c r="P857" s="19"/>
      <c r="Q857" s="19"/>
      <c r="R857" s="19"/>
      <c r="S857" s="19"/>
    </row>
    <row r="858" spans="3:19" ht="12.5">
      <c r="C858" s="66"/>
      <c r="I858" s="79"/>
      <c r="J858" s="19"/>
      <c r="K858" s="19"/>
      <c r="L858" s="19"/>
      <c r="M858" s="19"/>
      <c r="N858" s="19"/>
      <c r="O858" s="19"/>
      <c r="P858" s="19"/>
      <c r="Q858" s="19"/>
      <c r="R858" s="19"/>
      <c r="S858" s="19"/>
    </row>
    <row r="859" spans="3:19" ht="12.5">
      <c r="C859" s="66"/>
      <c r="I859" s="79"/>
      <c r="J859" s="19"/>
      <c r="K859" s="19"/>
      <c r="L859" s="19"/>
      <c r="M859" s="19"/>
      <c r="N859" s="19"/>
      <c r="O859" s="19"/>
      <c r="P859" s="19"/>
      <c r="Q859" s="19"/>
      <c r="R859" s="19"/>
      <c r="S859" s="19"/>
    </row>
    <row r="860" spans="3:19" ht="12.5">
      <c r="C860" s="66"/>
      <c r="I860" s="79"/>
      <c r="J860" s="19"/>
      <c r="K860" s="19"/>
      <c r="L860" s="19"/>
      <c r="M860" s="19"/>
      <c r="N860" s="19"/>
      <c r="O860" s="19"/>
      <c r="P860" s="19"/>
      <c r="Q860" s="19"/>
      <c r="R860" s="19"/>
      <c r="S860" s="19"/>
    </row>
    <row r="861" spans="3:19" ht="12.5">
      <c r="C861" s="66"/>
      <c r="I861" s="79"/>
      <c r="J861" s="19"/>
      <c r="K861" s="19"/>
      <c r="L861" s="19"/>
      <c r="M861" s="19"/>
      <c r="N861" s="19"/>
      <c r="O861" s="19"/>
      <c r="P861" s="19"/>
      <c r="Q861" s="19"/>
      <c r="R861" s="19"/>
      <c r="S861" s="19"/>
    </row>
    <row r="862" spans="3:19" ht="12.5">
      <c r="C862" s="66"/>
      <c r="I862" s="79"/>
      <c r="J862" s="19"/>
      <c r="K862" s="19"/>
      <c r="L862" s="19"/>
      <c r="M862" s="19"/>
      <c r="N862" s="19"/>
      <c r="O862" s="19"/>
      <c r="P862" s="19"/>
      <c r="Q862" s="19"/>
      <c r="R862" s="19"/>
      <c r="S862" s="19"/>
    </row>
    <row r="863" spans="3:19" ht="12.5">
      <c r="C863" s="66"/>
      <c r="I863" s="79"/>
      <c r="J863" s="19"/>
      <c r="K863" s="19"/>
      <c r="L863" s="19"/>
      <c r="M863" s="19"/>
      <c r="N863" s="19"/>
      <c r="O863" s="19"/>
      <c r="P863" s="19"/>
      <c r="Q863" s="19"/>
      <c r="R863" s="19"/>
      <c r="S863" s="19"/>
    </row>
    <row r="864" spans="3:19" ht="12.5">
      <c r="C864" s="66"/>
      <c r="I864" s="79"/>
      <c r="J864" s="19"/>
      <c r="K864" s="19"/>
      <c r="L864" s="19"/>
      <c r="M864" s="19"/>
      <c r="N864" s="19"/>
      <c r="O864" s="19"/>
      <c r="P864" s="19"/>
      <c r="Q864" s="19"/>
      <c r="R864" s="19"/>
      <c r="S864" s="19"/>
    </row>
    <row r="865" spans="3:19" ht="12.5">
      <c r="C865" s="66"/>
      <c r="I865" s="79"/>
      <c r="J865" s="19"/>
      <c r="K865" s="19"/>
      <c r="L865" s="19"/>
      <c r="M865" s="19"/>
      <c r="N865" s="19"/>
      <c r="O865" s="19"/>
      <c r="P865" s="19"/>
      <c r="Q865" s="19"/>
      <c r="R865" s="19"/>
      <c r="S865" s="19"/>
    </row>
    <row r="866" spans="3:19" ht="12.5">
      <c r="C866" s="66"/>
      <c r="I866" s="79"/>
      <c r="J866" s="19"/>
      <c r="K866" s="19"/>
      <c r="L866" s="19"/>
      <c r="M866" s="19"/>
      <c r="N866" s="19"/>
      <c r="O866" s="19"/>
      <c r="P866" s="19"/>
      <c r="Q866" s="19"/>
      <c r="R866" s="19"/>
      <c r="S866" s="19"/>
    </row>
    <row r="867" spans="3:19" ht="12.5">
      <c r="C867" s="66"/>
      <c r="I867" s="79"/>
      <c r="J867" s="19"/>
      <c r="K867" s="19"/>
      <c r="L867" s="19"/>
      <c r="M867" s="19"/>
      <c r="N867" s="19"/>
      <c r="O867" s="19"/>
      <c r="P867" s="19"/>
      <c r="Q867" s="19"/>
      <c r="R867" s="19"/>
      <c r="S867" s="19"/>
    </row>
    <row r="868" spans="3:19" ht="12.5">
      <c r="C868" s="66"/>
      <c r="I868" s="79"/>
      <c r="J868" s="19"/>
      <c r="K868" s="19"/>
      <c r="L868" s="19"/>
      <c r="M868" s="19"/>
      <c r="N868" s="19"/>
      <c r="O868" s="19"/>
      <c r="P868" s="19"/>
      <c r="Q868" s="19"/>
      <c r="R868" s="19"/>
      <c r="S868" s="19"/>
    </row>
    <row r="869" spans="3:19" ht="12.5">
      <c r="C869" s="66"/>
      <c r="I869" s="79"/>
      <c r="J869" s="19"/>
      <c r="K869" s="19"/>
      <c r="L869" s="19"/>
      <c r="M869" s="19"/>
      <c r="N869" s="19"/>
      <c r="O869" s="19"/>
      <c r="P869" s="19"/>
      <c r="Q869" s="19"/>
      <c r="R869" s="19"/>
      <c r="S869" s="19"/>
    </row>
    <row r="870" spans="3:19" ht="12.5">
      <c r="C870" s="66"/>
      <c r="I870" s="79"/>
      <c r="J870" s="19"/>
      <c r="K870" s="19"/>
      <c r="L870" s="19"/>
      <c r="M870" s="19"/>
      <c r="N870" s="19"/>
      <c r="O870" s="19"/>
      <c r="P870" s="19"/>
      <c r="Q870" s="19"/>
      <c r="R870" s="19"/>
      <c r="S870" s="19"/>
    </row>
    <row r="871" spans="3:19" ht="12.5">
      <c r="C871" s="66"/>
      <c r="I871" s="79"/>
      <c r="J871" s="19"/>
      <c r="K871" s="19"/>
      <c r="L871" s="19"/>
      <c r="M871" s="19"/>
      <c r="N871" s="19"/>
      <c r="O871" s="19"/>
      <c r="P871" s="19"/>
      <c r="Q871" s="19"/>
      <c r="R871" s="19"/>
      <c r="S871" s="19"/>
    </row>
    <row r="872" spans="3:19" ht="12.5">
      <c r="C872" s="66"/>
      <c r="I872" s="79"/>
      <c r="J872" s="19"/>
      <c r="K872" s="19"/>
      <c r="L872" s="19"/>
      <c r="M872" s="19"/>
      <c r="N872" s="19"/>
      <c r="O872" s="19"/>
      <c r="P872" s="19"/>
      <c r="Q872" s="19"/>
      <c r="R872" s="19"/>
      <c r="S872" s="19"/>
    </row>
    <row r="873" spans="3:19" ht="12.5">
      <c r="C873" s="66"/>
      <c r="I873" s="79"/>
      <c r="J873" s="19"/>
      <c r="K873" s="19"/>
      <c r="L873" s="19"/>
      <c r="M873" s="19"/>
      <c r="N873" s="19"/>
      <c r="O873" s="19"/>
      <c r="P873" s="19"/>
      <c r="Q873" s="19"/>
      <c r="R873" s="19"/>
      <c r="S873" s="19"/>
    </row>
    <row r="874" spans="3:19" ht="12.5">
      <c r="C874" s="66"/>
      <c r="I874" s="79"/>
      <c r="J874" s="19"/>
      <c r="K874" s="19"/>
      <c r="L874" s="19"/>
      <c r="M874" s="19"/>
      <c r="N874" s="19"/>
      <c r="O874" s="19"/>
      <c r="P874" s="19"/>
      <c r="Q874" s="19"/>
      <c r="R874" s="19"/>
      <c r="S874" s="19"/>
    </row>
    <row r="875" spans="3:19" ht="12.5">
      <c r="C875" s="66"/>
      <c r="I875" s="79"/>
      <c r="J875" s="19"/>
      <c r="K875" s="19"/>
      <c r="L875" s="19"/>
      <c r="M875" s="19"/>
      <c r="N875" s="19"/>
      <c r="O875" s="19"/>
      <c r="P875" s="19"/>
      <c r="Q875" s="19"/>
      <c r="R875" s="19"/>
      <c r="S875" s="19"/>
    </row>
    <row r="876" spans="3:19" ht="12.5">
      <c r="C876" s="66"/>
      <c r="I876" s="79"/>
      <c r="J876" s="19"/>
      <c r="K876" s="19"/>
      <c r="L876" s="19"/>
      <c r="M876" s="19"/>
      <c r="N876" s="19"/>
      <c r="O876" s="19"/>
      <c r="P876" s="19"/>
      <c r="Q876" s="19"/>
      <c r="R876" s="19"/>
      <c r="S876" s="19"/>
    </row>
    <row r="877" spans="3:19" ht="12.5">
      <c r="C877" s="66"/>
      <c r="I877" s="79"/>
      <c r="J877" s="19"/>
      <c r="K877" s="19"/>
      <c r="L877" s="19"/>
      <c r="M877" s="19"/>
      <c r="N877" s="19"/>
      <c r="O877" s="19"/>
      <c r="P877" s="19"/>
      <c r="Q877" s="19"/>
      <c r="R877" s="19"/>
      <c r="S877" s="19"/>
    </row>
    <row r="878" spans="3:19" ht="12.5">
      <c r="C878" s="66"/>
      <c r="I878" s="79"/>
      <c r="J878" s="19"/>
      <c r="K878" s="19"/>
      <c r="L878" s="19"/>
      <c r="M878" s="19"/>
      <c r="N878" s="19"/>
      <c r="O878" s="19"/>
      <c r="P878" s="19"/>
      <c r="Q878" s="19"/>
      <c r="R878" s="19"/>
      <c r="S878" s="19"/>
    </row>
    <row r="879" spans="3:19" ht="12.5">
      <c r="C879" s="66"/>
      <c r="I879" s="79"/>
      <c r="J879" s="19"/>
      <c r="K879" s="19"/>
      <c r="L879" s="19"/>
      <c r="M879" s="19"/>
      <c r="N879" s="19"/>
      <c r="O879" s="19"/>
      <c r="P879" s="19"/>
      <c r="Q879" s="19"/>
      <c r="R879" s="19"/>
      <c r="S879" s="19"/>
    </row>
    <row r="880" spans="3:19" ht="12.5">
      <c r="C880" s="66"/>
      <c r="I880" s="79"/>
      <c r="J880" s="19"/>
      <c r="K880" s="19"/>
      <c r="L880" s="19"/>
      <c r="M880" s="19"/>
      <c r="N880" s="19"/>
      <c r="O880" s="19"/>
      <c r="P880" s="19"/>
      <c r="Q880" s="19"/>
      <c r="R880" s="19"/>
      <c r="S880" s="19"/>
    </row>
    <row r="881" spans="3:19" ht="12.5">
      <c r="C881" s="66"/>
      <c r="I881" s="79"/>
      <c r="J881" s="19"/>
      <c r="K881" s="19"/>
      <c r="L881" s="19"/>
      <c r="M881" s="19"/>
      <c r="N881" s="19"/>
      <c r="O881" s="19"/>
      <c r="P881" s="19"/>
      <c r="Q881" s="19"/>
      <c r="R881" s="19"/>
      <c r="S881" s="19"/>
    </row>
    <row r="882" spans="3:19" ht="12.5">
      <c r="C882" s="66"/>
      <c r="I882" s="79"/>
      <c r="J882" s="19"/>
      <c r="K882" s="19"/>
      <c r="L882" s="19"/>
      <c r="M882" s="19"/>
      <c r="N882" s="19"/>
      <c r="O882" s="19"/>
      <c r="P882" s="19"/>
      <c r="Q882" s="19"/>
      <c r="R882" s="19"/>
      <c r="S882" s="19"/>
    </row>
    <row r="883" spans="3:19" ht="12.5">
      <c r="C883" s="66"/>
      <c r="I883" s="79"/>
      <c r="J883" s="19"/>
      <c r="K883" s="19"/>
      <c r="L883" s="19"/>
      <c r="M883" s="19"/>
      <c r="N883" s="19"/>
      <c r="O883" s="19"/>
      <c r="P883" s="19"/>
      <c r="Q883" s="19"/>
      <c r="R883" s="19"/>
      <c r="S883" s="19"/>
    </row>
    <row r="884" spans="3:19" ht="12.5">
      <c r="C884" s="66"/>
      <c r="I884" s="79"/>
      <c r="J884" s="19"/>
      <c r="K884" s="19"/>
      <c r="L884" s="19"/>
      <c r="M884" s="19"/>
      <c r="N884" s="19"/>
      <c r="O884" s="19"/>
      <c r="P884" s="19"/>
      <c r="Q884" s="19"/>
      <c r="R884" s="19"/>
      <c r="S884" s="19"/>
    </row>
    <row r="885" spans="3:19" ht="12.5">
      <c r="C885" s="66"/>
      <c r="I885" s="79"/>
      <c r="J885" s="19"/>
      <c r="K885" s="19"/>
      <c r="L885" s="19"/>
      <c r="M885" s="19"/>
      <c r="N885" s="19"/>
      <c r="O885" s="19"/>
      <c r="P885" s="19"/>
      <c r="Q885" s="19"/>
      <c r="R885" s="19"/>
      <c r="S885" s="19"/>
    </row>
    <row r="886" spans="3:19" ht="12.5">
      <c r="C886" s="66"/>
      <c r="I886" s="79"/>
      <c r="J886" s="19"/>
      <c r="K886" s="19"/>
      <c r="L886" s="19"/>
      <c r="M886" s="19"/>
      <c r="N886" s="19"/>
      <c r="O886" s="19"/>
      <c r="P886" s="19"/>
      <c r="Q886" s="19"/>
      <c r="R886" s="19"/>
      <c r="S886" s="19"/>
    </row>
    <row r="887" spans="3:19" ht="12.5">
      <c r="C887" s="66"/>
      <c r="I887" s="79"/>
      <c r="J887" s="19"/>
      <c r="K887" s="19"/>
      <c r="L887" s="19"/>
      <c r="M887" s="19"/>
      <c r="N887" s="19"/>
      <c r="O887" s="19"/>
      <c r="P887" s="19"/>
      <c r="Q887" s="19"/>
      <c r="R887" s="19"/>
      <c r="S887" s="19"/>
    </row>
    <row r="888" spans="3:19" ht="12.5">
      <c r="C888" s="66"/>
      <c r="I888" s="79"/>
      <c r="J888" s="19"/>
      <c r="K888" s="19"/>
      <c r="L888" s="19"/>
      <c r="M888" s="19"/>
      <c r="N888" s="19"/>
      <c r="O888" s="19"/>
      <c r="P888" s="19"/>
      <c r="Q888" s="19"/>
      <c r="R888" s="19"/>
      <c r="S888" s="19"/>
    </row>
    <row r="889" spans="3:19" ht="12.5">
      <c r="C889" s="66"/>
      <c r="I889" s="79"/>
      <c r="J889" s="19"/>
      <c r="K889" s="19"/>
      <c r="L889" s="19"/>
      <c r="M889" s="19"/>
      <c r="N889" s="19"/>
      <c r="O889" s="19"/>
      <c r="P889" s="19"/>
      <c r="Q889" s="19"/>
      <c r="R889" s="19"/>
      <c r="S889" s="19"/>
    </row>
    <row r="890" spans="3:19" ht="12.5">
      <c r="C890" s="66"/>
      <c r="I890" s="79"/>
      <c r="J890" s="19"/>
      <c r="K890" s="19"/>
      <c r="L890" s="19"/>
      <c r="M890" s="19"/>
      <c r="N890" s="19"/>
      <c r="O890" s="19"/>
      <c r="P890" s="19"/>
      <c r="Q890" s="19"/>
      <c r="R890" s="19"/>
      <c r="S890" s="19"/>
    </row>
    <row r="891" spans="3:19" ht="12.5">
      <c r="C891" s="66"/>
      <c r="I891" s="79"/>
      <c r="J891" s="19"/>
      <c r="K891" s="19"/>
      <c r="L891" s="19"/>
      <c r="M891" s="19"/>
      <c r="N891" s="19"/>
      <c r="O891" s="19"/>
      <c r="P891" s="19"/>
      <c r="Q891" s="19"/>
      <c r="R891" s="19"/>
      <c r="S891" s="19"/>
    </row>
    <row r="892" spans="3:19" ht="12.5">
      <c r="C892" s="66"/>
      <c r="I892" s="79"/>
      <c r="J892" s="19"/>
      <c r="K892" s="19"/>
      <c r="L892" s="19"/>
      <c r="M892" s="19"/>
      <c r="N892" s="19"/>
      <c r="O892" s="19"/>
      <c r="P892" s="19"/>
      <c r="Q892" s="19"/>
      <c r="R892" s="19"/>
      <c r="S892" s="19"/>
    </row>
    <row r="893" spans="3:19" ht="12.5">
      <c r="C893" s="66"/>
      <c r="I893" s="79"/>
      <c r="J893" s="19"/>
      <c r="K893" s="19"/>
      <c r="L893" s="19"/>
      <c r="M893" s="19"/>
      <c r="N893" s="19"/>
      <c r="O893" s="19"/>
      <c r="P893" s="19"/>
      <c r="Q893" s="19"/>
      <c r="R893" s="19"/>
      <c r="S893" s="19"/>
    </row>
    <row r="894" spans="3:19" ht="12.5">
      <c r="C894" s="66"/>
      <c r="I894" s="79"/>
      <c r="J894" s="19"/>
      <c r="K894" s="19"/>
      <c r="L894" s="19"/>
      <c r="M894" s="19"/>
      <c r="N894" s="19"/>
      <c r="O894" s="19"/>
      <c r="P894" s="19"/>
      <c r="Q894" s="19"/>
      <c r="R894" s="19"/>
      <c r="S894" s="19"/>
    </row>
    <row r="895" spans="3:19" ht="12.5">
      <c r="C895" s="66"/>
      <c r="I895" s="79"/>
      <c r="J895" s="19"/>
      <c r="K895" s="19"/>
      <c r="L895" s="19"/>
      <c r="M895" s="19"/>
      <c r="N895" s="19"/>
      <c r="O895" s="19"/>
      <c r="P895" s="19"/>
      <c r="Q895" s="19"/>
      <c r="R895" s="19"/>
      <c r="S895" s="19"/>
    </row>
    <row r="896" spans="3:19" ht="12.5">
      <c r="C896" s="66"/>
      <c r="I896" s="79"/>
      <c r="J896" s="19"/>
      <c r="K896" s="19"/>
      <c r="L896" s="19"/>
      <c r="M896" s="19"/>
      <c r="N896" s="19"/>
      <c r="O896" s="19"/>
      <c r="P896" s="19"/>
      <c r="Q896" s="19"/>
      <c r="R896" s="19"/>
      <c r="S896" s="19"/>
    </row>
    <row r="897" spans="3:19" ht="12.5">
      <c r="C897" s="66"/>
      <c r="I897" s="79"/>
      <c r="J897" s="19"/>
      <c r="K897" s="19"/>
      <c r="L897" s="19"/>
      <c r="M897" s="19"/>
      <c r="N897" s="19"/>
      <c r="O897" s="19"/>
      <c r="P897" s="19"/>
      <c r="Q897" s="19"/>
      <c r="R897" s="19"/>
      <c r="S897" s="19"/>
    </row>
    <row r="898" spans="3:19" ht="12.5">
      <c r="C898" s="66"/>
      <c r="I898" s="79"/>
      <c r="J898" s="19"/>
      <c r="K898" s="19"/>
      <c r="L898" s="19"/>
      <c r="M898" s="19"/>
      <c r="N898" s="19"/>
      <c r="O898" s="19"/>
      <c r="P898" s="19"/>
      <c r="Q898" s="19"/>
      <c r="R898" s="19"/>
      <c r="S898" s="19"/>
    </row>
    <row r="899" spans="3:19" ht="12.5">
      <c r="C899" s="66"/>
      <c r="I899" s="79"/>
      <c r="J899" s="19"/>
      <c r="K899" s="19"/>
      <c r="L899" s="19"/>
      <c r="M899" s="19"/>
      <c r="N899" s="19"/>
      <c r="O899" s="19"/>
      <c r="P899" s="19"/>
      <c r="Q899" s="19"/>
      <c r="R899" s="19"/>
      <c r="S899" s="19"/>
    </row>
    <row r="900" spans="3:19" ht="12.5">
      <c r="C900" s="66"/>
      <c r="I900" s="79"/>
      <c r="J900" s="19"/>
      <c r="K900" s="19"/>
      <c r="L900" s="19"/>
      <c r="M900" s="19"/>
      <c r="N900" s="19"/>
      <c r="O900" s="19"/>
      <c r="P900" s="19"/>
      <c r="Q900" s="19"/>
      <c r="R900" s="19"/>
      <c r="S900" s="19"/>
    </row>
    <row r="901" spans="3:19" ht="12.5">
      <c r="C901" s="66"/>
      <c r="I901" s="79"/>
      <c r="J901" s="19"/>
      <c r="K901" s="19"/>
      <c r="L901" s="19"/>
      <c r="M901" s="19"/>
      <c r="N901" s="19"/>
      <c r="O901" s="19"/>
      <c r="P901" s="19"/>
      <c r="Q901" s="19"/>
      <c r="R901" s="19"/>
      <c r="S901" s="19"/>
    </row>
    <row r="902" spans="3:19" ht="12.5">
      <c r="C902" s="66"/>
      <c r="I902" s="79"/>
      <c r="J902" s="19"/>
      <c r="K902" s="19"/>
      <c r="L902" s="19"/>
      <c r="M902" s="19"/>
      <c r="N902" s="19"/>
      <c r="O902" s="19"/>
      <c r="P902" s="19"/>
      <c r="Q902" s="19"/>
      <c r="R902" s="19"/>
      <c r="S902" s="19"/>
    </row>
    <row r="903" spans="3:19" ht="12.5">
      <c r="C903" s="66"/>
      <c r="I903" s="79"/>
      <c r="J903" s="19"/>
      <c r="K903" s="19"/>
      <c r="L903" s="19"/>
      <c r="M903" s="19"/>
      <c r="N903" s="19"/>
      <c r="O903" s="19"/>
      <c r="P903" s="19"/>
      <c r="Q903" s="19"/>
      <c r="R903" s="19"/>
      <c r="S903" s="19"/>
    </row>
    <row r="904" spans="3:19" ht="12.5">
      <c r="C904" s="66"/>
      <c r="I904" s="79"/>
      <c r="J904" s="19"/>
      <c r="K904" s="19"/>
      <c r="L904" s="19"/>
      <c r="M904" s="19"/>
      <c r="N904" s="19"/>
      <c r="O904" s="19"/>
      <c r="P904" s="19"/>
      <c r="Q904" s="19"/>
      <c r="R904" s="19"/>
      <c r="S904" s="19"/>
    </row>
    <row r="905" spans="3:19" ht="12.5">
      <c r="C905" s="66"/>
      <c r="I905" s="79"/>
      <c r="J905" s="19"/>
      <c r="K905" s="19"/>
      <c r="L905" s="19"/>
      <c r="M905" s="19"/>
      <c r="N905" s="19"/>
      <c r="O905" s="19"/>
      <c r="P905" s="19"/>
      <c r="Q905" s="19"/>
      <c r="R905" s="19"/>
      <c r="S905" s="19"/>
    </row>
    <row r="906" spans="3:19" ht="12.5">
      <c r="C906" s="66"/>
      <c r="I906" s="79"/>
      <c r="J906" s="19"/>
      <c r="K906" s="19"/>
      <c r="L906" s="19"/>
      <c r="M906" s="19"/>
      <c r="N906" s="19"/>
      <c r="O906" s="19"/>
      <c r="P906" s="19"/>
      <c r="Q906" s="19"/>
      <c r="R906" s="19"/>
      <c r="S906" s="19"/>
    </row>
    <row r="907" spans="3:19" ht="12.5">
      <c r="C907" s="66"/>
      <c r="I907" s="79"/>
      <c r="J907" s="19"/>
      <c r="K907" s="19"/>
      <c r="L907" s="19"/>
      <c r="M907" s="19"/>
      <c r="N907" s="19"/>
      <c r="O907" s="19"/>
      <c r="P907" s="19"/>
      <c r="Q907" s="19"/>
      <c r="R907" s="19"/>
      <c r="S907" s="19"/>
    </row>
    <row r="908" spans="3:19" ht="12.5">
      <c r="C908" s="66"/>
      <c r="I908" s="79"/>
      <c r="J908" s="19"/>
      <c r="K908" s="19"/>
      <c r="L908" s="19"/>
      <c r="M908" s="19"/>
      <c r="N908" s="19"/>
      <c r="O908" s="19"/>
      <c r="P908" s="19"/>
      <c r="Q908" s="19"/>
      <c r="R908" s="19"/>
      <c r="S908" s="19"/>
    </row>
    <row r="909" spans="3:19" ht="12.5">
      <c r="C909" s="66"/>
      <c r="I909" s="79"/>
      <c r="J909" s="19"/>
      <c r="K909" s="19"/>
      <c r="L909" s="19"/>
      <c r="M909" s="19"/>
      <c r="N909" s="19"/>
      <c r="O909" s="19"/>
      <c r="P909" s="19"/>
      <c r="Q909" s="19"/>
      <c r="R909" s="19"/>
      <c r="S909" s="19"/>
    </row>
    <row r="910" spans="3:19" ht="12.5">
      <c r="C910" s="66"/>
      <c r="I910" s="79"/>
      <c r="J910" s="19"/>
      <c r="K910" s="19"/>
      <c r="L910" s="19"/>
      <c r="M910" s="19"/>
      <c r="N910" s="19"/>
      <c r="O910" s="19"/>
      <c r="P910" s="19"/>
      <c r="Q910" s="19"/>
      <c r="R910" s="19"/>
      <c r="S910" s="19"/>
    </row>
    <row r="911" spans="3:19" ht="12.5">
      <c r="C911" s="66"/>
      <c r="I911" s="79"/>
      <c r="J911" s="19"/>
      <c r="K911" s="19"/>
      <c r="L911" s="19"/>
      <c r="M911" s="19"/>
      <c r="N911" s="19"/>
      <c r="O911" s="19"/>
      <c r="P911" s="19"/>
      <c r="Q911" s="19"/>
      <c r="R911" s="19"/>
      <c r="S911" s="19"/>
    </row>
    <row r="912" spans="3:19" ht="12.5">
      <c r="C912" s="66"/>
      <c r="I912" s="79"/>
      <c r="J912" s="19"/>
      <c r="K912" s="19"/>
      <c r="L912" s="19"/>
      <c r="M912" s="19"/>
      <c r="N912" s="19"/>
      <c r="O912" s="19"/>
      <c r="P912" s="19"/>
      <c r="Q912" s="19"/>
      <c r="R912" s="19"/>
      <c r="S912" s="19"/>
    </row>
    <row r="913" spans="3:19" ht="12.5">
      <c r="C913" s="66"/>
      <c r="I913" s="79"/>
      <c r="J913" s="19"/>
      <c r="K913" s="19"/>
      <c r="L913" s="19"/>
      <c r="M913" s="19"/>
      <c r="N913" s="19"/>
      <c r="O913" s="19"/>
      <c r="P913" s="19"/>
      <c r="Q913" s="19"/>
      <c r="R913" s="19"/>
      <c r="S913" s="19"/>
    </row>
    <row r="914" spans="3:19" ht="12.5">
      <c r="C914" s="66"/>
      <c r="I914" s="79"/>
      <c r="J914" s="19"/>
      <c r="K914" s="19"/>
      <c r="L914" s="19"/>
      <c r="M914" s="19"/>
      <c r="N914" s="19"/>
      <c r="O914" s="19"/>
      <c r="P914" s="19"/>
      <c r="Q914" s="19"/>
      <c r="R914" s="19"/>
      <c r="S914" s="19"/>
    </row>
    <row r="915" spans="3:19" ht="12.5">
      <c r="C915" s="66"/>
      <c r="I915" s="79"/>
      <c r="J915" s="19"/>
      <c r="K915" s="19"/>
      <c r="L915" s="19"/>
      <c r="M915" s="19"/>
      <c r="N915" s="19"/>
      <c r="O915" s="19"/>
      <c r="P915" s="19"/>
      <c r="Q915" s="19"/>
      <c r="R915" s="19"/>
      <c r="S915" s="19"/>
    </row>
    <row r="916" spans="3:19" ht="12.5">
      <c r="C916" s="66"/>
      <c r="I916" s="79"/>
      <c r="J916" s="19"/>
      <c r="K916" s="19"/>
      <c r="L916" s="19"/>
      <c r="M916" s="19"/>
      <c r="N916" s="19"/>
      <c r="O916" s="19"/>
      <c r="P916" s="19"/>
      <c r="Q916" s="19"/>
      <c r="R916" s="19"/>
      <c r="S916" s="19"/>
    </row>
    <row r="917" spans="3:19" ht="12.5">
      <c r="C917" s="66"/>
      <c r="I917" s="79"/>
      <c r="J917" s="19"/>
      <c r="K917" s="19"/>
      <c r="L917" s="19"/>
      <c r="M917" s="19"/>
      <c r="N917" s="19"/>
      <c r="O917" s="19"/>
      <c r="P917" s="19"/>
      <c r="Q917" s="19"/>
      <c r="R917" s="19"/>
      <c r="S917" s="19"/>
    </row>
    <row r="918" spans="3:19" ht="12.5">
      <c r="C918" s="66"/>
      <c r="I918" s="79"/>
      <c r="J918" s="19"/>
      <c r="K918" s="19"/>
      <c r="L918" s="19"/>
      <c r="M918" s="19"/>
      <c r="N918" s="19"/>
      <c r="O918" s="19"/>
      <c r="P918" s="19"/>
      <c r="Q918" s="19"/>
      <c r="R918" s="19"/>
      <c r="S918" s="19"/>
    </row>
    <row r="919" spans="3:19" ht="12.5">
      <c r="C919" s="66"/>
      <c r="I919" s="79"/>
      <c r="J919" s="19"/>
      <c r="K919" s="19"/>
      <c r="L919" s="19"/>
      <c r="M919" s="19"/>
      <c r="N919" s="19"/>
      <c r="O919" s="19"/>
      <c r="P919" s="19"/>
      <c r="Q919" s="19"/>
      <c r="R919" s="19"/>
      <c r="S919" s="19"/>
    </row>
    <row r="920" spans="3:19" ht="12.5">
      <c r="C920" s="66"/>
      <c r="I920" s="79"/>
      <c r="J920" s="19"/>
      <c r="K920" s="19"/>
      <c r="L920" s="19"/>
      <c r="M920" s="19"/>
      <c r="N920" s="19"/>
      <c r="O920" s="19"/>
      <c r="P920" s="19"/>
      <c r="Q920" s="19"/>
      <c r="R920" s="19"/>
      <c r="S920" s="19"/>
    </row>
    <row r="921" spans="3:19" ht="12.5">
      <c r="C921" s="66"/>
      <c r="I921" s="79"/>
      <c r="J921" s="19"/>
      <c r="K921" s="19"/>
      <c r="L921" s="19"/>
      <c r="M921" s="19"/>
      <c r="N921" s="19"/>
      <c r="O921" s="19"/>
      <c r="P921" s="19"/>
      <c r="Q921" s="19"/>
      <c r="R921" s="19"/>
      <c r="S921" s="19"/>
    </row>
    <row r="922" spans="3:19" ht="12.5">
      <c r="C922" s="66"/>
      <c r="I922" s="79"/>
      <c r="J922" s="19"/>
      <c r="K922" s="19"/>
      <c r="L922" s="19"/>
      <c r="M922" s="19"/>
      <c r="N922" s="19"/>
      <c r="O922" s="19"/>
      <c r="P922" s="19"/>
      <c r="Q922" s="19"/>
      <c r="R922" s="19"/>
      <c r="S922" s="19"/>
    </row>
    <row r="923" spans="3:19" ht="12.5">
      <c r="C923" s="66"/>
      <c r="I923" s="79"/>
      <c r="J923" s="19"/>
      <c r="K923" s="19"/>
      <c r="L923" s="19"/>
      <c r="M923" s="19"/>
      <c r="N923" s="19"/>
      <c r="O923" s="19"/>
      <c r="P923" s="19"/>
      <c r="Q923" s="19"/>
      <c r="R923" s="19"/>
      <c r="S923" s="19"/>
    </row>
    <row r="924" spans="3:19" ht="12.5">
      <c r="C924" s="66"/>
      <c r="I924" s="79"/>
      <c r="J924" s="19"/>
      <c r="K924" s="19"/>
      <c r="L924" s="19"/>
      <c r="M924" s="19"/>
      <c r="N924" s="19"/>
      <c r="O924" s="19"/>
      <c r="P924" s="19"/>
      <c r="Q924" s="19"/>
      <c r="R924" s="19"/>
      <c r="S924" s="19"/>
    </row>
    <row r="925" spans="3:19" ht="12.5">
      <c r="C925" s="66"/>
      <c r="I925" s="79"/>
      <c r="J925" s="19"/>
      <c r="K925" s="19"/>
      <c r="L925" s="19"/>
      <c r="M925" s="19"/>
      <c r="N925" s="19"/>
      <c r="O925" s="19"/>
      <c r="P925" s="19"/>
      <c r="Q925" s="19"/>
      <c r="R925" s="19"/>
      <c r="S925" s="19"/>
    </row>
    <row r="926" spans="3:19" ht="12.5">
      <c r="C926" s="66"/>
      <c r="I926" s="79"/>
      <c r="J926" s="19"/>
      <c r="K926" s="19"/>
      <c r="L926" s="19"/>
      <c r="M926" s="19"/>
      <c r="N926" s="19"/>
      <c r="O926" s="19"/>
      <c r="P926" s="19"/>
      <c r="Q926" s="19"/>
      <c r="R926" s="19"/>
      <c r="S926" s="19"/>
    </row>
    <row r="927" spans="3:19" ht="12.5">
      <c r="C927" s="66"/>
      <c r="I927" s="79"/>
      <c r="J927" s="19"/>
      <c r="K927" s="19"/>
      <c r="L927" s="19"/>
      <c r="M927" s="19"/>
      <c r="N927" s="19"/>
      <c r="O927" s="19"/>
      <c r="P927" s="19"/>
      <c r="Q927" s="19"/>
      <c r="R927" s="19"/>
      <c r="S927" s="19"/>
    </row>
    <row r="928" spans="3:19" ht="12.5">
      <c r="C928" s="66"/>
      <c r="I928" s="79"/>
      <c r="J928" s="19"/>
      <c r="K928" s="19"/>
      <c r="L928" s="19"/>
      <c r="M928" s="19"/>
      <c r="N928" s="19"/>
      <c r="O928" s="19"/>
      <c r="P928" s="19"/>
      <c r="Q928" s="19"/>
      <c r="R928" s="19"/>
      <c r="S928" s="19"/>
    </row>
    <row r="929" spans="3:19" ht="12.5">
      <c r="C929" s="66"/>
      <c r="I929" s="79"/>
      <c r="J929" s="19"/>
      <c r="K929" s="19"/>
      <c r="L929" s="19"/>
      <c r="M929" s="19"/>
      <c r="N929" s="19"/>
      <c r="O929" s="19"/>
      <c r="P929" s="19"/>
      <c r="Q929" s="19"/>
      <c r="R929" s="19"/>
      <c r="S929" s="19"/>
    </row>
    <row r="930" spans="3:19" ht="12.5">
      <c r="C930" s="66"/>
      <c r="I930" s="79"/>
      <c r="J930" s="19"/>
      <c r="K930" s="19"/>
      <c r="L930" s="19"/>
      <c r="M930" s="19"/>
      <c r="N930" s="19"/>
      <c r="O930" s="19"/>
      <c r="P930" s="19"/>
      <c r="Q930" s="19"/>
      <c r="R930" s="19"/>
      <c r="S930" s="19"/>
    </row>
    <row r="931" spans="3:19" ht="12.5">
      <c r="C931" s="66"/>
      <c r="I931" s="79"/>
      <c r="J931" s="19"/>
      <c r="K931" s="19"/>
      <c r="L931" s="19"/>
      <c r="M931" s="19"/>
      <c r="N931" s="19"/>
      <c r="O931" s="19"/>
      <c r="P931" s="19"/>
      <c r="Q931" s="19"/>
      <c r="R931" s="19"/>
      <c r="S931" s="19"/>
    </row>
    <row r="932" spans="3:19" ht="12.5">
      <c r="C932" s="66"/>
      <c r="I932" s="79"/>
      <c r="J932" s="19"/>
      <c r="K932" s="19"/>
      <c r="L932" s="19"/>
      <c r="M932" s="19"/>
      <c r="N932" s="19"/>
      <c r="O932" s="19"/>
      <c r="P932" s="19"/>
      <c r="Q932" s="19"/>
      <c r="R932" s="19"/>
      <c r="S932" s="19"/>
    </row>
    <row r="933" spans="3:19" ht="12.5">
      <c r="C933" s="66"/>
      <c r="I933" s="79"/>
      <c r="J933" s="19"/>
      <c r="K933" s="19"/>
      <c r="L933" s="19"/>
      <c r="M933" s="19"/>
      <c r="N933" s="19"/>
      <c r="O933" s="19"/>
      <c r="P933" s="19"/>
      <c r="Q933" s="19"/>
      <c r="R933" s="19"/>
      <c r="S933" s="19"/>
    </row>
    <row r="934" spans="3:19" ht="12.5">
      <c r="C934" s="66"/>
      <c r="I934" s="79"/>
      <c r="J934" s="19"/>
      <c r="K934" s="19"/>
      <c r="L934" s="19"/>
      <c r="M934" s="19"/>
      <c r="N934" s="19"/>
      <c r="O934" s="19"/>
      <c r="P934" s="19"/>
      <c r="Q934" s="19"/>
      <c r="R934" s="19"/>
      <c r="S934" s="19"/>
    </row>
    <row r="935" spans="3:19" ht="12.5">
      <c r="C935" s="66"/>
      <c r="I935" s="79"/>
      <c r="J935" s="19"/>
      <c r="K935" s="19"/>
      <c r="L935" s="19"/>
      <c r="M935" s="19"/>
      <c r="N935" s="19"/>
      <c r="O935" s="19"/>
      <c r="P935" s="19"/>
      <c r="Q935" s="19"/>
      <c r="R935" s="19"/>
      <c r="S935" s="19"/>
    </row>
    <row r="936" spans="3:19" ht="12.5">
      <c r="C936" s="66"/>
      <c r="I936" s="79"/>
      <c r="J936" s="19"/>
      <c r="K936" s="19"/>
      <c r="L936" s="19"/>
      <c r="M936" s="19"/>
      <c r="N936" s="19"/>
      <c r="O936" s="19"/>
      <c r="P936" s="19"/>
      <c r="Q936" s="19"/>
      <c r="R936" s="19"/>
      <c r="S936" s="19"/>
    </row>
    <row r="937" spans="3:19" ht="12.5">
      <c r="C937" s="66"/>
      <c r="I937" s="79"/>
      <c r="J937" s="19"/>
      <c r="K937" s="19"/>
      <c r="L937" s="19"/>
      <c r="M937" s="19"/>
      <c r="N937" s="19"/>
      <c r="O937" s="19"/>
      <c r="P937" s="19"/>
      <c r="Q937" s="19"/>
      <c r="R937" s="19"/>
      <c r="S937" s="19"/>
    </row>
    <row r="938" spans="3:19" ht="12.5">
      <c r="C938" s="66"/>
      <c r="I938" s="79"/>
      <c r="J938" s="19"/>
      <c r="K938" s="19"/>
      <c r="L938" s="19"/>
      <c r="M938" s="19"/>
      <c r="N938" s="19"/>
      <c r="O938" s="19"/>
      <c r="P938" s="19"/>
      <c r="Q938" s="19"/>
      <c r="R938" s="19"/>
      <c r="S938" s="19"/>
    </row>
    <row r="939" spans="3:19" ht="12.5">
      <c r="C939" s="66"/>
      <c r="I939" s="79"/>
      <c r="J939" s="19"/>
      <c r="K939" s="19"/>
      <c r="L939" s="19"/>
      <c r="M939" s="19"/>
      <c r="N939" s="19"/>
      <c r="O939" s="19"/>
      <c r="P939" s="19"/>
      <c r="Q939" s="19"/>
      <c r="R939" s="19"/>
      <c r="S939" s="19"/>
    </row>
    <row r="940" spans="3:19" ht="12.5">
      <c r="C940" s="66"/>
      <c r="I940" s="79"/>
      <c r="J940" s="19"/>
      <c r="K940" s="19"/>
      <c r="L940" s="19"/>
      <c r="M940" s="19"/>
      <c r="N940" s="19"/>
      <c r="O940" s="19"/>
      <c r="P940" s="19"/>
      <c r="Q940" s="19"/>
      <c r="R940" s="19"/>
      <c r="S940" s="19"/>
    </row>
    <row r="941" spans="3:19" ht="12.5">
      <c r="C941" s="66"/>
      <c r="I941" s="79"/>
      <c r="J941" s="19"/>
      <c r="K941" s="19"/>
      <c r="L941" s="19"/>
      <c r="M941" s="19"/>
      <c r="N941" s="19"/>
      <c r="O941" s="19"/>
      <c r="P941" s="19"/>
      <c r="Q941" s="19"/>
      <c r="R941" s="19"/>
      <c r="S941" s="19"/>
    </row>
    <row r="942" spans="3:19" ht="12.5">
      <c r="C942" s="66"/>
      <c r="I942" s="79"/>
      <c r="J942" s="19"/>
      <c r="K942" s="19"/>
      <c r="L942" s="19"/>
      <c r="M942" s="19"/>
      <c r="N942" s="19"/>
      <c r="O942" s="19"/>
      <c r="P942" s="19"/>
      <c r="Q942" s="19"/>
      <c r="R942" s="19"/>
      <c r="S942" s="19"/>
    </row>
    <row r="943" spans="3:19" ht="12.5">
      <c r="C943" s="66"/>
      <c r="I943" s="79"/>
      <c r="J943" s="19"/>
      <c r="K943" s="19"/>
      <c r="L943" s="19"/>
      <c r="M943" s="19"/>
      <c r="N943" s="19"/>
      <c r="O943" s="19"/>
      <c r="P943" s="19"/>
      <c r="Q943" s="19"/>
      <c r="R943" s="19"/>
      <c r="S943" s="19"/>
    </row>
    <row r="944" spans="3:19" ht="12.5">
      <c r="C944" s="66"/>
      <c r="I944" s="79"/>
      <c r="J944" s="19"/>
      <c r="K944" s="19"/>
      <c r="L944" s="19"/>
      <c r="M944" s="19"/>
      <c r="N944" s="19"/>
      <c r="O944" s="19"/>
      <c r="P944" s="19"/>
      <c r="Q944" s="19"/>
      <c r="R944" s="19"/>
      <c r="S944" s="19"/>
    </row>
    <row r="945" spans="3:19" ht="12.5">
      <c r="C945" s="66"/>
      <c r="I945" s="79"/>
      <c r="J945" s="19"/>
      <c r="K945" s="19"/>
      <c r="L945" s="19"/>
      <c r="M945" s="19"/>
      <c r="N945" s="19"/>
      <c r="O945" s="19"/>
      <c r="P945" s="19"/>
      <c r="Q945" s="19"/>
      <c r="R945" s="19"/>
      <c r="S945" s="19"/>
    </row>
    <row r="946" spans="3:19" ht="12.5">
      <c r="C946" s="66"/>
      <c r="I946" s="79"/>
      <c r="J946" s="19"/>
      <c r="K946" s="19"/>
      <c r="L946" s="19"/>
      <c r="M946" s="19"/>
      <c r="N946" s="19"/>
      <c r="O946" s="19"/>
      <c r="P946" s="19"/>
      <c r="Q946" s="19"/>
      <c r="R946" s="19"/>
      <c r="S946" s="19"/>
    </row>
    <row r="947" spans="3:19" ht="12.5">
      <c r="C947" s="66"/>
      <c r="I947" s="79"/>
      <c r="J947" s="19"/>
      <c r="K947" s="19"/>
      <c r="L947" s="19"/>
      <c r="M947" s="19"/>
      <c r="N947" s="19"/>
      <c r="O947" s="19"/>
      <c r="P947" s="19"/>
      <c r="Q947" s="19"/>
      <c r="R947" s="19"/>
      <c r="S947" s="19"/>
    </row>
    <row r="948" spans="3:19" ht="12.5">
      <c r="C948" s="66"/>
      <c r="I948" s="79"/>
      <c r="J948" s="19"/>
      <c r="K948" s="19"/>
      <c r="L948" s="19"/>
      <c r="M948" s="19"/>
      <c r="N948" s="19"/>
      <c r="O948" s="19"/>
      <c r="P948" s="19"/>
      <c r="Q948" s="19"/>
      <c r="R948" s="19"/>
      <c r="S948" s="19"/>
    </row>
    <row r="949" spans="3:19" ht="12.5">
      <c r="C949" s="66"/>
      <c r="I949" s="79"/>
      <c r="J949" s="19"/>
      <c r="K949" s="19"/>
      <c r="L949" s="19"/>
      <c r="M949" s="19"/>
      <c r="N949" s="19"/>
      <c r="O949" s="19"/>
      <c r="P949" s="19"/>
      <c r="Q949" s="19"/>
      <c r="R949" s="19"/>
      <c r="S949" s="19"/>
    </row>
    <row r="950" spans="3:19" ht="12.5">
      <c r="C950" s="66"/>
      <c r="I950" s="79"/>
      <c r="J950" s="19"/>
      <c r="K950" s="19"/>
      <c r="L950" s="19"/>
      <c r="M950" s="19"/>
      <c r="N950" s="19"/>
      <c r="O950" s="19"/>
      <c r="P950" s="19"/>
      <c r="Q950" s="19"/>
      <c r="R950" s="19"/>
      <c r="S950" s="19"/>
    </row>
    <row r="951" spans="3:19" ht="12.5">
      <c r="C951" s="66"/>
      <c r="I951" s="79"/>
      <c r="J951" s="19"/>
      <c r="K951" s="19"/>
      <c r="L951" s="19"/>
      <c r="M951" s="19"/>
      <c r="N951" s="19"/>
      <c r="O951" s="19"/>
      <c r="P951" s="19"/>
      <c r="Q951" s="19"/>
      <c r="R951" s="19"/>
      <c r="S951" s="19"/>
    </row>
    <row r="952" spans="3:19" ht="12.5">
      <c r="C952" s="66"/>
      <c r="I952" s="79"/>
      <c r="J952" s="19"/>
      <c r="K952" s="19"/>
      <c r="L952" s="19"/>
      <c r="M952" s="19"/>
      <c r="N952" s="19"/>
      <c r="O952" s="19"/>
      <c r="P952" s="19"/>
      <c r="Q952" s="19"/>
      <c r="R952" s="19"/>
      <c r="S952" s="19"/>
    </row>
    <row r="953" spans="3:19" ht="12.5">
      <c r="C953" s="66"/>
      <c r="I953" s="79"/>
      <c r="J953" s="19"/>
      <c r="K953" s="19"/>
      <c r="L953" s="19"/>
      <c r="M953" s="19"/>
      <c r="N953" s="19"/>
      <c r="O953" s="19"/>
      <c r="P953" s="19"/>
      <c r="Q953" s="19"/>
      <c r="R953" s="19"/>
      <c r="S953" s="19"/>
    </row>
    <row r="954" spans="3:19" ht="12.5">
      <c r="C954" s="66"/>
      <c r="I954" s="79"/>
      <c r="J954" s="19"/>
      <c r="K954" s="19"/>
      <c r="L954" s="19"/>
      <c r="M954" s="19"/>
      <c r="N954" s="19"/>
      <c r="O954" s="19"/>
      <c r="P954" s="19"/>
      <c r="Q954" s="19"/>
      <c r="R954" s="19"/>
      <c r="S954" s="19"/>
    </row>
    <row r="955" spans="3:19" ht="12.5">
      <c r="C955" s="66"/>
      <c r="I955" s="79"/>
      <c r="J955" s="19"/>
      <c r="K955" s="19"/>
      <c r="L955" s="19"/>
      <c r="M955" s="19"/>
      <c r="N955" s="19"/>
      <c r="O955" s="19"/>
      <c r="P955" s="19"/>
      <c r="Q955" s="19"/>
      <c r="R955" s="19"/>
      <c r="S955" s="19"/>
    </row>
    <row r="956" spans="3:19" ht="12.5">
      <c r="C956" s="66"/>
      <c r="I956" s="79"/>
      <c r="J956" s="19"/>
      <c r="K956" s="19"/>
      <c r="L956" s="19"/>
      <c r="M956" s="19"/>
      <c r="N956" s="19"/>
      <c r="O956" s="19"/>
      <c r="P956" s="19"/>
      <c r="Q956" s="19"/>
      <c r="R956" s="19"/>
      <c r="S956" s="19"/>
    </row>
    <row r="957" spans="3:19" ht="12.5">
      <c r="C957" s="66"/>
      <c r="I957" s="79"/>
      <c r="J957" s="19"/>
      <c r="K957" s="19"/>
      <c r="L957" s="19"/>
      <c r="M957" s="19"/>
      <c r="N957" s="19"/>
      <c r="O957" s="19"/>
      <c r="P957" s="19"/>
      <c r="Q957" s="19"/>
      <c r="R957" s="19"/>
      <c r="S957" s="19"/>
    </row>
    <row r="958" spans="3:19" ht="12.5">
      <c r="C958" s="66"/>
      <c r="I958" s="79"/>
      <c r="J958" s="19"/>
      <c r="K958" s="19"/>
      <c r="L958" s="19"/>
      <c r="M958" s="19"/>
      <c r="N958" s="19"/>
      <c r="O958" s="19"/>
      <c r="P958" s="19"/>
      <c r="Q958" s="19"/>
      <c r="R958" s="19"/>
      <c r="S958" s="19"/>
    </row>
    <row r="959" spans="3:19" ht="12.5">
      <c r="C959" s="66"/>
      <c r="I959" s="79"/>
      <c r="J959" s="19"/>
      <c r="K959" s="19"/>
      <c r="L959" s="19"/>
      <c r="M959" s="19"/>
      <c r="N959" s="19"/>
      <c r="O959" s="19"/>
      <c r="P959" s="19"/>
      <c r="Q959" s="19"/>
      <c r="R959" s="19"/>
      <c r="S959" s="19"/>
    </row>
    <row r="960" spans="3:19" ht="12.5">
      <c r="C960" s="66"/>
      <c r="I960" s="79"/>
      <c r="J960" s="19"/>
      <c r="K960" s="19"/>
      <c r="L960" s="19"/>
      <c r="M960" s="19"/>
      <c r="N960" s="19"/>
      <c r="O960" s="19"/>
      <c r="P960" s="19"/>
      <c r="Q960" s="19"/>
      <c r="R960" s="19"/>
      <c r="S960" s="19"/>
    </row>
    <row r="961" spans="3:19" ht="12.5">
      <c r="C961" s="66"/>
      <c r="I961" s="79"/>
      <c r="J961" s="19"/>
      <c r="K961" s="19"/>
      <c r="L961" s="19"/>
      <c r="M961" s="19"/>
      <c r="N961" s="19"/>
      <c r="O961" s="19"/>
      <c r="P961" s="19"/>
      <c r="Q961" s="19"/>
      <c r="R961" s="19"/>
      <c r="S961" s="19"/>
    </row>
    <row r="962" spans="3:19" ht="12.5">
      <c r="C962" s="66"/>
      <c r="I962" s="79"/>
      <c r="J962" s="19"/>
      <c r="K962" s="19"/>
      <c r="L962" s="19"/>
      <c r="M962" s="19"/>
      <c r="N962" s="19"/>
      <c r="O962" s="19"/>
      <c r="P962" s="19"/>
      <c r="Q962" s="19"/>
      <c r="R962" s="19"/>
      <c r="S962" s="19"/>
    </row>
    <row r="963" spans="3:19" ht="12.5">
      <c r="C963" s="66"/>
      <c r="I963" s="79"/>
      <c r="J963" s="19"/>
      <c r="K963" s="19"/>
      <c r="L963" s="19"/>
      <c r="M963" s="19"/>
      <c r="N963" s="19"/>
      <c r="O963" s="19"/>
      <c r="P963" s="19"/>
      <c r="Q963" s="19"/>
      <c r="R963" s="19"/>
      <c r="S963" s="19"/>
    </row>
    <row r="964" spans="3:19" ht="12.5">
      <c r="C964" s="66"/>
      <c r="I964" s="79"/>
      <c r="J964" s="19"/>
      <c r="K964" s="19"/>
      <c r="L964" s="19"/>
      <c r="M964" s="19"/>
      <c r="N964" s="19"/>
      <c r="O964" s="19"/>
      <c r="P964" s="19"/>
      <c r="Q964" s="19"/>
      <c r="R964" s="19"/>
      <c r="S964" s="19"/>
    </row>
    <row r="965" spans="3:19" ht="12.5">
      <c r="C965" s="66"/>
      <c r="I965" s="79"/>
      <c r="J965" s="19"/>
      <c r="K965" s="19"/>
      <c r="L965" s="19"/>
      <c r="M965" s="19"/>
      <c r="N965" s="19"/>
      <c r="O965" s="19"/>
      <c r="P965" s="19"/>
      <c r="Q965" s="19"/>
      <c r="R965" s="19"/>
      <c r="S965" s="19"/>
    </row>
    <row r="966" spans="3:19" ht="12.5">
      <c r="C966" s="66"/>
      <c r="I966" s="79"/>
      <c r="J966" s="19"/>
      <c r="K966" s="19"/>
      <c r="L966" s="19"/>
      <c r="M966" s="19"/>
      <c r="N966" s="19"/>
      <c r="O966" s="19"/>
      <c r="P966" s="19"/>
      <c r="Q966" s="19"/>
      <c r="R966" s="19"/>
      <c r="S966" s="19"/>
    </row>
    <row r="967" spans="3:19" ht="12.5">
      <c r="C967" s="66"/>
      <c r="I967" s="79"/>
      <c r="J967" s="19"/>
      <c r="K967" s="19"/>
      <c r="L967" s="19"/>
      <c r="M967" s="19"/>
      <c r="N967" s="19"/>
      <c r="O967" s="19"/>
      <c r="P967" s="19"/>
      <c r="Q967" s="19"/>
      <c r="R967" s="19"/>
      <c r="S967" s="19"/>
    </row>
    <row r="968" spans="3:19" ht="12.5">
      <c r="C968" s="66"/>
      <c r="I968" s="79"/>
      <c r="J968" s="19"/>
      <c r="K968" s="19"/>
      <c r="L968" s="19"/>
      <c r="M968" s="19"/>
      <c r="N968" s="19"/>
      <c r="O968" s="19"/>
      <c r="P968" s="19"/>
      <c r="Q968" s="19"/>
      <c r="R968" s="19"/>
      <c r="S968" s="19"/>
    </row>
    <row r="969" spans="3:19" ht="12.5">
      <c r="C969" s="66"/>
      <c r="I969" s="79"/>
      <c r="J969" s="19"/>
      <c r="K969" s="19"/>
      <c r="L969" s="19"/>
      <c r="M969" s="19"/>
      <c r="N969" s="19"/>
      <c r="O969" s="19"/>
      <c r="P969" s="19"/>
      <c r="Q969" s="19"/>
      <c r="R969" s="19"/>
      <c r="S969" s="19"/>
    </row>
    <row r="970" spans="3:19" ht="12.5">
      <c r="C970" s="66"/>
      <c r="I970" s="79"/>
      <c r="J970" s="19"/>
      <c r="K970" s="19"/>
      <c r="L970" s="19"/>
      <c r="M970" s="19"/>
      <c r="N970" s="19"/>
      <c r="O970" s="19"/>
      <c r="P970" s="19"/>
      <c r="Q970" s="19"/>
      <c r="R970" s="19"/>
      <c r="S970" s="19"/>
    </row>
    <row r="971" spans="3:19" ht="12.5">
      <c r="C971" s="66"/>
      <c r="I971" s="79"/>
      <c r="J971" s="19"/>
      <c r="K971" s="19"/>
      <c r="L971" s="19"/>
      <c r="M971" s="19"/>
      <c r="N971" s="19"/>
      <c r="O971" s="19"/>
      <c r="P971" s="19"/>
      <c r="Q971" s="19"/>
      <c r="R971" s="19"/>
      <c r="S971" s="19"/>
    </row>
    <row r="972" spans="3:19" ht="12.5">
      <c r="C972" s="66"/>
      <c r="I972" s="79"/>
      <c r="J972" s="19"/>
      <c r="K972" s="19"/>
      <c r="L972" s="19"/>
      <c r="M972" s="19"/>
      <c r="N972" s="19"/>
      <c r="O972" s="19"/>
      <c r="P972" s="19"/>
      <c r="Q972" s="19"/>
      <c r="R972" s="19"/>
      <c r="S972" s="19"/>
    </row>
    <row r="973" spans="3:19" ht="12.5">
      <c r="C973" s="66"/>
      <c r="I973" s="79"/>
      <c r="J973" s="19"/>
      <c r="K973" s="19"/>
      <c r="L973" s="19"/>
      <c r="M973" s="19"/>
      <c r="N973" s="19"/>
      <c r="O973" s="19"/>
      <c r="P973" s="19"/>
      <c r="Q973" s="19"/>
      <c r="R973" s="19"/>
      <c r="S973" s="19"/>
    </row>
    <row r="974" spans="3:19" ht="12.5">
      <c r="C974" s="66"/>
      <c r="I974" s="79"/>
      <c r="J974" s="19"/>
      <c r="K974" s="19"/>
      <c r="L974" s="19"/>
      <c r="M974" s="19"/>
      <c r="N974" s="19"/>
      <c r="O974" s="19"/>
      <c r="P974" s="19"/>
      <c r="Q974" s="19"/>
      <c r="R974" s="19"/>
      <c r="S974" s="19"/>
    </row>
    <row r="975" spans="3:19" ht="12.5">
      <c r="C975" s="66"/>
      <c r="I975" s="79"/>
      <c r="J975" s="19"/>
      <c r="K975" s="19"/>
      <c r="L975" s="19"/>
      <c r="M975" s="19"/>
      <c r="N975" s="19"/>
      <c r="O975" s="19"/>
      <c r="P975" s="19"/>
      <c r="Q975" s="19"/>
      <c r="R975" s="19"/>
      <c r="S975" s="19"/>
    </row>
    <row r="976" spans="3:19" ht="12.5">
      <c r="C976" s="66"/>
      <c r="I976" s="79"/>
      <c r="J976" s="19"/>
      <c r="K976" s="19"/>
      <c r="L976" s="19"/>
      <c r="M976" s="19"/>
      <c r="N976" s="19"/>
      <c r="O976" s="19"/>
      <c r="P976" s="19"/>
      <c r="Q976" s="19"/>
      <c r="R976" s="19"/>
      <c r="S976" s="19"/>
    </row>
    <row r="977" spans="3:19" ht="12.5">
      <c r="C977" s="66"/>
      <c r="I977" s="79"/>
      <c r="J977" s="19"/>
      <c r="K977" s="19"/>
      <c r="L977" s="19"/>
      <c r="M977" s="19"/>
      <c r="N977" s="19"/>
      <c r="O977" s="19"/>
      <c r="P977" s="19"/>
      <c r="Q977" s="19"/>
      <c r="R977" s="19"/>
      <c r="S977" s="19"/>
    </row>
    <row r="978" spans="3:19" ht="12.5">
      <c r="C978" s="66"/>
      <c r="I978" s="79"/>
      <c r="J978" s="19"/>
      <c r="K978" s="19"/>
      <c r="L978" s="19"/>
      <c r="M978" s="19"/>
      <c r="N978" s="19"/>
      <c r="O978" s="19"/>
      <c r="P978" s="19"/>
      <c r="Q978" s="19"/>
      <c r="R978" s="19"/>
      <c r="S978" s="19"/>
    </row>
    <row r="979" spans="3:19" ht="12.5">
      <c r="C979" s="66"/>
      <c r="I979" s="79"/>
      <c r="J979" s="19"/>
      <c r="K979" s="19"/>
      <c r="L979" s="19"/>
      <c r="M979" s="19"/>
      <c r="N979" s="19"/>
      <c r="O979" s="19"/>
      <c r="P979" s="19"/>
      <c r="Q979" s="19"/>
      <c r="R979" s="19"/>
      <c r="S979" s="19"/>
    </row>
    <row r="980" spans="3:19" ht="12.5">
      <c r="C980" s="66"/>
      <c r="I980" s="79"/>
      <c r="J980" s="19"/>
      <c r="K980" s="19"/>
      <c r="L980" s="19"/>
      <c r="M980" s="19"/>
      <c r="N980" s="19"/>
      <c r="O980" s="19"/>
      <c r="P980" s="19"/>
      <c r="Q980" s="19"/>
      <c r="R980" s="19"/>
      <c r="S980" s="19"/>
    </row>
    <row r="981" spans="3:19" ht="12.5">
      <c r="C981" s="66"/>
      <c r="I981" s="79"/>
      <c r="J981" s="19"/>
      <c r="K981" s="19"/>
      <c r="L981" s="19"/>
      <c r="M981" s="19"/>
      <c r="N981" s="19"/>
      <c r="O981" s="19"/>
      <c r="P981" s="19"/>
      <c r="Q981" s="19"/>
      <c r="R981" s="19"/>
      <c r="S981" s="19"/>
    </row>
    <row r="982" spans="3:19" ht="12.5">
      <c r="C982" s="66"/>
      <c r="I982" s="79"/>
      <c r="J982" s="19"/>
      <c r="K982" s="19"/>
      <c r="L982" s="19"/>
      <c r="M982" s="19"/>
      <c r="N982" s="19"/>
      <c r="O982" s="19"/>
      <c r="P982" s="19"/>
      <c r="Q982" s="19"/>
      <c r="R982" s="19"/>
      <c r="S982" s="19"/>
    </row>
    <row r="983" spans="3:19" ht="12.5">
      <c r="C983" s="66"/>
      <c r="I983" s="79"/>
      <c r="J983" s="19"/>
      <c r="K983" s="19"/>
      <c r="L983" s="19"/>
      <c r="M983" s="19"/>
      <c r="N983" s="19"/>
      <c r="O983" s="19"/>
      <c r="P983" s="19"/>
      <c r="Q983" s="19"/>
      <c r="R983" s="19"/>
      <c r="S983" s="19"/>
    </row>
    <row r="984" spans="3:19" ht="12.5">
      <c r="C984" s="66"/>
      <c r="I984" s="79"/>
      <c r="J984" s="19"/>
      <c r="K984" s="19"/>
      <c r="L984" s="19"/>
      <c r="M984" s="19"/>
      <c r="N984" s="19"/>
      <c r="O984" s="19"/>
      <c r="P984" s="19"/>
      <c r="Q984" s="19"/>
      <c r="R984" s="19"/>
      <c r="S984" s="19"/>
    </row>
    <row r="985" spans="3:19" ht="12.5">
      <c r="C985" s="66"/>
      <c r="I985" s="79"/>
      <c r="J985" s="19"/>
      <c r="K985" s="19"/>
      <c r="L985" s="19"/>
      <c r="M985" s="19"/>
      <c r="N985" s="19"/>
      <c r="O985" s="19"/>
      <c r="P985" s="19"/>
      <c r="Q985" s="19"/>
      <c r="R985" s="19"/>
      <c r="S985" s="19"/>
    </row>
    <row r="986" spans="3:19" ht="12.5">
      <c r="C986" s="66"/>
      <c r="I986" s="79"/>
      <c r="J986" s="19"/>
      <c r="K986" s="19"/>
      <c r="L986" s="19"/>
      <c r="M986" s="19"/>
      <c r="N986" s="19"/>
      <c r="O986" s="19"/>
      <c r="P986" s="19"/>
      <c r="Q986" s="19"/>
      <c r="R986" s="19"/>
      <c r="S986" s="19"/>
    </row>
    <row r="987" spans="3:19" ht="12.5">
      <c r="C987" s="66"/>
      <c r="I987" s="79"/>
      <c r="J987" s="19"/>
      <c r="K987" s="19"/>
      <c r="L987" s="19"/>
      <c r="M987" s="19"/>
      <c r="N987" s="19"/>
      <c r="O987" s="19"/>
      <c r="P987" s="19"/>
      <c r="Q987" s="19"/>
      <c r="R987" s="19"/>
      <c r="S987" s="19"/>
    </row>
    <row r="988" spans="3:19" ht="12.5">
      <c r="C988" s="66"/>
      <c r="I988" s="79"/>
      <c r="J988" s="19"/>
      <c r="K988" s="19"/>
      <c r="L988" s="19"/>
      <c r="M988" s="19"/>
      <c r="N988" s="19"/>
      <c r="O988" s="19"/>
      <c r="P988" s="19"/>
      <c r="Q988" s="19"/>
      <c r="R988" s="19"/>
      <c r="S988" s="19"/>
    </row>
    <row r="989" spans="3:19" ht="12.5">
      <c r="C989" s="66"/>
      <c r="I989" s="79"/>
      <c r="J989" s="19"/>
      <c r="K989" s="19"/>
      <c r="L989" s="19"/>
      <c r="M989" s="19"/>
      <c r="N989" s="19"/>
      <c r="O989" s="19"/>
      <c r="P989" s="19"/>
      <c r="Q989" s="19"/>
      <c r="R989" s="19"/>
      <c r="S989" s="19"/>
    </row>
    <row r="990" spans="3:19" ht="12.5">
      <c r="C990" s="66"/>
      <c r="I990" s="79"/>
      <c r="J990" s="19"/>
      <c r="K990" s="19"/>
      <c r="L990" s="19"/>
      <c r="M990" s="19"/>
      <c r="N990" s="19"/>
      <c r="O990" s="19"/>
      <c r="P990" s="19"/>
      <c r="Q990" s="19"/>
      <c r="R990" s="19"/>
      <c r="S990" s="19"/>
    </row>
    <row r="991" spans="3:19" ht="12.5">
      <c r="C991" s="66"/>
      <c r="I991" s="79"/>
      <c r="J991" s="19"/>
      <c r="K991" s="19"/>
      <c r="L991" s="19"/>
      <c r="M991" s="19"/>
      <c r="N991" s="19"/>
      <c r="O991" s="19"/>
      <c r="P991" s="19"/>
      <c r="Q991" s="19"/>
      <c r="R991" s="19"/>
      <c r="S991" s="19"/>
    </row>
    <row r="992" spans="3:19" ht="12.5">
      <c r="C992" s="66"/>
      <c r="I992" s="79"/>
      <c r="J992" s="19"/>
      <c r="K992" s="19"/>
      <c r="L992" s="19"/>
      <c r="M992" s="19"/>
      <c r="N992" s="19"/>
      <c r="O992" s="19"/>
      <c r="P992" s="19"/>
      <c r="Q992" s="19"/>
      <c r="R992" s="19"/>
      <c r="S992" s="19"/>
    </row>
    <row r="993" spans="3:19" ht="12.5">
      <c r="C993" s="66"/>
      <c r="I993" s="79"/>
      <c r="J993" s="19"/>
      <c r="K993" s="19"/>
      <c r="L993" s="19"/>
      <c r="M993" s="19"/>
      <c r="N993" s="19"/>
      <c r="O993" s="19"/>
      <c r="P993" s="19"/>
      <c r="Q993" s="19"/>
      <c r="R993" s="19"/>
      <c r="S993" s="19"/>
    </row>
    <row r="994" spans="3:19" ht="12.5">
      <c r="C994" s="66"/>
      <c r="I994" s="79"/>
      <c r="J994" s="19"/>
      <c r="K994" s="19"/>
      <c r="L994" s="19"/>
      <c r="M994" s="19"/>
      <c r="N994" s="19"/>
      <c r="O994" s="19"/>
      <c r="P994" s="19"/>
      <c r="Q994" s="19"/>
      <c r="R994" s="19"/>
      <c r="S994" s="19"/>
    </row>
    <row r="995" spans="3:19" ht="12.5">
      <c r="C995" s="66"/>
      <c r="I995" s="79"/>
      <c r="J995" s="19"/>
      <c r="K995" s="19"/>
      <c r="L995" s="19"/>
      <c r="M995" s="19"/>
      <c r="N995" s="19"/>
      <c r="O995" s="19"/>
      <c r="P995" s="19"/>
      <c r="Q995" s="19"/>
      <c r="R995" s="19"/>
      <c r="S995" s="19"/>
    </row>
    <row r="996" spans="3:19" ht="12.5">
      <c r="C996" s="66"/>
      <c r="I996" s="79"/>
      <c r="J996" s="19"/>
      <c r="K996" s="19"/>
      <c r="L996" s="19"/>
      <c r="M996" s="19"/>
      <c r="N996" s="19"/>
      <c r="O996" s="19"/>
      <c r="P996" s="19"/>
      <c r="Q996" s="19"/>
      <c r="R996" s="19"/>
      <c r="S996" s="19"/>
    </row>
    <row r="997" spans="3:19" ht="12.5">
      <c r="C997" s="66"/>
      <c r="I997" s="79"/>
      <c r="J997" s="19"/>
      <c r="K997" s="19"/>
      <c r="L997" s="19"/>
      <c r="M997" s="19"/>
      <c r="N997" s="19"/>
      <c r="O997" s="19"/>
      <c r="P997" s="19"/>
      <c r="Q997" s="19"/>
      <c r="R997" s="19"/>
      <c r="S997" s="19"/>
    </row>
    <row r="998" spans="3:19" ht="12.5">
      <c r="C998" s="66"/>
      <c r="I998" s="79"/>
      <c r="J998" s="19"/>
      <c r="K998" s="19"/>
      <c r="L998" s="19"/>
      <c r="M998" s="19"/>
      <c r="N998" s="19"/>
      <c r="O998" s="19"/>
      <c r="P998" s="19"/>
      <c r="Q998" s="19"/>
      <c r="R998" s="19"/>
      <c r="S998" s="19"/>
    </row>
    <row r="999" spans="3:19" ht="12.5">
      <c r="C999" s="66"/>
      <c r="I999" s="79"/>
      <c r="J999" s="19"/>
      <c r="K999" s="19"/>
      <c r="L999" s="19"/>
      <c r="M999" s="19"/>
      <c r="N999" s="19"/>
      <c r="O999" s="19"/>
      <c r="P999" s="19"/>
      <c r="Q999" s="19"/>
      <c r="R999" s="19"/>
      <c r="S999" s="19"/>
    </row>
    <row r="1000" spans="3:19" ht="12.5">
      <c r="C1000" s="66"/>
      <c r="I1000" s="7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</row>
    <row r="1001" spans="3:19" ht="12.5">
      <c r="C1001" s="66"/>
      <c r="I1001" s="7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</row>
  </sheetData>
  <mergeCells count="2">
    <mergeCell ref="I1:J1"/>
    <mergeCell ref="K1:L1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6F42-31E3-4AC3-BCDE-F3A5AF91BD6E}">
  <sheetPr codeName="Arkusz8"/>
  <dimension ref="A1:L44"/>
  <sheetViews>
    <sheetView workbookViewId="0">
      <selection activeCell="N19" sqref="N19"/>
    </sheetView>
  </sheetViews>
  <sheetFormatPr defaultRowHeight="12.5"/>
  <sheetData>
    <row r="1" spans="1:12">
      <c r="A1" s="80" t="s">
        <v>9</v>
      </c>
      <c r="B1" t="s">
        <v>10</v>
      </c>
      <c r="C1" t="s">
        <v>13</v>
      </c>
      <c r="D1" t="s">
        <v>16</v>
      </c>
      <c r="E1" t="s">
        <v>18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</row>
    <row r="2" spans="1:12">
      <c r="A2">
        <v>1</v>
      </c>
      <c r="B2">
        <v>-18.514285714285698</v>
      </c>
      <c r="C2">
        <v>-0.84745762711864403</v>
      </c>
      <c r="D2">
        <v>4.8312366259894768E-2</v>
      </c>
      <c r="E2">
        <v>-20.91651817757942</v>
      </c>
      <c r="F2">
        <v>-2.3775932203389829E-2</v>
      </c>
      <c r="G2">
        <v>-9.024308289392366E-3</v>
      </c>
      <c r="H2">
        <v>-0.11919379981481609</v>
      </c>
      <c r="I2">
        <v>-0.22936329134023981</v>
      </c>
      <c r="J2">
        <v>-3.2800240492782198E-2</v>
      </c>
      <c r="K2">
        <v>-0.14296973201820593</v>
      </c>
      <c r="L2">
        <v>-0.25313922354362961</v>
      </c>
    </row>
    <row r="3" spans="1:12">
      <c r="A3">
        <v>2</v>
      </c>
      <c r="B3">
        <v>-17.1428571428571</v>
      </c>
      <c r="C3">
        <v>-0.88700564971751295</v>
      </c>
      <c r="D3">
        <v>5.2465879485296546E-2</v>
      </c>
      <c r="E3">
        <v>-19.654411500004898</v>
      </c>
      <c r="F3">
        <v>-2.4772542372881325E-2</v>
      </c>
      <c r="G3">
        <v>-2.1246786264394885E-3</v>
      </c>
      <c r="H3">
        <v>-0.11743541308971617</v>
      </c>
      <c r="I3">
        <v>-0.23274614755299289</v>
      </c>
      <c r="J3">
        <v>-2.6897220999320813E-2</v>
      </c>
      <c r="K3">
        <v>-0.14220795546259749</v>
      </c>
      <c r="L3">
        <v>-0.25751868992587423</v>
      </c>
    </row>
    <row r="4" spans="1:12">
      <c r="A4">
        <v>3</v>
      </c>
      <c r="B4">
        <v>-16.571428571428498</v>
      </c>
      <c r="C4">
        <v>-0.93785310734463301</v>
      </c>
      <c r="D4">
        <v>5.868612261359088E-2</v>
      </c>
      <c r="E4">
        <v>-19.237697092493136</v>
      </c>
      <c r="F4">
        <v>-2.6053898305084752E-2</v>
      </c>
      <c r="G4">
        <v>2.8831006030469383E-3</v>
      </c>
      <c r="H4">
        <v>-0.11903780335175536</v>
      </c>
      <c r="I4">
        <v>-0.24095870730655763</v>
      </c>
      <c r="J4">
        <v>-2.3170797702037813E-2</v>
      </c>
      <c r="K4">
        <v>-0.1450917016568401</v>
      </c>
      <c r="L4">
        <v>-0.26701260561164236</v>
      </c>
    </row>
    <row r="5" spans="1:12">
      <c r="A5">
        <v>4</v>
      </c>
      <c r="B5">
        <v>-16.1142857142857</v>
      </c>
      <c r="C5">
        <v>-0.99435028248587498</v>
      </c>
      <c r="D5">
        <v>6.5870774879238758E-2</v>
      </c>
      <c r="E5">
        <v>-18.927216749846981</v>
      </c>
      <c r="F5">
        <v>-2.7477627118644047E-2</v>
      </c>
      <c r="G5">
        <v>8.0902665625708706E-3</v>
      </c>
      <c r="H5">
        <v>-0.12117527016059287</v>
      </c>
      <c r="I5">
        <v>-0.25044080688375664</v>
      </c>
      <c r="J5">
        <v>-1.9387360556073176E-2</v>
      </c>
      <c r="K5">
        <v>-0.14865289727923692</v>
      </c>
      <c r="L5">
        <v>-0.27791843400240068</v>
      </c>
    </row>
    <row r="6" spans="1:12">
      <c r="A6">
        <v>5</v>
      </c>
      <c r="B6">
        <v>-15.0857142857142</v>
      </c>
      <c r="C6">
        <v>-1.0734463276836099</v>
      </c>
      <c r="D6">
        <v>7.7633253187835621E-2</v>
      </c>
      <c r="E6">
        <v>-18.1255452018436</v>
      </c>
      <c r="F6">
        <v>-2.9470847457626969E-2</v>
      </c>
      <c r="G6">
        <v>1.7657496681335226E-2</v>
      </c>
      <c r="H6">
        <v>-0.12189052591753405</v>
      </c>
      <c r="I6">
        <v>-0.26143854851640336</v>
      </c>
      <c r="J6">
        <v>-1.1813350776291743E-2</v>
      </c>
      <c r="K6">
        <v>-0.15136137337516101</v>
      </c>
      <c r="L6">
        <v>-0.29090939597403032</v>
      </c>
    </row>
    <row r="7" spans="1:12">
      <c r="A7">
        <v>6</v>
      </c>
      <c r="B7">
        <v>-13.4857142857142</v>
      </c>
      <c r="C7">
        <v>-1.0621468926553601</v>
      </c>
      <c r="D7">
        <v>7.6391447030614512E-2</v>
      </c>
      <c r="E7">
        <v>-16.506707874914532</v>
      </c>
      <c r="F7">
        <v>-2.9186101694915072E-2</v>
      </c>
      <c r="G7">
        <v>2.3978087937127565E-2</v>
      </c>
      <c r="H7">
        <v>-0.11410100810806925</v>
      </c>
      <c r="I7">
        <v>-0.25218010415326608</v>
      </c>
      <c r="J7">
        <v>-5.2080137577875073E-3</v>
      </c>
      <c r="K7">
        <v>-0.14328710980298431</v>
      </c>
      <c r="L7">
        <v>-0.28136620584818117</v>
      </c>
    </row>
    <row r="8" spans="1:12">
      <c r="A8">
        <v>7</v>
      </c>
      <c r="B8">
        <v>-12</v>
      </c>
      <c r="C8">
        <v>-0.98305084745762705</v>
      </c>
      <c r="D8">
        <v>6.3653741358226268E-2</v>
      </c>
      <c r="E8">
        <v>-14.766263618637257</v>
      </c>
      <c r="F8">
        <v>-2.7192881355932199E-2</v>
      </c>
      <c r="G8">
        <v>2.402461470506409E-2</v>
      </c>
      <c r="H8">
        <v>-0.10377199546442742</v>
      </c>
      <c r="I8">
        <v>-0.23156860563391896</v>
      </c>
      <c r="J8">
        <v>-3.1682666508681089E-3</v>
      </c>
      <c r="K8">
        <v>-0.13096487682035962</v>
      </c>
      <c r="L8">
        <v>-0.25876148698985113</v>
      </c>
    </row>
    <row r="9" spans="1:12">
      <c r="A9">
        <v>8</v>
      </c>
      <c r="B9">
        <v>-10.742857142857099</v>
      </c>
      <c r="C9">
        <v>-0.85875706214689196</v>
      </c>
      <c r="D9">
        <v>5.0318383442274302E-2</v>
      </c>
      <c r="E9">
        <v>-13.197971880989236</v>
      </c>
      <c r="F9">
        <v>-2.4060677966101677E-2</v>
      </c>
      <c r="G9">
        <v>1.9235859959130235E-2</v>
      </c>
      <c r="H9">
        <v>-9.2402558119965728E-2</v>
      </c>
      <c r="I9">
        <v>-0.20404097619906167</v>
      </c>
      <c r="J9">
        <v>-4.8248180069714423E-3</v>
      </c>
      <c r="K9">
        <v>-0.1164632360860674</v>
      </c>
      <c r="L9">
        <v>-0.22810165416516334</v>
      </c>
    </row>
    <row r="10" spans="1:12">
      <c r="A10">
        <v>9</v>
      </c>
      <c r="B10">
        <v>-9.3714285714285595</v>
      </c>
      <c r="C10">
        <v>-0.73446327683615797</v>
      </c>
      <c r="D10">
        <v>3.7294271487866057E-2</v>
      </c>
      <c r="E10">
        <v>-11.439306317140108</v>
      </c>
      <c r="F10">
        <v>-2.0928474576271179E-2</v>
      </c>
      <c r="G10">
        <v>1.3486617119771956E-2</v>
      </c>
      <c r="H10">
        <v>-8.1993608868928591E-2</v>
      </c>
      <c r="I10">
        <v>-0.1774738348576291</v>
      </c>
      <c r="J10">
        <v>-7.4418574564992235E-3</v>
      </c>
      <c r="K10">
        <v>-0.10292208344519976</v>
      </c>
      <c r="L10">
        <v>-0.19840230943390028</v>
      </c>
    </row>
    <row r="11" spans="1:12">
      <c r="A11">
        <v>10</v>
      </c>
      <c r="B11">
        <v>-8.6857142857142797</v>
      </c>
      <c r="C11">
        <v>-0.66101694915254205</v>
      </c>
      <c r="D11">
        <v>3.1852682854006623E-2</v>
      </c>
      <c r="E11">
        <v>-10.553589297882796</v>
      </c>
      <c r="F11">
        <v>-1.907762711864406E-2</v>
      </c>
      <c r="G11">
        <v>9.353945387562488E-3</v>
      </c>
      <c r="H11">
        <v>-7.6578258002267988E-2</v>
      </c>
      <c r="I11">
        <v>-0.16251046139209846</v>
      </c>
      <c r="J11">
        <v>-9.7236817310815717E-3</v>
      </c>
      <c r="K11">
        <v>-9.5655885120912054E-2</v>
      </c>
      <c r="L11">
        <v>-0.18158808851074251</v>
      </c>
    </row>
    <row r="12" spans="1:12">
      <c r="A12">
        <v>11</v>
      </c>
      <c r="B12">
        <v>-8</v>
      </c>
      <c r="C12">
        <v>-0.57627118644067798</v>
      </c>
      <c r="D12">
        <v>2.7012978173735405E-2</v>
      </c>
      <c r="E12">
        <v>-9.6665914826070818</v>
      </c>
      <c r="F12">
        <v>-1.6942033898305085E-2</v>
      </c>
      <c r="G12">
        <v>3.9360386447135874E-3</v>
      </c>
      <c r="H12">
        <v>-7.0979215592574557E-2</v>
      </c>
      <c r="I12">
        <v>-0.14589446982986271</v>
      </c>
      <c r="J12">
        <v>-1.3005995253591498E-2</v>
      </c>
      <c r="K12">
        <v>-8.7921249490879649E-2</v>
      </c>
      <c r="L12">
        <v>-0.1628365037281678</v>
      </c>
    </row>
    <row r="13" spans="1:12">
      <c r="A13">
        <v>12</v>
      </c>
      <c r="B13">
        <v>-7.3142857142857096</v>
      </c>
      <c r="C13">
        <v>-0.51977401129943501</v>
      </c>
      <c r="D13">
        <v>2.2647045457975752E-2</v>
      </c>
      <c r="E13">
        <v>-8.7787854791577278</v>
      </c>
      <c r="F13">
        <v>-1.5518305084745762E-2</v>
      </c>
      <c r="G13">
        <v>3.4598947250756747E-4</v>
      </c>
      <c r="H13">
        <v>-6.7224631996418982E-2</v>
      </c>
      <c r="I13">
        <v>-0.13479525346534554</v>
      </c>
      <c r="J13">
        <v>-1.5172315612238195E-2</v>
      </c>
      <c r="K13">
        <v>-8.2742937081164744E-2</v>
      </c>
      <c r="L13">
        <v>-0.15031355855009132</v>
      </c>
    </row>
    <row r="14" spans="1:12">
      <c r="A14">
        <v>13</v>
      </c>
      <c r="B14">
        <v>-6.6285714285714201</v>
      </c>
      <c r="C14">
        <v>-0.45762711864406802</v>
      </c>
      <c r="D14">
        <v>1.8708577161275275E-2</v>
      </c>
      <c r="E14">
        <v>-7.89051011024688</v>
      </c>
      <c r="F14">
        <v>-1.3952203389830515E-2</v>
      </c>
      <c r="G14">
        <v>-4.0447235444294547E-3</v>
      </c>
      <c r="H14">
        <v>-6.3536248968158293E-2</v>
      </c>
      <c r="I14">
        <v>-0.12302777439188714</v>
      </c>
      <c r="J14">
        <v>-1.7996926934259971E-2</v>
      </c>
      <c r="K14">
        <v>-7.7488452357988805E-2</v>
      </c>
      <c r="L14">
        <v>-0.13697997778171767</v>
      </c>
    </row>
    <row r="15" spans="1:12">
      <c r="A15">
        <v>14</v>
      </c>
      <c r="B15">
        <v>-5.25714285714285</v>
      </c>
      <c r="C15">
        <v>-0.29378531073446301</v>
      </c>
      <c r="D15">
        <v>1.2359964048372397E-2</v>
      </c>
      <c r="E15">
        <v>-6.1170792816261557</v>
      </c>
      <c r="F15">
        <v>-9.8233898305084676E-3</v>
      </c>
      <c r="G15">
        <v>-1.7543848730917241E-2</v>
      </c>
      <c r="H15">
        <v>-5.5735939126397432E-2</v>
      </c>
      <c r="I15">
        <v>-9.3928029521877621E-2</v>
      </c>
      <c r="J15">
        <v>-2.7367238561425707E-2</v>
      </c>
      <c r="K15">
        <v>-6.5559328956905902E-2</v>
      </c>
      <c r="L15">
        <v>-0.10375141935238609</v>
      </c>
    </row>
    <row r="16" spans="1:12">
      <c r="A16">
        <v>15</v>
      </c>
      <c r="B16">
        <v>-4.3428571428571399</v>
      </c>
      <c r="C16">
        <v>-0.209039548022599</v>
      </c>
      <c r="D16">
        <v>9.5225902582855293E-3</v>
      </c>
      <c r="E16">
        <v>-4.9424731738267207</v>
      </c>
      <c r="F16">
        <v>-7.687796610169495E-3</v>
      </c>
      <c r="G16">
        <v>-2.5141085370513214E-2</v>
      </c>
      <c r="H16">
        <v>-5.2316226613451089E-2</v>
      </c>
      <c r="I16">
        <v>-7.9491367856388967E-2</v>
      </c>
      <c r="J16">
        <v>-3.2828881980682706E-2</v>
      </c>
      <c r="K16">
        <v>-6.0004023223620584E-2</v>
      </c>
      <c r="L16">
        <v>-8.7179164466558462E-2</v>
      </c>
    </row>
    <row r="17" spans="1:12">
      <c r="A17">
        <v>16</v>
      </c>
      <c r="B17">
        <v>-3.4285714285714302</v>
      </c>
      <c r="C17">
        <v>-0.124293785310734</v>
      </c>
      <c r="D17">
        <v>7.8086220669495035E-3</v>
      </c>
      <c r="E17">
        <v>-3.7760691245714817</v>
      </c>
      <c r="F17">
        <v>-5.5522033898304964E-3</v>
      </c>
      <c r="G17">
        <v>-3.3299796290928441E-2</v>
      </c>
      <c r="H17">
        <v>-4.9457988381323856E-2</v>
      </c>
      <c r="I17">
        <v>-6.5616180471719271E-2</v>
      </c>
      <c r="J17">
        <v>-3.8851999680758934E-2</v>
      </c>
      <c r="K17">
        <v>-5.5010191771154349E-2</v>
      </c>
      <c r="L17">
        <v>-7.1168383861549764E-2</v>
      </c>
    </row>
    <row r="18" spans="1:12">
      <c r="A18">
        <v>17</v>
      </c>
      <c r="B18">
        <v>-2.0571428571428498</v>
      </c>
      <c r="C18">
        <v>5.6497175141241003E-3</v>
      </c>
      <c r="D18">
        <v>6.8972064991646683E-3</v>
      </c>
      <c r="E18">
        <v>-2.033241184902395</v>
      </c>
      <c r="F18">
        <v>-2.2776271186440724E-3</v>
      </c>
      <c r="G18">
        <v>-4.699016228286295E-2</v>
      </c>
      <c r="H18">
        <v>-4.6255699006026815E-2</v>
      </c>
      <c r="I18">
        <v>-4.552123572919068E-2</v>
      </c>
      <c r="J18">
        <v>-4.9267789401507021E-2</v>
      </c>
      <c r="K18">
        <v>-4.8533326124670886E-2</v>
      </c>
      <c r="L18">
        <v>-4.7798862847834751E-2</v>
      </c>
    </row>
    <row r="19" spans="1:12">
      <c r="A19">
        <v>18</v>
      </c>
      <c r="B19">
        <v>-1.3714285714285599</v>
      </c>
      <c r="C19">
        <v>7.3446327683615906E-2</v>
      </c>
      <c r="D19">
        <v>7.0983638735966758E-3</v>
      </c>
      <c r="E19">
        <v>-1.1581040698783973</v>
      </c>
      <c r="F19">
        <v>-5.691525423728791E-4</v>
      </c>
      <c r="G19">
        <v>-5.4705962234514183E-2</v>
      </c>
      <c r="H19">
        <v>-4.5157939635644115E-2</v>
      </c>
      <c r="I19">
        <v>-3.5609917036774047E-2</v>
      </c>
      <c r="J19">
        <v>-5.5275114776887062E-2</v>
      </c>
      <c r="K19">
        <v>-4.5727092178016994E-2</v>
      </c>
      <c r="L19">
        <v>-3.6179069579146926E-2</v>
      </c>
    </row>
    <row r="20" spans="1:12">
      <c r="A20">
        <v>19</v>
      </c>
      <c r="B20">
        <v>-0.45714285714285502</v>
      </c>
      <c r="C20">
        <v>0.152542372881355</v>
      </c>
      <c r="D20">
        <v>8.018005120966256E-3</v>
      </c>
      <c r="E20">
        <v>1.8349245866601194E-2</v>
      </c>
      <c r="F20">
        <v>1.4240677966101461E-3</v>
      </c>
      <c r="G20">
        <v>-6.4263853182835284E-2</v>
      </c>
      <c r="H20">
        <v>-4.4433344708259132E-2</v>
      </c>
      <c r="I20">
        <v>-2.4602836233682975E-2</v>
      </c>
      <c r="J20">
        <v>-6.2839785386225144E-2</v>
      </c>
      <c r="K20">
        <v>-4.3009276911648985E-2</v>
      </c>
      <c r="L20">
        <v>-2.3178768437072828E-2</v>
      </c>
    </row>
    <row r="21" spans="1:12">
      <c r="A21">
        <v>20</v>
      </c>
      <c r="B21">
        <v>0.34285714285714097</v>
      </c>
      <c r="C21">
        <v>0.27118644067796599</v>
      </c>
      <c r="D21">
        <v>9.5853991583885363E-3</v>
      </c>
      <c r="E21">
        <v>1.0567626170414439</v>
      </c>
      <c r="F21">
        <v>4.4138983050847434E-3</v>
      </c>
      <c r="G21">
        <v>-7.9184863772427214E-2</v>
      </c>
      <c r="H21">
        <v>-4.3930626484291621E-2</v>
      </c>
      <c r="I21">
        <v>-8.6763891961560372E-3</v>
      </c>
      <c r="J21">
        <v>-7.4770965467342465E-2</v>
      </c>
      <c r="K21">
        <v>-3.9516728179206879E-2</v>
      </c>
      <c r="L21">
        <v>-4.2624908910712939E-3</v>
      </c>
    </row>
    <row r="22" spans="1:12">
      <c r="A22">
        <v>21</v>
      </c>
      <c r="B22">
        <v>1.02857142857143</v>
      </c>
      <c r="C22">
        <v>0.34463276836158102</v>
      </c>
      <c r="D22">
        <v>1.1596211917647717E-2</v>
      </c>
      <c r="E22">
        <v>1.9503090586264564</v>
      </c>
      <c r="F22">
        <v>6.264745762711842E-3</v>
      </c>
      <c r="G22">
        <v>-8.9043259186769336E-2</v>
      </c>
      <c r="H22">
        <v>-4.42409992997638E-2</v>
      </c>
      <c r="I22">
        <v>5.6126058724173652E-4</v>
      </c>
      <c r="J22">
        <v>-8.2778513424057495E-2</v>
      </c>
      <c r="K22">
        <v>-3.797625353705196E-2</v>
      </c>
      <c r="L22">
        <v>6.8260063499535782E-3</v>
      </c>
    </row>
    <row r="23" spans="1:12">
      <c r="A23">
        <v>22</v>
      </c>
      <c r="B23">
        <v>2.05714285714286</v>
      </c>
      <c r="C23">
        <v>0.40677966101694801</v>
      </c>
      <c r="D23">
        <v>1.5768143984692975E-2</v>
      </c>
      <c r="E23">
        <v>3.2868112729668102</v>
      </c>
      <c r="F23">
        <v>7.8308474576270892E-3</v>
      </c>
      <c r="G23">
        <v>-9.8200169874015447E-2</v>
      </c>
      <c r="H23">
        <v>-4.531881394181219E-2</v>
      </c>
      <c r="I23">
        <v>7.562541990391059E-3</v>
      </c>
      <c r="J23">
        <v>-9.0369322416388356E-2</v>
      </c>
      <c r="K23">
        <v>-3.7487966484185099E-2</v>
      </c>
      <c r="L23">
        <v>1.5393389448018147E-2</v>
      </c>
    </row>
    <row r="24" spans="1:12">
      <c r="A24">
        <v>23</v>
      </c>
      <c r="B24">
        <v>2.8571428571428599</v>
      </c>
      <c r="C24">
        <v>0.49717514124293699</v>
      </c>
      <c r="D24">
        <v>1.9814870151578776E-2</v>
      </c>
      <c r="E24">
        <v>4.3158994298722924</v>
      </c>
      <c r="F24">
        <v>1.0108813559322012E-2</v>
      </c>
      <c r="G24">
        <v>-0.11134349567015794</v>
      </c>
      <c r="H24">
        <v>-4.6710727308576123E-2</v>
      </c>
      <c r="I24">
        <v>1.792204105300569E-2</v>
      </c>
      <c r="J24">
        <v>-0.10123468211083593</v>
      </c>
      <c r="K24">
        <v>-3.660191374925411E-2</v>
      </c>
      <c r="L24">
        <v>2.8030854612327703E-2</v>
      </c>
    </row>
    <row r="25" spans="1:12">
      <c r="A25">
        <v>24</v>
      </c>
      <c r="B25">
        <v>3.4285714285714302</v>
      </c>
      <c r="C25">
        <v>0.59887005649717395</v>
      </c>
      <c r="D25">
        <v>2.3036589664283388E-2</v>
      </c>
      <c r="E25">
        <v>5.0439677290318752</v>
      </c>
      <c r="F25">
        <v>1.2671525423728784E-2</v>
      </c>
      <c r="G25">
        <v>-0.12630070245801367</v>
      </c>
      <c r="H25">
        <v>-4.8447595113381037E-2</v>
      </c>
      <c r="I25">
        <v>2.9405512231251582E-2</v>
      </c>
      <c r="J25">
        <v>-0.11362917703428488</v>
      </c>
      <c r="K25">
        <v>-3.5776069689652253E-2</v>
      </c>
      <c r="L25">
        <v>4.2077037654980366E-2</v>
      </c>
    </row>
    <row r="26" spans="1:12">
      <c r="A26">
        <v>25</v>
      </c>
      <c r="B26">
        <v>4.8</v>
      </c>
      <c r="C26">
        <v>0.68926553672316304</v>
      </c>
      <c r="D26">
        <v>3.187128302222382E-2</v>
      </c>
      <c r="E26">
        <v>6.7775700156366057</v>
      </c>
      <c r="F26">
        <v>1.4949491525423709E-2</v>
      </c>
      <c r="G26">
        <v>-0.14179262700409917</v>
      </c>
      <c r="H26">
        <v>-5.218810723008796E-2</v>
      </c>
      <c r="I26">
        <v>3.7416412543923236E-2</v>
      </c>
      <c r="J26">
        <v>-0.12684313547867546</v>
      </c>
      <c r="K26">
        <v>-3.7238615704664253E-2</v>
      </c>
      <c r="L26">
        <v>5.2365904069346943E-2</v>
      </c>
    </row>
    <row r="27" spans="1:12">
      <c r="A27">
        <v>26</v>
      </c>
      <c r="B27">
        <v>5.9428571428571404</v>
      </c>
      <c r="C27">
        <v>0.80225988700564899</v>
      </c>
      <c r="D27">
        <v>4.1101514459634295E-2</v>
      </c>
      <c r="E27">
        <v>8.2327160819066805</v>
      </c>
      <c r="F27">
        <v>1.7796949152542357E-2</v>
      </c>
      <c r="G27">
        <v>-0.1610480711277758</v>
      </c>
      <c r="H27">
        <v>-5.6754285817041429E-2</v>
      </c>
      <c r="I27">
        <v>4.7539499493692947E-2</v>
      </c>
      <c r="J27">
        <v>-0.14325112197523346</v>
      </c>
      <c r="K27">
        <v>-3.8957336664499076E-2</v>
      </c>
      <c r="L27">
        <v>6.5336448646235307E-2</v>
      </c>
    </row>
    <row r="28" spans="1:12">
      <c r="A28">
        <v>27</v>
      </c>
      <c r="B28">
        <v>6.6285714285714299</v>
      </c>
      <c r="C28">
        <v>0.89265536723163796</v>
      </c>
      <c r="D28">
        <v>4.7887190478587367E-2</v>
      </c>
      <c r="E28">
        <v>9.1201690943253393</v>
      </c>
      <c r="F28">
        <v>2.0074915254237279E-2</v>
      </c>
      <c r="G28">
        <v>-0.17655209832510507</v>
      </c>
      <c r="H28">
        <v>-6.0506900584992133E-2</v>
      </c>
      <c r="I28">
        <v>5.5538297155120799E-2</v>
      </c>
      <c r="J28">
        <v>-0.1564771830708678</v>
      </c>
      <c r="K28">
        <v>-4.0431985330754858E-2</v>
      </c>
      <c r="L28">
        <v>7.5613212409358074E-2</v>
      </c>
    </row>
    <row r="29" spans="1:12">
      <c r="A29">
        <v>28</v>
      </c>
      <c r="B29">
        <v>8</v>
      </c>
      <c r="C29">
        <v>1.02824858757062</v>
      </c>
      <c r="D29">
        <v>6.4394698620183335E-2</v>
      </c>
      <c r="E29">
        <v>10.922437575523468</v>
      </c>
      <c r="F29">
        <v>2.3491864406779625E-2</v>
      </c>
      <c r="G29">
        <v>-0.20155620880161196</v>
      </c>
      <c r="H29">
        <v>-6.7883892417431341E-2</v>
      </c>
      <c r="I29">
        <v>6.5788423966749263E-2</v>
      </c>
      <c r="J29">
        <v>-0.17806434439483232</v>
      </c>
      <c r="K29">
        <v>-4.4392028010651716E-2</v>
      </c>
      <c r="L29">
        <v>8.9280288373528888E-2</v>
      </c>
    </row>
    <row r="30" spans="1:12">
      <c r="A30">
        <v>29</v>
      </c>
      <c r="B30">
        <v>9.1428571428571406</v>
      </c>
      <c r="C30">
        <v>1.15254237288135</v>
      </c>
      <c r="D30">
        <v>7.9661244823534039E-2</v>
      </c>
      <c r="E30">
        <v>12.417418198310287</v>
      </c>
      <c r="F30">
        <v>2.6624067796610022E-2</v>
      </c>
      <c r="G30">
        <v>-0.22547176624888082</v>
      </c>
      <c r="H30">
        <v>-7.5641257774305332E-2</v>
      </c>
      <c r="I30">
        <v>7.418925070027016E-2</v>
      </c>
      <c r="J30">
        <v>-0.19884769845227079</v>
      </c>
      <c r="K30">
        <v>-4.9017189977695309E-2</v>
      </c>
      <c r="L30">
        <v>0.10081331849688019</v>
      </c>
    </row>
    <row r="31" spans="1:12">
      <c r="A31">
        <v>30</v>
      </c>
      <c r="B31">
        <v>10.1714285714285</v>
      </c>
      <c r="C31">
        <v>1.23163841807909</v>
      </c>
      <c r="D31">
        <v>9.2873921705020859E-2</v>
      </c>
      <c r="E31">
        <v>13.725203635335895</v>
      </c>
      <c r="F31">
        <v>2.8617288135593069E-2</v>
      </c>
      <c r="G31">
        <v>-0.24247808952243366</v>
      </c>
      <c r="H31">
        <v>-8.2365095172151986E-2</v>
      </c>
      <c r="I31">
        <v>7.7747899178129729E-2</v>
      </c>
      <c r="J31">
        <v>-0.2138608013868406</v>
      </c>
      <c r="K31">
        <v>-5.3747807036558917E-2</v>
      </c>
      <c r="L31">
        <v>0.1063651873137228</v>
      </c>
    </row>
    <row r="32" spans="1:12">
      <c r="A32">
        <v>31</v>
      </c>
      <c r="B32">
        <v>10.742857142857099</v>
      </c>
      <c r="C32">
        <v>1.3276836158192</v>
      </c>
      <c r="D32">
        <v>9.9929279790266473E-2</v>
      </c>
      <c r="E32">
        <v>14.434448543815277</v>
      </c>
      <c r="F32">
        <v>3.1037627118643843E-2</v>
      </c>
      <c r="G32">
        <v>-0.26158323706064174</v>
      </c>
      <c r="H32">
        <v>-8.8984367004145734E-2</v>
      </c>
      <c r="I32">
        <v>8.3614503052350284E-2</v>
      </c>
      <c r="J32">
        <v>-0.23054560994199791</v>
      </c>
      <c r="K32">
        <v>-5.7946739885501891E-2</v>
      </c>
      <c r="L32">
        <v>0.11465213017099413</v>
      </c>
    </row>
    <row r="33" spans="1:12">
      <c r="A33">
        <v>32</v>
      </c>
      <c r="B33">
        <v>11.885714285714201</v>
      </c>
      <c r="C33">
        <v>1.4011299435028199</v>
      </c>
      <c r="D33">
        <v>0.11493230333481108</v>
      </c>
      <c r="E33">
        <v>15.836216456686234</v>
      </c>
      <c r="F33">
        <v>3.2888474576271066E-2</v>
      </c>
      <c r="G33">
        <v>-0.27927709322236294</v>
      </c>
      <c r="H33">
        <v>-9.7130200566996366E-2</v>
      </c>
      <c r="I33">
        <v>8.501669208837026E-2</v>
      </c>
      <c r="J33">
        <v>-0.24638861864609188</v>
      </c>
      <c r="K33">
        <v>-6.4241725990725307E-2</v>
      </c>
      <c r="L33">
        <v>0.11790516666464132</v>
      </c>
    </row>
    <row r="34" spans="1:12">
      <c r="A34">
        <v>33</v>
      </c>
      <c r="B34">
        <v>12.6857142857142</v>
      </c>
      <c r="C34">
        <v>1.45197740112994</v>
      </c>
      <c r="D34">
        <v>0.12741763901749986</v>
      </c>
      <c r="E34">
        <v>16.822337937341679</v>
      </c>
      <c r="F34">
        <v>3.416983050847449E-2</v>
      </c>
      <c r="G34">
        <v>-0.29162234840285539</v>
      </c>
      <c r="H34">
        <v>-0.1028652862559632</v>
      </c>
      <c r="I34">
        <v>8.5891775890929015E-2</v>
      </c>
      <c r="J34">
        <v>-0.25745251789438089</v>
      </c>
      <c r="K34">
        <v>-6.8695455747488698E-2</v>
      </c>
      <c r="L34">
        <v>0.1200616063994035</v>
      </c>
    </row>
    <row r="35" spans="1:12">
      <c r="A35">
        <v>34</v>
      </c>
      <c r="B35">
        <v>13.714285714285699</v>
      </c>
      <c r="C35">
        <v>1.5254237288135499</v>
      </c>
      <c r="D35">
        <v>0.14481154470900584</v>
      </c>
      <c r="E35">
        <v>18.087156233574532</v>
      </c>
      <c r="F35">
        <v>3.6020677966101457E-2</v>
      </c>
      <c r="G35">
        <v>-0.30933158834474073</v>
      </c>
      <c r="H35">
        <v>-0.11102650359897918</v>
      </c>
      <c r="I35">
        <v>8.7278581146782289E-2</v>
      </c>
      <c r="J35">
        <v>-0.27331091037863925</v>
      </c>
      <c r="K35">
        <v>-7.5005825632877721E-2</v>
      </c>
      <c r="L35">
        <v>0.12329925911288375</v>
      </c>
    </row>
    <row r="36" spans="1:12">
      <c r="A36">
        <v>35</v>
      </c>
      <c r="B36">
        <v>14.4</v>
      </c>
      <c r="C36">
        <v>1.5988700564971701</v>
      </c>
      <c r="D36">
        <v>0.15367372417543224</v>
      </c>
      <c r="E36">
        <v>18.887764546994113</v>
      </c>
      <c r="F36">
        <v>3.7871525423728687E-2</v>
      </c>
      <c r="G36">
        <v>-0.32676125929275723</v>
      </c>
      <c r="H36">
        <v>-0.11890815194812508</v>
      </c>
      <c r="I36">
        <v>8.8944955396507056E-2</v>
      </c>
      <c r="J36">
        <v>-0.28888973386902855</v>
      </c>
      <c r="K36">
        <v>-8.1036626524396388E-2</v>
      </c>
      <c r="L36">
        <v>0.12681648082023575</v>
      </c>
    </row>
    <row r="37" spans="1:12">
      <c r="A37">
        <v>36</v>
      </c>
      <c r="B37">
        <v>15.314285714285701</v>
      </c>
      <c r="C37">
        <v>1.58757062146892</v>
      </c>
      <c r="D37">
        <v>0.15466333475001987</v>
      </c>
      <c r="E37">
        <v>19.814541041948193</v>
      </c>
      <c r="F37">
        <v>3.7586779661016784E-2</v>
      </c>
      <c r="G37">
        <v>-0.33038531307985503</v>
      </c>
      <c r="H37">
        <v>-0.12400113228889542</v>
      </c>
      <c r="I37">
        <v>8.2383048502064168E-2</v>
      </c>
      <c r="J37">
        <v>-0.29279853341883821</v>
      </c>
      <c r="K37">
        <v>-8.6414352627878638E-2</v>
      </c>
      <c r="L37">
        <v>0.11996982816308095</v>
      </c>
    </row>
    <row r="38" spans="1:12">
      <c r="A38">
        <v>37</v>
      </c>
      <c r="B38">
        <v>16.571428571428498</v>
      </c>
      <c r="C38">
        <v>1.4745762711864401</v>
      </c>
      <c r="D38">
        <v>0.1291793749685293</v>
      </c>
      <c r="E38">
        <v>20.722340910592159</v>
      </c>
      <c r="F38">
        <v>3.473932203389829E-2</v>
      </c>
      <c r="G38">
        <v>-0.31925460995028887</v>
      </c>
      <c r="H38">
        <v>-0.12755969469605161</v>
      </c>
      <c r="I38">
        <v>6.4135220558185616E-2</v>
      </c>
      <c r="J38">
        <v>-0.28451528791639058</v>
      </c>
      <c r="K38">
        <v>-9.2820372662153317E-2</v>
      </c>
      <c r="L38">
        <v>9.8874542592083906E-2</v>
      </c>
    </row>
    <row r="39" spans="1:12">
      <c r="A39">
        <v>38</v>
      </c>
      <c r="B39">
        <v>17.0285714285714</v>
      </c>
      <c r="C39">
        <v>1.3785310734463201</v>
      </c>
      <c r="D39">
        <v>0.11577629489982361</v>
      </c>
      <c r="E39">
        <v>20.979879142420984</v>
      </c>
      <c r="F39">
        <v>3.2318983050847266E-2</v>
      </c>
      <c r="G39">
        <v>-0.30423763526403391</v>
      </c>
      <c r="H39">
        <v>-0.1250285957160123</v>
      </c>
      <c r="I39">
        <v>5.418044383200929E-2</v>
      </c>
      <c r="J39">
        <v>-0.27191865221318667</v>
      </c>
      <c r="K39">
        <v>-9.2709612665165031E-2</v>
      </c>
      <c r="L39">
        <v>8.6499426882856556E-2</v>
      </c>
    </row>
    <row r="40" spans="1:12">
      <c r="A40">
        <v>39</v>
      </c>
      <c r="B40">
        <v>18.0571428571428</v>
      </c>
      <c r="C40">
        <v>1.25988700564971</v>
      </c>
      <c r="D40">
        <v>9.2952374122571915E-2</v>
      </c>
      <c r="E40">
        <v>21.625438755065883</v>
      </c>
      <c r="F40">
        <v>2.9329152542372693E-2</v>
      </c>
      <c r="G40">
        <v>-0.28859640551060894</v>
      </c>
      <c r="H40">
        <v>-0.12481109477614666</v>
      </c>
      <c r="I40">
        <v>3.8974215958315669E-2</v>
      </c>
      <c r="J40">
        <v>-0.25926725296823627</v>
      </c>
      <c r="K40">
        <v>-9.5481942233773959E-2</v>
      </c>
      <c r="L40">
        <v>6.8303368500688355E-2</v>
      </c>
    </row>
    <row r="41" spans="1:12">
      <c r="A41">
        <v>40</v>
      </c>
      <c r="B41">
        <v>18.742857142857101</v>
      </c>
      <c r="C41">
        <v>1.2259887005649699</v>
      </c>
      <c r="D41">
        <v>8.7305170192193832E-2</v>
      </c>
      <c r="E41">
        <v>22.189739111558406</v>
      </c>
      <c r="F41">
        <v>2.8474915254237242E-2</v>
      </c>
      <c r="G41">
        <v>-0.28573030873056343</v>
      </c>
      <c r="H41">
        <v>-0.12635177765711733</v>
      </c>
      <c r="I41">
        <v>3.3026753416328769E-2</v>
      </c>
      <c r="J41">
        <v>-0.2572553934763262</v>
      </c>
      <c r="K41">
        <v>-9.7876862402880085E-2</v>
      </c>
      <c r="L41">
        <v>6.1501668670566015E-2</v>
      </c>
    </row>
    <row r="42" spans="1:12">
      <c r="A42">
        <v>41</v>
      </c>
      <c r="B42">
        <v>19.428571428571399</v>
      </c>
      <c r="C42">
        <v>1.1694915254237199</v>
      </c>
      <c r="D42">
        <v>8.259006521891743E-2</v>
      </c>
      <c r="E42">
        <v>22.769468538553866</v>
      </c>
      <c r="F42">
        <v>2.7051186440677742E-2</v>
      </c>
      <c r="G42">
        <v>-0.27774341036754963</v>
      </c>
      <c r="H42">
        <v>-0.12570951206246603</v>
      </c>
      <c r="I42">
        <v>2.6324386242617584E-2</v>
      </c>
      <c r="J42">
        <v>-0.2506922239268719</v>
      </c>
      <c r="K42">
        <v>-9.8658325621788279E-2</v>
      </c>
      <c r="L42">
        <v>5.3375572683295326E-2</v>
      </c>
    </row>
    <row r="43" spans="1:12">
      <c r="A43">
        <v>42</v>
      </c>
      <c r="B43">
        <v>20.342857142857099</v>
      </c>
      <c r="C43">
        <v>1.15254237288135</v>
      </c>
      <c r="D43">
        <v>7.7522377837309378E-2</v>
      </c>
      <c r="E43">
        <v>23.582855473221873</v>
      </c>
      <c r="F43">
        <v>2.6624067796610022E-2</v>
      </c>
      <c r="G43">
        <v>-0.2792089087165977</v>
      </c>
      <c r="H43">
        <v>-0.12937840024202221</v>
      </c>
      <c r="I43">
        <v>2.0452108232553279E-2</v>
      </c>
      <c r="J43">
        <v>-0.25258484091998767</v>
      </c>
      <c r="K43">
        <v>-0.10275433244541218</v>
      </c>
      <c r="L43">
        <v>4.7076176029163301E-2</v>
      </c>
    </row>
    <row r="44" spans="1:12">
      <c r="A44">
        <v>43</v>
      </c>
      <c r="B44">
        <v>20.457142857142799</v>
      </c>
      <c r="C44">
        <v>1.1694915254237199</v>
      </c>
      <c r="D44">
        <v>8.2249405173945772E-2</v>
      </c>
      <c r="E44">
        <v>23.790966762337632</v>
      </c>
      <c r="F44">
        <v>2.7051186440677742E-2</v>
      </c>
      <c r="G44">
        <v>-0.28276566510350687</v>
      </c>
      <c r="H44">
        <v>-0.13073176679842324</v>
      </c>
      <c r="I44">
        <v>2.1302131506660368E-2</v>
      </c>
      <c r="J44">
        <v>-0.25571447866282915</v>
      </c>
      <c r="K44">
        <v>-0.10368058035774549</v>
      </c>
      <c r="L44">
        <v>4.8353317947338111E-2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4D9D-FA85-4F12-A2B8-B7F640D257BC}">
  <sheetPr codeName="Arkusz9"/>
  <dimension ref="A1:Q48"/>
  <sheetViews>
    <sheetView zoomScaleNormal="100" workbookViewId="0">
      <selection activeCell="E20" sqref="E20"/>
    </sheetView>
  </sheetViews>
  <sheetFormatPr defaultRowHeight="12.5"/>
  <cols>
    <col min="1" max="1" width="12.453125" customWidth="1"/>
    <col min="2" max="2" width="10.1796875" style="84" bestFit="1" customWidth="1"/>
    <col min="4" max="4" width="9.26953125" customWidth="1"/>
    <col min="7" max="7" width="9.1796875" bestFit="1" customWidth="1"/>
  </cols>
  <sheetData>
    <row r="1" spans="1:8" ht="13">
      <c r="A1" s="125" t="s">
        <v>294</v>
      </c>
      <c r="B1" s="125"/>
      <c r="D1" s="126" t="s">
        <v>295</v>
      </c>
      <c r="E1" s="126"/>
      <c r="F1" s="126"/>
    </row>
    <row r="2" spans="1:8">
      <c r="A2" s="6" t="s">
        <v>130</v>
      </c>
      <c r="B2" s="19">
        <v>0.85</v>
      </c>
      <c r="D2" s="81" t="s">
        <v>271</v>
      </c>
      <c r="E2" s="82">
        <v>0.12</v>
      </c>
      <c r="F2" s="80" t="s">
        <v>296</v>
      </c>
      <c r="G2" s="83">
        <f xml:space="preserve"> (B$5 - E2)*B$3/B$4 *B$2</f>
        <v>0.34255075555555559</v>
      </c>
    </row>
    <row r="3" spans="1:8">
      <c r="A3" s="80" t="s">
        <v>292</v>
      </c>
      <c r="B3" s="84">
        <v>2.2000000000000002</v>
      </c>
      <c r="D3" s="81" t="s">
        <v>272</v>
      </c>
      <c r="E3" s="82">
        <v>0.25</v>
      </c>
      <c r="F3" s="80" t="s">
        <v>297</v>
      </c>
      <c r="G3" s="83">
        <f xml:space="preserve"> (B$5 - E3)*B$3/B$4 *B$2</f>
        <v>0.32634408888888894</v>
      </c>
    </row>
    <row r="4" spans="1:8">
      <c r="A4" s="80" t="s">
        <v>293</v>
      </c>
      <c r="B4" s="84">
        <v>15</v>
      </c>
      <c r="D4" s="81" t="s">
        <v>273</v>
      </c>
      <c r="E4" s="82">
        <v>0.38</v>
      </c>
      <c r="F4" s="80" t="s">
        <v>298</v>
      </c>
      <c r="G4" s="83">
        <f xml:space="preserve"> (B$5 - E4)*B$3/B$4 *B$2</f>
        <v>0.31013742222222229</v>
      </c>
    </row>
    <row r="5" spans="1:8">
      <c r="A5" s="80" t="s">
        <v>291</v>
      </c>
      <c r="B5" s="84">
        <f xml:space="preserve"> 8*53.77/150</f>
        <v>2.8677333333333337</v>
      </c>
    </row>
    <row r="6" spans="1:8" ht="13">
      <c r="D6" s="126" t="s">
        <v>315</v>
      </c>
      <c r="E6" s="126"/>
      <c r="F6" s="126"/>
      <c r="G6" s="126"/>
      <c r="H6" s="126"/>
    </row>
    <row r="7" spans="1:8">
      <c r="C7" s="80"/>
      <c r="D7" s="86" t="s">
        <v>310</v>
      </c>
      <c r="E7" s="86" t="s">
        <v>311</v>
      </c>
      <c r="F7" s="86" t="s">
        <v>312</v>
      </c>
      <c r="G7" s="86" t="s">
        <v>313</v>
      </c>
      <c r="H7" s="86" t="s">
        <v>314</v>
      </c>
    </row>
    <row r="8" spans="1:8">
      <c r="A8" t="s">
        <v>299</v>
      </c>
      <c r="B8" s="84">
        <v>3.01</v>
      </c>
      <c r="D8" s="82">
        <v>0.12</v>
      </c>
      <c r="E8" s="87" cm="1">
        <f t="array" ref="E8:E10" xml:space="preserve"> TRANSPOSE(proj8!Q22:S22)</f>
        <v>-7.4770965467342465E-2</v>
      </c>
      <c r="F8" s="88" cm="1">
        <f t="array" ref="F8:F10" xml:space="preserve"> G2:G4</f>
        <v>0.34255075555555559</v>
      </c>
      <c r="G8" s="87">
        <f xml:space="preserve"> E8/(F8*$B$33)-$B$36/$B$31*(1-$B$37)</f>
        <v>-0.13398601185628983</v>
      </c>
      <c r="H8" s="87">
        <f xml:space="preserve"> DEGREES(G8)</f>
        <v>-7.6768329931552159</v>
      </c>
    </row>
    <row r="9" spans="1:8">
      <c r="A9" t="s">
        <v>300</v>
      </c>
      <c r="B9" s="84">
        <v>2.2000000000000002</v>
      </c>
      <c r="D9" s="82">
        <v>0.25</v>
      </c>
      <c r="E9" s="87">
        <v>-3.9516728179206879E-2</v>
      </c>
      <c r="F9" s="87">
        <v>0.32634408888888894</v>
      </c>
      <c r="G9" s="87">
        <f xml:space="preserve"> E9/(F9*$B$33)-$B$36/$B$31*(1-$B$37)</f>
        <v>-0.10263507898204391</v>
      </c>
      <c r="H9" s="87">
        <f xml:space="preserve"> DEGREES(G9)</f>
        <v>-5.8805568556629773</v>
      </c>
    </row>
    <row r="10" spans="1:8">
      <c r="A10" t="s">
        <v>302</v>
      </c>
      <c r="B10" s="84">
        <f xml:space="preserve"> 1.4*52.11/100</f>
        <v>0.72953999999999997</v>
      </c>
      <c r="D10" s="82">
        <v>0.38</v>
      </c>
      <c r="E10" s="87">
        <v>-4.2624908910712939E-3</v>
      </c>
      <c r="F10" s="87">
        <v>0.31013742222222229</v>
      </c>
      <c r="G10" s="87">
        <f xml:space="preserve"> E10/(F10*$B$33)-$B$36/$B$31*(1-$B$37)</f>
        <v>-6.800757203207819E-2</v>
      </c>
      <c r="H10" s="87">
        <f t="shared" ref="H10" si="0" xml:space="preserve"> DEGREES(G10)</f>
        <v>-3.8965468523700157</v>
      </c>
    </row>
    <row r="11" spans="1:8">
      <c r="A11" t="s">
        <v>303</v>
      </c>
      <c r="B11" s="84">
        <f xml:space="preserve"> 2.1*52.11/100</f>
        <v>1.0943099999999999</v>
      </c>
    </row>
    <row r="12" spans="1:8">
      <c r="A12" t="s">
        <v>317</v>
      </c>
      <c r="B12" s="84">
        <f>B8/(2*3)*(2*B11+B10)/(B11+B10)</f>
        <v>0.80266666666666664</v>
      </c>
      <c r="C12" t="s">
        <v>318</v>
      </c>
    </row>
    <row r="13" spans="1:8">
      <c r="A13" t="s">
        <v>323</v>
      </c>
      <c r="B13" s="84">
        <f>0.5*52.11/100</f>
        <v>0.26055</v>
      </c>
      <c r="C13" t="s">
        <v>319</v>
      </c>
      <c r="G13" s="80" t="s">
        <v>347</v>
      </c>
    </row>
    <row r="14" spans="1:8">
      <c r="A14" t="s">
        <v>324</v>
      </c>
      <c r="B14" s="84">
        <f>0.9*52.11/100</f>
        <v>0.46899000000000002</v>
      </c>
    </row>
    <row r="15" spans="1:8">
      <c r="A15" t="s">
        <v>322</v>
      </c>
      <c r="B15" s="84">
        <f xml:space="preserve"> 1/3*(2*B13+B14)/(B13+B14)</f>
        <v>0.45238095238095233</v>
      </c>
    </row>
    <row r="16" spans="1:8">
      <c r="A16" s="80" t="s">
        <v>340</v>
      </c>
      <c r="B16" s="84">
        <f>0.3*52.11/100</f>
        <v>0.15633</v>
      </c>
      <c r="F16" s="80"/>
    </row>
    <row r="17" spans="1:17">
      <c r="A17" s="80" t="s">
        <v>338</v>
      </c>
      <c r="B17" s="90">
        <f>3.1*52.11/100</f>
        <v>1.61541</v>
      </c>
    </row>
    <row r="18" spans="1:17">
      <c r="A18" t="str" cm="1">
        <f t="array" ref="A18:B19" xml:space="preserve"> F37:G38</f>
        <v>S_kh</v>
      </c>
      <c r="B18" s="84">
        <v>0.25253704529999998</v>
      </c>
    </row>
    <row r="19" spans="1:17">
      <c r="A19" t="str">
        <v>S0_kh</v>
      </c>
      <c r="B19" s="84">
        <v>0.47055329999999995</v>
      </c>
    </row>
    <row r="20" spans="1:17" ht="26.15" customHeight="1">
      <c r="A20" s="80" t="s">
        <v>337</v>
      </c>
      <c r="B20" s="84">
        <f xml:space="preserve"> (B18*B17)/(B19*B8)</f>
        <v>0.28802656351475153</v>
      </c>
    </row>
    <row r="22" spans="1:17">
      <c r="A22" t="s">
        <v>301</v>
      </c>
      <c r="B22" s="84">
        <f>1/(B11/B10)</f>
        <v>0.66666666666666663</v>
      </c>
      <c r="E22" s="6"/>
    </row>
    <row r="23" spans="1:17">
      <c r="A23" t="s">
        <v>304</v>
      </c>
      <c r="B23" s="84">
        <f xml:space="preserve"> B8^2/B9</f>
        <v>4.118227272727272</v>
      </c>
      <c r="E23" s="6"/>
    </row>
    <row r="24" spans="1:17">
      <c r="E24" s="6"/>
    </row>
    <row r="25" spans="1:17" ht="13">
      <c r="A25" s="80" t="s">
        <v>309</v>
      </c>
      <c r="B25" s="91">
        <f>proj2_copy!H9</f>
        <v>3.5594158813848917</v>
      </c>
      <c r="E25" s="6"/>
      <c r="F25" s="127" t="s">
        <v>328</v>
      </c>
      <c r="G25" s="127"/>
      <c r="H25" s="127"/>
      <c r="I25" s="127"/>
    </row>
    <row r="26" spans="1:17">
      <c r="A26" t="s">
        <v>307</v>
      </c>
      <c r="B26" s="84">
        <v>0.93400000000000005</v>
      </c>
      <c r="C26" t="s">
        <v>316</v>
      </c>
      <c r="E26" s="6"/>
      <c r="F26" s="87" t="s">
        <v>320</v>
      </c>
      <c r="G26" s="89">
        <f>B15</f>
        <v>0.45238095238095233</v>
      </c>
      <c r="H26" s="87" t="s">
        <v>326</v>
      </c>
      <c r="I26" s="89">
        <f>B16</f>
        <v>0.15633</v>
      </c>
    </row>
    <row r="27" spans="1:17">
      <c r="A27" s="80" t="s">
        <v>342</v>
      </c>
      <c r="B27" s="84">
        <f xml:space="preserve"> B26/B3</f>
        <v>0.42454545454545456</v>
      </c>
      <c r="E27" s="6"/>
      <c r="F27" s="87" t="s">
        <v>321</v>
      </c>
      <c r="G27" s="89">
        <f>B12</f>
        <v>0.80266666666666664</v>
      </c>
      <c r="H27" s="87"/>
      <c r="I27" s="87"/>
    </row>
    <row r="28" spans="1:17">
      <c r="A28" s="80" t="s">
        <v>343</v>
      </c>
      <c r="B28" s="84">
        <f xml:space="preserve"> B18/B26</f>
        <v>0.27038227548179866</v>
      </c>
      <c r="F28" s="87" t="s">
        <v>325</v>
      </c>
      <c r="G28" s="87">
        <f>G26/G27</f>
        <v>0.56359753203607021</v>
      </c>
      <c r="H28" s="87" t="s">
        <v>327</v>
      </c>
      <c r="I28" s="87">
        <f>I26/G26</f>
        <v>0.34557157894736845</v>
      </c>
      <c r="K28" s="80" t="s">
        <v>330</v>
      </c>
      <c r="L28">
        <f>-0.025</f>
        <v>-2.5000000000000001E-2</v>
      </c>
    </row>
    <row r="30" spans="1:17">
      <c r="P30" s="80" t="s">
        <v>329</v>
      </c>
    </row>
    <row r="31" spans="1:17">
      <c r="A31" s="80" t="s">
        <v>62</v>
      </c>
      <c r="B31" s="84">
        <f>proj2_copy!H37</f>
        <v>3.7667739973868501</v>
      </c>
      <c r="M31">
        <v>0.1</v>
      </c>
      <c r="N31" s="80">
        <v>-1.0749999999999999E-2</v>
      </c>
      <c r="O31" s="80">
        <v>-1.0749999999999999E-2</v>
      </c>
      <c r="P31">
        <f>AVERAGE(N31:O31)</f>
        <v>-1.0749999999999999E-2</v>
      </c>
    </row>
    <row r="32" spans="1:17">
      <c r="B32" s="85"/>
      <c r="M32">
        <v>0.2</v>
      </c>
      <c r="N32">
        <v>-1.5800000000000002E-2</v>
      </c>
      <c r="O32" s="80">
        <v>-1.6750000000000001E-2</v>
      </c>
      <c r="P32">
        <f t="shared" ref="P32:P33" si="1">AVERAGE(N32:O32)</f>
        <v>-1.6275000000000001E-2</v>
      </c>
      <c r="Q32">
        <f xml:space="preserve"> P32-P31</f>
        <v>-5.5250000000000021E-3</v>
      </c>
    </row>
    <row r="33" spans="1:17">
      <c r="A33" t="s">
        <v>305</v>
      </c>
      <c r="B33" s="84">
        <v>3.1</v>
      </c>
      <c r="M33">
        <v>0.3</v>
      </c>
      <c r="N33" s="80">
        <v>-1.9199999999999998E-2</v>
      </c>
      <c r="O33" s="80">
        <v>-0.02</v>
      </c>
      <c r="P33">
        <f t="shared" si="1"/>
        <v>-1.9599999999999999E-2</v>
      </c>
      <c r="Q33">
        <f xml:space="preserve"> P33-P32</f>
        <v>-3.3249999999999981E-3</v>
      </c>
    </row>
    <row r="34" spans="1:17">
      <c r="A34" s="80" t="s">
        <v>331</v>
      </c>
      <c r="B34" s="84">
        <v>4.9000000000000004</v>
      </c>
      <c r="M34">
        <v>0.35</v>
      </c>
      <c r="P34">
        <v>-3.2099999999999997E-2</v>
      </c>
      <c r="Q34">
        <f xml:space="preserve"> P34-P33</f>
        <v>-1.2499999999999997E-2</v>
      </c>
    </row>
    <row r="35" spans="1:17">
      <c r="A35" t="s">
        <v>306</v>
      </c>
      <c r="B35" s="84">
        <f xml:space="preserve"> 1.2*B33*SQRT(B27)*(1-0.2*B27)</f>
        <v>2.2180395125888839</v>
      </c>
    </row>
    <row r="36" spans="1:17">
      <c r="A36" s="92" t="s">
        <v>348</v>
      </c>
      <c r="B36" s="93">
        <f xml:space="preserve"> 2*726*9.81/(1.225*15*D36^2)</f>
        <v>0.73390788552107233</v>
      </c>
      <c r="C36" s="95" t="s">
        <v>349</v>
      </c>
      <c r="D36" s="94">
        <v>32.5</v>
      </c>
    </row>
    <row r="37" spans="1:17">
      <c r="A37" s="80" t="s">
        <v>308</v>
      </c>
      <c r="B37" s="84">
        <f xml:space="preserve"> 2*B31/(PI()*B25)</f>
        <v>0.67370683412344901</v>
      </c>
      <c r="F37" s="80" t="s">
        <v>339</v>
      </c>
      <c r="G37">
        <f xml:space="preserve"> B17*B16</f>
        <v>0.25253704529999998</v>
      </c>
      <c r="J37" s="80"/>
    </row>
    <row r="38" spans="1:17">
      <c r="F38" s="80" t="s">
        <v>341</v>
      </c>
      <c r="G38">
        <f>B8*B16</f>
        <v>0.47055329999999995</v>
      </c>
    </row>
    <row r="39" spans="1:17">
      <c r="A39" s="80" t="s">
        <v>333</v>
      </c>
      <c r="B39" s="84">
        <f>C39*E42</f>
        <v>-0.2291831180523293</v>
      </c>
      <c r="C39">
        <v>-4.0000000000000001E-3</v>
      </c>
      <c r="F39" s="80" t="s">
        <v>337</v>
      </c>
      <c r="G39">
        <f xml:space="preserve"> (G37*B17)/(G38*B8)</f>
        <v>0.28802656351475153</v>
      </c>
    </row>
    <row r="40" spans="1:17">
      <c r="A40" s="80" t="s">
        <v>332</v>
      </c>
      <c r="B40" s="84">
        <f xml:space="preserve"> B39*B33/B34</f>
        <v>-0.14499340121677975</v>
      </c>
    </row>
    <row r="42" spans="1:17">
      <c r="A42" s="80" t="s">
        <v>350</v>
      </c>
      <c r="B42" s="84">
        <v>0.47</v>
      </c>
      <c r="D42" s="80" t="s">
        <v>345</v>
      </c>
      <c r="E42">
        <f>180/PI()</f>
        <v>57.295779513082323</v>
      </c>
    </row>
    <row r="43" spans="1:17">
      <c r="A43" s="80" t="s">
        <v>336</v>
      </c>
      <c r="B43" s="84">
        <v>0.6</v>
      </c>
    </row>
    <row r="44" spans="1:17">
      <c r="A44" s="80" t="s">
        <v>334</v>
      </c>
      <c r="B44" s="84">
        <f>C44*E42</f>
        <v>-0.35408791739084872</v>
      </c>
      <c r="C44">
        <v>-6.1799999999999997E-3</v>
      </c>
    </row>
    <row r="45" spans="1:17">
      <c r="A45" s="80" t="s">
        <v>335</v>
      </c>
      <c r="B45" s="84">
        <f xml:space="preserve"> B44+(B33/B34-1)*B40*B43</f>
        <v>-0.32213018814306871</v>
      </c>
    </row>
    <row r="47" spans="1:17">
      <c r="A47" s="80" t="s">
        <v>346</v>
      </c>
      <c r="B47" s="84">
        <f xml:space="preserve"> C47*E42</f>
        <v>-1.4323944878270582</v>
      </c>
      <c r="C47">
        <v>-2.5000000000000001E-2</v>
      </c>
    </row>
    <row r="48" spans="1:17">
      <c r="A48" s="80" t="s">
        <v>344</v>
      </c>
      <c r="B48" s="84">
        <f xml:space="preserve"> B47*B20-(1-B33/B34)*B40*B42</f>
        <v>-0.3875341073488725</v>
      </c>
    </row>
  </sheetData>
  <mergeCells count="4">
    <mergeCell ref="A1:B1"/>
    <mergeCell ref="D1:F1"/>
    <mergeCell ref="D6:H6"/>
    <mergeCell ref="F25:I2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0668A-DD81-4993-A908-00B1F0E99DB2}">
  <sheetPr codeName="Arkusz10"/>
  <dimension ref="A1"/>
  <sheetViews>
    <sheetView workbookViewId="0"/>
  </sheetViews>
  <sheetFormatPr defaultRowHeight="12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Baza</vt:lpstr>
      <vt:lpstr>proj2_copy</vt:lpstr>
      <vt:lpstr>Base</vt:lpstr>
      <vt:lpstr>proj3</vt:lpstr>
      <vt:lpstr>proj4</vt:lpstr>
      <vt:lpstr>Proj5</vt:lpstr>
      <vt:lpstr>proj8</vt:lpstr>
      <vt:lpstr>Base_pr8</vt:lpstr>
      <vt:lpstr>Pr9</vt:lpstr>
      <vt:lpstr>proj10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</dc:creator>
  <cp:lastModifiedBy>Polewski Marek (STUD)</cp:lastModifiedBy>
  <dcterms:created xsi:type="dcterms:W3CDTF">2023-10-31T16:00:22Z</dcterms:created>
  <dcterms:modified xsi:type="dcterms:W3CDTF">2024-01-14T13:08:25Z</dcterms:modified>
</cp:coreProperties>
</file>