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en_skoroszyt"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1_{F7B4A09A-285E-4278-98C0-E0A6651ECD13}" xr6:coauthVersionLast="47" xr6:coauthVersionMax="47" xr10:uidLastSave="{00000000-0000-0000-0000-000000000000}"/>
  <bookViews>
    <workbookView xWindow="-110" yWindow="-110" windowWidth="30940" windowHeight="18820" tabRatio="783" xr2:uid="{00000000-000D-0000-FFFF-FFFF00000000}"/>
  </bookViews>
  <sheets>
    <sheet name="Baza" sheetId="10" r:id="rId1"/>
    <sheet name="proj2_copy" sheetId="1" r:id="rId2"/>
    <sheet name="Base" sheetId="3" r:id="rId3"/>
    <sheet name="proj3" sheetId="2" r:id="rId4"/>
    <sheet name="proj4" sheetId="4" r:id="rId5"/>
    <sheet name="Proj5" sheetId="5" r:id="rId6"/>
    <sheet name="proj8" sheetId="6" r:id="rId7"/>
    <sheet name="Base_pr8" sheetId="9" r:id="rId8"/>
    <sheet name="Pr9" sheetId="8" r:id="rId9"/>
    <sheet name="proj10" sheetId="11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N4" i="10"/>
  <c r="N64" i="10"/>
  <c r="B48" i="8"/>
  <c r="B39" i="8"/>
  <c r="B40" i="8" s="1"/>
  <c r="B36" i="8"/>
  <c r="B47" i="8"/>
  <c r="B44" i="8"/>
  <c r="E42" i="8"/>
  <c r="B17" i="8"/>
  <c r="L28" i="8"/>
  <c r="P32" i="8"/>
  <c r="P33" i="8"/>
  <c r="Q34" i="8" s="1"/>
  <c r="P31" i="8"/>
  <c r="B16" i="8"/>
  <c r="I26" i="8" s="1"/>
  <c r="B14" i="8"/>
  <c r="B13" i="8"/>
  <c r="B27" i="8"/>
  <c r="B35" i="8" s="1"/>
  <c r="Q7" i="6"/>
  <c r="M8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B10" i="8"/>
  <c r="R4" i="6"/>
  <c r="P4" i="6"/>
  <c r="H9" i="1"/>
  <c r="B25" i="8" s="1"/>
  <c r="B23" i="8"/>
  <c r="B11" i="8"/>
  <c r="B45" i="8" l="1"/>
  <c r="G38" i="8"/>
  <c r="Q32" i="8"/>
  <c r="G37" i="8"/>
  <c r="G39" i="8" s="1"/>
  <c r="A18" i="8" a="1"/>
  <c r="B28" i="8" s="1"/>
  <c r="B15" i="8"/>
  <c r="G26" i="8" s="1"/>
  <c r="I28" i="8" s="1"/>
  <c r="B12" i="8"/>
  <c r="G27" i="8" s="1"/>
  <c r="Q33" i="8"/>
  <c r="B22" i="8"/>
  <c r="B5" i="8"/>
  <c r="G3" i="8" s="1"/>
  <c r="M45" i="6"/>
  <c r="M44" i="6"/>
  <c r="M43" i="6"/>
  <c r="M42" i="6"/>
  <c r="S41" i="6"/>
  <c r="P41" i="6"/>
  <c r="O41" i="6"/>
  <c r="M41" i="6"/>
  <c r="R41" i="6" s="1"/>
  <c r="M40" i="6"/>
  <c r="M39" i="6"/>
  <c r="P38" i="6"/>
  <c r="M38" i="6"/>
  <c r="M37" i="6"/>
  <c r="R36" i="6"/>
  <c r="O36" i="6"/>
  <c r="Q36" i="6"/>
  <c r="M36" i="6"/>
  <c r="M35" i="6"/>
  <c r="P34" i="6"/>
  <c r="M34" i="6"/>
  <c r="S34" i="6" s="1"/>
  <c r="O33" i="6"/>
  <c r="M33" i="6"/>
  <c r="C33" i="6"/>
  <c r="M32" i="6"/>
  <c r="R31" i="6"/>
  <c r="O31" i="6"/>
  <c r="M31" i="6"/>
  <c r="M30" i="6"/>
  <c r="C30" i="6"/>
  <c r="M29" i="6"/>
  <c r="C29" i="6"/>
  <c r="M28" i="6"/>
  <c r="M27" i="6"/>
  <c r="S26" i="6"/>
  <c r="P26" i="6"/>
  <c r="O26" i="6"/>
  <c r="M26" i="6"/>
  <c r="R26" i="6" s="1"/>
  <c r="M25" i="6"/>
  <c r="M24" i="6"/>
  <c r="P23" i="6"/>
  <c r="M23" i="6"/>
  <c r="M22" i="6"/>
  <c r="R21" i="6"/>
  <c r="O21" i="6"/>
  <c r="Q21" i="6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M14" i="6"/>
  <c r="R13" i="6"/>
  <c r="O13" i="6"/>
  <c r="Q13" i="6"/>
  <c r="M13" i="6"/>
  <c r="C13" i="6"/>
  <c r="P9" i="6" s="1"/>
  <c r="M12" i="6"/>
  <c r="C12" i="6"/>
  <c r="S11" i="6"/>
  <c r="P11" i="6"/>
  <c r="M11" i="6"/>
  <c r="Q10" i="6"/>
  <c r="M10" i="6"/>
  <c r="M9" i="6"/>
  <c r="S9" i="6" s="1"/>
  <c r="S8" i="6"/>
  <c r="P8" i="6"/>
  <c r="O8" i="6"/>
  <c r="R8" i="6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Y28" i="1"/>
  <c r="U28" i="1"/>
  <c r="V28" i="1" s="1"/>
  <c r="Y27" i="1"/>
  <c r="V27" i="1"/>
  <c r="U27" i="1"/>
  <c r="U26" i="1"/>
  <c r="Y26" i="1" s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H26" i="1" s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Y3" i="1"/>
  <c r="C3" i="1"/>
  <c r="C2" i="1"/>
  <c r="H31" i="1" l="1"/>
  <c r="A18" i="8"/>
  <c r="B20" i="8"/>
  <c r="G28" i="8"/>
  <c r="G2" i="8"/>
  <c r="G4" i="8"/>
  <c r="B53" i="2"/>
  <c r="G23" i="2" s="1"/>
  <c r="I23" i="2" s="1"/>
  <c r="H23" i="2"/>
  <c r="H32" i="1"/>
  <c r="H33" i="1" s="1"/>
  <c r="H30" i="1"/>
  <c r="H25" i="1"/>
  <c r="H28" i="1" s="1"/>
  <c r="H37" i="1" s="1"/>
  <c r="B31" i="8" s="1"/>
  <c r="B37" i="8" s="1"/>
  <c r="S20" i="1"/>
  <c r="T20" i="1" s="1"/>
  <c r="S11" i="1"/>
  <c r="T11" i="1" s="1"/>
  <c r="Q42" i="1"/>
  <c r="Q22" i="1"/>
  <c r="Q38" i="1"/>
  <c r="Q37" i="1"/>
  <c r="R37" i="1" s="1"/>
  <c r="Q27" i="1"/>
  <c r="Q11" i="1"/>
  <c r="Q10" i="1"/>
  <c r="Q9" i="1"/>
  <c r="R9" i="1" s="1"/>
  <c r="Q8" i="1"/>
  <c r="Q7" i="1"/>
  <c r="Q6" i="1"/>
  <c r="Q5" i="1"/>
  <c r="Q33" i="1"/>
  <c r="Q13" i="1"/>
  <c r="Q12" i="1"/>
  <c r="Q28" i="1"/>
  <c r="R28" i="1" s="1"/>
  <c r="Q23" i="1"/>
  <c r="Q14" i="1"/>
  <c r="Q4" i="1"/>
  <c r="R4" i="1" s="1"/>
  <c r="Q3" i="1"/>
  <c r="R3" i="1" s="1"/>
  <c r="Q15" i="1"/>
  <c r="Q43" i="1"/>
  <c r="Q34" i="1"/>
  <c r="Q39" i="1"/>
  <c r="Q29" i="1"/>
  <c r="Q24" i="1"/>
  <c r="Q16" i="1"/>
  <c r="Q17" i="1"/>
  <c r="R17" i="1" s="1"/>
  <c r="Q44" i="1"/>
  <c r="Q35" i="1"/>
  <c r="Q30" i="1"/>
  <c r="R30" i="1" s="1"/>
  <c r="Q25" i="1"/>
  <c r="R25" i="1" s="1"/>
  <c r="Q40" i="1"/>
  <c r="Q18" i="1"/>
  <c r="Q31" i="1"/>
  <c r="Q26" i="1"/>
  <c r="Q19" i="1"/>
  <c r="Q45" i="1"/>
  <c r="Q36" i="1"/>
  <c r="Q41" i="1"/>
  <c r="R41" i="1" s="1"/>
  <c r="Q32" i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S4" i="6"/>
  <c r="Q6" i="6"/>
  <c r="O11" i="6"/>
  <c r="R11" i="6" s="1"/>
  <c r="P14" i="6"/>
  <c r="S14" i="6" s="1"/>
  <c r="P17" i="6"/>
  <c r="S17" i="6" s="1"/>
  <c r="P22" i="6"/>
  <c r="S22" i="6" s="1"/>
  <c r="Q24" i="6"/>
  <c r="Q29" i="6"/>
  <c r="P32" i="6"/>
  <c r="S32" i="6" s="1"/>
  <c r="P37" i="6"/>
  <c r="S37" i="6" s="1"/>
  <c r="Q39" i="6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Q19" i="6"/>
  <c r="O24" i="6"/>
  <c r="R24" i="6" s="1"/>
  <c r="O29" i="6"/>
  <c r="R29" i="6" s="1"/>
  <c r="Q34" i="6"/>
  <c r="O39" i="6"/>
  <c r="R39" i="6" s="1"/>
  <c r="P44" i="6"/>
  <c r="F28" i="4"/>
  <c r="S29" i="4"/>
  <c r="R30" i="4"/>
  <c r="Q31" i="4"/>
  <c r="S32" i="4"/>
  <c r="O36" i="4"/>
  <c r="P6" i="6"/>
  <c r="S6" i="6" s="1"/>
  <c r="O19" i="6"/>
  <c r="R19" i="6" s="1"/>
  <c r="P24" i="6"/>
  <c r="S24" i="6" s="1"/>
  <c r="Q26" i="6"/>
  <c r="P29" i="6"/>
  <c r="S29" i="6" s="1"/>
  <c r="O34" i="6"/>
  <c r="P39" i="6"/>
  <c r="S39" i="6" s="1"/>
  <c r="Q44" i="6"/>
  <c r="N35" i="4"/>
  <c r="Q28" i="6"/>
  <c r="Q43" i="6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Q5" i="6"/>
  <c r="Q8" i="6"/>
  <c r="O10" i="6"/>
  <c r="R10" i="6" s="1"/>
  <c r="P13" i="6"/>
  <c r="S13" i="6" s="1"/>
  <c r="Q16" i="6"/>
  <c r="P21" i="6"/>
  <c r="S21" i="6" s="1"/>
  <c r="O28" i="6"/>
  <c r="R28" i="6" s="1"/>
  <c r="P31" i="6"/>
  <c r="S31" i="6" s="1"/>
  <c r="R34" i="6"/>
  <c r="P36" i="6"/>
  <c r="S36" i="6" s="1"/>
  <c r="Q38" i="6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O18" i="6"/>
  <c r="O23" i="6"/>
  <c r="P28" i="6"/>
  <c r="Q31" i="6"/>
  <c r="Q33" i="6"/>
  <c r="O38" i="6"/>
  <c r="R38" i="6" s="1"/>
  <c r="P43" i="6"/>
  <c r="S43" i="6" s="1"/>
  <c r="Q45" i="6"/>
  <c r="O45" i="6"/>
  <c r="R45" i="6" s="1"/>
  <c r="O33" i="4"/>
  <c r="Q34" i="4"/>
  <c r="O7" i="6"/>
  <c r="O12" i="6"/>
  <c r="R12" i="6" s="1"/>
  <c r="P15" i="6"/>
  <c r="Q18" i="6"/>
  <c r="Q20" i="6"/>
  <c r="Q23" i="6"/>
  <c r="O25" i="6"/>
  <c r="R25" i="6" s="1"/>
  <c r="Q30" i="6"/>
  <c r="P33" i="6"/>
  <c r="Q35" i="6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Q9" i="6"/>
  <c r="P12" i="6"/>
  <c r="S12" i="6" s="1"/>
  <c r="Q15" i="6"/>
  <c r="R18" i="6"/>
  <c r="O20" i="6"/>
  <c r="R23" i="6"/>
  <c r="P25" i="6"/>
  <c r="S25" i="6" s="1"/>
  <c r="Q27" i="6"/>
  <c r="O30" i="6"/>
  <c r="R30" i="6" s="1"/>
  <c r="O35" i="6"/>
  <c r="R35" i="6" s="1"/>
  <c r="P40" i="6"/>
  <c r="S40" i="6" s="1"/>
  <c r="Q42" i="6"/>
  <c r="N16" i="4"/>
  <c r="O29" i="4"/>
  <c r="N30" i="4"/>
  <c r="O32" i="4"/>
  <c r="Q4" i="6"/>
  <c r="O9" i="6"/>
  <c r="R9" i="6" s="1"/>
  <c r="Q12" i="6"/>
  <c r="Q14" i="6"/>
  <c r="Q17" i="6"/>
  <c r="P20" i="6"/>
  <c r="Q22" i="6"/>
  <c r="E8" i="8" s="1" a="1"/>
  <c r="Q25" i="6"/>
  <c r="O27" i="6"/>
  <c r="R27" i="6" s="1"/>
  <c r="P30" i="6"/>
  <c r="S30" i="6" s="1"/>
  <c r="Q32" i="6"/>
  <c r="R33" i="6"/>
  <c r="P35" i="6"/>
  <c r="S35" i="6" s="1"/>
  <c r="Q37" i="6"/>
  <c r="Q40" i="6"/>
  <c r="O42" i="6"/>
  <c r="R42" i="6" s="1"/>
  <c r="O6" i="4"/>
  <c r="N15" i="4"/>
  <c r="O16" i="4"/>
  <c r="F20" i="4"/>
  <c r="O30" i="4"/>
  <c r="N31" i="4"/>
  <c r="O4" i="6"/>
  <c r="Q11" i="6"/>
  <c r="O14" i="6"/>
  <c r="R14" i="6" s="1"/>
  <c r="O17" i="6"/>
  <c r="R17" i="6" s="1"/>
  <c r="O22" i="6"/>
  <c r="R22" i="6" s="1"/>
  <c r="P27" i="6"/>
  <c r="S27" i="6" s="1"/>
  <c r="O32" i="6"/>
  <c r="S37" i="1" l="1"/>
  <c r="T37" i="1" s="1"/>
  <c r="S32" i="1"/>
  <c r="T32" i="1" s="1"/>
  <c r="R10" i="1"/>
  <c r="S29" i="1"/>
  <c r="T29" i="1" s="1"/>
  <c r="S38" i="1"/>
  <c r="T38" i="1" s="1"/>
  <c r="S26" i="1"/>
  <c r="T26" i="1" s="1"/>
  <c r="S44" i="1"/>
  <c r="T44" i="1" s="1"/>
  <c r="S45" i="1"/>
  <c r="T45" i="1" s="1"/>
  <c r="R32" i="1"/>
  <c r="R44" i="1"/>
  <c r="S21" i="1"/>
  <c r="T21" i="1" s="1"/>
  <c r="S23" i="1"/>
  <c r="T23" i="1" s="1"/>
  <c r="S4" i="1"/>
  <c r="T4" i="1" s="1"/>
  <c r="S19" i="1"/>
  <c r="T19" i="1" s="1"/>
  <c r="S5" i="1"/>
  <c r="T5" i="1" s="1"/>
  <c r="R19" i="1"/>
  <c r="X19" i="1" s="1"/>
  <c r="R29" i="1"/>
  <c r="X29" i="1" s="1"/>
  <c r="R33" i="1"/>
  <c r="X33" i="1" s="1"/>
  <c r="R42" i="1"/>
  <c r="X42" i="1" s="1"/>
  <c r="S18" i="1"/>
  <c r="T18" i="1" s="1"/>
  <c r="S6" i="1"/>
  <c r="T6" i="1" s="1"/>
  <c r="R26" i="1"/>
  <c r="X26" i="1" s="1"/>
  <c r="R39" i="1"/>
  <c r="R5" i="1"/>
  <c r="X5" i="1" s="1"/>
  <c r="S12" i="1"/>
  <c r="T12" i="1" s="1"/>
  <c r="S30" i="1"/>
  <c r="T30" i="1" s="1"/>
  <c r="S7" i="1"/>
  <c r="T7" i="1" s="1"/>
  <c r="S22" i="1"/>
  <c r="T22" i="1" s="1"/>
  <c r="R18" i="1"/>
  <c r="R43" i="1"/>
  <c r="X43" i="1" s="1"/>
  <c r="R7" i="1"/>
  <c r="X7" i="1" s="1"/>
  <c r="S8" i="1"/>
  <c r="T8" i="1" s="1"/>
  <c r="S39" i="1"/>
  <c r="T39" i="1" s="1"/>
  <c r="S40" i="1"/>
  <c r="T40" i="1" s="1"/>
  <c r="S17" i="1"/>
  <c r="T17" i="1" s="1"/>
  <c r="R40" i="1"/>
  <c r="X40" i="1" s="1"/>
  <c r="R15" i="1"/>
  <c r="R8" i="1"/>
  <c r="X8" i="1" s="1"/>
  <c r="S10" i="1"/>
  <c r="T10" i="1" s="1"/>
  <c r="S16" i="1"/>
  <c r="T16" i="1" s="1"/>
  <c r="S24" i="1"/>
  <c r="T24" i="1" s="1"/>
  <c r="F8" i="8" a="1"/>
  <c r="F8" i="8" s="1"/>
  <c r="E8" i="8"/>
  <c r="W35" i="1"/>
  <c r="W44" i="1"/>
  <c r="W26" i="1"/>
  <c r="W25" i="1"/>
  <c r="W24" i="1"/>
  <c r="W43" i="1"/>
  <c r="W39" i="1"/>
  <c r="W29" i="1"/>
  <c r="W17" i="1"/>
  <c r="W30" i="1"/>
  <c r="X30" i="1" s="1"/>
  <c r="W18" i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Q22" i="4"/>
  <c r="U22" i="4" s="1" a="1"/>
  <c r="S22" i="4"/>
  <c r="O22" i="4"/>
  <c r="S5" i="4"/>
  <c r="Q5" i="4"/>
  <c r="X15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Z34" i="1" l="1"/>
  <c r="X18" i="1"/>
  <c r="AA18" i="1" s="1"/>
  <c r="G54" i="1" a="1"/>
  <c r="H54" i="1" s="1"/>
  <c r="X39" i="1"/>
  <c r="G9" i="8"/>
  <c r="G10" i="8"/>
  <c r="G8" i="8"/>
  <c r="U26" i="4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H8" i="8" l="1"/>
  <c r="N41" i="10"/>
  <c r="H10" i="8"/>
  <c r="N43" i="10"/>
  <c r="H9" i="8"/>
  <c r="N42" i="10"/>
  <c r="G54" i="1"/>
  <c r="G55" i="1" s="1"/>
  <c r="AA3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nie jestem pewien, nie wiem skąd wziąć z_c nigdzie w projektach nie było liczone
	-Marek Polewski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<sst xmlns="http://schemas.openxmlformats.org/spreadsheetml/2006/main" count="536" uniqueCount="405">
  <si>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</si>
  <si>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</si>
  <si>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</si>
  <si>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</si>
  <si>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</si>
  <si>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</si>
  <si>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</si>
  <si>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</si>
  <si>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</si>
  <si>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</si>
  <si>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</si>
  <si>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</si>
  <si>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</si>
  <si>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</si>
  <si>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</si>
  <si>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</si>
  <si>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</si>
  <si>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</si>
  <si>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</si>
  <si>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</si>
  <si>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</si>
  <si>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</si>
  <si>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</si>
  <si>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</si>
  <si>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</si>
  <si>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</si>
  <si>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</si>
  <si>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</si>
  <si>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</si>
  <si>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</si>
  <si>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</si>
  <si>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</si>
  <si>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</si>
  <si>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</si>
  <si>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</si>
  <si>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</si>
  <si>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</si>
  <si>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</si>
  <si>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</si>
  <si>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</si>
  <si>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</si>
  <si>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</si>
  <si>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</si>
  <si>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</si>
  <si>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</si>
  <si>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</si>
  <si>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</si>
  <si>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</si>
  <si>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</si>
  <si>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</si>
  <si>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</si>
  <si>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</si>
  <si>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</si>
  <si>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</si>
  <si>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</si>
  <si>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</si>
  <si>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</si>
  <si>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</si>
  <si>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</si>
  <si>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</si>
  <si>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</si>
  <si>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</si>
  <si>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</si>
  <si>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</si>
  <si>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</si>
  <si>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</si>
  <si>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</si>
  <si>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</si>
  <si>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</si>
  <si>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</si>
  <si>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</si>
  <si>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</si>
  <si>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</si>
  <si>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</si>
  <si>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</si>
  <si>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</si>
  <si>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</si>
  <si>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</si>
  <si>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</si>
  <si>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</si>
  <si>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</si>
  <si>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</si>
  <si>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</si>
  <si>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</si>
  <si>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</si>
  <si>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</si>
  <si>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</si>
  <si>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</si>
  <si>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</si>
  <si>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</si>
  <si>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</si>
  <si>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</si>
  <si>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</si>
  <si>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</si>
  <si>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</si>
  <si>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</si>
  <si>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</si>
  <si>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</si>
  <si>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</si>
  <si>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</si>
  <si>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</si>
  <si>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</si>
  <si>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</si>
  <si>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</si>
  <si>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</si>
  <si>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</si>
  <si>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</si>
  <si>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</si>
  <si>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</si>
  <si>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</si>
  <si>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</si>
  <si>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</si>
  <si>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</si>
  <si>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</si>
  <si>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</si>
  <si>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</si>
  <si>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</si>
  <si>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</si>
  <si>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</si>
  <si>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</si>
  <si>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</si>
  <si>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</si>
  <si>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</si>
  <si>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</si>
  <si>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</si>
  <si>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</si>
  <si>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</si>
  <si>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</si>
  <si>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</si>
  <si>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</si>
  <si>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</si>
  <si>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</si>
  <si>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</si>
  <si>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</si>
  <si>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</si>
  <si>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</si>
  <si>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</si>
  <si>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</si>
  <si>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</si>
  <si>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</si>
  <si>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</si>
  <si>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</si>
  <si>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</si>
  <si>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</si>
  <si>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</si>
  <si>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</si>
  <si>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</si>
  <si>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</si>
  <si>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</si>
  <si>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</si>
  <si>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</si>
  <si>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</si>
  <si>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</si>
  <si>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</si>
  <si>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</si>
  <si>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</si>
  <si>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</si>
  <si>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</si>
  <si>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</si>
  <si>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</si>
  <si>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</si>
  <si>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</si>
  <si>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</si>
  <si>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</si>
  <si>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</si>
  <si>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</si>
  <si>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</si>
  <si>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</si>
  <si>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</si>
  <si>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</si>
  <si>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</si>
  <si>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</si>
  <si>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</si>
  <si>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</si>
  <si>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</si>
  <si>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</si>
  <si>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</si>
  <si>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</si>
  <si>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</si>
  <si>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</si>
  <si>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</si>
  <si>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</si>
  <si>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</si>
  <si>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</si>
  <si>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</si>
  <si>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</si>
  <si>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</si>
  <si>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</si>
  <si>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</si>
  <si>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</si>
  <si>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</si>
  <si>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</si>
  <si>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</si>
  <si>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</si>
  <si>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</si>
  <si>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</si>
  <si>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</si>
  <si>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</si>
  <si>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</si>
  <si>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</si>
  <si>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</si>
  <si>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</si>
  <si>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</si>
  <si>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</si>
  <si>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</si>
  <si>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</si>
  <si>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</si>
  <si>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</si>
  <si>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</si>
  <si>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</si>
  <si>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</si>
  <si>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</si>
  <si>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</si>
  <si>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</si>
  <si>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</si>
  <si>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</si>
  <si>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</si>
  <si>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</si>
  <si>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</si>
  <si>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</si>
  <si>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</si>
  <si>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</si>
  <si>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</si>
  <si>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</si>
  <si>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</si>
  <si>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</si>
  <si>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</si>
  <si>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</si>
  <si>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</si>
  <si>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</si>
  <si>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</si>
  <si>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</si>
  <si>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</si>
  <si>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</si>
  <si>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</si>
  <si>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</si>
  <si>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</si>
  <si>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</si>
  <si>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</si>
  <si>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</si>
  <si>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</si>
  <si>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</si>
  <si>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</si>
  <si>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</si>
  <si>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</si>
  <si>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</si>
  <si>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</si>
  <si>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</si>
  <si>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</si>
  <si>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</si>
  <si>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</si>
  <si>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</si>
  <si>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</si>
  <si>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</si>
  <si>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</si>
  <si>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</si>
  <si>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</si>
  <si>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</si>
  <si>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</si>
  <si>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</si>
  <si>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</si>
  <si>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</si>
  <si>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</si>
  <si>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</si>
  <si>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</si>
  <si>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</si>
  <si>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</si>
  <si>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</si>
  <si>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</si>
  <si>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</si>
  <si>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</si>
  <si>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</si>
  <si>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</si>
  <si>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</si>
  <si>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</si>
  <si>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</si>
  <si>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</si>
  <si>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</si>
  <si>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</si>
  <si>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</si>
  <si>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</si>
  <si>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</si>
  <si>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</si>
  <si>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</si>
  <si>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</si>
  <si>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</si>
  <si>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</si>
  <si>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</si>
  <si>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</si>
  <si>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</si>
  <si>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</si>
  <si>
    <t>bar_x_sa_h</t>
  </si>
  <si>
    <t>S_h</t>
  </si>
  <si>
    <t xml:space="preserve">S </t>
  </si>
  <si>
    <t>Dane</t>
  </si>
  <si>
    <t>Wyznaczanie Kappy</t>
  </si>
  <si>
    <t>Kappa1</t>
  </si>
  <si>
    <t>Kappa2</t>
  </si>
  <si>
    <t>Kappa3</t>
  </si>
  <si>
    <t>b_h</t>
  </si>
  <si>
    <t>s_h</t>
  </si>
  <si>
    <t>1/lambda_h</t>
  </si>
  <si>
    <t>c_h1</t>
  </si>
  <si>
    <t>c_h2</t>
  </si>
  <si>
    <t>Lambda_h</t>
  </si>
  <si>
    <t>a1</t>
  </si>
  <si>
    <t>a2</t>
  </si>
  <si>
    <t>SsH</t>
  </si>
  <si>
    <t>deps_dalpha</t>
  </si>
  <si>
    <t>Lambda</t>
  </si>
  <si>
    <t>xc</t>
  </si>
  <si>
    <t>Cmbu</t>
  </si>
  <si>
    <t>kappa</t>
  </si>
  <si>
    <t>azh [rad]</t>
  </si>
  <si>
    <t>azh [deg]</t>
  </si>
  <si>
    <t>Wyznaczanie azh - kąta zaklinowania płata</t>
  </si>
  <si>
    <t>&lt;- powierzchnia steru</t>
  </si>
  <si>
    <t>śr.c_h</t>
  </si>
  <si>
    <t>&lt;- wzór na środek cięzkości trapezu</t>
  </si>
  <si>
    <t>stosunek średniej cięciwy części steru przed osią obrotu do średniej cięciwy całego steru</t>
  </si>
  <si>
    <t>csh</t>
  </si>
  <si>
    <t>ch</t>
  </si>
  <si>
    <t>śr.c_sh</t>
  </si>
  <si>
    <t>c_sh1</t>
  </si>
  <si>
    <t>c_sh2</t>
  </si>
  <si>
    <t>csh/ch</t>
  </si>
  <si>
    <t>ckh</t>
  </si>
  <si>
    <t>ckh/csh</t>
  </si>
  <si>
    <t>Odczyty z tabelek (9.2) - b_3 inf</t>
  </si>
  <si>
    <t>śr</t>
  </si>
  <si>
    <t>b3_inf</t>
  </si>
  <si>
    <t>a1inf</t>
  </si>
  <si>
    <t>b1</t>
  </si>
  <si>
    <t>b1inf</t>
  </si>
  <si>
    <t>b2inf</t>
  </si>
  <si>
    <t>b2</t>
  </si>
  <si>
    <t>eta_sh</t>
  </si>
  <si>
    <t>k_kl</t>
  </si>
  <si>
    <t>b_kh</t>
  </si>
  <si>
    <t>S_kh</t>
  </si>
  <si>
    <t>śr.c_kh</t>
  </si>
  <si>
    <t>S0_kh</t>
  </si>
  <si>
    <t>Ssh/Sh</t>
  </si>
  <si>
    <t>Skh/Ssh</t>
  </si>
  <si>
    <t>b3</t>
  </si>
  <si>
    <t>przelicznik</t>
  </si>
  <si>
    <t>b3inf</t>
  </si>
  <si>
    <t>c</t>
  </si>
  <si>
    <t>cz(v)</t>
  </si>
  <si>
    <t>v</t>
  </si>
  <si>
    <t>eta_skh</t>
  </si>
  <si>
    <t>C_a</t>
  </si>
  <si>
    <t>v_cruise</t>
  </si>
  <si>
    <t>mtow</t>
  </si>
  <si>
    <t>v_stall</t>
  </si>
  <si>
    <t>v_eco</t>
  </si>
  <si>
    <t>Proj2</t>
  </si>
  <si>
    <t>Projekt 3</t>
  </si>
  <si>
    <t>l_k</t>
  </si>
  <si>
    <t>l_nk</t>
  </si>
  <si>
    <t>v_inf</t>
  </si>
  <si>
    <t>k'_h</t>
  </si>
  <si>
    <t>Projekt 8 środek ciężkości samolotu</t>
  </si>
  <si>
    <t>bx_c1</t>
  </si>
  <si>
    <t>bx_c2</t>
  </si>
  <si>
    <t>bx_c3</t>
  </si>
  <si>
    <t xml:space="preserve">Projekt 9 </t>
  </si>
  <si>
    <t>bx_sah</t>
  </si>
  <si>
    <t>kappa_c1</t>
  </si>
  <si>
    <t>kappa_c2</t>
  </si>
  <si>
    <t>kappa_c3</t>
  </si>
  <si>
    <t>Ssh</t>
  </si>
  <si>
    <t>Sh</t>
  </si>
  <si>
    <t>kh_1</t>
  </si>
  <si>
    <t>kh_2</t>
  </si>
  <si>
    <t>kh_3</t>
  </si>
  <si>
    <t>azh_1</t>
  </si>
  <si>
    <t>azh_2</t>
  </si>
  <si>
    <t>azh_3</t>
  </si>
  <si>
    <t>b0</t>
  </si>
  <si>
    <t>ksd</t>
  </si>
  <si>
    <t>Proj1</t>
  </si>
  <si>
    <t>Dana</t>
  </si>
  <si>
    <t>Wartość</t>
  </si>
  <si>
    <t>Projekt 10</t>
  </si>
  <si>
    <t>deltaHk_rad</t>
  </si>
  <si>
    <t>deltaHk_deg</t>
  </si>
  <si>
    <t>pdh</t>
  </si>
  <si>
    <t>kghn</t>
  </si>
  <si>
    <t>kghn'</t>
  </si>
  <si>
    <t>kghm</t>
  </si>
  <si>
    <t>kghm'</t>
  </si>
  <si>
    <t>mu</t>
  </si>
  <si>
    <t>kappa'_h</t>
  </si>
  <si>
    <t>bar_xsa</t>
  </si>
  <si>
    <t>bar_zs</t>
  </si>
  <si>
    <t>delta_xsak</t>
  </si>
  <si>
    <t>xsaj</t>
  </si>
  <si>
    <t>xsah</t>
  </si>
  <si>
    <t>alpha_0</t>
  </si>
  <si>
    <t>m_calc</t>
  </si>
  <si>
    <t xml:space="preserve">rho </t>
  </si>
  <si>
    <t>kdh</t>
  </si>
  <si>
    <t>x_sah</t>
  </si>
  <si>
    <t>ldH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</si>
</sst>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31">
    <font>
      <sz val="10"/>
      <color rgb="FF000000"/>
      <name val="Arial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sz val="9"/>
      <color rgb="FF000000"/>
      <name val="&quot;Google Sans Mono&quot;"/>
    </font>
    <font>
      <sz val="11"/>
      <color theme="1"/>
      <name val="Calibri"/>
      <family val="2"/>
      <charset val="238"/>
    </font>
    <font>
      <sz val="11"/>
      <color rgb="FFADBAC7"/>
      <name val="Consolas"/>
      <family val="3"/>
      <charset val="238"/>
    </font>
    <font>
      <sz val="11"/>
      <color rgb="FF1F1F1F"/>
      <name val="&quot;Google Sans&quot;"/>
    </font>
    <font>
      <b/>
      <sz val="10"/>
      <color theme="1"/>
      <name val="Arial"/>
      <family val="2"/>
      <charset val="238"/>
      <scheme val="minor"/>
    </font>
    <font>
      <sz val="10"/>
      <color rgb="FF00000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onsolas"/>
      <family val="3"/>
      <charset val="238"/>
    </font>
    <font>
      <u/>
      <sz val="10"/>
      <color rgb="FF0000FF"/>
      <name val="Arial"/>
      <family val="2"/>
      <charset val="238"/>
    </font>
    <font>
      <b/>
      <sz val="11"/>
      <color theme="1"/>
      <name val="Arial"/>
      <family val="2"/>
      <charset val="238"/>
    </font>
    <font>
      <sz val="12"/>
      <color rgb="FF198639"/>
      <name val="Monospace"/>
    </font>
    <font>
      <b/>
      <sz val="10"/>
      <color rgb="FF000000"/>
      <name val="Arial"/>
      <family val="2"/>
      <charset val="238"/>
    </font>
    <font>
      <sz val="10"/>
      <color rgb="FF000000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i/>
      <sz val="10"/>
      <color rgb="FF000000"/>
      <name val="Arial"/>
      <family val="2"/>
      <charset val="238"/>
    </font>
    <font>
      <b/>
      <sz val="17"/>
      <color theme="1"/>
      <name val="Arial"/>
      <family val="2"/>
      <charset val="238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  <font>
      <sz val="10"/>
      <color rgb="FF000000"/>
      <name val="Arial"/>
      <family val="2"/>
      <charset val="238"/>
      <scheme val="minor"/>
    </font>
    <font>
      <sz val="10"/>
      <name val="Arial"/>
      <family val="2"/>
      <charset val="238"/>
      <scheme val="minor"/>
    </font>
    <font>
      <b/>
      <sz val="10"/>
      <color rgb="FF000000"/>
      <name val="Arial"/>
      <family val="2"/>
      <charset val="238"/>
      <scheme val="minor"/>
    </font>
    <font>
      <sz val="10"/>
      <color theme="1"/>
      <name val="Arial"/>
      <family val="2"/>
      <charset val="238"/>
    </font>
    <font>
      <sz val="7"/>
      <color rgb="FFD4D4D4"/>
      <name val="Consolas"/>
      <family val="3"/>
      <charset val="238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8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26" fillId="0" borderId="0" xfId="0" applyFont="1"/>
    <xf numFmtId="0" fontId="3" fillId="0" borderId="8" xfId="0" applyFont="1" applyBorder="1"/>
    <xf numFmtId="2" fontId="3" fillId="0" borderId="8" xfId="0" applyNumberFormat="1" applyFont="1" applyBorder="1"/>
    <xf numFmtId="2" fontId="0" fillId="12" borderId="8" xfId="0" applyNumberFormat="1" applyFill="1" applyBorder="1"/>
    <xf numFmtId="166" fontId="0" fillId="0" borderId="0" xfId="0" applyNumberFormat="1"/>
    <xf numFmtId="166" fontId="27" fillId="0" borderId="0" xfId="0" applyNumberFormat="1" applyFont="1"/>
    <xf numFmtId="0" fontId="26" fillId="0" borderId="8" xfId="0" applyFont="1" applyBorder="1"/>
    <xf numFmtId="0" fontId="0" fillId="0" borderId="8" xfId="0" applyBorder="1"/>
    <xf numFmtId="2" fontId="0" fillId="0" borderId="8" xfId="0" applyNumberFormat="1" applyBorder="1"/>
    <xf numFmtId="166" fontId="0" fillId="0" borderId="8" xfId="0" applyNumberFormat="1" applyBorder="1"/>
    <xf numFmtId="166" fontId="26" fillId="0" borderId="0" xfId="0" applyNumberFormat="1" applyFont="1"/>
    <xf numFmtId="166" fontId="29" fillId="0" borderId="0" xfId="0" applyNumberFormat="1" applyFont="1" applyAlignment="1">
      <alignment horizontal="right"/>
    </xf>
    <xf numFmtId="0" fontId="26" fillId="12" borderId="0" xfId="0" applyFont="1" applyFill="1"/>
    <xf numFmtId="166" fontId="0" fillId="12" borderId="0" xfId="0" applyNumberFormat="1" applyFill="1"/>
    <xf numFmtId="0" fontId="0" fillId="12" borderId="0" xfId="0" applyFill="1" applyAlignment="1">
      <alignment horizontal="left"/>
    </xf>
    <xf numFmtId="0" fontId="26" fillId="12" borderId="0" xfId="0" applyFont="1" applyFill="1" applyAlignment="1">
      <alignment horizontal="right"/>
    </xf>
    <xf numFmtId="0" fontId="26" fillId="0" borderId="0" xfId="0" applyFont="1" applyAlignment="1">
      <alignment horizontal="center" wrapText="1"/>
    </xf>
    <xf numFmtId="0" fontId="26" fillId="0" borderId="0" xfId="0" applyFont="1" applyAlignment="1">
      <alignment wrapText="1"/>
    </xf>
    <xf numFmtId="0" fontId="28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165" fontId="0" fillId="0" borderId="0" xfId="0" applyNumberFormat="1"/>
    <xf numFmtId="0" fontId="30" fillId="0" borderId="0" xfId="0" applyFont="1"/>
    <xf numFmtId="0" fontId="28" fillId="0" borderId="0" xfId="0" applyFont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8" fillId="7" borderId="1" xfId="0" applyFont="1" applyFill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7" borderId="7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0" xfId="0" applyFont="1"/>
    <xf numFmtId="0" fontId="3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0" fontId="28" fillId="13" borderId="8" xfId="0" applyFont="1" applyFill="1" applyBorder="1" applyAlignment="1">
      <alignment horizontal="center"/>
    </xf>
    <xf numFmtId="0" fontId="28" fillId="14" borderId="8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698500</xdr:colOff>
      <xdr:row>3</xdr:row>
      <xdr:rowOff>152400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44800" y="679450"/>
          <a:ext cx="381952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146050</xdr:colOff>
      <xdr:row>15</xdr:row>
      <xdr:rowOff>104775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92350" y="34512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28575</xdr:colOff>
      <xdr:row>5</xdr:row>
      <xdr:rowOff>133350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54200" y="11334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254000</xdr:colOff>
      <xdr:row>18</xdr:row>
      <xdr:rowOff>92075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979400" y="3654425"/>
          <a:ext cx="272415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73025</xdr:colOff>
      <xdr:row>21</xdr:row>
      <xdr:rowOff>92075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98125" y="4254500"/>
          <a:ext cx="4200525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390525</xdr:colOff>
      <xdr:row>24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15550" y="4933950"/>
          <a:ext cx="5362575" cy="5238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419893</xdr:colOff>
      <xdr:row>4</xdr:row>
      <xdr:rowOff>56752</xdr:rowOff>
    </xdr:from>
    <xdr:to>
      <xdr:col>15</xdr:col>
      <xdr:colOff>390943</xdr:colOff>
      <xdr:row>8</xdr:row>
      <xdr:rowOff>55254</xdr:rowOff>
    </xdr:to>
    <xdr:pic>
      <xdr:nvPicPr>
        <xdr:cNvPr id="2" name="Obraz 1" descr="Obraz zawierający Czcionka, tekst, biały, kaligrafia&#10;&#10;Opis wygenerowany automatycznie">
          <a:extLst>
            <a:ext uri="{FF2B5EF4-FFF2-40B4-BE49-F238E27FC236}">
              <a16:creationId xmlns:a16="http://schemas.microsoft.com/office/drawing/2014/main" id="{7094CF07-702E-D8BA-4F14-E6BAF581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221" y="699690"/>
          <a:ext cx="3000794" cy="641439"/>
        </a:xfrm>
        <a:prstGeom prst="rect">
          <a:avLst/>
        </a:prstGeom>
      </xdr:spPr>
    </xdr:pic>
    <xdr:clientData/>
  </xdr:twoCellAnchor>
  <xdr:twoCellAnchor editAs="oneCell">
    <xdr:from>
      <xdr:col>11</xdr:col>
      <xdr:colOff>15081</xdr:colOff>
      <xdr:row>8</xdr:row>
      <xdr:rowOff>125412</xdr:rowOff>
    </xdr:from>
    <xdr:to>
      <xdr:col>15</xdr:col>
      <xdr:colOff>142439</xdr:colOff>
      <xdr:row>13</xdr:row>
      <xdr:rowOff>106075</xdr:rowOff>
    </xdr:to>
    <xdr:pic>
      <xdr:nvPicPr>
        <xdr:cNvPr id="3" name="Obraz 2" descr="Obraz zawierający Czcionka, linia, numer, biały&#10;&#10;Opis wygenerowany automatycznie">
          <a:extLst>
            <a:ext uri="{FF2B5EF4-FFF2-40B4-BE49-F238E27FC236}">
              <a16:creationId xmlns:a16="http://schemas.microsoft.com/office/drawing/2014/main" id="{A7974F1A-C294-EFA5-921F-B3900EEB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7628" y="1411287"/>
          <a:ext cx="2556233" cy="784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115094</xdr:rowOff>
    </xdr:from>
    <xdr:to>
      <xdr:col>17</xdr:col>
      <xdr:colOff>216442</xdr:colOff>
      <xdr:row>19</xdr:row>
      <xdr:rowOff>189099</xdr:rowOff>
    </xdr:to>
    <xdr:pic>
      <xdr:nvPicPr>
        <xdr:cNvPr id="4" name="Obraz 3" descr="Obraz zawierający Czcionka, tekst, linia, biały&#10;&#10;Opis wygenerowany automatycznie">
          <a:extLst>
            <a:ext uri="{FF2B5EF4-FFF2-40B4-BE49-F238E27FC236}">
              <a16:creationId xmlns:a16="http://schemas.microsoft.com/office/drawing/2014/main" id="{D7A8A3FF-2FB7-1893-BCF9-E5FC1C44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0250" y="2353469"/>
          <a:ext cx="3889917" cy="865313"/>
        </a:xfrm>
        <a:prstGeom prst="rect">
          <a:avLst/>
        </a:prstGeom>
      </xdr:spPr>
    </xdr:pic>
    <xdr:clientData/>
  </xdr:twoCellAnchor>
  <xdr:twoCellAnchor editAs="oneCell">
    <xdr:from>
      <xdr:col>4</xdr:col>
      <xdr:colOff>388937</xdr:colOff>
      <xdr:row>28</xdr:row>
      <xdr:rowOff>121687</xdr:rowOff>
    </xdr:from>
    <xdr:to>
      <xdr:col>10</xdr:col>
      <xdr:colOff>296068</xdr:colOff>
      <xdr:row>34</xdr:row>
      <xdr:rowOff>144687</xdr:rowOff>
    </xdr:to>
    <xdr:pic>
      <xdr:nvPicPr>
        <xdr:cNvPr id="5" name="Obraz 4" descr="Obraz zawierający tekst, zrzut ekranu, Czcionka, linia&#10;&#10;Opis wygenerowany automatycznie">
          <a:extLst>
            <a:ext uri="{FF2B5EF4-FFF2-40B4-BE49-F238E27FC236}">
              <a16:creationId xmlns:a16="http://schemas.microsoft.com/office/drawing/2014/main" id="{232ED540-CFD7-76B0-7D2C-CF97BDE1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9125" y="3947562"/>
          <a:ext cx="3599656" cy="975501"/>
        </a:xfrm>
        <a:prstGeom prst="rect">
          <a:avLst/>
        </a:prstGeom>
      </xdr:spPr>
    </xdr:pic>
    <xdr:clientData/>
  </xdr:twoCellAnchor>
  <xdr:twoCellAnchor editAs="oneCell">
    <xdr:from>
      <xdr:col>11</xdr:col>
      <xdr:colOff>325437</xdr:colOff>
      <xdr:row>35</xdr:row>
      <xdr:rowOff>146843</xdr:rowOff>
    </xdr:from>
    <xdr:to>
      <xdr:col>13</xdr:col>
      <xdr:colOff>274801</xdr:colOff>
      <xdr:row>41</xdr:row>
      <xdr:rowOff>67589</xdr:rowOff>
    </xdr:to>
    <xdr:pic>
      <xdr:nvPicPr>
        <xdr:cNvPr id="6" name="Obraz 5" descr="Obraz zawierający Czcionka, tekst, linia, zrzut ekranu&#10;&#10;Opis wygenerowany automatycznie">
          <a:extLst>
            <a:ext uri="{FF2B5EF4-FFF2-40B4-BE49-F238E27FC236}">
              <a16:creationId xmlns:a16="http://schemas.microsoft.com/office/drawing/2014/main" id="{E03D2EA2-C608-34E0-D853-38EA85FB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9187" y="5091906"/>
          <a:ext cx="1171739" cy="866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8</xdr:col>
      <xdr:colOff>273434</xdr:colOff>
      <xdr:row>49</xdr:row>
      <xdr:rowOff>101702</xdr:rowOff>
    </xdr:to>
    <xdr:pic>
      <xdr:nvPicPr>
        <xdr:cNvPr id="7" name="Obraz 6" descr="Obraz zawierający tekst, Czcionka, linia, biały&#10;&#10;Opis wygenerowany automatycznie">
          <a:extLst>
            <a:ext uri="{FF2B5EF4-FFF2-40B4-BE49-F238E27FC236}">
              <a16:creationId xmlns:a16="http://schemas.microsoft.com/office/drawing/2014/main" id="{ACED6C21-D0C4-B8EA-38FE-1C43923C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0865" y="7253654"/>
          <a:ext cx="2735281" cy="7464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c_m.sa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FAE-322E-4227-B7D5-16D9D30D119F}">
  <sheetPr codeName="Arkusz3"/>
  <dimension ref="A1:S69"/>
  <sheetViews>
    <sheetView tabSelected="1" topLeftCell="E1" workbookViewId="0">
      <selection activeCell="T5" sqref="T5"/>
    </sheetView>
  </sheetViews>
  <sheetFormatPr defaultRowHeight="12.5"/>
  <sheetData>
    <row r="1" spans="1:17" s="98" customFormat="1" ht="25.5" customHeight="1">
      <c r="A1" s="104" t="s">
        <v>381</v>
      </c>
      <c r="B1" s="105"/>
      <c r="C1" s="99"/>
      <c r="D1" s="106" t="s">
        <v>356</v>
      </c>
      <c r="E1" s="106"/>
      <c r="G1" s="103" t="s">
        <v>357</v>
      </c>
      <c r="H1" s="103"/>
      <c r="J1" s="103" t="s">
        <v>362</v>
      </c>
      <c r="K1" s="103"/>
      <c r="M1" s="103" t="s">
        <v>366</v>
      </c>
      <c r="N1" s="103"/>
      <c r="P1" s="103" t="s">
        <v>384</v>
      </c>
      <c r="Q1" s="103"/>
    </row>
    <row r="2" spans="1:17" s="97" customFormat="1" ht="13.5" customHeight="1">
      <c r="A2" s="100" t="s">
        <v>382</v>
      </c>
      <c r="B2" s="100" t="s">
        <v>383</v>
      </c>
      <c r="C2" s="100"/>
      <c r="D2" s="80" t="s">
        <v>382</v>
      </c>
      <c r="E2" s="80" t="s">
        <v>383</v>
      </c>
      <c r="G2" s="97" t="s">
        <v>382</v>
      </c>
      <c r="H2" s="97" t="s">
        <v>383</v>
      </c>
      <c r="J2" s="96" t="s">
        <v>382</v>
      </c>
      <c r="K2" s="96" t="s">
        <v>383</v>
      </c>
      <c r="M2" s="97" t="s">
        <v>382</v>
      </c>
      <c r="N2" s="97" t="s">
        <v>383</v>
      </c>
      <c r="P2" s="97" t="s">
        <v>382</v>
      </c>
      <c r="Q2" s="97" t="s">
        <v>383</v>
      </c>
    </row>
    <row r="3" spans="1:17">
      <c r="A3" t="s">
        <v>77</v>
      </c>
      <c r="B3">
        <v>15</v>
      </c>
      <c r="D3" t="s">
        <v>62</v>
      </c>
      <c r="E3">
        <v>4.452</v>
      </c>
      <c r="G3" t="s">
        <v>358</v>
      </c>
      <c r="H3">
        <v>7.29</v>
      </c>
      <c r="J3" t="s">
        <v>363</v>
      </c>
      <c r="K3">
        <v>0.12</v>
      </c>
      <c r="M3" t="s">
        <v>367</v>
      </c>
      <c r="N3">
        <v>2.86</v>
      </c>
      <c r="P3" s="80" t="s">
        <v>388</v>
      </c>
      <c r="Q3">
        <v>0.95279999999999998</v>
      </c>
    </row>
    <row r="4" spans="1:17">
      <c r="A4" t="s">
        <v>279</v>
      </c>
      <c r="B4">
        <v>9.94</v>
      </c>
      <c r="G4" t="s">
        <v>359</v>
      </c>
      <c r="H4">
        <v>1.61</v>
      </c>
      <c r="J4" t="s">
        <v>364</v>
      </c>
      <c r="K4">
        <v>0.25</v>
      </c>
      <c r="M4" t="s">
        <v>403</v>
      </c>
      <c r="N4">
        <f xml:space="preserve"> N3*1.5</f>
        <v>4.29</v>
      </c>
      <c r="P4" t="s">
        <v>389</v>
      </c>
      <c r="Q4">
        <v>0.97609999999999997</v>
      </c>
    </row>
    <row r="5" spans="1:17">
      <c r="A5" t="s">
        <v>100</v>
      </c>
      <c r="B5">
        <v>1.5</v>
      </c>
      <c r="G5" t="s">
        <v>360</v>
      </c>
      <c r="H5">
        <v>54.44</v>
      </c>
      <c r="J5" t="s">
        <v>365</v>
      </c>
      <c r="K5">
        <v>0.38</v>
      </c>
      <c r="P5" t="s">
        <v>390</v>
      </c>
      <c r="Q5">
        <v>0.94779999999999998</v>
      </c>
    </row>
    <row r="6" spans="1:17">
      <c r="A6" t="s">
        <v>351</v>
      </c>
      <c r="B6">
        <v>1.5</v>
      </c>
      <c r="G6" t="s">
        <v>299</v>
      </c>
      <c r="H6">
        <v>3.01</v>
      </c>
      <c r="M6" t="s">
        <v>368</v>
      </c>
      <c r="N6">
        <v>0.34</v>
      </c>
      <c r="P6" t="s">
        <v>391</v>
      </c>
      <c r="Q6">
        <v>0.96360000000000001</v>
      </c>
    </row>
    <row r="7" spans="1:17">
      <c r="A7" t="s">
        <v>309</v>
      </c>
      <c r="B7">
        <v>6.59</v>
      </c>
      <c r="G7" t="s">
        <v>292</v>
      </c>
      <c r="H7">
        <v>2.2000000000000002</v>
      </c>
      <c r="J7" s="80" t="s">
        <v>399</v>
      </c>
      <c r="K7">
        <v>-2.5</v>
      </c>
      <c r="M7" t="s">
        <v>369</v>
      </c>
      <c r="N7">
        <v>0.33</v>
      </c>
      <c r="P7" t="s">
        <v>392</v>
      </c>
      <c r="Q7">
        <v>16.45</v>
      </c>
    </row>
    <row r="8" spans="1:17">
      <c r="A8" t="s">
        <v>352</v>
      </c>
      <c r="B8">
        <v>54</v>
      </c>
      <c r="G8" t="s">
        <v>67</v>
      </c>
      <c r="H8">
        <v>5.09</v>
      </c>
      <c r="M8" t="s">
        <v>370</v>
      </c>
      <c r="N8">
        <v>0.31</v>
      </c>
      <c r="P8" t="s">
        <v>393</v>
      </c>
      <c r="Q8">
        <v>0.35730000000000001</v>
      </c>
    </row>
    <row r="9" spans="1:17">
      <c r="A9" t="s">
        <v>353</v>
      </c>
      <c r="B9">
        <v>726</v>
      </c>
      <c r="G9" t="s">
        <v>126</v>
      </c>
      <c r="H9">
        <v>-4.8000000000000001E-2</v>
      </c>
      <c r="J9" s="80"/>
    </row>
    <row r="10" spans="1:17">
      <c r="A10" t="s">
        <v>354</v>
      </c>
      <c r="B10">
        <v>24</v>
      </c>
      <c r="G10" t="s">
        <v>361</v>
      </c>
      <c r="H10">
        <v>0.42299999999999999</v>
      </c>
      <c r="M10" t="s">
        <v>299</v>
      </c>
      <c r="N10">
        <v>3.01</v>
      </c>
      <c r="P10" t="s">
        <v>394</v>
      </c>
      <c r="Q10">
        <v>0.24</v>
      </c>
    </row>
    <row r="11" spans="1:17">
      <c r="A11" t="s">
        <v>355</v>
      </c>
      <c r="B11">
        <v>34</v>
      </c>
      <c r="G11" t="s">
        <v>280</v>
      </c>
      <c r="H11">
        <v>-2.3999999999999998E-3</v>
      </c>
      <c r="M11" t="s">
        <v>300</v>
      </c>
      <c r="N11">
        <v>2.2000000000000002</v>
      </c>
      <c r="P11" s="6" t="s">
        <v>395</v>
      </c>
      <c r="Q11" s="66">
        <v>-0.23699999999999999</v>
      </c>
    </row>
    <row r="12" spans="1:17">
      <c r="G12" t="s">
        <v>130</v>
      </c>
      <c r="H12">
        <v>0.85</v>
      </c>
      <c r="M12" t="s">
        <v>302</v>
      </c>
      <c r="N12">
        <v>0.73</v>
      </c>
      <c r="P12" s="6" t="s">
        <v>396</v>
      </c>
      <c r="Q12" s="66">
        <v>-2.52E-2</v>
      </c>
    </row>
    <row r="13" spans="1:17">
      <c r="M13" t="s">
        <v>303</v>
      </c>
      <c r="N13">
        <v>1.0940000000000001</v>
      </c>
    </row>
    <row r="14" spans="1:17">
      <c r="M14" t="s">
        <v>317</v>
      </c>
      <c r="N14">
        <v>0.80300000000000005</v>
      </c>
      <c r="P14" s="80" t="s">
        <v>398</v>
      </c>
      <c r="Q14" s="66">
        <v>2.52E-2</v>
      </c>
    </row>
    <row r="15" spans="1:17">
      <c r="M15" t="s">
        <v>323</v>
      </c>
      <c r="N15">
        <v>0.26100000000000001</v>
      </c>
      <c r="P15" s="80" t="s">
        <v>397</v>
      </c>
      <c r="Q15" s="66">
        <v>0.03</v>
      </c>
    </row>
    <row r="16" spans="1:17">
      <c r="M16" t="s">
        <v>324</v>
      </c>
      <c r="N16">
        <v>0.46899999999999997</v>
      </c>
    </row>
    <row r="17" spans="13:19">
      <c r="M17" t="s">
        <v>322</v>
      </c>
      <c r="N17">
        <v>0.45200000000000001</v>
      </c>
      <c r="P17" t="s">
        <v>400</v>
      </c>
      <c r="Q17" s="66">
        <v>670</v>
      </c>
    </row>
    <row r="18" spans="13:19">
      <c r="M18" t="s">
        <v>340</v>
      </c>
      <c r="N18">
        <v>0.156</v>
      </c>
      <c r="P18" t="s">
        <v>401</v>
      </c>
      <c r="Q18" s="66">
        <v>1.2250000000000001</v>
      </c>
    </row>
    <row r="19" spans="13:19">
      <c r="M19" t="s">
        <v>338</v>
      </c>
      <c r="N19">
        <v>1.615</v>
      </c>
    </row>
    <row r="20" spans="13:19">
      <c r="M20" t="s">
        <v>339</v>
      </c>
      <c r="N20">
        <v>0.253</v>
      </c>
      <c r="P20" t="s">
        <v>402</v>
      </c>
      <c r="Q20" s="66">
        <v>1</v>
      </c>
    </row>
    <row r="21" spans="13:19">
      <c r="M21" t="s">
        <v>341</v>
      </c>
      <c r="N21">
        <v>0.47099999999999997</v>
      </c>
    </row>
    <row r="22" spans="13:19">
      <c r="M22" t="s">
        <v>337</v>
      </c>
      <c r="N22">
        <v>0.5</v>
      </c>
    </row>
    <row r="24" spans="13:19">
      <c r="M24" t="s">
        <v>301</v>
      </c>
      <c r="N24">
        <v>0.66700000000000004</v>
      </c>
    </row>
    <row r="25" spans="13:19">
      <c r="M25" t="s">
        <v>304</v>
      </c>
      <c r="N25">
        <v>4.1180000000000003</v>
      </c>
    </row>
    <row r="28" spans="13:19">
      <c r="M28" t="s">
        <v>371</v>
      </c>
      <c r="N28">
        <v>0.93400000000000005</v>
      </c>
      <c r="S28" s="102" t="s">
        <v>388</v>
      </c>
    </row>
    <row r="29" spans="13:19">
      <c r="M29" t="s">
        <v>342</v>
      </c>
      <c r="N29">
        <v>0.42499999999999999</v>
      </c>
    </row>
    <row r="30" spans="13:19">
      <c r="M30" t="s">
        <v>343</v>
      </c>
      <c r="N30">
        <v>0.27</v>
      </c>
    </row>
    <row r="32" spans="13:19">
      <c r="M32" t="s">
        <v>372</v>
      </c>
      <c r="N32">
        <v>2.2000000000000002</v>
      </c>
    </row>
    <row r="33" spans="13:14">
      <c r="M33" t="s">
        <v>331</v>
      </c>
      <c r="N33">
        <v>4.9000000000000004</v>
      </c>
    </row>
    <row r="34" spans="13:14">
      <c r="M34" t="s">
        <v>305</v>
      </c>
      <c r="N34">
        <v>3.1</v>
      </c>
    </row>
    <row r="35" spans="13:14">
      <c r="M35" t="s">
        <v>306</v>
      </c>
      <c r="N35">
        <v>2.218</v>
      </c>
    </row>
    <row r="36" spans="13:14">
      <c r="M36" t="s">
        <v>308</v>
      </c>
      <c r="N36">
        <v>0.43</v>
      </c>
    </row>
    <row r="37" spans="13:14">
      <c r="M37" t="s">
        <v>373</v>
      </c>
      <c r="N37">
        <v>0.34</v>
      </c>
    </row>
    <row r="38" spans="13:14">
      <c r="M38" t="s">
        <v>374</v>
      </c>
      <c r="N38">
        <v>0.326344089</v>
      </c>
    </row>
    <row r="39" spans="13:14">
      <c r="M39" t="s">
        <v>375</v>
      </c>
      <c r="N39">
        <v>0.310137422</v>
      </c>
    </row>
    <row r="41" spans="13:14">
      <c r="M41" t="s">
        <v>376</v>
      </c>
      <c r="N41">
        <f xml:space="preserve"> 'Pr9'!G8</f>
        <v>-0.13398601185628983</v>
      </c>
    </row>
    <row r="42" spans="13:14">
      <c r="M42" t="s">
        <v>377</v>
      </c>
      <c r="N42">
        <f xml:space="preserve"> 'Pr9'!G9</f>
        <v>-0.10263507898204391</v>
      </c>
    </row>
    <row r="43" spans="13:14">
      <c r="M43" t="s">
        <v>378</v>
      </c>
      <c r="N43">
        <f xml:space="preserve"> 'Pr9'!G10</f>
        <v>-6.800757203207819E-2</v>
      </c>
    </row>
    <row r="46" spans="13:14">
      <c r="M46" t="s">
        <v>261</v>
      </c>
      <c r="N46">
        <v>-7.4770964999999995E-2</v>
      </c>
    </row>
    <row r="47" spans="13:14">
      <c r="M47" t="s">
        <v>262</v>
      </c>
      <c r="N47">
        <v>-3.9516728000000001E-2</v>
      </c>
    </row>
    <row r="48" spans="13:14">
      <c r="M48" t="s">
        <v>263</v>
      </c>
      <c r="N48">
        <v>-4.2624910000000002E-3</v>
      </c>
    </row>
    <row r="50" spans="13:14">
      <c r="M50" t="s">
        <v>379</v>
      </c>
      <c r="N50">
        <v>0</v>
      </c>
    </row>
    <row r="51" spans="13:14">
      <c r="M51" t="s">
        <v>333</v>
      </c>
      <c r="N51">
        <v>-0.22900000000000001</v>
      </c>
    </row>
    <row r="52" spans="13:14">
      <c r="M52" t="s">
        <v>332</v>
      </c>
      <c r="N52">
        <v>-0.14499999999999999</v>
      </c>
    </row>
    <row r="54" spans="13:14">
      <c r="M54" t="s">
        <v>350</v>
      </c>
      <c r="N54">
        <v>0.47</v>
      </c>
    </row>
    <row r="55" spans="13:14">
      <c r="M55" t="s">
        <v>336</v>
      </c>
      <c r="N55">
        <v>0.6</v>
      </c>
    </row>
    <row r="56" spans="13:14">
      <c r="M56" t="s">
        <v>334</v>
      </c>
      <c r="N56">
        <v>-0.35399999999999998</v>
      </c>
    </row>
    <row r="57" spans="13:14">
      <c r="M57" t="s">
        <v>335</v>
      </c>
      <c r="N57">
        <v>-0.32200000000000001</v>
      </c>
    </row>
    <row r="59" spans="13:14">
      <c r="M59" t="s">
        <v>346</v>
      </c>
      <c r="N59">
        <v>-1.4319999999999999</v>
      </c>
    </row>
    <row r="60" spans="13:14">
      <c r="M60" t="s">
        <v>344</v>
      </c>
      <c r="N60">
        <v>-0.38800000000000001</v>
      </c>
    </row>
    <row r="62" spans="13:14">
      <c r="M62" t="s">
        <v>380</v>
      </c>
      <c r="N62">
        <v>1</v>
      </c>
    </row>
    <row r="64" spans="13:14">
      <c r="M64" t="s">
        <v>385</v>
      </c>
      <c r="N64" s="101">
        <f xml:space="preserve"> 0.0334</f>
        <v>3.3399999999999999E-2</v>
      </c>
    </row>
    <row r="65" spans="13:14">
      <c r="M65" t="s">
        <v>386</v>
      </c>
      <c r="N65">
        <v>1.913</v>
      </c>
    </row>
    <row r="67" spans="13:14">
      <c r="M67" s="80" t="s">
        <v>387</v>
      </c>
      <c r="N67">
        <v>0</v>
      </c>
    </row>
    <row r="69" spans="13:14">
      <c r="M69" t="s">
        <v>404</v>
      </c>
      <c r="N69">
        <v>1</v>
      </c>
    </row>
  </sheetData>
  <mergeCells count="6">
    <mergeCell ref="P1:Q1"/>
    <mergeCell ref="J1:K1"/>
    <mergeCell ref="A1:B1"/>
    <mergeCell ref="D1:E1"/>
    <mergeCell ref="G1:H1"/>
    <mergeCell ref="M1:N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outlinePr summaryBelow="0" summaryRight="0"/>
  </sheetPr>
  <dimension ref="A1:AD1000"/>
  <sheetViews>
    <sheetView topLeftCell="J1" workbookViewId="0">
      <selection activeCell="X2" sqref="X2"/>
    </sheetView>
  </sheetViews>
  <sheetFormatPr defaultColWidth="12.54296875" defaultRowHeight="15.75" customHeight="1"/>
  <cols>
    <col min="2" max="2" width="17.54296875" customWidth="1"/>
    <col min="3" max="3" width="14.453125" customWidth="1"/>
    <col min="7" max="7" width="17.90625" customWidth="1"/>
    <col min="22" max="22" width="9" customWidth="1"/>
    <col min="26" max="26" width="12" customWidth="1"/>
  </cols>
  <sheetData>
    <row r="1" spans="1:30" ht="13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2.1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 ht="13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1.6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1.1964947319872637E-2</v>
      </c>
      <c r="R3" s="7">
        <f t="shared" ref="R3:R45" si="2">Q3 + $H$21 + M3^2/(PI() * $H$9) * (1+$H$33)</f>
        <v>7.8104503661331551E-2</v>
      </c>
      <c r="S3" s="7">
        <f t="shared" ref="S3:S45" si="3">M3/(PI() *$H$9) *(1+ $H$28) *180/PI()</f>
        <v>-4.3872529064428099</v>
      </c>
      <c r="T3" s="7">
        <f t="shared" ref="T3:T45" si="4">S3 +L3</f>
        <v>-22.901538620728509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0.12985270174418018</v>
      </c>
      <c r="Y3" s="7">
        <f>M3 + U3 * proj3!$B$25/proj3!$B$17</f>
        <v>-0.87687068734814289</v>
      </c>
      <c r="Z3" s="7">
        <f t="shared" ref="Z3:Z45" si="5">Y3/X3</f>
        <v>-6.752810496585937</v>
      </c>
      <c r="AA3" s="7">
        <f t="shared" ref="AA3:AA45" si="6">Y3 ^3/X3^2</f>
        <v>-39.985697586592643</v>
      </c>
      <c r="AB3" s="11"/>
      <c r="AC3" s="11"/>
      <c r="AD3" s="11"/>
    </row>
    <row r="4" spans="1:30" ht="13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17.8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1.2811444854794829E-2</v>
      </c>
      <c r="R4" s="7">
        <f t="shared" si="2"/>
        <v>8.5019431239360829E-2</v>
      </c>
      <c r="S4" s="7">
        <f t="shared" si="3"/>
        <v>-4.5869100186822784</v>
      </c>
      <c r="T4" s="7">
        <f t="shared" si="4"/>
        <v>-21.729767161539378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0.13758950266630154</v>
      </c>
      <c r="Y4" s="7">
        <f>M4 + U4 * proj3!$B$25/proj3!$B$17</f>
        <v>-0.91601912369353766</v>
      </c>
      <c r="Z4" s="7">
        <f t="shared" si="5"/>
        <v>-6.657623626383594</v>
      </c>
      <c r="AA4" s="7">
        <f t="shared" si="6"/>
        <v>-40.601587990813357</v>
      </c>
      <c r="AB4" s="11"/>
      <c r="AC4" s="11"/>
      <c r="AD4" s="11"/>
    </row>
    <row r="5" spans="1:30" ht="13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1.4100383745896544E-2</v>
      </c>
      <c r="R5" s="7">
        <f t="shared" si="2"/>
        <v>9.5357986245087289E-2</v>
      </c>
      <c r="S5" s="7">
        <f t="shared" si="3"/>
        <v>-4.8694680873470189</v>
      </c>
      <c r="T5" s="7">
        <f t="shared" si="4"/>
        <v>-21.440896658775518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0.14913057458432027</v>
      </c>
      <c r="Y5" s="7">
        <f>M5 + U5 * proj3!$B$25/proj3!$B$17</f>
        <v>-0.97142264246091281</v>
      </c>
      <c r="Z5" s="7">
        <f t="shared" si="5"/>
        <v>-6.5139066564224795</v>
      </c>
      <c r="AA5" s="7">
        <f t="shared" si="6"/>
        <v>-41.218414644432073</v>
      </c>
      <c r="AB5" s="11"/>
      <c r="AC5" s="11"/>
      <c r="AD5" s="11"/>
    </row>
    <row r="6" spans="1:30" ht="13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27.8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1.6338606304962266E-2</v>
      </c>
      <c r="R6" s="7">
        <f t="shared" si="2"/>
        <v>0.10667418702817841</v>
      </c>
      <c r="S6" s="7">
        <f t="shared" si="3"/>
        <v>-5.1373212417871104</v>
      </c>
      <c r="T6" s="7">
        <f t="shared" si="4"/>
        <v>-21.251606956072809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0.16169358531935926</v>
      </c>
      <c r="Y6" s="7">
        <f>M6 + U6 * proj3!$B$25/proj3!$B$17</f>
        <v>-1.0239428459682851</v>
      </c>
      <c r="Z6" s="7">
        <f t="shared" si="5"/>
        <v>-6.332612663303288</v>
      </c>
      <c r="AA6" s="7">
        <f t="shared" si="6"/>
        <v>-41.062138748855048</v>
      </c>
      <c r="AB6" s="11"/>
      <c r="AC6" s="11"/>
      <c r="AD6" s="11"/>
    </row>
    <row r="7" spans="1:30" ht="13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2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1.9927378985098672E-2</v>
      </c>
      <c r="R7" s="7">
        <f t="shared" si="2"/>
        <v>0.12526492028142416</v>
      </c>
      <c r="S7" s="7">
        <f t="shared" si="3"/>
        <v>-5.5517137602901316</v>
      </c>
      <c r="T7" s="7">
        <f t="shared" si="4"/>
        <v>-20.637428046004331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0.18229058283630437</v>
      </c>
      <c r="Y7" s="7">
        <f>M7 + U7 * proj3!$B$25/proj3!$B$17</f>
        <v>-1.1051962456126001</v>
      </c>
      <c r="Z7" s="7">
        <f t="shared" si="5"/>
        <v>-6.0628268801195198</v>
      </c>
      <c r="AA7" s="7">
        <f t="shared" si="6"/>
        <v>-40.624659675693785</v>
      </c>
      <c r="AB7" s="11"/>
      <c r="AC7" s="11"/>
      <c r="AD7" s="11"/>
    </row>
    <row r="8" spans="1:30" ht="13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0.76190476190476186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1.9388254895535473E-2</v>
      </c>
      <c r="R8" s="7">
        <f t="shared" si="2"/>
        <v>0.12343605112295625</v>
      </c>
      <c r="S8" s="7">
        <f t="shared" si="3"/>
        <v>-5.5173107128823711</v>
      </c>
      <c r="T8" s="7">
        <f t="shared" si="4"/>
        <v>-19.003024998596572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0.18027510180149592</v>
      </c>
      <c r="Y8" s="7">
        <f>M8 + U8 * proj3!$B$25/proj3!$B$17</f>
        <v>-1.0984505529777446</v>
      </c>
      <c r="Z8" s="7">
        <f t="shared" si="5"/>
        <v>-6.093190584838875</v>
      </c>
      <c r="AA8" s="7">
        <f t="shared" si="6"/>
        <v>-40.78214237804508</v>
      </c>
      <c r="AB8" s="11"/>
      <c r="AC8" s="11"/>
      <c r="AD8" s="11"/>
    </row>
    <row r="9" spans="1:30" ht="13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3.5594158813848917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1.5724197970343599E-2</v>
      </c>
      <c r="R9" s="7">
        <f t="shared" si="2"/>
        <v>0.10311848650937638</v>
      </c>
      <c r="S9" s="7">
        <f t="shared" si="3"/>
        <v>-5.0520914550514107</v>
      </c>
      <c r="T9" s="7">
        <f t="shared" si="4"/>
        <v>-17.052091455051411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0.15774422775620214</v>
      </c>
      <c r="Y9" s="7">
        <f>M9 + U9 * proj3!$B$25/proj3!$B$17</f>
        <v>-1.0072311303508008</v>
      </c>
      <c r="Z9" s="7">
        <f t="shared" si="5"/>
        <v>-6.3852170356908591</v>
      </c>
      <c r="AA9" s="7">
        <f t="shared" si="6"/>
        <v>-41.065816983771917</v>
      </c>
      <c r="AB9" s="11"/>
      <c r="AC9" s="11"/>
      <c r="AD9" s="11"/>
    </row>
    <row r="10" spans="1:30" ht="13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1.2389612638702818E-2</v>
      </c>
      <c r="R10" s="7">
        <f t="shared" si="2"/>
        <v>8.1430933516464271E-2</v>
      </c>
      <c r="S10" s="7">
        <f t="shared" si="3"/>
        <v>-4.4838330324419555</v>
      </c>
      <c r="T10" s="7">
        <f t="shared" si="4"/>
        <v>-15.226690175299055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0.1335753469772778</v>
      </c>
      <c r="Y10" s="7">
        <f>M10 + U10 * proj3!$B$25/proj3!$B$17</f>
        <v>-0.89580795871553054</v>
      </c>
      <c r="Z10" s="7">
        <f t="shared" si="5"/>
        <v>-6.7063869118596742</v>
      </c>
      <c r="AA10" s="7">
        <f t="shared" si="6"/>
        <v>-40.28952319188636</v>
      </c>
      <c r="AB10" s="11"/>
      <c r="AC10" s="11"/>
      <c r="AD10" s="11"/>
    </row>
    <row r="11" spans="1:30" ht="13">
      <c r="A11" s="2"/>
      <c r="B11" s="2"/>
      <c r="C11" s="2"/>
      <c r="D11" s="2"/>
      <c r="E11" s="2"/>
      <c r="F11" s="2"/>
      <c r="G11" s="4" t="s">
        <v>37</v>
      </c>
      <c r="H11" s="5">
        <f>2*H4 /(3*PI())</f>
        <v>3.7772773160476496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1.0149091238761409E-2</v>
      </c>
      <c r="R11" s="7">
        <f t="shared" si="2"/>
        <v>5.9404521836758706E-2</v>
      </c>
      <c r="S11" s="7">
        <f t="shared" si="3"/>
        <v>-3.7766131249439048</v>
      </c>
      <c r="T11" s="7">
        <f t="shared" si="4"/>
        <v>-13.148041696372465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0.10881309861846504</v>
      </c>
      <c r="Y11" s="7">
        <f>M11 + U11 * proj3!$B$25/proj3!$B$17</f>
        <v>-0.75713744895840107</v>
      </c>
      <c r="Z11" s="7">
        <f t="shared" si="5"/>
        <v>-6.9581462027212098</v>
      </c>
      <c r="AA11" s="7">
        <f t="shared" si="6"/>
        <v>-36.657414224966566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9.5549628105605876E-3</v>
      </c>
      <c r="R12" s="7">
        <f t="shared" si="2"/>
        <v>4.9918041692785381E-2</v>
      </c>
      <c r="S12" s="7">
        <f t="shared" si="3"/>
        <v>-3.4113434903682087</v>
      </c>
      <c r="T12" s="7">
        <f t="shared" si="4"/>
        <v>-12.097057776082488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9.8047949474388121E-2</v>
      </c>
      <c r="Y12" s="7">
        <f>M12 + U12 * proj3!$B$25/proj3!$B$17</f>
        <v>-0.68551598314785067</v>
      </c>
      <c r="Z12" s="7">
        <f t="shared" si="5"/>
        <v>-6.9916401803682771</v>
      </c>
      <c r="AA12" s="7">
        <f t="shared" si="6"/>
        <v>-33.5101000229823</v>
      </c>
      <c r="AB12" s="11"/>
      <c r="AC12" s="11"/>
      <c r="AD12" s="11"/>
    </row>
    <row r="13" spans="1:30" ht="13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0.47799999999999998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9.097144955396758E-3</v>
      </c>
      <c r="R13" s="7">
        <f t="shared" si="2"/>
        <v>4.1423389795914867E-2</v>
      </c>
      <c r="S13" s="7">
        <f t="shared" si="3"/>
        <v>-3.0437347082952737</v>
      </c>
      <c r="T13" s="7">
        <f t="shared" si="4"/>
        <v>-11.043734708295274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8.8341539656883836E-2</v>
      </c>
      <c r="Y13" s="7">
        <f>M13 + U13 * proj3!$B$25/proj3!$B$17</f>
        <v>-0.61343586116487059</v>
      </c>
      <c r="Z13" s="7">
        <f t="shared" si="5"/>
        <v>-6.943911817107093</v>
      </c>
      <c r="AA13" s="7">
        <f t="shared" si="6"/>
        <v>-29.578595956461797</v>
      </c>
      <c r="AB13" s="11"/>
      <c r="AC13" s="11"/>
      <c r="AD13" s="11"/>
    </row>
    <row r="14" spans="1:30" ht="13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1.2E-2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8.6294874796283959E-3</v>
      </c>
      <c r="R14" s="7">
        <f t="shared" si="2"/>
        <v>3.3807525138802919E-2</v>
      </c>
      <c r="S14" s="7">
        <f t="shared" si="3"/>
        <v>-2.674649913401812</v>
      </c>
      <c r="T14" s="7">
        <f t="shared" si="4"/>
        <v>-9.9889356276875212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7.9574386440594738E-2</v>
      </c>
      <c r="Y14" s="7">
        <f>M14 + U14 * proj3!$B$25/proj3!$B$17</f>
        <v>-0.54106632502929042</v>
      </c>
      <c r="Z14" s="7">
        <f t="shared" si="5"/>
        <v>-6.7995035743469625</v>
      </c>
      <c r="AA14" s="7">
        <f t="shared" si="6"/>
        <v>-25.015254053523069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8.0943875391511193E-3</v>
      </c>
      <c r="R15" s="7">
        <f t="shared" si="2"/>
        <v>2.7033574394907445E-2</v>
      </c>
      <c r="S15" s="7">
        <f t="shared" si="3"/>
        <v>-2.3047079054714805</v>
      </c>
      <c r="T15" s="7">
        <f t="shared" si="4"/>
        <v>-8.9332793340429006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7.1708085390287696E-2</v>
      </c>
      <c r="Y15" s="7">
        <f>M15 + U15 * proj3!$B$25/proj3!$B$17</f>
        <v>-0.46852870797922658</v>
      </c>
      <c r="Z15" s="7">
        <f t="shared" si="5"/>
        <v>-6.533833743142794</v>
      </c>
      <c r="AA15" s="7">
        <f t="shared" si="6"/>
        <v>-20.001951286814325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7.0058234799979004E-3</v>
      </c>
      <c r="R16" s="7">
        <f t="shared" si="2"/>
        <v>1.6308912488956176E-2</v>
      </c>
      <c r="S16" s="7">
        <f t="shared" si="3"/>
        <v>-1.5705218522014133</v>
      </c>
      <c r="T16" s="7">
        <f t="shared" si="4"/>
        <v>-6.8276647093442637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5.9010140676709344E-2</v>
      </c>
      <c r="Y16" s="7">
        <f>M16 + U16 * proj3!$B$25/proj3!$B$17</f>
        <v>-0.32457072095972839</v>
      </c>
      <c r="Z16" s="7">
        <f t="shared" si="5"/>
        <v>-5.5002532994779472</v>
      </c>
      <c r="AA16" s="7">
        <f t="shared" si="6"/>
        <v>-9.81916867939238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3381245.7221081443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6.5145711117251259E-3</v>
      </c>
      <c r="R17" s="7">
        <f t="shared" si="2"/>
        <v>1.1525451801628683E-2</v>
      </c>
      <c r="S17" s="7">
        <f t="shared" si="3"/>
        <v>-1.0950926751751844</v>
      </c>
      <c r="T17" s="7">
        <f t="shared" si="4"/>
        <v>-5.4379498180323242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5.3103188702457053E-2</v>
      </c>
      <c r="Y17" s="7">
        <f>M17 + U17 * proj3!$B$25/proj3!$B$17</f>
        <v>-0.23134935426365386</v>
      </c>
      <c r="Z17" s="7">
        <f t="shared" si="5"/>
        <v>-4.3566000444894089</v>
      </c>
      <c r="AA17" s="7">
        <f t="shared" si="6"/>
        <v>-4.3910024032351282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6.2784672483895592E-3</v>
      </c>
      <c r="R18" s="7">
        <f t="shared" si="2"/>
        <v>8.5918603605836374E-3</v>
      </c>
      <c r="S18" s="7">
        <f t="shared" si="3"/>
        <v>-0.6346431080479481</v>
      </c>
      <c r="T18" s="7">
        <f t="shared" si="4"/>
        <v>-4.0632145366193786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4.9202714964303264E-2</v>
      </c>
      <c r="Y18" s="7">
        <f>M18 + U18 * proj3!$B$25/proj3!$B$17</f>
        <v>-0.14106516470107508</v>
      </c>
      <c r="Z18" s="7">
        <f t="shared" si="5"/>
        <v>-2.8670199358596031</v>
      </c>
      <c r="AA18" s="7">
        <f t="shared" si="6"/>
        <v>-1.1595279081046754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5.6168440048232722E-3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6.1184734775255158E-3</v>
      </c>
      <c r="R19" s="7">
        <f t="shared" si="2"/>
        <v>7.0741871878086159E-3</v>
      </c>
      <c r="S19" s="7">
        <f t="shared" si="3"/>
        <v>4.3652178799549468E-2</v>
      </c>
      <c r="T19" s="7">
        <f t="shared" si="4"/>
        <v>-2.0134906783433002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4.6599372740866077E-2</v>
      </c>
      <c r="Y19" s="7">
        <f>M19 + U19 * proj3!$B$25/proj3!$B$17</f>
        <v>-8.0661467212820373E-3</v>
      </c>
      <c r="Z19" s="7">
        <f t="shared" si="5"/>
        <v>-0.17309560723353468</v>
      </c>
      <c r="AA19" s="7">
        <f t="shared" si="6"/>
        <v>-2.4167860791458922E-4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6.0360354431953254E-3</v>
      </c>
      <c r="R20" s="7">
        <f t="shared" si="2"/>
        <v>7.4993797789720904E-3</v>
      </c>
      <c r="S20" s="7">
        <f t="shared" si="3"/>
        <v>0.38959948870151462</v>
      </c>
      <c r="T20" s="7">
        <f t="shared" si="4"/>
        <v>-0.98182908272704528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4.7582330635677045E-2</v>
      </c>
      <c r="Y20" s="7">
        <f>M20 + U20 * proj3!$B$25/proj3!$B$17</f>
        <v>5.9766629625367065E-2</v>
      </c>
      <c r="Z20" s="7">
        <f t="shared" si="5"/>
        <v>1.2560677215032061</v>
      </c>
      <c r="AA20" s="7">
        <f t="shared" si="6"/>
        <v>9.4294177391616371E-2</v>
      </c>
      <c r="AB20" s="11"/>
      <c r="AC20" s="11"/>
      <c r="AD20" s="11"/>
    </row>
    <row r="21" spans="1:30" ht="14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5.8352539540807999E-3</v>
      </c>
      <c r="R21" s="7">
        <f t="shared" si="2"/>
        <v>9.3386234343328725E-3</v>
      </c>
      <c r="S21" s="7">
        <f t="shared" si="3"/>
        <v>0.8684022644746735</v>
      </c>
      <c r="T21" s="7">
        <f t="shared" si="4"/>
        <v>0.41125940733181848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5.0283173678387624E-2</v>
      </c>
      <c r="Y21" s="7">
        <f>M21 + U21 * proj3!$B$25/proj3!$B$17</f>
        <v>0.15364948598398204</v>
      </c>
      <c r="Z21" s="7">
        <f t="shared" si="5"/>
        <v>3.0556839344852773</v>
      </c>
      <c r="AA21" s="7">
        <f t="shared" si="6"/>
        <v>1.4346566423704075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5.6499680941891998E-3</v>
      </c>
      <c r="R22" s="7">
        <f t="shared" si="2"/>
        <v>1.2356732993554675E-2</v>
      </c>
      <c r="S22" s="7">
        <f t="shared" si="3"/>
        <v>1.3038221381148472</v>
      </c>
      <c r="T22" s="7">
        <f t="shared" si="4"/>
        <v>1.6466792809719881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5.418109835136263E-2</v>
      </c>
      <c r="Y22" s="7">
        <f>M22 + U22 * proj3!$B$25/proj3!$B$17</f>
        <v>0.23902589464543389</v>
      </c>
      <c r="Z22" s="7">
        <f t="shared" si="5"/>
        <v>4.4116103570909333</v>
      </c>
      <c r="AA22" s="7">
        <f t="shared" si="6"/>
        <v>4.6519950898390015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5.5626936310165052E-3</v>
      </c>
      <c r="R23" s="7">
        <f t="shared" si="2"/>
        <v>1.6109661522180893E-2</v>
      </c>
      <c r="S23" s="7">
        <f t="shared" si="3"/>
        <v>1.6833908284179964</v>
      </c>
      <c r="T23" s="7">
        <f t="shared" si="4"/>
        <v>2.7119622569894264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5.8781154289402768E-2</v>
      </c>
      <c r="Y23" s="7">
        <f>M23 + U23 * proj3!$B$25/proj3!$B$17</f>
        <v>0.31345109565312579</v>
      </c>
      <c r="Z23" s="7">
        <f t="shared" si="5"/>
        <v>5.3325100441186066</v>
      </c>
      <c r="AA23" s="7">
        <f t="shared" si="6"/>
        <v>8.9131898391461224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5.6495567556489636E-3</v>
      </c>
      <c r="R24" s="7">
        <f t="shared" si="2"/>
        <v>2.3680431731208811E-2</v>
      </c>
      <c r="S24" s="7">
        <f t="shared" si="3"/>
        <v>2.2457719699148533</v>
      </c>
      <c r="T24" s="7">
        <f t="shared" si="4"/>
        <v>4.3029148270577133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6.7750567583896595E-2</v>
      </c>
      <c r="Y24" s="7">
        <f>M24 + U24 * proj3!$B$25/proj3!$B$17</f>
        <v>0.42372185972855653</v>
      </c>
      <c r="Z24" s="7">
        <f t="shared" si="5"/>
        <v>6.2541447967038071</v>
      </c>
      <c r="AA24" s="7">
        <f t="shared" si="6"/>
        <v>16.573595437002687</v>
      </c>
      <c r="AB24" s="2"/>
      <c r="AC24" s="2"/>
      <c r="AD24" s="2"/>
    </row>
    <row r="25" spans="1:30" ht="13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0.17153003605481118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5.9007573629641869E-3</v>
      </c>
      <c r="R25" s="7">
        <f t="shared" si="2"/>
        <v>3.0889136161155861E-2</v>
      </c>
      <c r="S25" s="7">
        <f t="shared" si="3"/>
        <v>2.6641609882853503</v>
      </c>
      <c r="T25" s="7">
        <f t="shared" si="4"/>
        <v>5.5213038454282106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7.6112312569248927E-2</v>
      </c>
      <c r="Y25" s="7">
        <f>M25 + U25 * proj3!$B$25/proj3!$B$17</f>
        <v>0.50575888645688249</v>
      </c>
      <c r="Z25" s="7">
        <f t="shared" si="5"/>
        <v>6.6449023736695709</v>
      </c>
      <c r="AA25" s="7">
        <f t="shared" si="6"/>
        <v>22.33164584032702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0.10198659876433055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6.1557898031861461E-3</v>
      </c>
      <c r="R26" s="7">
        <f t="shared" si="2"/>
        <v>3.6583935275715726E-2</v>
      </c>
      <c r="S26" s="7">
        <f t="shared" si="3"/>
        <v>2.9502357588385912</v>
      </c>
      <c r="T26" s="7">
        <f t="shared" si="4"/>
        <v>6.3788071874100218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8.2650175951182528E-2</v>
      </c>
      <c r="Y26" s="7">
        <f>M26 + U26 * proj3!$B$25/proj3!$B$17</f>
        <v>0.56185195431411206</v>
      </c>
      <c r="Z26" s="7">
        <f t="shared" si="5"/>
        <v>6.7979523073970336</v>
      </c>
      <c r="AA26" s="7">
        <f t="shared" si="6"/>
        <v>25.964389922120031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6.9757958799166976E-3</v>
      </c>
      <c r="R27" s="7">
        <f t="shared" si="2"/>
        <v>5.2104131954263666E-2</v>
      </c>
      <c r="S27" s="7">
        <f t="shared" si="3"/>
        <v>3.6116820213560747</v>
      </c>
      <c r="T27" s="7">
        <f t="shared" si="4"/>
        <v>8.411682021356075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0.10028767009624094</v>
      </c>
      <c r="Y27" s="7">
        <f>M27 + U27 * proj3!$B$25/proj3!$B$17</f>
        <v>0.6915472434706893</v>
      </c>
      <c r="Z27" s="7">
        <f t="shared" si="5"/>
        <v>6.8956357527006746</v>
      </c>
      <c r="AA27" s="7">
        <f t="shared" si="6"/>
        <v>32.882927885283436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1.02904499783254E-2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8.0002519962928797E-3</v>
      </c>
      <c r="R28" s="7">
        <f t="shared" si="2"/>
        <v>6.8183415167892544E-2</v>
      </c>
      <c r="S28" s="7">
        <f t="shared" si="3"/>
        <v>4.1820225307898502</v>
      </c>
      <c r="T28" s="7">
        <f t="shared" si="4"/>
        <v>10.124879673646991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0.118385096168589</v>
      </c>
      <c r="Y28" s="7">
        <f>M28 + U28 * proj3!$B$25/proj3!$B$17</f>
        <v>0.80337866724680884</v>
      </c>
      <c r="Z28" s="7">
        <f t="shared" si="5"/>
        <v>6.7861470172118548</v>
      </c>
      <c r="AA28" s="7">
        <f t="shared" si="6"/>
        <v>36.997026750425363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8.8474161120322813E-3</v>
      </c>
      <c r="R29" s="7">
        <f t="shared" si="2"/>
        <v>7.9927464744323468E-2</v>
      </c>
      <c r="S29" s="7">
        <f t="shared" si="3"/>
        <v>4.5504626499706031</v>
      </c>
      <c r="T29" s="7">
        <f t="shared" si="4"/>
        <v>11.179034078542033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0.13152966637126151</v>
      </c>
      <c r="Y29" s="7">
        <f>M29 + U29 * proj3!$B$25/proj3!$B$17</f>
        <v>0.87562179643490123</v>
      </c>
      <c r="Z29" s="7">
        <f t="shared" si="5"/>
        <v>6.6572190182808804</v>
      </c>
      <c r="AA29" s="7">
        <f t="shared" si="6"/>
        <v>38.806301550943175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2.8474716782901695E-2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1.0996770972873752E-2</v>
      </c>
      <c r="R30" s="7">
        <f t="shared" si="2"/>
        <v>0.1084273824792213</v>
      </c>
      <c r="S30" s="7">
        <f t="shared" si="3"/>
        <v>5.3373155774996803</v>
      </c>
      <c r="T30" s="7">
        <f t="shared" si="4"/>
        <v>13.33731557749968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0.16326469597484597</v>
      </c>
      <c r="Y30" s="7">
        <f>M30 + U30 * proj3!$B$25/proj3!$B$17</f>
        <v>1.0299066170508249</v>
      </c>
      <c r="Z30" s="7">
        <f t="shared" si="5"/>
        <v>6.3082016041575919</v>
      </c>
      <c r="AA30" s="7">
        <f t="shared" si="6"/>
        <v>40.983493677309212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2.5051424536268713E-2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1.2833367210340134E-2</v>
      </c>
      <c r="R31" s="7">
        <f t="shared" si="2"/>
        <v>0.13491467991083125</v>
      </c>
      <c r="S31" s="7">
        <f t="shared" si="3"/>
        <v>5.9804068621083628</v>
      </c>
      <c r="T31" s="7">
        <f t="shared" si="4"/>
        <v>15.123264004965502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0.19262449024857584</v>
      </c>
      <c r="Y31" s="7">
        <f>M31 + U31 * proj3!$B$25/proj3!$B$17</f>
        <v>1.1560028924972265</v>
      </c>
      <c r="Z31" s="7">
        <f t="shared" si="5"/>
        <v>6.0013287563042539</v>
      </c>
      <c r="AA31" s="7">
        <f t="shared" si="6"/>
        <v>41.634538724504843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1.0000263097837243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1.4313033697529723E-2</v>
      </c>
      <c r="R32" s="7">
        <f t="shared" si="2"/>
        <v>0.15793232723572856</v>
      </c>
      <c r="S32" s="7">
        <f t="shared" si="3"/>
        <v>6.4903418866441944</v>
      </c>
      <c r="T32" s="7">
        <f t="shared" si="4"/>
        <v>16.661770458072695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0.21806399232741872</v>
      </c>
      <c r="Y32" s="7">
        <f>M32 + U32 * proj3!$B$25/proj3!$B$17</f>
        <v>1.2559901087021001</v>
      </c>
      <c r="Z32" s="7">
        <f t="shared" si="5"/>
        <v>5.759731789264209</v>
      </c>
      <c r="AA32" s="7">
        <f t="shared" si="6"/>
        <v>41.666856778067519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1.4861478881143397E-2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1.5223765786895263E-2</v>
      </c>
      <c r="R33" s="7">
        <f t="shared" si="2"/>
        <v>0.1701231853423146</v>
      </c>
      <c r="S33" s="7">
        <f t="shared" si="3"/>
        <v>6.7420390618843955</v>
      </c>
      <c r="T33" s="7">
        <f t="shared" si="4"/>
        <v>17.484896204741496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0.2315093312368704</v>
      </c>
      <c r="Y33" s="7">
        <f>M33 + U33 * proj3!$B$25/proj3!$B$17</f>
        <v>1.3053424745291105</v>
      </c>
      <c r="Z33" s="7">
        <f t="shared" si="5"/>
        <v>5.6384011286073825</v>
      </c>
      <c r="AA33" s="7">
        <f t="shared" si="6"/>
        <v>41.498883111677046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1.8051554717825449E-2</v>
      </c>
      <c r="R34" s="7">
        <f t="shared" si="2"/>
        <v>0.19530292128959045</v>
      </c>
      <c r="S34" s="7">
        <f t="shared" si="3"/>
        <v>7.2148938107937415</v>
      </c>
      <c r="T34" s="7">
        <f t="shared" si="4"/>
        <v>19.100608096507941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0.25920702486939257</v>
      </c>
      <c r="Y34" s="7">
        <f>M34 + U34 * proj3!$B$25/proj3!$B$17</f>
        <v>1.3980590516179974</v>
      </c>
      <c r="Z34" s="7">
        <f t="shared" si="5"/>
        <v>5.393600163122283</v>
      </c>
      <c r="AA34" s="7">
        <f t="shared" si="6"/>
        <v>40.670827828102169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2.1275291925862989E-2</v>
      </c>
      <c r="R35" s="7">
        <f t="shared" si="2"/>
        <v>0.21553036463940345</v>
      </c>
      <c r="S35" s="7">
        <f t="shared" si="3"/>
        <v>7.5548117910201249</v>
      </c>
      <c r="T35" s="7">
        <f t="shared" si="4"/>
        <v>20.240526076734326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0.28139485673132497</v>
      </c>
      <c r="Y35" s="7">
        <f>M35 + U35 * proj3!$B$25/proj3!$B$17</f>
        <v>1.4647096069740573</v>
      </c>
      <c r="Z35" s="7">
        <f t="shared" si="5"/>
        <v>5.2051754747335623</v>
      </c>
      <c r="AA35" s="7">
        <f t="shared" si="6"/>
        <v>39.684624908268567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2.6299806294444426E-2</v>
      </c>
      <c r="R36" s="7">
        <f t="shared" si="2"/>
        <v>0.2432651698506447</v>
      </c>
      <c r="S36" s="7">
        <f t="shared" si="3"/>
        <v>7.9862749290064343</v>
      </c>
      <c r="T36" s="7">
        <f t="shared" si="4"/>
        <v>21.700560643292135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0.31176395230125381</v>
      </c>
      <c r="Y36" s="7">
        <f>M36 + U36 * proj3!$B$25/proj3!$B$17</f>
        <v>1.5493101854527351</v>
      </c>
      <c r="Z36" s="7">
        <f t="shared" si="5"/>
        <v>4.9694975125143879</v>
      </c>
      <c r="AA36" s="7">
        <f t="shared" si="6"/>
        <v>38.261617971784048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3.7667739973868501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2.8898326295462934E-2</v>
      </c>
      <c r="R37" s="7">
        <f t="shared" si="2"/>
        <v>0.25736414944212521</v>
      </c>
      <c r="S37" s="7">
        <f t="shared" si="3"/>
        <v>8.1961085586343359</v>
      </c>
      <c r="T37" s="7">
        <f t="shared" si="4"/>
        <v>22.596108558634334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0.32718752518246863</v>
      </c>
      <c r="Y37" s="7">
        <f>M37 + U37 * proj3!$B$25/proj3!$B$17</f>
        <v>1.5904540164962215</v>
      </c>
      <c r="Z37" s="7">
        <f t="shared" si="5"/>
        <v>4.8609861137255894</v>
      </c>
      <c r="AA37" s="7">
        <f t="shared" si="6"/>
        <v>37.581133776789791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2.9197196113727807E-2</v>
      </c>
      <c r="R38" s="7">
        <f t="shared" si="2"/>
        <v>0.25893127401310173</v>
      </c>
      <c r="S38" s="7">
        <f t="shared" si="3"/>
        <v>8.2189207612951716</v>
      </c>
      <c r="T38" s="7">
        <f t="shared" si="4"/>
        <v>23.533206475580872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0.32890108587150263</v>
      </c>
      <c r="Y38" s="7">
        <f>M38 + U38 * proj3!$B$25/proj3!$B$17</f>
        <v>1.5949269954637566</v>
      </c>
      <c r="Z38" s="7">
        <f t="shared" si="5"/>
        <v>4.8492603520526956</v>
      </c>
      <c r="AA38" s="7">
        <f t="shared" si="6"/>
        <v>37.505228183907946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2.2308401534726879E-2</v>
      </c>
      <c r="R39" s="7">
        <f t="shared" si="2"/>
        <v>0.21790121100002766</v>
      </c>
      <c r="S39" s="7">
        <f t="shared" si="3"/>
        <v>7.5809075527252254</v>
      </c>
      <c r="T39" s="7">
        <f t="shared" si="4"/>
        <v>24.152336124153724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0.28397351182786978</v>
      </c>
      <c r="Y39" s="7">
        <f>M39 + U39 * proj3!$B$25/proj3!$B$17</f>
        <v>1.4698264207681555</v>
      </c>
      <c r="Z39" s="7">
        <f t="shared" si="5"/>
        <v>5.1759278930884554</v>
      </c>
      <c r="AA39" s="7">
        <f t="shared" si="6"/>
        <v>39.376987217576108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1.8856379455764082E-2</v>
      </c>
      <c r="R40" s="7">
        <f t="shared" si="2"/>
        <v>0.19617965252425495</v>
      </c>
      <c r="S40" s="7">
        <f t="shared" si="3"/>
        <v>7.2163649924486393</v>
      </c>
      <c r="T40" s="7">
        <f t="shared" si="4"/>
        <v>24.244936421020039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0.2601474811497782</v>
      </c>
      <c r="Y40" s="7">
        <f>M40 + U40 * proj3!$B$25/proj3!$B$17</f>
        <v>1.3983475184836314</v>
      </c>
      <c r="Z40" s="7">
        <f t="shared" si="5"/>
        <v>5.3752106778175648</v>
      </c>
      <c r="AA40" s="7">
        <f t="shared" si="6"/>
        <v>40.402300796893471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1.3755073525558145E-2</v>
      </c>
      <c r="R41" s="7">
        <f t="shared" si="2"/>
        <v>0.15854265730656741</v>
      </c>
      <c r="S41" s="7">
        <f t="shared" si="3"/>
        <v>6.5168616228532183</v>
      </c>
      <c r="T41" s="7">
        <f t="shared" si="4"/>
        <v>24.57400447999602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0.21875927759949257</v>
      </c>
      <c r="Y41" s="7">
        <f>M41 + U41 * proj3!$B$25/proj3!$B$17</f>
        <v>1.2611900547156956</v>
      </c>
      <c r="Z41" s="7">
        <f t="shared" si="5"/>
        <v>5.7651957373195355</v>
      </c>
      <c r="AA41" s="7">
        <f t="shared" si="6"/>
        <v>41.918781602965836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1.3349349616992677E-2</v>
      </c>
      <c r="R42" s="7">
        <f t="shared" si="2"/>
        <v>0.14851504992825651</v>
      </c>
      <c r="S42" s="7">
        <f t="shared" si="3"/>
        <v>6.295120545750903</v>
      </c>
      <c r="T42" s="7">
        <f t="shared" si="4"/>
        <v>25.037977688608002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0.20767684792639948</v>
      </c>
      <c r="Y42" s="7">
        <f>M42 + U42 * proj3!$B$25/proj3!$B$17</f>
        <v>1.2177114310657275</v>
      </c>
      <c r="Z42" s="7">
        <f t="shared" si="5"/>
        <v>5.8634914927892376</v>
      </c>
      <c r="AA42" s="7">
        <f t="shared" si="6"/>
        <v>41.865567414343111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1.3061466332184067E-2</v>
      </c>
      <c r="R43" s="7">
        <f t="shared" si="2"/>
        <v>0.14010027599527511</v>
      </c>
      <c r="S43" s="7">
        <f t="shared" si="3"/>
        <v>6.1015579382355547</v>
      </c>
      <c r="T43" s="7">
        <f t="shared" si="4"/>
        <v>25.530129366806953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0.19836541806858579</v>
      </c>
      <c r="Y43" s="7">
        <f>M43 + U43 * proj3!$B$25/proj3!$B$17</f>
        <v>1.1797579951266433</v>
      </c>
      <c r="Z43" s="7">
        <f t="shared" si="5"/>
        <v>5.9473975182445171</v>
      </c>
      <c r="AA43" s="7">
        <f t="shared" si="6"/>
        <v>41.72985385883463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1.2080201457330566E-2</v>
      </c>
      <c r="R44" s="7">
        <f t="shared" si="2"/>
        <v>0.13161793114237708</v>
      </c>
      <c r="S44" s="7">
        <f t="shared" si="3"/>
        <v>5.9172841550366924</v>
      </c>
      <c r="T44" s="7">
        <f t="shared" si="4"/>
        <v>26.260141297893792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0.18899681643080077</v>
      </c>
      <c r="Y44" s="7">
        <f>M44 + U44 * proj3!$B$25/proj3!$B$17</f>
        <v>1.1436258964963009</v>
      </c>
      <c r="Z44" s="7">
        <f t="shared" si="5"/>
        <v>6.0510325945888495</v>
      </c>
      <c r="AA44" s="7">
        <f t="shared" si="6"/>
        <v>41.873857009038709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1.3011352951877395E-2</v>
      </c>
      <c r="R45" s="7">
        <f t="shared" si="2"/>
        <v>0.13951682496582193</v>
      </c>
      <c r="S45" s="7">
        <f t="shared" si="3"/>
        <v>6.0886399801542339</v>
      </c>
      <c r="T45" s="7">
        <f t="shared" si="4"/>
        <v>26.545782837297033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0.19772060949272852</v>
      </c>
      <c r="Y45" s="7">
        <f>M45 + U45 * proj3!$B$25/proj3!$B$17</f>
        <v>1.1772250632716912</v>
      </c>
      <c r="Z45" s="7">
        <f t="shared" si="5"/>
        <v>5.9539825731469103</v>
      </c>
      <c r="AA45" s="7">
        <f t="shared" si="6"/>
        <v>41.732520754917736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5.4655027077242943E-2</v>
      </c>
      <c r="H54" s="5">
        <v>0.13346740254162603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3.1315023806992559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3.0836534748776518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>
    <tabColor rgb="FF3D85C6"/>
    <outlinePr summaryBelow="0" summaryRight="0"/>
    <pageSetUpPr fitToPage="1"/>
  </sheetPr>
  <dimension ref="A1:V45"/>
  <sheetViews>
    <sheetView workbookViewId="0">
      <selection activeCell="E30" sqref="E30"/>
    </sheetView>
  </sheetViews>
  <sheetFormatPr defaultColWidth="12.54296875" defaultRowHeight="15.75" customHeight="1"/>
  <cols>
    <col min="1" max="1" width="5.81640625" customWidth="1"/>
    <col min="2" max="17" width="11" customWidth="1"/>
  </cols>
  <sheetData>
    <row r="1" spans="1:22" ht="15.75" customHeight="1">
      <c r="A1" s="23"/>
      <c r="B1" s="107" t="s">
        <v>164</v>
      </c>
      <c r="C1" s="108"/>
      <c r="D1" s="108"/>
      <c r="E1" s="108"/>
      <c r="F1" s="109"/>
      <c r="G1" s="107" t="s">
        <v>165</v>
      </c>
      <c r="H1" s="108"/>
      <c r="I1" s="108"/>
      <c r="J1" s="109"/>
      <c r="K1" s="107" t="s">
        <v>166</v>
      </c>
      <c r="L1" s="108"/>
      <c r="M1" s="108"/>
      <c r="N1" s="108"/>
      <c r="O1" s="108"/>
      <c r="P1" s="108"/>
      <c r="Q1" s="109"/>
      <c r="R1" s="110" t="s">
        <v>167</v>
      </c>
      <c r="S1" s="111"/>
      <c r="T1" s="111"/>
      <c r="U1" s="111"/>
      <c r="V1" s="111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4">
    <outlinePr summaryBelow="0" summaryRight="0"/>
  </sheetPr>
  <dimension ref="A1:J66"/>
  <sheetViews>
    <sheetView workbookViewId="0">
      <selection activeCell="H27" sqref="H27"/>
    </sheetView>
  </sheetViews>
  <sheetFormatPr defaultColWidth="12.54296875" defaultRowHeight="15.75" customHeight="1"/>
  <cols>
    <col min="1" max="1" width="34" customWidth="1"/>
    <col min="2" max="2" width="25.54296875" customWidth="1"/>
    <col min="4" max="4" width="13.26953125" customWidth="1"/>
    <col min="5" max="5" width="6.54296875" customWidth="1"/>
    <col min="6" max="6" width="23.7265625" customWidth="1"/>
    <col min="7" max="7" width="20.8164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 ht="13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 ht="13">
      <c r="A8" s="114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113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113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113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 ht="13">
      <c r="A18" s="6" t="s">
        <v>100</v>
      </c>
      <c r="B18" s="6">
        <v>1.5</v>
      </c>
      <c r="E18" s="115" t="s">
        <v>101</v>
      </c>
      <c r="F18" s="108"/>
      <c r="G18" s="108"/>
      <c r="H18" s="108"/>
      <c r="I18" s="108"/>
      <c r="J18" s="109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 ht="25.5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 ht="42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 ht="13">
      <c r="A32" s="21" t="s">
        <v>133</v>
      </c>
      <c r="B32" s="6">
        <f>0.355/B18</f>
        <v>0.23666666666666666</v>
      </c>
      <c r="E32" s="116" t="s">
        <v>134</v>
      </c>
      <c r="F32" s="113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117" t="s">
        <v>141</v>
      </c>
      <c r="F37" s="113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112" t="s">
        <v>149</v>
      </c>
      <c r="B48" s="113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112" t="s">
        <v>155</v>
      </c>
      <c r="B55" s="113"/>
    </row>
    <row r="56" spans="1:3" ht="12.5">
      <c r="A56" s="6" t="s">
        <v>150</v>
      </c>
      <c r="B56" s="6">
        <f>C3</f>
        <v>7.1641999999999997E-2</v>
      </c>
    </row>
    <row r="58" spans="1:3" ht="13">
      <c r="A58" s="112" t="s">
        <v>156</v>
      </c>
      <c r="B58" s="113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>
    <outlinePr summaryBelow="0" summaryRight="0"/>
  </sheetPr>
  <dimension ref="A1:U1000"/>
  <sheetViews>
    <sheetView workbookViewId="0">
      <selection activeCell="Q4" sqref="Q4"/>
    </sheetView>
  </sheetViews>
  <sheetFormatPr defaultColWidth="12.54296875" defaultRowHeight="15.75" customHeight="1"/>
  <cols>
    <col min="1" max="1" width="23.453125" customWidth="1"/>
    <col min="2" max="2" width="7.26953125" customWidth="1"/>
    <col min="9" max="19" width="8.1796875" customWidth="1"/>
  </cols>
  <sheetData>
    <row r="1" spans="1:19" ht="13">
      <c r="A1" s="21" t="s">
        <v>171</v>
      </c>
      <c r="B1" s="6">
        <v>600</v>
      </c>
      <c r="I1" s="121" t="s">
        <v>142</v>
      </c>
      <c r="J1" s="121" t="s">
        <v>14</v>
      </c>
      <c r="K1" s="121" t="s">
        <v>172</v>
      </c>
      <c r="L1" s="121" t="s">
        <v>173</v>
      </c>
      <c r="M1" s="121" t="s">
        <v>170</v>
      </c>
      <c r="N1" s="118" t="s">
        <v>174</v>
      </c>
      <c r="O1" s="113"/>
      <c r="P1" s="119" t="s">
        <v>175</v>
      </c>
      <c r="Q1" s="113"/>
      <c r="R1" s="119" t="s">
        <v>176</v>
      </c>
      <c r="S1" s="113"/>
    </row>
    <row r="2" spans="1:19" ht="13">
      <c r="A2" s="21" t="s">
        <v>177</v>
      </c>
      <c r="B2" s="6">
        <v>726</v>
      </c>
      <c r="I2" s="113"/>
      <c r="J2" s="113"/>
      <c r="K2" s="113"/>
      <c r="L2" s="113"/>
      <c r="M2" s="113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30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39.6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 ht="13">
      <c r="A9" s="112" t="s">
        <v>189</v>
      </c>
      <c r="B9" s="113"/>
      <c r="D9" s="112" t="s">
        <v>190</v>
      </c>
      <c r="E9" s="113"/>
      <c r="F9" s="113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 ht="13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120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113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 ht="13">
      <c r="B22" s="113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113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120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113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113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113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120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113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113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113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>
    <outlinePr summaryBelow="0" summaryRight="0"/>
  </sheetPr>
  <dimension ref="A1:L26"/>
  <sheetViews>
    <sheetView topLeftCell="C1" workbookViewId="0">
      <selection sqref="A1:D1"/>
    </sheetView>
  </sheetViews>
  <sheetFormatPr defaultColWidth="12.54296875" defaultRowHeight="15.75" customHeight="1"/>
  <cols>
    <col min="1" max="1" width="29.1796875" customWidth="1"/>
    <col min="2" max="2" width="7.453125" customWidth="1"/>
    <col min="3" max="3" width="9.453125" customWidth="1"/>
    <col min="4" max="4" width="7.453125" customWidth="1"/>
    <col min="6" max="6" width="9.1796875" customWidth="1"/>
    <col min="7" max="7" width="12.453125" customWidth="1"/>
    <col min="8" max="8" width="7.453125" customWidth="1"/>
    <col min="10" max="10" width="15.7265625" customWidth="1"/>
    <col min="11" max="11" width="9" customWidth="1"/>
  </cols>
  <sheetData>
    <row r="1" spans="1:12" ht="15.75" customHeight="1">
      <c r="A1" s="122" t="s">
        <v>210</v>
      </c>
      <c r="B1" s="113"/>
      <c r="C1" s="113"/>
      <c r="D1" s="113"/>
    </row>
    <row r="2" spans="1:12" ht="13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 ht="13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 ht="13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 ht="13">
      <c r="A7" s="57" t="s">
        <v>227</v>
      </c>
      <c r="B7" s="57" t="s">
        <v>228</v>
      </c>
      <c r="C7" s="57">
        <v>1.2250000000000001</v>
      </c>
      <c r="D7" s="57" t="s">
        <v>229</v>
      </c>
      <c r="F7" s="116" t="s">
        <v>230</v>
      </c>
      <c r="G7" s="113"/>
      <c r="H7" s="113"/>
      <c r="I7" s="113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 ht="13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>
    <outlinePr summaryBelow="0" summaryRight="0"/>
  </sheetPr>
  <dimension ref="A1:S1001"/>
  <sheetViews>
    <sheetView workbookViewId="0">
      <selection activeCell="Q7" sqref="Q7"/>
    </sheetView>
  </sheetViews>
  <sheetFormatPr defaultColWidth="12.54296875" defaultRowHeight="15.75" customHeight="1"/>
  <cols>
    <col min="7" max="7" width="9.26953125" customWidth="1"/>
    <col min="8" max="8" width="5.453125" customWidth="1"/>
    <col min="9" max="9" width="6.26953125" customWidth="1"/>
    <col min="10" max="19" width="8.54296875" customWidth="1"/>
  </cols>
  <sheetData>
    <row r="1" spans="1:19" ht="13">
      <c r="C1" s="66"/>
      <c r="H1" s="23"/>
      <c r="I1" s="123" t="s">
        <v>164</v>
      </c>
      <c r="J1" s="109"/>
      <c r="K1" s="124"/>
      <c r="L1" s="109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6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>$G$2 + J4*$C$17-(K4- L4*PI()/180*J4)*$C$13</f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6F42-31E3-4AC3-BCDE-F3A5AF91BD6E}">
  <sheetPr codeName="Arkusz8"/>
  <dimension ref="A1:L44"/>
  <sheetViews>
    <sheetView workbookViewId="0">
      <selection activeCell="N19" sqref="N19"/>
    </sheetView>
  </sheetViews>
  <sheetFormatPr defaultRowHeight="12.5"/>
  <sheetData>
    <row r="1" spans="1:12">
      <c r="A1" s="80" t="s">
        <v>9</v>
      </c>
      <c r="B1" t="s">
        <v>10</v>
      </c>
      <c r="C1" t="s">
        <v>13</v>
      </c>
      <c r="D1" t="s">
        <v>16</v>
      </c>
      <c r="E1" t="s">
        <v>18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>
      <c r="A2">
        <v>1</v>
      </c>
      <c r="B2">
        <v>-18.514285714285698</v>
      </c>
      <c r="C2">
        <v>-0.84745762711864403</v>
      </c>
      <c r="D2">
        <v>4.8312366259894768E-2</v>
      </c>
      <c r="E2">
        <v>-20.91651817757942</v>
      </c>
      <c r="F2">
        <v>-2.3775932203389829E-2</v>
      </c>
      <c r="G2">
        <v>-9.024308289392366E-3</v>
      </c>
      <c r="H2">
        <v>-0.11919379981481609</v>
      </c>
      <c r="I2">
        <v>-0.22936329134023981</v>
      </c>
      <c r="J2">
        <v>-3.2800240492782198E-2</v>
      </c>
      <c r="K2">
        <v>-0.14296973201820593</v>
      </c>
      <c r="L2">
        <v>-0.25313922354362961</v>
      </c>
    </row>
    <row r="3" spans="1:12">
      <c r="A3">
        <v>2</v>
      </c>
      <c r="B3">
        <v>-17.1428571428571</v>
      </c>
      <c r="C3">
        <v>-0.88700564971751295</v>
      </c>
      <c r="D3">
        <v>5.2465879485296546E-2</v>
      </c>
      <c r="E3">
        <v>-19.654411500004898</v>
      </c>
      <c r="F3">
        <v>-2.4772542372881325E-2</v>
      </c>
      <c r="G3">
        <v>-2.1246786264394885E-3</v>
      </c>
      <c r="H3">
        <v>-0.11743541308971617</v>
      </c>
      <c r="I3">
        <v>-0.23274614755299289</v>
      </c>
      <c r="J3">
        <v>-2.6897220999320813E-2</v>
      </c>
      <c r="K3">
        <v>-0.14220795546259749</v>
      </c>
      <c r="L3">
        <v>-0.25751868992587423</v>
      </c>
    </row>
    <row r="4" spans="1:12">
      <c r="A4">
        <v>3</v>
      </c>
      <c r="B4">
        <v>-16.571428571428498</v>
      </c>
      <c r="C4">
        <v>-0.93785310734463301</v>
      </c>
      <c r="D4">
        <v>5.868612261359088E-2</v>
      </c>
      <c r="E4">
        <v>-19.237697092493136</v>
      </c>
      <c r="F4">
        <v>-2.6053898305084752E-2</v>
      </c>
      <c r="G4">
        <v>2.8831006030469383E-3</v>
      </c>
      <c r="H4">
        <v>-0.11903780335175536</v>
      </c>
      <c r="I4">
        <v>-0.24095870730655763</v>
      </c>
      <c r="J4">
        <v>-2.3170797702037813E-2</v>
      </c>
      <c r="K4">
        <v>-0.1450917016568401</v>
      </c>
      <c r="L4">
        <v>-0.26701260561164236</v>
      </c>
    </row>
    <row r="5" spans="1:12">
      <c r="A5">
        <v>4</v>
      </c>
      <c r="B5">
        <v>-16.1142857142857</v>
      </c>
      <c r="C5">
        <v>-0.99435028248587498</v>
      </c>
      <c r="D5">
        <v>6.5870774879238758E-2</v>
      </c>
      <c r="E5">
        <v>-18.927216749846981</v>
      </c>
      <c r="F5">
        <v>-2.7477627118644047E-2</v>
      </c>
      <c r="G5">
        <v>8.0902665625708706E-3</v>
      </c>
      <c r="H5">
        <v>-0.12117527016059287</v>
      </c>
      <c r="I5">
        <v>-0.25044080688375664</v>
      </c>
      <c r="J5">
        <v>-1.9387360556073176E-2</v>
      </c>
      <c r="K5">
        <v>-0.14865289727923692</v>
      </c>
      <c r="L5">
        <v>-0.27791843400240068</v>
      </c>
    </row>
    <row r="6" spans="1:12">
      <c r="A6">
        <v>5</v>
      </c>
      <c r="B6">
        <v>-15.0857142857142</v>
      </c>
      <c r="C6">
        <v>-1.0734463276836099</v>
      </c>
      <c r="D6">
        <v>7.7633253187835621E-2</v>
      </c>
      <c r="E6">
        <v>-18.1255452018436</v>
      </c>
      <c r="F6">
        <v>-2.9470847457626969E-2</v>
      </c>
      <c r="G6">
        <v>1.7657496681335226E-2</v>
      </c>
      <c r="H6">
        <v>-0.12189052591753405</v>
      </c>
      <c r="I6">
        <v>-0.26143854851640336</v>
      </c>
      <c r="J6">
        <v>-1.1813350776291743E-2</v>
      </c>
      <c r="K6">
        <v>-0.15136137337516101</v>
      </c>
      <c r="L6">
        <v>-0.29090939597403032</v>
      </c>
    </row>
    <row r="7" spans="1:12">
      <c r="A7">
        <v>6</v>
      </c>
      <c r="B7">
        <v>-13.4857142857142</v>
      </c>
      <c r="C7">
        <v>-1.0621468926553601</v>
      </c>
      <c r="D7">
        <v>7.6391447030614512E-2</v>
      </c>
      <c r="E7">
        <v>-16.506707874914532</v>
      </c>
      <c r="F7">
        <v>-2.9186101694915072E-2</v>
      </c>
      <c r="G7">
        <v>2.3978087937127565E-2</v>
      </c>
      <c r="H7">
        <v>-0.11410100810806925</v>
      </c>
      <c r="I7">
        <v>-0.25218010415326608</v>
      </c>
      <c r="J7">
        <v>-5.2080137577875073E-3</v>
      </c>
      <c r="K7">
        <v>-0.14328710980298431</v>
      </c>
      <c r="L7">
        <v>-0.28136620584818117</v>
      </c>
    </row>
    <row r="8" spans="1:12">
      <c r="A8">
        <v>7</v>
      </c>
      <c r="B8">
        <v>-12</v>
      </c>
      <c r="C8">
        <v>-0.98305084745762705</v>
      </c>
      <c r="D8">
        <v>6.3653741358226268E-2</v>
      </c>
      <c r="E8">
        <v>-14.766263618637257</v>
      </c>
      <c r="F8">
        <v>-2.7192881355932199E-2</v>
      </c>
      <c r="G8">
        <v>2.402461470506409E-2</v>
      </c>
      <c r="H8">
        <v>-0.10377199546442742</v>
      </c>
      <c r="I8">
        <v>-0.23156860563391896</v>
      </c>
      <c r="J8">
        <v>-3.1682666508681089E-3</v>
      </c>
      <c r="K8">
        <v>-0.13096487682035962</v>
      </c>
      <c r="L8">
        <v>-0.25876148698985113</v>
      </c>
    </row>
    <row r="9" spans="1:12">
      <c r="A9">
        <v>8</v>
      </c>
      <c r="B9">
        <v>-10.742857142857099</v>
      </c>
      <c r="C9">
        <v>-0.85875706214689196</v>
      </c>
      <c r="D9">
        <v>5.0318383442274302E-2</v>
      </c>
      <c r="E9">
        <v>-13.197971880989236</v>
      </c>
      <c r="F9">
        <v>-2.4060677966101677E-2</v>
      </c>
      <c r="G9">
        <v>1.9235859959130235E-2</v>
      </c>
      <c r="H9">
        <v>-9.2402558119965728E-2</v>
      </c>
      <c r="I9">
        <v>-0.20404097619906167</v>
      </c>
      <c r="J9">
        <v>-4.8248180069714423E-3</v>
      </c>
      <c r="K9">
        <v>-0.1164632360860674</v>
      </c>
      <c r="L9">
        <v>-0.22810165416516334</v>
      </c>
    </row>
    <row r="10" spans="1:12">
      <c r="A10">
        <v>9</v>
      </c>
      <c r="B10">
        <v>-9.3714285714285595</v>
      </c>
      <c r="C10">
        <v>-0.73446327683615797</v>
      </c>
      <c r="D10">
        <v>3.7294271487866057E-2</v>
      </c>
      <c r="E10">
        <v>-11.439306317140108</v>
      </c>
      <c r="F10">
        <v>-2.0928474576271179E-2</v>
      </c>
      <c r="G10">
        <v>1.3486617119771956E-2</v>
      </c>
      <c r="H10">
        <v>-8.1993608868928591E-2</v>
      </c>
      <c r="I10">
        <v>-0.1774738348576291</v>
      </c>
      <c r="J10">
        <v>-7.4418574564992235E-3</v>
      </c>
      <c r="K10">
        <v>-0.10292208344519976</v>
      </c>
      <c r="L10">
        <v>-0.19840230943390028</v>
      </c>
    </row>
    <row r="11" spans="1:12">
      <c r="A11">
        <v>10</v>
      </c>
      <c r="B11">
        <v>-8.6857142857142797</v>
      </c>
      <c r="C11">
        <v>-0.66101694915254205</v>
      </c>
      <c r="D11">
        <v>3.1852682854006623E-2</v>
      </c>
      <c r="E11">
        <v>-10.553589297882796</v>
      </c>
      <c r="F11">
        <v>-1.907762711864406E-2</v>
      </c>
      <c r="G11">
        <v>9.353945387562488E-3</v>
      </c>
      <c r="H11">
        <v>-7.6578258002267988E-2</v>
      </c>
      <c r="I11">
        <v>-0.16251046139209846</v>
      </c>
      <c r="J11">
        <v>-9.7236817310815717E-3</v>
      </c>
      <c r="K11">
        <v>-9.5655885120912054E-2</v>
      </c>
      <c r="L11">
        <v>-0.18158808851074251</v>
      </c>
    </row>
    <row r="12" spans="1:12">
      <c r="A12">
        <v>11</v>
      </c>
      <c r="B12">
        <v>-8</v>
      </c>
      <c r="C12">
        <v>-0.57627118644067798</v>
      </c>
      <c r="D12">
        <v>2.7012978173735405E-2</v>
      </c>
      <c r="E12">
        <v>-9.6665914826070818</v>
      </c>
      <c r="F12">
        <v>-1.6942033898305085E-2</v>
      </c>
      <c r="G12">
        <v>3.9360386447135874E-3</v>
      </c>
      <c r="H12">
        <v>-7.0979215592574557E-2</v>
      </c>
      <c r="I12">
        <v>-0.14589446982986271</v>
      </c>
      <c r="J12">
        <v>-1.3005995253591498E-2</v>
      </c>
      <c r="K12">
        <v>-8.7921249490879649E-2</v>
      </c>
      <c r="L12">
        <v>-0.1628365037281678</v>
      </c>
    </row>
    <row r="13" spans="1:12">
      <c r="A13">
        <v>12</v>
      </c>
      <c r="B13">
        <v>-7.3142857142857096</v>
      </c>
      <c r="C13">
        <v>-0.51977401129943501</v>
      </c>
      <c r="D13">
        <v>2.2647045457975752E-2</v>
      </c>
      <c r="E13">
        <v>-8.7787854791577278</v>
      </c>
      <c r="F13">
        <v>-1.5518305084745762E-2</v>
      </c>
      <c r="G13">
        <v>3.4598947250756747E-4</v>
      </c>
      <c r="H13">
        <v>-6.7224631996418982E-2</v>
      </c>
      <c r="I13">
        <v>-0.13479525346534554</v>
      </c>
      <c r="J13">
        <v>-1.5172315612238195E-2</v>
      </c>
      <c r="K13">
        <v>-8.2742937081164744E-2</v>
      </c>
      <c r="L13">
        <v>-0.15031355855009132</v>
      </c>
    </row>
    <row r="14" spans="1:12">
      <c r="A14">
        <v>13</v>
      </c>
      <c r="B14">
        <v>-6.6285714285714201</v>
      </c>
      <c r="C14">
        <v>-0.45762711864406802</v>
      </c>
      <c r="D14">
        <v>1.8708577161275275E-2</v>
      </c>
      <c r="E14">
        <v>-7.89051011024688</v>
      </c>
      <c r="F14">
        <v>-1.3952203389830515E-2</v>
      </c>
      <c r="G14">
        <v>-4.0447235444294547E-3</v>
      </c>
      <c r="H14">
        <v>-6.3536248968158293E-2</v>
      </c>
      <c r="I14">
        <v>-0.12302777439188714</v>
      </c>
      <c r="J14">
        <v>-1.7996926934259971E-2</v>
      </c>
      <c r="K14">
        <v>-7.7488452357988805E-2</v>
      </c>
      <c r="L14">
        <v>-0.13697997778171767</v>
      </c>
    </row>
    <row r="15" spans="1:12">
      <c r="A15">
        <v>14</v>
      </c>
      <c r="B15">
        <v>-5.25714285714285</v>
      </c>
      <c r="C15">
        <v>-0.29378531073446301</v>
      </c>
      <c r="D15">
        <v>1.2359964048372397E-2</v>
      </c>
      <c r="E15">
        <v>-6.1170792816261557</v>
      </c>
      <c r="F15">
        <v>-9.8233898305084676E-3</v>
      </c>
      <c r="G15">
        <v>-1.7543848730917241E-2</v>
      </c>
      <c r="H15">
        <v>-5.5735939126397432E-2</v>
      </c>
      <c r="I15">
        <v>-9.3928029521877621E-2</v>
      </c>
      <c r="J15">
        <v>-2.7367238561425707E-2</v>
      </c>
      <c r="K15">
        <v>-6.5559328956905902E-2</v>
      </c>
      <c r="L15">
        <v>-0.10375141935238609</v>
      </c>
    </row>
    <row r="16" spans="1:12">
      <c r="A16">
        <v>15</v>
      </c>
      <c r="B16">
        <v>-4.3428571428571399</v>
      </c>
      <c r="C16">
        <v>-0.209039548022599</v>
      </c>
      <c r="D16">
        <v>9.5225902582855293E-3</v>
      </c>
      <c r="E16">
        <v>-4.9424731738267207</v>
      </c>
      <c r="F16">
        <v>-7.687796610169495E-3</v>
      </c>
      <c r="G16">
        <v>-2.5141085370513214E-2</v>
      </c>
      <c r="H16">
        <v>-5.2316226613451089E-2</v>
      </c>
      <c r="I16">
        <v>-7.9491367856388967E-2</v>
      </c>
      <c r="J16">
        <v>-3.2828881980682706E-2</v>
      </c>
      <c r="K16">
        <v>-6.0004023223620584E-2</v>
      </c>
      <c r="L16">
        <v>-8.7179164466558462E-2</v>
      </c>
    </row>
    <row r="17" spans="1:12">
      <c r="A17">
        <v>16</v>
      </c>
      <c r="B17">
        <v>-3.4285714285714302</v>
      </c>
      <c r="C17">
        <v>-0.124293785310734</v>
      </c>
      <c r="D17">
        <v>7.8086220669495035E-3</v>
      </c>
      <c r="E17">
        <v>-3.7760691245714817</v>
      </c>
      <c r="F17">
        <v>-5.5522033898304964E-3</v>
      </c>
      <c r="G17">
        <v>-3.3299796290928441E-2</v>
      </c>
      <c r="H17">
        <v>-4.9457988381323856E-2</v>
      </c>
      <c r="I17">
        <v>-6.5616180471719271E-2</v>
      </c>
      <c r="J17">
        <v>-3.8851999680758934E-2</v>
      </c>
      <c r="K17">
        <v>-5.5010191771154349E-2</v>
      </c>
      <c r="L17">
        <v>-7.1168383861549764E-2</v>
      </c>
    </row>
    <row r="18" spans="1:12">
      <c r="A18">
        <v>17</v>
      </c>
      <c r="B18">
        <v>-2.0571428571428498</v>
      </c>
      <c r="C18">
        <v>5.6497175141241003E-3</v>
      </c>
      <c r="D18">
        <v>6.8972064991646683E-3</v>
      </c>
      <c r="E18">
        <v>-2.033241184902395</v>
      </c>
      <c r="F18">
        <v>-2.2776271186440724E-3</v>
      </c>
      <c r="G18">
        <v>-4.699016228286295E-2</v>
      </c>
      <c r="H18">
        <v>-4.6255699006026815E-2</v>
      </c>
      <c r="I18">
        <v>-4.552123572919068E-2</v>
      </c>
      <c r="J18">
        <v>-4.9267789401507021E-2</v>
      </c>
      <c r="K18">
        <v>-4.8533326124670886E-2</v>
      </c>
      <c r="L18">
        <v>-4.7798862847834751E-2</v>
      </c>
    </row>
    <row r="19" spans="1:12">
      <c r="A19">
        <v>18</v>
      </c>
      <c r="B19">
        <v>-1.3714285714285599</v>
      </c>
      <c r="C19">
        <v>7.3446327683615906E-2</v>
      </c>
      <c r="D19">
        <v>7.0983638735966758E-3</v>
      </c>
      <c r="E19">
        <v>-1.1581040698783973</v>
      </c>
      <c r="F19">
        <v>-5.691525423728791E-4</v>
      </c>
      <c r="G19">
        <v>-5.4705962234514183E-2</v>
      </c>
      <c r="H19">
        <v>-4.5157939635644115E-2</v>
      </c>
      <c r="I19">
        <v>-3.5609917036774047E-2</v>
      </c>
      <c r="J19">
        <v>-5.5275114776887062E-2</v>
      </c>
      <c r="K19">
        <v>-4.5727092178016994E-2</v>
      </c>
      <c r="L19">
        <v>-3.6179069579146926E-2</v>
      </c>
    </row>
    <row r="20" spans="1:12">
      <c r="A20">
        <v>19</v>
      </c>
      <c r="B20">
        <v>-0.45714285714285502</v>
      </c>
      <c r="C20">
        <v>0.152542372881355</v>
      </c>
      <c r="D20">
        <v>8.018005120966256E-3</v>
      </c>
      <c r="E20">
        <v>1.8349245866601194E-2</v>
      </c>
      <c r="F20">
        <v>1.4240677966101461E-3</v>
      </c>
      <c r="G20">
        <v>-6.4263853182835284E-2</v>
      </c>
      <c r="H20">
        <v>-4.4433344708259132E-2</v>
      </c>
      <c r="I20">
        <v>-2.4602836233682975E-2</v>
      </c>
      <c r="J20">
        <v>-6.2839785386225144E-2</v>
      </c>
      <c r="K20">
        <v>-4.3009276911648985E-2</v>
      </c>
      <c r="L20">
        <v>-2.3178768437072828E-2</v>
      </c>
    </row>
    <row r="21" spans="1:12">
      <c r="A21">
        <v>20</v>
      </c>
      <c r="B21">
        <v>0.34285714285714097</v>
      </c>
      <c r="C21">
        <v>0.27118644067796599</v>
      </c>
      <c r="D21">
        <v>9.5853991583885363E-3</v>
      </c>
      <c r="E21">
        <v>1.0567626170414439</v>
      </c>
      <c r="F21">
        <v>4.4138983050847434E-3</v>
      </c>
      <c r="G21">
        <v>-7.9184863772427214E-2</v>
      </c>
      <c r="H21">
        <v>-4.3930626484291621E-2</v>
      </c>
      <c r="I21">
        <v>-8.6763891961560372E-3</v>
      </c>
      <c r="J21">
        <v>-7.4770965467342465E-2</v>
      </c>
      <c r="K21">
        <v>-3.9516728179206879E-2</v>
      </c>
      <c r="L21">
        <v>-4.2624908910712939E-3</v>
      </c>
    </row>
    <row r="22" spans="1:12">
      <c r="A22">
        <v>21</v>
      </c>
      <c r="B22">
        <v>1.02857142857143</v>
      </c>
      <c r="C22">
        <v>0.34463276836158102</v>
      </c>
      <c r="D22">
        <v>1.1596211917647717E-2</v>
      </c>
      <c r="E22">
        <v>1.9503090586264564</v>
      </c>
      <c r="F22">
        <v>6.264745762711842E-3</v>
      </c>
      <c r="G22">
        <v>-8.9043259186769336E-2</v>
      </c>
      <c r="H22">
        <v>-4.42409992997638E-2</v>
      </c>
      <c r="I22">
        <v>5.6126058724173652E-4</v>
      </c>
      <c r="J22">
        <v>-8.2778513424057495E-2</v>
      </c>
      <c r="K22">
        <v>-3.797625353705196E-2</v>
      </c>
      <c r="L22">
        <v>6.8260063499535782E-3</v>
      </c>
    </row>
    <row r="23" spans="1:12">
      <c r="A23">
        <v>22</v>
      </c>
      <c r="B23">
        <v>2.05714285714286</v>
      </c>
      <c r="C23">
        <v>0.40677966101694801</v>
      </c>
      <c r="D23">
        <v>1.5768143984692975E-2</v>
      </c>
      <c r="E23">
        <v>3.2868112729668102</v>
      </c>
      <c r="F23">
        <v>7.8308474576270892E-3</v>
      </c>
      <c r="G23">
        <v>-9.8200169874015447E-2</v>
      </c>
      <c r="H23">
        <v>-4.531881394181219E-2</v>
      </c>
      <c r="I23">
        <v>7.562541990391059E-3</v>
      </c>
      <c r="J23">
        <v>-9.0369322416388356E-2</v>
      </c>
      <c r="K23">
        <v>-3.7487966484185099E-2</v>
      </c>
      <c r="L23">
        <v>1.5393389448018147E-2</v>
      </c>
    </row>
    <row r="24" spans="1:12">
      <c r="A24">
        <v>23</v>
      </c>
      <c r="B24">
        <v>2.8571428571428599</v>
      </c>
      <c r="C24">
        <v>0.49717514124293699</v>
      </c>
      <c r="D24">
        <v>1.9814870151578776E-2</v>
      </c>
      <c r="E24">
        <v>4.3158994298722924</v>
      </c>
      <c r="F24">
        <v>1.0108813559322012E-2</v>
      </c>
      <c r="G24">
        <v>-0.11134349567015794</v>
      </c>
      <c r="H24">
        <v>-4.6710727308576123E-2</v>
      </c>
      <c r="I24">
        <v>1.792204105300569E-2</v>
      </c>
      <c r="J24">
        <v>-0.10123468211083593</v>
      </c>
      <c r="K24">
        <v>-3.660191374925411E-2</v>
      </c>
      <c r="L24">
        <v>2.8030854612327703E-2</v>
      </c>
    </row>
    <row r="25" spans="1:12">
      <c r="A25">
        <v>24</v>
      </c>
      <c r="B25">
        <v>3.4285714285714302</v>
      </c>
      <c r="C25">
        <v>0.59887005649717395</v>
      </c>
      <c r="D25">
        <v>2.3036589664283388E-2</v>
      </c>
      <c r="E25">
        <v>5.0439677290318752</v>
      </c>
      <c r="F25">
        <v>1.2671525423728784E-2</v>
      </c>
      <c r="G25">
        <v>-0.12630070245801367</v>
      </c>
      <c r="H25">
        <v>-4.8447595113381037E-2</v>
      </c>
      <c r="I25">
        <v>2.9405512231251582E-2</v>
      </c>
      <c r="J25">
        <v>-0.11362917703428488</v>
      </c>
      <c r="K25">
        <v>-3.5776069689652253E-2</v>
      </c>
      <c r="L25">
        <v>4.2077037654980366E-2</v>
      </c>
    </row>
    <row r="26" spans="1:12">
      <c r="A26">
        <v>25</v>
      </c>
      <c r="B26">
        <v>4.8</v>
      </c>
      <c r="C26">
        <v>0.68926553672316304</v>
      </c>
      <c r="D26">
        <v>3.187128302222382E-2</v>
      </c>
      <c r="E26">
        <v>6.7775700156366057</v>
      </c>
      <c r="F26">
        <v>1.4949491525423709E-2</v>
      </c>
      <c r="G26">
        <v>-0.14179262700409917</v>
      </c>
      <c r="H26">
        <v>-5.218810723008796E-2</v>
      </c>
      <c r="I26">
        <v>3.7416412543923236E-2</v>
      </c>
      <c r="J26">
        <v>-0.12684313547867546</v>
      </c>
      <c r="K26">
        <v>-3.7238615704664253E-2</v>
      </c>
      <c r="L26">
        <v>5.2365904069346943E-2</v>
      </c>
    </row>
    <row r="27" spans="1:12">
      <c r="A27">
        <v>26</v>
      </c>
      <c r="B27">
        <v>5.9428571428571404</v>
      </c>
      <c r="C27">
        <v>0.80225988700564899</v>
      </c>
      <c r="D27">
        <v>4.1101514459634295E-2</v>
      </c>
      <c r="E27">
        <v>8.2327160819066805</v>
      </c>
      <c r="F27">
        <v>1.7796949152542357E-2</v>
      </c>
      <c r="G27">
        <v>-0.1610480711277758</v>
      </c>
      <c r="H27">
        <v>-5.6754285817041429E-2</v>
      </c>
      <c r="I27">
        <v>4.7539499493692947E-2</v>
      </c>
      <c r="J27">
        <v>-0.14325112197523346</v>
      </c>
      <c r="K27">
        <v>-3.8957336664499076E-2</v>
      </c>
      <c r="L27">
        <v>6.5336448646235307E-2</v>
      </c>
    </row>
    <row r="28" spans="1:12">
      <c r="A28">
        <v>27</v>
      </c>
      <c r="B28">
        <v>6.6285714285714299</v>
      </c>
      <c r="C28">
        <v>0.89265536723163796</v>
      </c>
      <c r="D28">
        <v>4.7887190478587367E-2</v>
      </c>
      <c r="E28">
        <v>9.1201690943253393</v>
      </c>
      <c r="F28">
        <v>2.0074915254237279E-2</v>
      </c>
      <c r="G28">
        <v>-0.17655209832510507</v>
      </c>
      <c r="H28">
        <v>-6.0506900584992133E-2</v>
      </c>
      <c r="I28">
        <v>5.5538297155120799E-2</v>
      </c>
      <c r="J28">
        <v>-0.1564771830708678</v>
      </c>
      <c r="K28">
        <v>-4.0431985330754858E-2</v>
      </c>
      <c r="L28">
        <v>7.5613212409358074E-2</v>
      </c>
    </row>
    <row r="29" spans="1:12">
      <c r="A29">
        <v>28</v>
      </c>
      <c r="B29">
        <v>8</v>
      </c>
      <c r="C29">
        <v>1.02824858757062</v>
      </c>
      <c r="D29">
        <v>6.4394698620183335E-2</v>
      </c>
      <c r="E29">
        <v>10.922437575523468</v>
      </c>
      <c r="F29">
        <v>2.3491864406779625E-2</v>
      </c>
      <c r="G29">
        <v>-0.20155620880161196</v>
      </c>
      <c r="H29">
        <v>-6.7883892417431341E-2</v>
      </c>
      <c r="I29">
        <v>6.5788423966749263E-2</v>
      </c>
      <c r="J29">
        <v>-0.17806434439483232</v>
      </c>
      <c r="K29">
        <v>-4.4392028010651716E-2</v>
      </c>
      <c r="L29">
        <v>8.9280288373528888E-2</v>
      </c>
    </row>
    <row r="30" spans="1:12">
      <c r="A30">
        <v>29</v>
      </c>
      <c r="B30">
        <v>9.1428571428571406</v>
      </c>
      <c r="C30">
        <v>1.15254237288135</v>
      </c>
      <c r="D30">
        <v>7.9661244823534039E-2</v>
      </c>
      <c r="E30">
        <v>12.417418198310287</v>
      </c>
      <c r="F30">
        <v>2.6624067796610022E-2</v>
      </c>
      <c r="G30">
        <v>-0.22547176624888082</v>
      </c>
      <c r="H30">
        <v>-7.5641257774305332E-2</v>
      </c>
      <c r="I30">
        <v>7.418925070027016E-2</v>
      </c>
      <c r="J30">
        <v>-0.19884769845227079</v>
      </c>
      <c r="K30">
        <v>-4.9017189977695309E-2</v>
      </c>
      <c r="L30">
        <v>0.10081331849688019</v>
      </c>
    </row>
    <row r="31" spans="1:12">
      <c r="A31">
        <v>30</v>
      </c>
      <c r="B31">
        <v>10.1714285714285</v>
      </c>
      <c r="C31">
        <v>1.23163841807909</v>
      </c>
      <c r="D31">
        <v>9.2873921705020859E-2</v>
      </c>
      <c r="E31">
        <v>13.725203635335895</v>
      </c>
      <c r="F31">
        <v>2.8617288135593069E-2</v>
      </c>
      <c r="G31">
        <v>-0.24247808952243366</v>
      </c>
      <c r="H31">
        <v>-8.2365095172151986E-2</v>
      </c>
      <c r="I31">
        <v>7.7747899178129729E-2</v>
      </c>
      <c r="J31">
        <v>-0.2138608013868406</v>
      </c>
      <c r="K31">
        <v>-5.3747807036558917E-2</v>
      </c>
      <c r="L31">
        <v>0.1063651873137228</v>
      </c>
    </row>
    <row r="32" spans="1:12">
      <c r="A32">
        <v>31</v>
      </c>
      <c r="B32">
        <v>10.742857142857099</v>
      </c>
      <c r="C32">
        <v>1.3276836158192</v>
      </c>
      <c r="D32">
        <v>9.9929279790266473E-2</v>
      </c>
      <c r="E32">
        <v>14.434448543815277</v>
      </c>
      <c r="F32">
        <v>3.1037627118643843E-2</v>
      </c>
      <c r="G32">
        <v>-0.26158323706064174</v>
      </c>
      <c r="H32">
        <v>-8.8984367004145734E-2</v>
      </c>
      <c r="I32">
        <v>8.3614503052350284E-2</v>
      </c>
      <c r="J32">
        <v>-0.23054560994199791</v>
      </c>
      <c r="K32">
        <v>-5.7946739885501891E-2</v>
      </c>
      <c r="L32">
        <v>0.11465213017099413</v>
      </c>
    </row>
    <row r="33" spans="1:12">
      <c r="A33">
        <v>32</v>
      </c>
      <c r="B33">
        <v>11.885714285714201</v>
      </c>
      <c r="C33">
        <v>1.4011299435028199</v>
      </c>
      <c r="D33">
        <v>0.11493230333481108</v>
      </c>
      <c r="E33">
        <v>15.836216456686234</v>
      </c>
      <c r="F33">
        <v>3.2888474576271066E-2</v>
      </c>
      <c r="G33">
        <v>-0.27927709322236294</v>
      </c>
      <c r="H33">
        <v>-9.7130200566996366E-2</v>
      </c>
      <c r="I33">
        <v>8.501669208837026E-2</v>
      </c>
      <c r="J33">
        <v>-0.24638861864609188</v>
      </c>
      <c r="K33">
        <v>-6.4241725990725307E-2</v>
      </c>
      <c r="L33">
        <v>0.11790516666464132</v>
      </c>
    </row>
    <row r="34" spans="1:12">
      <c r="A34">
        <v>33</v>
      </c>
      <c r="B34">
        <v>12.6857142857142</v>
      </c>
      <c r="C34">
        <v>1.45197740112994</v>
      </c>
      <c r="D34">
        <v>0.12741763901749986</v>
      </c>
      <c r="E34">
        <v>16.822337937341679</v>
      </c>
      <c r="F34">
        <v>3.416983050847449E-2</v>
      </c>
      <c r="G34">
        <v>-0.29162234840285539</v>
      </c>
      <c r="H34">
        <v>-0.1028652862559632</v>
      </c>
      <c r="I34">
        <v>8.5891775890929015E-2</v>
      </c>
      <c r="J34">
        <v>-0.25745251789438089</v>
      </c>
      <c r="K34">
        <v>-6.8695455747488698E-2</v>
      </c>
      <c r="L34">
        <v>0.1200616063994035</v>
      </c>
    </row>
    <row r="35" spans="1:12">
      <c r="A35">
        <v>34</v>
      </c>
      <c r="B35">
        <v>13.714285714285699</v>
      </c>
      <c r="C35">
        <v>1.5254237288135499</v>
      </c>
      <c r="D35">
        <v>0.14481154470900584</v>
      </c>
      <c r="E35">
        <v>18.087156233574532</v>
      </c>
      <c r="F35">
        <v>3.6020677966101457E-2</v>
      </c>
      <c r="G35">
        <v>-0.30933158834474073</v>
      </c>
      <c r="H35">
        <v>-0.11102650359897918</v>
      </c>
      <c r="I35">
        <v>8.7278581146782289E-2</v>
      </c>
      <c r="J35">
        <v>-0.27331091037863925</v>
      </c>
      <c r="K35">
        <v>-7.5005825632877721E-2</v>
      </c>
      <c r="L35">
        <v>0.12329925911288375</v>
      </c>
    </row>
    <row r="36" spans="1:12">
      <c r="A36">
        <v>35</v>
      </c>
      <c r="B36">
        <v>14.4</v>
      </c>
      <c r="C36">
        <v>1.5988700564971701</v>
      </c>
      <c r="D36">
        <v>0.15367372417543224</v>
      </c>
      <c r="E36">
        <v>18.887764546994113</v>
      </c>
      <c r="F36">
        <v>3.7871525423728687E-2</v>
      </c>
      <c r="G36">
        <v>-0.32676125929275723</v>
      </c>
      <c r="H36">
        <v>-0.11890815194812508</v>
      </c>
      <c r="I36">
        <v>8.8944955396507056E-2</v>
      </c>
      <c r="J36">
        <v>-0.28888973386902855</v>
      </c>
      <c r="K36">
        <v>-8.1036626524396388E-2</v>
      </c>
      <c r="L36">
        <v>0.12681648082023575</v>
      </c>
    </row>
    <row r="37" spans="1:12">
      <c r="A37">
        <v>36</v>
      </c>
      <c r="B37">
        <v>15.314285714285701</v>
      </c>
      <c r="C37">
        <v>1.58757062146892</v>
      </c>
      <c r="D37">
        <v>0.15466333475001987</v>
      </c>
      <c r="E37">
        <v>19.814541041948193</v>
      </c>
      <c r="F37">
        <v>3.7586779661016784E-2</v>
      </c>
      <c r="G37">
        <v>-0.33038531307985503</v>
      </c>
      <c r="H37">
        <v>-0.12400113228889542</v>
      </c>
      <c r="I37">
        <v>8.2383048502064168E-2</v>
      </c>
      <c r="J37">
        <v>-0.29279853341883821</v>
      </c>
      <c r="K37">
        <v>-8.6414352627878638E-2</v>
      </c>
      <c r="L37">
        <v>0.11996982816308095</v>
      </c>
    </row>
    <row r="38" spans="1:12">
      <c r="A38">
        <v>37</v>
      </c>
      <c r="B38">
        <v>16.571428571428498</v>
      </c>
      <c r="C38">
        <v>1.4745762711864401</v>
      </c>
      <c r="D38">
        <v>0.1291793749685293</v>
      </c>
      <c r="E38">
        <v>20.722340910592159</v>
      </c>
      <c r="F38">
        <v>3.473932203389829E-2</v>
      </c>
      <c r="G38">
        <v>-0.31925460995028887</v>
      </c>
      <c r="H38">
        <v>-0.12755969469605161</v>
      </c>
      <c r="I38">
        <v>6.4135220558185616E-2</v>
      </c>
      <c r="J38">
        <v>-0.28451528791639058</v>
      </c>
      <c r="K38">
        <v>-9.2820372662153317E-2</v>
      </c>
      <c r="L38">
        <v>9.8874542592083906E-2</v>
      </c>
    </row>
    <row r="39" spans="1:12">
      <c r="A39">
        <v>38</v>
      </c>
      <c r="B39">
        <v>17.0285714285714</v>
      </c>
      <c r="C39">
        <v>1.3785310734463201</v>
      </c>
      <c r="D39">
        <v>0.11577629489982361</v>
      </c>
      <c r="E39">
        <v>20.979879142420984</v>
      </c>
      <c r="F39">
        <v>3.2318983050847266E-2</v>
      </c>
      <c r="G39">
        <v>-0.30423763526403391</v>
      </c>
      <c r="H39">
        <v>-0.1250285957160123</v>
      </c>
      <c r="I39">
        <v>5.418044383200929E-2</v>
      </c>
      <c r="J39">
        <v>-0.27191865221318667</v>
      </c>
      <c r="K39">
        <v>-9.2709612665165031E-2</v>
      </c>
      <c r="L39">
        <v>8.6499426882856556E-2</v>
      </c>
    </row>
    <row r="40" spans="1:12">
      <c r="A40">
        <v>39</v>
      </c>
      <c r="B40">
        <v>18.0571428571428</v>
      </c>
      <c r="C40">
        <v>1.25988700564971</v>
      </c>
      <c r="D40">
        <v>9.2952374122571915E-2</v>
      </c>
      <c r="E40">
        <v>21.625438755065883</v>
      </c>
      <c r="F40">
        <v>2.9329152542372693E-2</v>
      </c>
      <c r="G40">
        <v>-0.28859640551060894</v>
      </c>
      <c r="H40">
        <v>-0.12481109477614666</v>
      </c>
      <c r="I40">
        <v>3.8974215958315669E-2</v>
      </c>
      <c r="J40">
        <v>-0.25926725296823627</v>
      </c>
      <c r="K40">
        <v>-9.5481942233773959E-2</v>
      </c>
      <c r="L40">
        <v>6.8303368500688355E-2</v>
      </c>
    </row>
    <row r="41" spans="1:12">
      <c r="A41">
        <v>40</v>
      </c>
      <c r="B41">
        <v>18.742857142857101</v>
      </c>
      <c r="C41">
        <v>1.2259887005649699</v>
      </c>
      <c r="D41">
        <v>8.7305170192193832E-2</v>
      </c>
      <c r="E41">
        <v>22.189739111558406</v>
      </c>
      <c r="F41">
        <v>2.8474915254237242E-2</v>
      </c>
      <c r="G41">
        <v>-0.28573030873056343</v>
      </c>
      <c r="H41">
        <v>-0.12635177765711733</v>
      </c>
      <c r="I41">
        <v>3.3026753416328769E-2</v>
      </c>
      <c r="J41">
        <v>-0.2572553934763262</v>
      </c>
      <c r="K41">
        <v>-9.7876862402880085E-2</v>
      </c>
      <c r="L41">
        <v>6.1501668670566015E-2</v>
      </c>
    </row>
    <row r="42" spans="1:12">
      <c r="A42">
        <v>41</v>
      </c>
      <c r="B42">
        <v>19.428571428571399</v>
      </c>
      <c r="C42">
        <v>1.1694915254237199</v>
      </c>
      <c r="D42">
        <v>8.259006521891743E-2</v>
      </c>
      <c r="E42">
        <v>22.769468538553866</v>
      </c>
      <c r="F42">
        <v>2.7051186440677742E-2</v>
      </c>
      <c r="G42">
        <v>-0.27774341036754963</v>
      </c>
      <c r="H42">
        <v>-0.12570951206246603</v>
      </c>
      <c r="I42">
        <v>2.6324386242617584E-2</v>
      </c>
      <c r="J42">
        <v>-0.2506922239268719</v>
      </c>
      <c r="K42">
        <v>-9.8658325621788279E-2</v>
      </c>
      <c r="L42">
        <v>5.3375572683295326E-2</v>
      </c>
    </row>
    <row r="43" spans="1:12">
      <c r="A43">
        <v>42</v>
      </c>
      <c r="B43">
        <v>20.342857142857099</v>
      </c>
      <c r="C43">
        <v>1.15254237288135</v>
      </c>
      <c r="D43">
        <v>7.7522377837309378E-2</v>
      </c>
      <c r="E43">
        <v>23.582855473221873</v>
      </c>
      <c r="F43">
        <v>2.6624067796610022E-2</v>
      </c>
      <c r="G43">
        <v>-0.2792089087165977</v>
      </c>
      <c r="H43">
        <v>-0.12937840024202221</v>
      </c>
      <c r="I43">
        <v>2.0452108232553279E-2</v>
      </c>
      <c r="J43">
        <v>-0.25258484091998767</v>
      </c>
      <c r="K43">
        <v>-0.10275433244541218</v>
      </c>
      <c r="L43">
        <v>4.7076176029163301E-2</v>
      </c>
    </row>
    <row r="44" spans="1:12">
      <c r="A44">
        <v>43</v>
      </c>
      <c r="B44">
        <v>20.457142857142799</v>
      </c>
      <c r="C44">
        <v>1.1694915254237199</v>
      </c>
      <c r="D44">
        <v>8.2249405173945772E-2</v>
      </c>
      <c r="E44">
        <v>23.790966762337632</v>
      </c>
      <c r="F44">
        <v>2.7051186440677742E-2</v>
      </c>
      <c r="G44">
        <v>-0.28276566510350687</v>
      </c>
      <c r="H44">
        <v>-0.13073176679842324</v>
      </c>
      <c r="I44">
        <v>2.1302131506660368E-2</v>
      </c>
      <c r="J44">
        <v>-0.25571447866282915</v>
      </c>
      <c r="K44">
        <v>-0.10368058035774549</v>
      </c>
      <c r="L44">
        <v>4.8353317947338111E-2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4D9D-FA85-4F12-A2B8-B7F640D257BC}">
  <sheetPr codeName="Arkusz9"/>
  <dimension ref="A1:Q48"/>
  <sheetViews>
    <sheetView zoomScaleNormal="100" workbookViewId="0">
      <selection activeCell="E20" sqref="E20"/>
    </sheetView>
  </sheetViews>
  <sheetFormatPr defaultRowHeight="12.5"/>
  <cols>
    <col min="1" max="1" width="12.453125" customWidth="1"/>
    <col min="2" max="2" width="10.1796875" style="84" bestFit="1" customWidth="1"/>
    <col min="4" max="4" width="9.26953125" customWidth="1"/>
    <col min="7" max="7" width="9.1796875" bestFit="1" customWidth="1"/>
  </cols>
  <sheetData>
    <row r="1" spans="1:8" ht="13">
      <c r="A1" s="125" t="s">
        <v>294</v>
      </c>
      <c r="B1" s="125"/>
      <c r="D1" s="126" t="s">
        <v>295</v>
      </c>
      <c r="E1" s="126"/>
      <c r="F1" s="126"/>
    </row>
    <row r="2" spans="1:8">
      <c r="A2" s="6" t="s">
        <v>130</v>
      </c>
      <c r="B2" s="19">
        <v>0.85</v>
      </c>
      <c r="D2" s="81" t="s">
        <v>271</v>
      </c>
      <c r="E2" s="82">
        <v>0.12</v>
      </c>
      <c r="F2" s="80" t="s">
        <v>296</v>
      </c>
      <c r="G2" s="83">
        <f xml:space="preserve"> (B$5 - E2)*B$3/B$4 *B$2</f>
        <v>0.34255075555555559</v>
      </c>
    </row>
    <row r="3" spans="1:8">
      <c r="A3" s="80" t="s">
        <v>292</v>
      </c>
      <c r="B3" s="84">
        <v>2.2000000000000002</v>
      </c>
      <c r="D3" s="81" t="s">
        <v>272</v>
      </c>
      <c r="E3" s="82">
        <v>0.25</v>
      </c>
      <c r="F3" s="80" t="s">
        <v>297</v>
      </c>
      <c r="G3" s="83">
        <f xml:space="preserve"> (B$5 - E3)*B$3/B$4 *B$2</f>
        <v>0.32634408888888894</v>
      </c>
    </row>
    <row r="4" spans="1:8">
      <c r="A4" s="80" t="s">
        <v>293</v>
      </c>
      <c r="B4" s="84">
        <v>15</v>
      </c>
      <c r="D4" s="81" t="s">
        <v>273</v>
      </c>
      <c r="E4" s="82">
        <v>0.38</v>
      </c>
      <c r="F4" s="80" t="s">
        <v>298</v>
      </c>
      <c r="G4" s="83">
        <f xml:space="preserve"> (B$5 - E4)*B$3/B$4 *B$2</f>
        <v>0.31013742222222229</v>
      </c>
    </row>
    <row r="5" spans="1:8">
      <c r="A5" s="80" t="s">
        <v>291</v>
      </c>
      <c r="B5" s="84">
        <f xml:space="preserve"> 8*53.77/150</f>
        <v>2.8677333333333337</v>
      </c>
    </row>
    <row r="6" spans="1:8" ht="13">
      <c r="D6" s="126" t="s">
        <v>315</v>
      </c>
      <c r="E6" s="126"/>
      <c r="F6" s="126"/>
      <c r="G6" s="126"/>
      <c r="H6" s="126"/>
    </row>
    <row r="7" spans="1:8">
      <c r="C7" s="80"/>
      <c r="D7" s="86" t="s">
        <v>310</v>
      </c>
      <c r="E7" s="86" t="s">
        <v>311</v>
      </c>
      <c r="F7" s="86" t="s">
        <v>312</v>
      </c>
      <c r="G7" s="86" t="s">
        <v>313</v>
      </c>
      <c r="H7" s="86" t="s">
        <v>314</v>
      </c>
    </row>
    <row r="8" spans="1:8">
      <c r="A8" t="s">
        <v>299</v>
      </c>
      <c r="B8" s="84">
        <v>3.01</v>
      </c>
      <c r="D8" s="82">
        <v>0.12</v>
      </c>
      <c r="E8" s="87" cm="1">
        <f t="array" ref="E8:E10" xml:space="preserve"> TRANSPOSE(proj8!Q22:S22)</f>
        <v>-7.4770965467342465E-2</v>
      </c>
      <c r="F8" s="88" cm="1">
        <f t="array" ref="F8:F10" xml:space="preserve"> G2:G4</f>
        <v>0.34255075555555559</v>
      </c>
      <c r="G8" s="87">
        <f xml:space="preserve"> E8/(F8*$B$33)-$B$36/$B$31*(1-$B$37)</f>
        <v>-0.13398601185628983</v>
      </c>
      <c r="H8" s="87">
        <f xml:space="preserve"> DEGREES(G8)</f>
        <v>-7.6768329931552159</v>
      </c>
    </row>
    <row r="9" spans="1:8">
      <c r="A9" t="s">
        <v>300</v>
      </c>
      <c r="B9" s="84">
        <v>2.2000000000000002</v>
      </c>
      <c r="D9" s="82">
        <v>0.25</v>
      </c>
      <c r="E9" s="87">
        <v>-3.9516728179206879E-2</v>
      </c>
      <c r="F9" s="87">
        <v>0.32634408888888894</v>
      </c>
      <c r="G9" s="87">
        <f xml:space="preserve"> E9/(F9*$B$33)-$B$36/$B$31*(1-$B$37)</f>
        <v>-0.10263507898204391</v>
      </c>
      <c r="H9" s="87">
        <f xml:space="preserve"> DEGREES(G9)</f>
        <v>-5.8805568556629773</v>
      </c>
    </row>
    <row r="10" spans="1:8">
      <c r="A10" t="s">
        <v>302</v>
      </c>
      <c r="B10" s="84">
        <f xml:space="preserve"> 1.4*52.11/100</f>
        <v>0.72953999999999997</v>
      </c>
      <c r="D10" s="82">
        <v>0.38</v>
      </c>
      <c r="E10" s="87">
        <v>-4.2624908910712939E-3</v>
      </c>
      <c r="F10" s="87">
        <v>0.31013742222222229</v>
      </c>
      <c r="G10" s="87">
        <f xml:space="preserve"> E10/(F10*$B$33)-$B$36/$B$31*(1-$B$37)</f>
        <v>-6.800757203207819E-2</v>
      </c>
      <c r="H10" s="87">
        <f t="shared" ref="H10" si="0" xml:space="preserve"> DEGREES(G10)</f>
        <v>-3.8965468523700157</v>
      </c>
    </row>
    <row r="11" spans="1:8">
      <c r="A11" t="s">
        <v>303</v>
      </c>
      <c r="B11" s="84">
        <f xml:space="preserve"> 2.1*52.11/100</f>
        <v>1.0943099999999999</v>
      </c>
    </row>
    <row r="12" spans="1:8">
      <c r="A12" t="s">
        <v>317</v>
      </c>
      <c r="B12" s="84">
        <f>B8/(2*3)*(2*B11+B10)/(B11+B10)</f>
        <v>0.80266666666666664</v>
      </c>
      <c r="C12" t="s">
        <v>318</v>
      </c>
    </row>
    <row r="13" spans="1:8">
      <c r="A13" t="s">
        <v>323</v>
      </c>
      <c r="B13" s="84">
        <f>0.5*52.11/100</f>
        <v>0.26055</v>
      </c>
      <c r="C13" t="s">
        <v>319</v>
      </c>
      <c r="G13" s="80" t="s">
        <v>347</v>
      </c>
    </row>
    <row r="14" spans="1:8">
      <c r="A14" t="s">
        <v>324</v>
      </c>
      <c r="B14" s="84">
        <f>0.9*52.11/100</f>
        <v>0.46899000000000002</v>
      </c>
    </row>
    <row r="15" spans="1:8">
      <c r="A15" t="s">
        <v>322</v>
      </c>
      <c r="B15" s="84">
        <f xml:space="preserve"> 1/3*(2*B13+B14)/(B13+B14)</f>
        <v>0.45238095238095233</v>
      </c>
    </row>
    <row r="16" spans="1:8">
      <c r="A16" s="80" t="s">
        <v>340</v>
      </c>
      <c r="B16" s="84">
        <f>0.3*52.11/100</f>
        <v>0.15633</v>
      </c>
      <c r="F16" s="80"/>
    </row>
    <row r="17" spans="1:17">
      <c r="A17" s="80" t="s">
        <v>338</v>
      </c>
      <c r="B17" s="90">
        <f>3.1*52.11/100</f>
        <v>1.61541</v>
      </c>
    </row>
    <row r="18" spans="1:17">
      <c r="A18" t="str" cm="1">
        <f t="array" ref="A18:B19" xml:space="preserve"> F37:G38</f>
        <v>S_kh</v>
      </c>
      <c r="B18" s="84">
        <v>0.25253704529999998</v>
      </c>
    </row>
    <row r="19" spans="1:17">
      <c r="A19" t="str">
        <v>S0_kh</v>
      </c>
      <c r="B19" s="84">
        <v>0.47055329999999995</v>
      </c>
    </row>
    <row r="20" spans="1:17" ht="26.15" customHeight="1">
      <c r="A20" s="80" t="s">
        <v>337</v>
      </c>
      <c r="B20" s="84">
        <f xml:space="preserve"> (B18*B17)/(B19*B8)</f>
        <v>0.28802656351475153</v>
      </c>
    </row>
    <row r="22" spans="1:17">
      <c r="A22" t="s">
        <v>301</v>
      </c>
      <c r="B22" s="84">
        <f>1/(B11/B10)</f>
        <v>0.66666666666666663</v>
      </c>
      <c r="E22" s="6"/>
    </row>
    <row r="23" spans="1:17">
      <c r="A23" t="s">
        <v>304</v>
      </c>
      <c r="B23" s="84">
        <f xml:space="preserve"> B8^2/B9</f>
        <v>4.118227272727272</v>
      </c>
      <c r="E23" s="6"/>
    </row>
    <row r="24" spans="1:17">
      <c r="E24" s="6"/>
    </row>
    <row r="25" spans="1:17" ht="13">
      <c r="A25" s="80" t="s">
        <v>309</v>
      </c>
      <c r="B25" s="91">
        <f>proj2_copy!H9</f>
        <v>3.5594158813848917</v>
      </c>
      <c r="E25" s="6"/>
      <c r="F25" s="127" t="s">
        <v>328</v>
      </c>
      <c r="G25" s="127"/>
      <c r="H25" s="127"/>
      <c r="I25" s="127"/>
    </row>
    <row r="26" spans="1:17">
      <c r="A26" t="s">
        <v>307</v>
      </c>
      <c r="B26" s="84">
        <v>0.93400000000000005</v>
      </c>
      <c r="C26" t="s">
        <v>316</v>
      </c>
      <c r="E26" s="6"/>
      <c r="F26" s="87" t="s">
        <v>320</v>
      </c>
      <c r="G26" s="89">
        <f>B15</f>
        <v>0.45238095238095233</v>
      </c>
      <c r="H26" s="87" t="s">
        <v>326</v>
      </c>
      <c r="I26" s="89">
        <f>B16</f>
        <v>0.15633</v>
      </c>
    </row>
    <row r="27" spans="1:17">
      <c r="A27" s="80" t="s">
        <v>342</v>
      </c>
      <c r="B27" s="84">
        <f xml:space="preserve"> B26/B3</f>
        <v>0.42454545454545456</v>
      </c>
      <c r="E27" s="6"/>
      <c r="F27" s="87" t="s">
        <v>321</v>
      </c>
      <c r="G27" s="89">
        <f>B12</f>
        <v>0.80266666666666664</v>
      </c>
      <c r="H27" s="87"/>
      <c r="I27" s="87"/>
    </row>
    <row r="28" spans="1:17">
      <c r="A28" s="80" t="s">
        <v>343</v>
      </c>
      <c r="B28" s="84">
        <f xml:space="preserve"> B18/B26</f>
        <v>0.27038227548179866</v>
      </c>
      <c r="F28" s="87" t="s">
        <v>325</v>
      </c>
      <c r="G28" s="87">
        <f>G26/G27</f>
        <v>0.56359753203607021</v>
      </c>
      <c r="H28" s="87" t="s">
        <v>327</v>
      </c>
      <c r="I28" s="87">
        <f>I26/G26</f>
        <v>0.34557157894736845</v>
      </c>
      <c r="K28" s="80" t="s">
        <v>330</v>
      </c>
      <c r="L28">
        <f>-0.025</f>
        <v>-2.5000000000000001E-2</v>
      </c>
    </row>
    <row r="30" spans="1:17">
      <c r="P30" s="80" t="s">
        <v>329</v>
      </c>
    </row>
    <row r="31" spans="1:17">
      <c r="A31" s="80" t="s">
        <v>62</v>
      </c>
      <c r="B31" s="84">
        <f>proj2_copy!H37</f>
        <v>3.7667739973868501</v>
      </c>
      <c r="M31">
        <v>0.1</v>
      </c>
      <c r="N31" s="80">
        <v>-1.0749999999999999E-2</v>
      </c>
      <c r="O31" s="80">
        <v>-1.0749999999999999E-2</v>
      </c>
      <c r="P31">
        <f>AVERAGE(N31:O31)</f>
        <v>-1.0749999999999999E-2</v>
      </c>
    </row>
    <row r="32" spans="1:17">
      <c r="B32" s="85"/>
      <c r="M32">
        <v>0.2</v>
      </c>
      <c r="N32">
        <v>-1.5800000000000002E-2</v>
      </c>
      <c r="O32" s="80">
        <v>-1.6750000000000001E-2</v>
      </c>
      <c r="P32">
        <f t="shared" ref="P32:P33" si="1">AVERAGE(N32:O32)</f>
        <v>-1.6275000000000001E-2</v>
      </c>
      <c r="Q32">
        <f xml:space="preserve"> P32-P31</f>
        <v>-5.5250000000000021E-3</v>
      </c>
    </row>
    <row r="33" spans="1:17">
      <c r="A33" t="s">
        <v>305</v>
      </c>
      <c r="B33" s="84">
        <v>3.1</v>
      </c>
      <c r="M33">
        <v>0.3</v>
      </c>
      <c r="N33" s="80">
        <v>-1.9199999999999998E-2</v>
      </c>
      <c r="O33" s="80">
        <v>-0.02</v>
      </c>
      <c r="P33">
        <f t="shared" si="1"/>
        <v>-1.9599999999999999E-2</v>
      </c>
      <c r="Q33">
        <f xml:space="preserve"> P33-P32</f>
        <v>-3.3249999999999981E-3</v>
      </c>
    </row>
    <row r="34" spans="1:17">
      <c r="A34" s="80" t="s">
        <v>331</v>
      </c>
      <c r="B34" s="84">
        <v>4.9000000000000004</v>
      </c>
      <c r="M34">
        <v>0.35</v>
      </c>
      <c r="P34">
        <v>-3.2099999999999997E-2</v>
      </c>
      <c r="Q34">
        <f xml:space="preserve"> P34-P33</f>
        <v>-1.2499999999999997E-2</v>
      </c>
    </row>
    <row r="35" spans="1:17">
      <c r="A35" t="s">
        <v>306</v>
      </c>
      <c r="B35" s="84">
        <f xml:space="preserve"> 1.2*B33*SQRT(B27)*(1-0.2*B27)</f>
        <v>2.2180395125888839</v>
      </c>
    </row>
    <row r="36" spans="1:17">
      <c r="A36" s="92" t="s">
        <v>348</v>
      </c>
      <c r="B36" s="93">
        <f xml:space="preserve"> 2*726*9.81/(1.225*15*D36^2)</f>
        <v>0.73390788552107233</v>
      </c>
      <c r="C36" s="95" t="s">
        <v>349</v>
      </c>
      <c r="D36" s="94">
        <v>32.5</v>
      </c>
    </row>
    <row r="37" spans="1:17">
      <c r="A37" s="80" t="s">
        <v>308</v>
      </c>
      <c r="B37" s="84">
        <f xml:space="preserve"> 2*B31/(PI()*B25)</f>
        <v>0.67370683412344901</v>
      </c>
      <c r="F37" s="80" t="s">
        <v>339</v>
      </c>
      <c r="G37">
        <f xml:space="preserve"> B17*B16</f>
        <v>0.25253704529999998</v>
      </c>
      <c r="J37" s="80"/>
    </row>
    <row r="38" spans="1:17">
      <c r="F38" s="80" t="s">
        <v>341</v>
      </c>
      <c r="G38">
        <f>B8*B16</f>
        <v>0.47055329999999995</v>
      </c>
    </row>
    <row r="39" spans="1:17">
      <c r="A39" s="80" t="s">
        <v>333</v>
      </c>
      <c r="B39" s="84">
        <f>C39*E42</f>
        <v>-0.2291831180523293</v>
      </c>
      <c r="C39">
        <v>-4.0000000000000001E-3</v>
      </c>
      <c r="F39" s="80" t="s">
        <v>337</v>
      </c>
      <c r="G39">
        <f xml:space="preserve"> (G37*B17)/(G38*B8)</f>
        <v>0.28802656351475153</v>
      </c>
    </row>
    <row r="40" spans="1:17">
      <c r="A40" s="80" t="s">
        <v>332</v>
      </c>
      <c r="B40" s="84">
        <f xml:space="preserve"> B39*B33/B34</f>
        <v>-0.14499340121677975</v>
      </c>
    </row>
    <row r="42" spans="1:17">
      <c r="A42" s="80" t="s">
        <v>350</v>
      </c>
      <c r="B42" s="84">
        <v>0.47</v>
      </c>
      <c r="D42" s="80" t="s">
        <v>345</v>
      </c>
      <c r="E42">
        <f>180/PI()</f>
        <v>57.295779513082323</v>
      </c>
    </row>
    <row r="43" spans="1:17">
      <c r="A43" s="80" t="s">
        <v>336</v>
      </c>
      <c r="B43" s="84">
        <v>0.6</v>
      </c>
    </row>
    <row r="44" spans="1:17">
      <c r="A44" s="80" t="s">
        <v>334</v>
      </c>
      <c r="B44" s="84">
        <f>C44*E42</f>
        <v>-0.35408791739084872</v>
      </c>
      <c r="C44">
        <v>-6.1799999999999997E-3</v>
      </c>
    </row>
    <row r="45" spans="1:17">
      <c r="A45" s="80" t="s">
        <v>335</v>
      </c>
      <c r="B45" s="84">
        <f xml:space="preserve"> B44+(B33/B34-1)*B40*B43</f>
        <v>-0.32213018814306871</v>
      </c>
    </row>
    <row r="47" spans="1:17">
      <c r="A47" s="80" t="s">
        <v>346</v>
      </c>
      <c r="B47" s="84">
        <f xml:space="preserve"> C47*E42</f>
        <v>-1.4323944878270582</v>
      </c>
      <c r="C47">
        <v>-2.5000000000000001E-2</v>
      </c>
    </row>
    <row r="48" spans="1:17">
      <c r="A48" s="80" t="s">
        <v>344</v>
      </c>
      <c r="B48" s="84">
        <f xml:space="preserve"> B47*B20-(1-B33/B34)*B40*B42</f>
        <v>-0.3875341073488725</v>
      </c>
    </row>
  </sheetData>
  <mergeCells count="4">
    <mergeCell ref="A1:B1"/>
    <mergeCell ref="D1:F1"/>
    <mergeCell ref="D6:H6"/>
    <mergeCell ref="F25:I2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0668A-DD81-4993-A908-00B1F0E99DB2}">
  <sheetPr codeName="Arkusz10"/>
  <dimension ref="A1"/>
  <sheetViews>
    <sheetView workbookViewId="0"/>
  </sheetViews>
  <sheetFormatPr defaultRowHeight="12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Baza</vt:lpstr>
      <vt:lpstr>proj2_copy</vt:lpstr>
      <vt:lpstr>Base</vt:lpstr>
      <vt:lpstr>proj3</vt:lpstr>
      <vt:lpstr>proj4</vt:lpstr>
      <vt:lpstr>Proj5</vt:lpstr>
      <vt:lpstr>proj8</vt:lpstr>
      <vt:lpstr>Base_pr8</vt:lpstr>
      <vt:lpstr>Pr9</vt:lpstr>
      <vt:lpstr>proj10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2024-03-03T22:09:38Z</dcterms:modified>
</cp:coreProperties>
</file>