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E2FA3AAF-27F7-134D-A32D-2D2C1490860A}" xr6:coauthVersionLast="47" xr6:coauthVersionMax="47" xr10:uidLastSave="{00000000-0000-0000-0000-000000000000}"/>
  <bookViews>
    <workbookView xWindow="42720" yWindow="-5360" windowWidth="38080" windowHeight="22980" activeTab="2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  <sheet name="Trinkwarmwas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C79" i="6"/>
  <c r="C77" i="6"/>
  <c r="C6" i="6"/>
  <c r="C61" i="6"/>
  <c r="C57" i="6"/>
  <c r="C5" i="6"/>
  <c r="C43" i="6" s="1"/>
  <c r="C10" i="6"/>
  <c r="C42" i="6"/>
  <c r="C9" i="6"/>
  <c r="G14" i="6" s="1"/>
  <c r="C4" i="6"/>
  <c r="C3" i="6"/>
  <c r="C13" i="6" s="1"/>
  <c r="E14" i="6" s="1"/>
  <c r="D34" i="6" l="1"/>
  <c r="D28" i="6"/>
  <c r="C44" i="6"/>
  <c r="C45" i="6"/>
  <c r="C49" i="6" s="1"/>
  <c r="C51" i="6" s="1"/>
  <c r="C52" i="6" s="1"/>
  <c r="C17" i="6"/>
  <c r="C70" i="6" s="1"/>
  <c r="C71" i="6" s="1"/>
  <c r="C14" i="6"/>
  <c r="B86" i="1"/>
  <c r="C66" i="5"/>
  <c r="F5" i="5"/>
  <c r="F4" i="5"/>
  <c r="F3" i="5"/>
  <c r="C40" i="5" s="1"/>
  <c r="C69" i="6" l="1"/>
  <c r="C68" i="6"/>
  <c r="C41" i="5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B51" i="1"/>
  <c r="E37" i="3"/>
  <c r="C2" i="3"/>
  <c r="S25" i="3" s="1"/>
  <c r="T25" i="3" s="1"/>
  <c r="F73" i="6" l="1"/>
  <c r="E73" i="6"/>
  <c r="C73" i="6" s="1"/>
  <c r="C54" i="5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H30" i="3" s="1"/>
  <c r="N11" i="3"/>
  <c r="R11" i="3" s="1"/>
  <c r="H27" i="3" s="1"/>
  <c r="N17" i="3"/>
  <c r="R17" i="3" s="1"/>
  <c r="H33" i="3" s="1"/>
  <c r="N19" i="3"/>
  <c r="R19" i="3" s="1"/>
  <c r="H35" i="3" s="1"/>
  <c r="N12" i="3"/>
  <c r="R12" i="3" s="1"/>
  <c r="H28" i="3" s="1"/>
  <c r="N13" i="3"/>
  <c r="R13" i="3" s="1"/>
  <c r="H29" i="3" s="1"/>
  <c r="N8" i="3"/>
  <c r="N15" i="3"/>
  <c r="R15" i="3" s="1"/>
  <c r="H31" i="3" s="1"/>
  <c r="N10" i="3"/>
  <c r="R10" i="3" s="1"/>
  <c r="H26" i="3" s="1"/>
  <c r="N18" i="3"/>
  <c r="R18" i="3" s="1"/>
  <c r="H34" i="3" s="1"/>
  <c r="N16" i="3"/>
  <c r="R16" i="3" s="1"/>
  <c r="H32" i="3" s="1"/>
  <c r="N9" i="3"/>
  <c r="R9" i="3" s="1"/>
  <c r="H25" i="3" s="1"/>
  <c r="B44" i="1"/>
  <c r="B58" i="1"/>
  <c r="B55" i="1"/>
  <c r="B64" i="1" s="1"/>
  <c r="B65" i="1" s="1"/>
  <c r="I38" i="1"/>
  <c r="R8" i="3" l="1"/>
  <c r="H24" i="3" s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I33" i="3" l="1"/>
  <c r="AC17" i="3" s="1"/>
  <c r="AF17" i="3" s="1"/>
  <c r="J33" i="3" s="1"/>
  <c r="K33" i="3" s="1"/>
  <c r="M33" i="3" s="1"/>
  <c r="N33" i="3" s="1"/>
  <c r="O33" i="3" s="1"/>
  <c r="I27" i="3"/>
  <c r="AC11" i="3" s="1"/>
  <c r="AF11" i="3" s="1"/>
  <c r="J27" i="3" s="1"/>
  <c r="K27" i="3" s="1"/>
  <c r="M27" i="3" s="1"/>
  <c r="N27" i="3" s="1"/>
  <c r="O27" i="3" s="1"/>
  <c r="I25" i="3"/>
  <c r="AC9" i="3" s="1"/>
  <c r="AF9" i="3" s="1"/>
  <c r="J25" i="3" s="1"/>
  <c r="K25" i="3" s="1"/>
  <c r="M25" i="3" s="1"/>
  <c r="N25" i="3" s="1"/>
  <c r="O25" i="3" s="1"/>
  <c r="I28" i="3"/>
  <c r="AC12" i="3" s="1"/>
  <c r="AF12" i="3" s="1"/>
  <c r="J28" i="3" s="1"/>
  <c r="K28" i="3" s="1"/>
  <c r="M28" i="3" s="1"/>
  <c r="N28" i="3" s="1"/>
  <c r="O28" i="3" s="1"/>
  <c r="I26" i="3"/>
  <c r="AC10" i="3" s="1"/>
  <c r="AF10" i="3" s="1"/>
  <c r="J26" i="3" s="1"/>
  <c r="K26" i="3" s="1"/>
  <c r="M26" i="3" s="1"/>
  <c r="N26" i="3" s="1"/>
  <c r="O26" i="3" s="1"/>
  <c r="I24" i="3"/>
  <c r="AC8" i="3" s="1"/>
  <c r="I35" i="3"/>
  <c r="AC19" i="3" s="1"/>
  <c r="AF19" i="3" s="1"/>
  <c r="J35" i="3" s="1"/>
  <c r="K35" i="3" s="1"/>
  <c r="M35" i="3" s="1"/>
  <c r="N35" i="3" s="1"/>
  <c r="O35" i="3" s="1"/>
  <c r="I34" i="3"/>
  <c r="AC18" i="3" s="1"/>
  <c r="AF18" i="3" s="1"/>
  <c r="J34" i="3" s="1"/>
  <c r="K34" i="3" s="1"/>
  <c r="M34" i="3" s="1"/>
  <c r="N34" i="3" s="1"/>
  <c r="O34" i="3" s="1"/>
  <c r="I32" i="3"/>
  <c r="AC16" i="3" s="1"/>
  <c r="AF16" i="3" s="1"/>
  <c r="J32" i="3" s="1"/>
  <c r="K32" i="3" s="1"/>
  <c r="M32" i="3" s="1"/>
  <c r="N32" i="3" s="1"/>
  <c r="O32" i="3" s="1"/>
  <c r="I31" i="3"/>
  <c r="AC15" i="3" s="1"/>
  <c r="AF15" i="3" s="1"/>
  <c r="J31" i="3" s="1"/>
  <c r="K31" i="3" s="1"/>
  <c r="M31" i="3" s="1"/>
  <c r="N31" i="3" s="1"/>
  <c r="O31" i="3" s="1"/>
  <c r="I29" i="3"/>
  <c r="AC13" i="3" s="1"/>
  <c r="AF13" i="3" s="1"/>
  <c r="J29" i="3" s="1"/>
  <c r="K29" i="3" s="1"/>
  <c r="M29" i="3" s="1"/>
  <c r="N29" i="3" s="1"/>
  <c r="O29" i="3" s="1"/>
  <c r="I30" i="3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U24" i="3"/>
  <c r="U36" i="3" s="1"/>
  <c r="C24" i="5" l="1"/>
  <c r="C26" i="5" s="1"/>
  <c r="C14" i="5"/>
  <c r="C31" i="5" s="1"/>
  <c r="C45" i="5" s="1"/>
  <c r="C33" i="5"/>
  <c r="C44" i="5" s="1"/>
  <c r="C6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<sst xmlns="http://schemas.openxmlformats.org/spreadsheetml/2006/main" count="519" uniqueCount="300">
  <si>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</si>
  <si>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</si>
  <si>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</si>
  <si>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</si>
  <si>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</si>
  <si>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</si>
  <si>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</si>
  <si>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</si>
  <si>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</si>
  <si>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</si>
  <si>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</si>
  <si>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</si>
  <si>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</si>
  <si>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</si>
  <si>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</si>
  <si>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</si>
  <si>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</si>
  <si>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</si>
  <si>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</si>
  <si>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</si>
  <si>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</si>
  <si>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</si>
  <si>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</si>
  <si>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</si>
  <si>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</si>
  <si>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</si>
  <si>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</si>
  <si>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</si>
  <si>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</si>
  <si>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</si>
  <si>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</si>
  <si>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</si>
  <si>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</si>
  <si>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</si>
  <si>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</si>
  <si>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</si>
  <si>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</si>
  <si>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</si>
  <si>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</si>
  <si>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</si>
  <si>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</si>
  <si>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</si>
  <si>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</si>
  <si>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</si>
  <si>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</si>
  <si>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</si>
  <si>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</si>
  <si>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</si>
  <si>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</si>
  <si>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</si>
  <si>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</si>
  <si>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</si>
  <si>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</si>
  <si>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</si>
  <si>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</si>
  <si>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</si>
  <si>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</si>
  <si>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</si>
  <si>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</si>
  <si>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</si>
  <si>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</si>
  <si>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</si>
  <si>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</si>
  <si>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</si>
  <si>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</si>
  <si>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</si>
  <si>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</si>
  <si>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</si>
  <si>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</si>
  <si>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</si>
  <si>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</si>
  <si>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</si>
  <si>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</si>
  <si>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</si>
  <si>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</si>
  <si>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</si>
  <si>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</si>
  <si>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</si>
  <si>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</si>
  <si>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</si>
  <si>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</si>
  <si>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</si>
  <si>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</si>
  <si>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</si>
  <si>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</si>
  <si>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</si>
  <si>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</si>
  <si>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</si>
  <si>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</si>
  <si>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</si>
  <si>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</si>
  <si>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</si>
  <si>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</si>
  <si>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</si>
  <si>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</si>
  <si>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</si>
  <si>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</si>
  <si>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</si>
  <si>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</si>
  <si>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</si>
  <si>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</si>
  <si>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</si>
  <si>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</si>
  <si>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</si>
  <si>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</si>
  <si>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</si>
  <si>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</si>
  <si>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</si>
  <si>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</si>
  <si>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</si>
  <si>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</si>
  <si>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</si>
  <si>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</si>
  <si>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</si>
  <si>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</si>
  <si>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</si>
  <si>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</si>
  <si>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</si>
  <si>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</si>
  <si>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</si>
  <si>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</si>
  <si>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</si>
  <si>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</si>
  <si>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</si>
  <si>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</si>
  <si>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</si>
  <si>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</si>
  <si>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</si>
  <si>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</si>
  <si>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</si>
  <si>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</si>
  <si>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</si>
  <si>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</si>
  <si>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</si>
  <si>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</si>
  <si>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</si>
  <si>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</si>
  <si>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</si>
  <si>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</si>
  <si>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</si>
  <si>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</si>
  <si>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</si>
  <si>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</si>
  <si>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</si>
  <si>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</si>
  <si>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</si>
  <si>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</si>
  <si>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</si>
  <si>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</si>
  <si>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</si>
  <si>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</si>
  <si>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</si>
  <si>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</si>
  <si>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</si>
  <si>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</si>
  <si>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</si>
  <si>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</si>
  <si>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</si>
  <si>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</si>
  <si>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</si>
  <si>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</si>
  <si>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</si>
  <si>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</si>
  <si>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</si>
  <si>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</si>
  <si>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</si>
  <si>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</si>
  <si>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</si>
  <si>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</si>
  <si>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</si>
  <si>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</si>
  <si>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</si>
  <si>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</si>
  <si>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</si>
  <si>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</si>
  <si>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</si>
  <si>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</si>
  <si>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</si>
  <si>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</si>
  <si>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</si>
  <si>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</si>
  <si>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</si>
  <si>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</si>
  <si>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</si>
  <si>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</si>
  <si>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</si>
  <si>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</si>
  <si>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</si>
  <si>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</si>
  <si>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</si>
  <si>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</si>
  <si>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</si>
  <si>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</si>
  <si>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</si>
  <si>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</si>
  <si>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</si>
  <si>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</si>
  <si>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</si>
  <si>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</si>
  <si>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</si>
  <si>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</si>
  <si>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</si>
  <si>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</si>
  <si>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</si>
  <si>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</si>
  <si>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</si>
  <si>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</si>
  <si>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</si>
  <si>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</si>
  <si>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</si>
  <si>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</si>
  <si>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</si>
  <si>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</si>
  <si>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</si>
  <si>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</si>
  <si>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</si>
  <si>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</si>
  <si>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</si>
  <si>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</si>
  <si>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</si>
  <si>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</si>
  <si>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</si>
  <si>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</si>
  <si>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</si>
  <si>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</si>
  <si>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</si>
  <si>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</si>
  <si>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</si>
  <si>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</si>
  <si>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</si>
  <si>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</si>
  <si>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</si>
  <si>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</si>
  <si>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</si>
  <si>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</si>
  <si>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</si>
  <si>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</si>
  <si>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</si>
  <si>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</si>
  <si>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</si>
  <si>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</si>
  <si>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</si>
  <si>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</si>
  <si>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</si>
  <si>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</si>
  <si>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</si>
  <si>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</si>
  <si>
    <t>Standort Heizung</t>
  </si>
  <si>
    <t>// Fixer Wert</t>
  </si>
  <si>
    <t>Werte aus der Bilanzierung</t>
  </si>
  <si>
    <t>ewd</t>
  </si>
  <si>
    <t>ewd0</t>
  </si>
  <si>
    <t>Verteilung</t>
  </si>
  <si>
    <t>Speicherung</t>
  </si>
  <si>
    <t>fwb</t>
  </si>
  <si>
    <t>// $fwb = ($qwb/12,5)*/((1+($ewd0-1))*(12,5/$qwb)/$ewd0)</t>
  </si>
  <si>
    <t>Nutzfläche &gt;= 5000qm</t>
  </si>
  <si>
    <t>Nutzfläche &lt; 5000qm</t>
  </si>
  <si>
    <t>Vs01</t>
  </si>
  <si>
    <t>Vs02</t>
  </si>
  <si>
    <t>Vs03</t>
  </si>
  <si>
    <t>Nutzfläche &gt;= 10000qm</t>
  </si>
  <si>
    <t>// Interpolation Nutzfläche Tabelle 54 Spalte 1</t>
  </si>
  <si>
    <t>// Interpolation Nutzfläche - 5000 Tabelle 54 Spalte 1</t>
  </si>
  <si>
    <t>// Interpolation Nutzfläche -10000 Tabelle 54 Spalte 1</t>
  </si>
  <si>
    <t xml:space="preserve">Nutzfläche &gt;= 13368.98 </t>
  </si>
  <si>
    <t>Ergebnis Vs</t>
  </si>
  <si>
    <t>Berechnete Nutzfläche</t>
  </si>
  <si>
    <t>Vsw</t>
  </si>
  <si>
    <t>// $Vsw= $Vs0 * ($qwb/12.5)</t>
  </si>
  <si>
    <t>Vs0</t>
  </si>
  <si>
    <t>Vsw1</t>
  </si>
  <si>
    <t>Vsw2</t>
  </si>
  <si>
    <t>$Vsw2= $Vsw - $Vsw1</t>
  </si>
  <si>
    <t>Qws01</t>
  </si>
  <si>
    <t>// Tab.55, Vsw1, unbeheizt/beheizt, Zirkulation mit (Spalte Zirkulation), indirekt beheizter Speicher.</t>
  </si>
  <si>
    <t>// Tab.55, Vsw2, unbeheizt/beheizt, Zirkulation mit (Spalte Zirkulation), indirekt beheizter Speicher.</t>
  </si>
  <si>
    <t>Qws02</t>
  </si>
  <si>
    <t>Ermittelter Wert aus Tab 55</t>
  </si>
  <si>
    <t>Qws</t>
  </si>
  <si>
    <t>Qws ohne Solar</t>
  </si>
  <si>
    <t>Mit Solarthermie</t>
  </si>
  <si>
    <t>fbivalent</t>
  </si>
  <si>
    <t>Vsaux</t>
  </si>
  <si>
    <t>Vsaux0</t>
  </si>
  <si>
    <t>Vsol0</t>
  </si>
  <si>
    <t>Ac0</t>
  </si>
  <si>
    <t>Qwsola0</t>
  </si>
  <si>
    <t>(Tab.60; in Abhängikeit von $nutzflaeche1, Spalte Flachkollektoren )</t>
  </si>
  <si>
    <t>Vsol</t>
  </si>
  <si>
    <t>Ac</t>
  </si>
  <si>
    <t>Qwsola</t>
  </si>
  <si>
    <t>Qws mit Solar</t>
  </si>
  <si>
    <t>// $Qws= $fbivalent * (0.4+0.2*(($Vsaux1+$Vssol1)^0.4)*(($Vsaux1/$Vsaux1+$Vssol1)^2)*365; //Gl.67, T12</t>
  </si>
  <si>
    <t>Teil 1</t>
  </si>
  <si>
    <t>Teil 2</t>
  </si>
  <si>
    <t>ews</t>
  </si>
  <si>
    <t>1+($Qws/($calculations['QWB']*$ewd*$ewce))</t>
  </si>
  <si>
    <t>Solarthermie für Warmwasser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</si>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</sst>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91"/>
  <sheetViews>
    <sheetView topLeftCell="A44" workbookViewId="0">
      <selection activeCell="C91" sqref="C91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 s="3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124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>
        <v>50</v>
      </c>
      <c r="C19" t="s">
        <v>248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146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125</v>
      </c>
      <c r="I49" t="s">
        <v>146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129</v>
      </c>
      <c r="B69" s="7">
        <v>8.5</v>
      </c>
      <c r="C69" t="s">
        <v>130</v>
      </c>
    </row>
    <row r="71" spans="1:3" x14ac:dyDescent="0.2">
      <c r="A71" s="2" t="s">
        <v>225</v>
      </c>
    </row>
    <row r="72" spans="1:3" x14ac:dyDescent="0.2">
      <c r="A72" t="s">
        <v>226</v>
      </c>
      <c r="B72" s="3" t="s">
        <v>227</v>
      </c>
    </row>
    <row r="73" spans="1:3" x14ac:dyDescent="0.2">
      <c r="A73" t="s">
        <v>229</v>
      </c>
      <c r="B73" s="3"/>
    </row>
    <row r="74" spans="1:3" x14ac:dyDescent="0.2">
      <c r="A74" t="s">
        <v>230</v>
      </c>
      <c r="B74" s="3"/>
    </row>
    <row r="75" spans="1:3" x14ac:dyDescent="0.2">
      <c r="A75" t="s">
        <v>139</v>
      </c>
      <c r="B75" s="3" t="s">
        <v>26</v>
      </c>
      <c r="C75" t="s">
        <v>140</v>
      </c>
    </row>
    <row r="76" spans="1:3" x14ac:dyDescent="0.2">
      <c r="A76" t="s">
        <v>143</v>
      </c>
      <c r="B76" s="3" t="s">
        <v>26</v>
      </c>
    </row>
    <row r="77" spans="1:3" x14ac:dyDescent="0.2">
      <c r="A77" t="s">
        <v>135</v>
      </c>
      <c r="B77" s="3" t="s">
        <v>136</v>
      </c>
      <c r="C77" t="s">
        <v>137</v>
      </c>
    </row>
    <row r="78" spans="1:3" x14ac:dyDescent="0.2">
      <c r="A78" t="s">
        <v>144</v>
      </c>
      <c r="B78" s="3" t="s">
        <v>26</v>
      </c>
    </row>
    <row r="79" spans="1:3" x14ac:dyDescent="0.2">
      <c r="A79" t="s">
        <v>167</v>
      </c>
      <c r="B79" s="3" t="s">
        <v>169</v>
      </c>
      <c r="C79" t="s">
        <v>168</v>
      </c>
    </row>
    <row r="80" spans="1:3" x14ac:dyDescent="0.2">
      <c r="A80" t="s">
        <v>175</v>
      </c>
      <c r="B80" s="3" t="s">
        <v>178</v>
      </c>
    </row>
    <row r="81" spans="1:3" x14ac:dyDescent="0.2">
      <c r="A81" t="s">
        <v>176</v>
      </c>
      <c r="B81" s="3" t="s">
        <v>178</v>
      </c>
    </row>
    <row r="82" spans="1:3" x14ac:dyDescent="0.2">
      <c r="A82" t="s">
        <v>179</v>
      </c>
      <c r="B82" s="3" t="s">
        <v>181</v>
      </c>
      <c r="C82" t="s">
        <v>180</v>
      </c>
    </row>
    <row r="83" spans="1:3" x14ac:dyDescent="0.2">
      <c r="A83" t="s">
        <v>184</v>
      </c>
      <c r="B83" s="3" t="s">
        <v>93</v>
      </c>
    </row>
    <row r="84" spans="1:3" x14ac:dyDescent="0.2">
      <c r="A84" t="s">
        <v>243</v>
      </c>
      <c r="B84" s="3"/>
    </row>
    <row r="86" spans="1:3" x14ac:dyDescent="0.2">
      <c r="A86" t="s">
        <v>141</v>
      </c>
      <c r="B86">
        <f>IF(B77="innerhalb",IF(B78="Ja",1.554,0.647),IF(B78="Ja",0.815,0.335))</f>
        <v>1.554</v>
      </c>
    </row>
    <row r="87" spans="1:3" x14ac:dyDescent="0.2">
      <c r="A87" t="s">
        <v>142</v>
      </c>
      <c r="B87">
        <f>IF(B78="Ja",1.321,0.451)</f>
        <v>1.321</v>
      </c>
    </row>
    <row r="88" spans="1:3" x14ac:dyDescent="0.2">
      <c r="A88" s="2" t="s">
        <v>138</v>
      </c>
      <c r="B88" s="2">
        <f>IF(B75="Ja",IF(B76="Ja",B86,B87),0.193)</f>
        <v>1.554</v>
      </c>
    </row>
    <row r="91" spans="1:3" x14ac:dyDescent="0.2">
      <c r="A91" t="s">
        <v>298</v>
      </c>
      <c r="B91" s="3" t="s">
        <v>26</v>
      </c>
      <c r="C91" t="s">
        <v>299</v>
      </c>
    </row>
  </sheetData>
  <phoneticPr fontId="3" type="noConversion"/>
  <dataValidations count="4">
    <dataValidation type="list" allowBlank="1" showInputMessage="1" showErrorMessage="1" sqref="B72:B74" xr:uid="{EDB12EEA-2178-8A41-89B4-DA86F44950E3}">
      <formula1>"gasheizung,waermepumpe,biomassekessel"</formula1>
    </dataValidation>
    <dataValidation type="list" allowBlank="1" showInputMessage="1" showErrorMessage="1" sqref="B77" xr:uid="{3111FD3F-8FDF-BA45-98A0-84A9BF69D4A3}">
      <formula1>"innerhalb,ausserhalb"</formula1>
    </dataValidation>
    <dataValidation type="list" allowBlank="1" showInputMessage="1" showErrorMessage="1" sqref="B75:B76 B78 B83 B48:B49 B21:B22 B17 B91" xr:uid="{3A890D37-40C6-5B45-88D5-3759B5891EA8}">
      <formula1>"Ja,Nein"</formula1>
    </dataValidation>
    <dataValidation type="list" allowBlank="1" showInputMessage="1" showErrorMessage="1" sqref="B7" xr:uid="{4D09400F-15BB-CC44-8D01-11722A6F7887}">
      <formula1>"Nord,Ost,Süd,West"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abSelected="1" topLeftCell="D1" workbookViewId="0">
      <selection activeCell="I5" sqref="I5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148</v>
      </c>
      <c r="F2" s="7">
        <v>5.7000000000000002E-2</v>
      </c>
      <c r="G2" t="s">
        <v>149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0.9*1*0.7*I3</f>
        <v>0.4914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131</v>
      </c>
      <c r="U4">
        <f>Gebäude!B69</f>
        <v>8.5</v>
      </c>
      <c r="W4" s="2" t="s">
        <v>145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132</v>
      </c>
      <c r="AA6" s="2" t="s">
        <v>150</v>
      </c>
      <c r="AE6" s="2" t="s">
        <v>151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125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127</v>
      </c>
      <c r="T7" s="11" t="s">
        <v>54</v>
      </c>
      <c r="U7" s="11" t="s">
        <v>125</v>
      </c>
      <c r="V7" s="11" t="s">
        <v>133</v>
      </c>
      <c r="W7" s="11" t="s">
        <v>134</v>
      </c>
      <c r="AA7" s="2" t="s">
        <v>54</v>
      </c>
      <c r="AB7" s="2" t="s">
        <v>125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28.654025400000002</v>
      </c>
      <c r="O8">
        <f t="shared" ref="O8:O19" si="2">K8*$I$4*$N$4*0.024*$I8</f>
        <v>109.33772850000001</v>
      </c>
      <c r="P8">
        <f t="shared" ref="P8:P19" si="3">L8*$I$4*$P$4*0.024*$I8</f>
        <v>169.05874986000001</v>
      </c>
      <c r="Q8">
        <f t="shared" ref="Q8:Q19" si="4">M8*$I$4*$R$4*0.024*$I8</f>
        <v>74.349655380000002</v>
      </c>
      <c r="R8">
        <f>SUM(N8:Q8)</f>
        <v>381.40015914000003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400.28243776052045</v>
      </c>
      <c r="AE8" t="s">
        <v>55</v>
      </c>
      <c r="AF8">
        <f>F8+R8+W8+AC8</f>
        <v>1415.403961284082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46.585899360000006</v>
      </c>
      <c r="O9">
        <f t="shared" si="2"/>
        <v>114.55772328</v>
      </c>
      <c r="P9">
        <f t="shared" si="3"/>
        <v>121.64095944000002</v>
      </c>
      <c r="Q9">
        <f t="shared" si="4"/>
        <v>94.806391680000004</v>
      </c>
      <c r="R9">
        <f t="shared" ref="R9:R19" si="8">SUM(N9:Q9)</f>
        <v>377.59097376000005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327.15528175873891</v>
      </c>
      <c r="AE9" t="s">
        <v>56</v>
      </c>
      <c r="AF9">
        <f t="shared" ref="AF9:AF19" si="9">F9+R9+W9+AC9</f>
        <v>1277.1397459296979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88.827478740000004</v>
      </c>
      <c r="O10">
        <f t="shared" si="2"/>
        <v>297.39862152000001</v>
      </c>
      <c r="P10">
        <f t="shared" si="3"/>
        <v>280.80944892000002</v>
      </c>
      <c r="Q10">
        <f t="shared" si="4"/>
        <v>262.41054840000004</v>
      </c>
      <c r="R10">
        <f t="shared" si="8"/>
        <v>929.44609758000013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67.317422933617394</v>
      </c>
      <c r="AE10" t="s">
        <v>57</v>
      </c>
      <c r="AF10">
        <f t="shared" si="9"/>
        <v>1630.4848848971792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160.83227160000001</v>
      </c>
      <c r="O11">
        <f t="shared" si="2"/>
        <v>567.1453788</v>
      </c>
      <c r="P11">
        <f t="shared" si="3"/>
        <v>407.62661939999998</v>
      </c>
      <c r="Q11">
        <f t="shared" si="4"/>
        <v>482.49681479999998</v>
      </c>
      <c r="R11">
        <f t="shared" si="8"/>
        <v>1618.1010846000001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98.405793291043892</v>
      </c>
      <c r="AE11" t="s">
        <v>58</v>
      </c>
      <c r="AF11">
        <f t="shared" si="9"/>
        <v>2329.7856176170717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214.90519050000003</v>
      </c>
      <c r="O12">
        <f t="shared" si="2"/>
        <v>599.17075217999991</v>
      </c>
      <c r="P12">
        <f t="shared" si="3"/>
        <v>378.23313528000006</v>
      </c>
      <c r="Q12">
        <f t="shared" si="4"/>
        <v>555.43566078000015</v>
      </c>
      <c r="R12">
        <f t="shared" si="8"/>
        <v>1747.7447387400002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19.520773493118735</v>
      </c>
      <c r="AE12" t="s">
        <v>59</v>
      </c>
      <c r="AF12">
        <f t="shared" si="9"/>
        <v>2400.9868766166805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230.15652660000003</v>
      </c>
      <c r="O13">
        <f t="shared" si="2"/>
        <v>634.86422999999991</v>
      </c>
      <c r="P13">
        <f t="shared" si="3"/>
        <v>343.84830480000005</v>
      </c>
      <c r="Q13">
        <f t="shared" si="4"/>
        <v>575.61023520000003</v>
      </c>
      <c r="R13">
        <f t="shared" si="8"/>
        <v>1784.4792966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0</v>
      </c>
      <c r="AE13" t="s">
        <v>60</v>
      </c>
      <c r="AF13">
        <f t="shared" si="9"/>
        <v>2397.7580363260276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232.09760574000003</v>
      </c>
      <c r="O14">
        <f t="shared" si="2"/>
        <v>603.54426132000003</v>
      </c>
      <c r="P14">
        <f t="shared" si="3"/>
        <v>323.79048702</v>
      </c>
      <c r="Q14">
        <f t="shared" si="4"/>
        <v>511.70056938000005</v>
      </c>
      <c r="R14">
        <f t="shared" si="8"/>
        <v>1671.1329234600003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2304.8542878435619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163.32794478</v>
      </c>
      <c r="O15">
        <f t="shared" si="2"/>
        <v>502.95355110000003</v>
      </c>
      <c r="P15">
        <f t="shared" si="3"/>
        <v>363.90612258000004</v>
      </c>
      <c r="Q15">
        <f t="shared" si="4"/>
        <v>459.21845970000004</v>
      </c>
      <c r="R15">
        <f t="shared" si="8"/>
        <v>1489.4060781600001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2123.1274425435618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113.69177820000002</v>
      </c>
      <c r="O16">
        <f t="shared" si="2"/>
        <v>351.29154060000002</v>
      </c>
      <c r="P16">
        <f t="shared" si="3"/>
        <v>341.07533460000002</v>
      </c>
      <c r="Q16">
        <f t="shared" si="4"/>
        <v>334.36182780000007</v>
      </c>
      <c r="R16">
        <f t="shared" si="8"/>
        <v>1140.4204812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21.578103057874124</v>
      </c>
      <c r="AE16" t="s">
        <v>63</v>
      </c>
      <c r="AF16">
        <f t="shared" si="9"/>
        <v>1775.2773239839014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71.635063500000001</v>
      </c>
      <c r="O17">
        <f t="shared" si="2"/>
        <v>240.54300270000002</v>
      </c>
      <c r="P17">
        <f t="shared" si="3"/>
        <v>303.73266924000001</v>
      </c>
      <c r="Q17">
        <f t="shared" si="4"/>
        <v>205.55492958000002</v>
      </c>
      <c r="R17">
        <f t="shared" si="8"/>
        <v>821.46566502000007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108.36773278572873</v>
      </c>
      <c r="AE17" t="s">
        <v>64</v>
      </c>
      <c r="AF17">
        <f t="shared" si="9"/>
        <v>1563.5547621892904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36.048612600000006</v>
      </c>
      <c r="O18">
        <f t="shared" si="2"/>
        <v>84.648563999999993</v>
      </c>
      <c r="P18">
        <f t="shared" si="3"/>
        <v>108.1458378</v>
      </c>
      <c r="Q18">
        <f t="shared" si="4"/>
        <v>80.416135800000006</v>
      </c>
      <c r="R18">
        <f t="shared" si="8"/>
        <v>309.25915020000002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269.7343180422115</v>
      </c>
      <c r="AE18" t="s">
        <v>65</v>
      </c>
      <c r="AF18">
        <f t="shared" si="9"/>
        <v>1192.2722079682389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20.057817780000001</v>
      </c>
      <c r="O19" s="4">
        <f t="shared" si="2"/>
        <v>52.482109680000001</v>
      </c>
      <c r="P19" s="4">
        <f t="shared" si="3"/>
        <v>83.096673660000008</v>
      </c>
      <c r="Q19" s="4">
        <f t="shared" si="4"/>
        <v>48.108600540000005</v>
      </c>
      <c r="R19" s="4">
        <f t="shared" si="8"/>
        <v>203.74520166000002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409.65757857811923</v>
      </c>
      <c r="AE19" s="4" t="s">
        <v>66</v>
      </c>
      <c r="AF19" s="4">
        <f t="shared" si="9"/>
        <v>1247.1241446216809</v>
      </c>
    </row>
    <row r="20" spans="2:32" ht="17" thickBot="1" x14ac:dyDescent="0.25">
      <c r="B20" s="2" t="s">
        <v>128</v>
      </c>
      <c r="F20" s="2">
        <f>SUM(F8:F19)</f>
        <v>5321.6999999999989</v>
      </c>
      <c r="H20" s="2" t="s">
        <v>126</v>
      </c>
      <c r="N20">
        <f>SUM(N8:N19)</f>
        <v>1406.8202148000003</v>
      </c>
      <c r="O20">
        <f>SUM(O8:O19)</f>
        <v>4157.9374636799994</v>
      </c>
      <c r="P20">
        <f t="shared" ref="P20:Q20" si="10">SUM(P8:P19)</f>
        <v>3224.9643426000002</v>
      </c>
      <c r="Q20">
        <f t="shared" si="10"/>
        <v>3684.4698290400006</v>
      </c>
      <c r="R20" s="22">
        <f>SUM(R8:R19)</f>
        <v>12474.191850120002</v>
      </c>
      <c r="T20" s="2" t="s">
        <v>126</v>
      </c>
      <c r="U20" s="2"/>
      <c r="V20" s="2">
        <f>SUM(V8:V19)</f>
        <v>1377</v>
      </c>
      <c r="W20" s="2">
        <f>SUM(W8:W19)</f>
        <v>2139.8579999999997</v>
      </c>
      <c r="AA20" s="2" t="s">
        <v>126</v>
      </c>
      <c r="AB20" s="2"/>
      <c r="AC20" s="2">
        <f>SUM(AC8:AC19)</f>
        <v>1722.0194417009732</v>
      </c>
      <c r="AE20" s="2" t="s">
        <v>128</v>
      </c>
      <c r="AF20" s="2">
        <f>SUM(AF8:AF19)</f>
        <v>21657.769291820976</v>
      </c>
    </row>
    <row r="21" spans="2:32" ht="17" thickTop="1" x14ac:dyDescent="0.2"/>
    <row r="22" spans="2:32" x14ac:dyDescent="0.2">
      <c r="R22" s="2"/>
      <c r="S22" s="2"/>
      <c r="AA22" s="11" t="s">
        <v>161</v>
      </c>
      <c r="AB22" s="4"/>
    </row>
    <row r="23" spans="2:32" x14ac:dyDescent="0.2">
      <c r="B23" s="11" t="s">
        <v>54</v>
      </c>
      <c r="C23" s="11" t="s">
        <v>67</v>
      </c>
      <c r="D23" s="11" t="s">
        <v>164</v>
      </c>
      <c r="E23" s="11" t="s">
        <v>79</v>
      </c>
      <c r="F23" s="11" t="s">
        <v>80</v>
      </c>
      <c r="G23" s="11" t="s">
        <v>107</v>
      </c>
      <c r="H23" s="11" t="s">
        <v>147</v>
      </c>
      <c r="I23" s="11" t="s">
        <v>108</v>
      </c>
      <c r="J23" s="11" t="s">
        <v>152</v>
      </c>
      <c r="K23" s="11" t="s">
        <v>153</v>
      </c>
      <c r="L23" s="11" t="s">
        <v>154</v>
      </c>
      <c r="M23" s="11" t="s">
        <v>156</v>
      </c>
      <c r="N23" s="11" t="s">
        <v>155</v>
      </c>
      <c r="O23" s="11" t="s">
        <v>157</v>
      </c>
      <c r="P23" s="11" t="s">
        <v>158</v>
      </c>
      <c r="Q23" s="11" t="s">
        <v>159</v>
      </c>
      <c r="R23" s="11" t="s">
        <v>160</v>
      </c>
      <c r="S23" s="11" t="s">
        <v>165</v>
      </c>
      <c r="T23" s="11" t="s">
        <v>163</v>
      </c>
      <c r="U23" s="11" t="s">
        <v>166</v>
      </c>
      <c r="AA23" t="s">
        <v>54</v>
      </c>
      <c r="AB23" t="s">
        <v>162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G24-((F8+(0.5*R8))*Gebäude!I50)</f>
        <v>9488.7550566923928</v>
      </c>
      <c r="I24">
        <f>IF(H24&lt;0,0,H24)</f>
        <v>9488.7550566923928</v>
      </c>
      <c r="J24">
        <f>AF8*Gebäude!I50</f>
        <v>1902.4246791452715</v>
      </c>
      <c r="K24">
        <f t="shared" ref="K24:K35" si="12">J24/G24</f>
        <v>0.18376347554316921</v>
      </c>
      <c r="L24" s="27">
        <v>0.99341372927093996</v>
      </c>
      <c r="M24">
        <f>1-L24*K24</f>
        <v>0.8174468404568711</v>
      </c>
      <c r="N24">
        <f>IF(M24&lt;=0,0,M24)</f>
        <v>0.8174468404568711</v>
      </c>
      <c r="O24">
        <f>E24*N24</f>
        <v>0.46375727200285261</v>
      </c>
      <c r="P24">
        <f t="shared" ref="P24:P35" si="13">C24*24</f>
        <v>744</v>
      </c>
      <c r="Q24">
        <f t="shared" ref="Q24:Q35" si="14">(O24/0.05)*C24*24</f>
        <v>6900.7082074024474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6296.2321141450593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G25-((F9+(0.5*R9))*Gebäude!I51)</f>
        <v>9000.3799750439684</v>
      </c>
      <c r="I25">
        <f t="shared" ref="I25:I35" si="16">IF(H25&lt;0,0,H25)</f>
        <v>9000.3799750439684</v>
      </c>
      <c r="J25">
        <f>AF9*Gebäude!I51</f>
        <v>1900.5055743001458</v>
      </c>
      <c r="K25">
        <f t="shared" si="12"/>
        <v>0.19218718617145075</v>
      </c>
      <c r="L25" s="27">
        <v>0.99285759039862997</v>
      </c>
      <c r="M25">
        <f t="shared" ref="M25:M35" si="17">1-L25*K25</f>
        <v>0.80918549343232049</v>
      </c>
      <c r="N25">
        <f t="shared" ref="N25:N35" si="18">IF(M25&lt;=0,0,M25)</f>
        <v>0.80918549343232049</v>
      </c>
      <c r="O25">
        <f t="shared" ref="O25:O35" si="19">E25*N25</f>
        <v>0.43794417606291325</v>
      </c>
      <c r="P25">
        <f t="shared" si="13"/>
        <v>672</v>
      </c>
      <c r="Q25">
        <f t="shared" si="14"/>
        <v>5885.9697262855534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5377.2729393634672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G26-((F10+(0.5*R10))*Gebäude!I52)</f>
        <v>1980.0671919136321</v>
      </c>
      <c r="I26">
        <f t="shared" si="16"/>
        <v>1980.0671919136321</v>
      </c>
      <c r="J26">
        <f>AF10*Gebäude!I52</f>
        <v>2191.5119420661008</v>
      </c>
      <c r="K26">
        <f t="shared" si="12"/>
        <v>0.68224749093282056</v>
      </c>
      <c r="L26" s="27">
        <v>0.87581075537319997</v>
      </c>
      <c r="M26">
        <f t="shared" si="17"/>
        <v>0.40248030961465608</v>
      </c>
      <c r="N26">
        <f t="shared" si="18"/>
        <v>0.40248030961465608</v>
      </c>
      <c r="O26">
        <f t="shared" si="19"/>
        <v>0.18402045716094587</v>
      </c>
      <c r="P26">
        <f t="shared" si="13"/>
        <v>744</v>
      </c>
      <c r="Q26">
        <f t="shared" si="14"/>
        <v>2738.2244025548744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961.876840907359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G27-((F11+(0.5*R11))*Gebäude!I53)</f>
        <v>4232.4055429120272</v>
      </c>
      <c r="I27">
        <f t="shared" si="16"/>
        <v>4232.4055429120272</v>
      </c>
      <c r="J27">
        <f>AF11*Gebäude!I53</f>
        <v>3235.8133578014886</v>
      </c>
      <c r="K27">
        <f t="shared" si="12"/>
        <v>0.54259515930411595</v>
      </c>
      <c r="L27" s="27">
        <v>0.92481041386615004</v>
      </c>
      <c r="M27">
        <f t="shared" si="17"/>
        <v>0.49820234616219095</v>
      </c>
      <c r="N27">
        <f t="shared" si="18"/>
        <v>0.49820234616219095</v>
      </c>
      <c r="O27">
        <f t="shared" si="19"/>
        <v>0.16097317599267205</v>
      </c>
      <c r="P27">
        <f t="shared" si="13"/>
        <v>720</v>
      </c>
      <c r="Q27">
        <f t="shared" si="14"/>
        <v>2318.0137342944772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2139.172531948811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G28-((F12+(0.5*R12))*Gebäude!I54)</f>
        <v>1490.7052781772054</v>
      </c>
      <c r="I28">
        <f t="shared" si="16"/>
        <v>1490.7052781772054</v>
      </c>
      <c r="J28">
        <f>AF12*Gebäude!I54</f>
        <v>3227.1328986783337</v>
      </c>
      <c r="K28">
        <f t="shared" si="12"/>
        <v>0.98605704444345699</v>
      </c>
      <c r="L28" s="27">
        <v>0.77401603393907004</v>
      </c>
      <c r="M28">
        <f t="shared" si="17"/>
        <v>0.23677603722219409</v>
      </c>
      <c r="N28">
        <f t="shared" si="18"/>
        <v>0.23677603722219409</v>
      </c>
      <c r="O28">
        <f t="shared" si="19"/>
        <v>4.1698160222568295E-2</v>
      </c>
      <c r="P28">
        <f t="shared" si="13"/>
        <v>744</v>
      </c>
      <c r="Q28">
        <f t="shared" si="14"/>
        <v>620.46862411181621</v>
      </c>
      <c r="R28">
        <f t="shared" si="20"/>
        <v>620.46862411181621</v>
      </c>
      <c r="S28">
        <f>IF(Bilanzierung!$C$2=1,1,1-((10-D28)/22))</f>
        <v>1.1863636363636363</v>
      </c>
      <c r="T28">
        <f t="shared" si="21"/>
        <v>17</v>
      </c>
      <c r="U28">
        <f t="shared" si="22"/>
        <v>443.01459761583681</v>
      </c>
      <c r="AA28" t="s">
        <v>59</v>
      </c>
      <c r="AB28">
        <f t="shared" si="15"/>
        <v>480.80877305439839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G29-((F13+(0.5*R13))*Gebäude!I55)</f>
        <v>-0.54500881879152985</v>
      </c>
      <c r="I29">
        <f t="shared" si="16"/>
        <v>0</v>
      </c>
      <c r="J29">
        <f>AF13*Gebäude!I55</f>
        <v>3330.2194948972606</v>
      </c>
      <c r="K29">
        <f t="shared" si="12"/>
        <v>1.803846538592534</v>
      </c>
      <c r="L29" s="27">
        <v>0.53520699033466002</v>
      </c>
      <c r="M29">
        <f t="shared" si="17"/>
        <v>3.4568723054295702E-2</v>
      </c>
      <c r="N29">
        <f t="shared" si="18"/>
        <v>3.4568723054295702E-2</v>
      </c>
      <c r="O29">
        <f t="shared" si="19"/>
        <v>3.4223035823752745E-3</v>
      </c>
      <c r="P29">
        <f t="shared" si="13"/>
        <v>720</v>
      </c>
      <c r="Q29">
        <f t="shared" si="14"/>
        <v>49.281171586203953</v>
      </c>
      <c r="R29">
        <f t="shared" si="20"/>
        <v>49.281171586203953</v>
      </c>
      <c r="S29">
        <f>IF(Bilanzierung!$C$2=1,1,1-((10-D29)/22))</f>
        <v>1.3045454545454545</v>
      </c>
      <c r="T29">
        <f t="shared" si="21"/>
        <v>17</v>
      </c>
      <c r="U29">
        <f t="shared" si="22"/>
        <v>35.186756512549628</v>
      </c>
      <c r="AA29" t="s">
        <v>60</v>
      </c>
      <c r="AB29">
        <f t="shared" si="15"/>
        <v>3.1451229864926376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G30-((F14+(0.5*R14))*Gebäude!I56)</f>
        <v>-1169.2316288296379</v>
      </c>
      <c r="I30">
        <f t="shared" si="16"/>
        <v>0</v>
      </c>
      <c r="J30">
        <f>AF14*Gebäude!I56</f>
        <v>3097.9224298972604</v>
      </c>
      <c r="K30">
        <f t="shared" si="12"/>
        <v>5.5187831831870335</v>
      </c>
      <c r="L30" s="27">
        <v>0.19396609685119001</v>
      </c>
      <c r="M30">
        <f t="shared" si="17"/>
        <v>-7.0456833410774911E-2</v>
      </c>
      <c r="N30">
        <f t="shared" si="18"/>
        <v>0</v>
      </c>
      <c r="O30">
        <f t="shared" si="19"/>
        <v>0</v>
      </c>
      <c r="P30">
        <f t="shared" si="13"/>
        <v>744</v>
      </c>
      <c r="Q30">
        <f t="shared" si="14"/>
        <v>0</v>
      </c>
      <c r="R30">
        <f t="shared" si="20"/>
        <v>0</v>
      </c>
      <c r="S30">
        <f>IF(Bilanzierung!$C$2=1,1,1-((10-D30)/22))</f>
        <v>1.4090909090909092</v>
      </c>
      <c r="T30">
        <f t="shared" si="21"/>
        <v>17</v>
      </c>
      <c r="U30">
        <f t="shared" si="22"/>
        <v>0</v>
      </c>
      <c r="AA30" t="s">
        <v>61</v>
      </c>
      <c r="AB30">
        <f t="shared" si="15"/>
        <v>0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G31-((F15+(0.5*R15))*Gebäude!I57)</f>
        <v>-823.05853222312544</v>
      </c>
      <c r="I31">
        <f t="shared" si="16"/>
        <v>0</v>
      </c>
      <c r="J31">
        <f>AF15*Gebäude!I57</f>
        <v>2853.6659173972603</v>
      </c>
      <c r="K31">
        <f t="shared" si="12"/>
        <v>3.6334546548973425</v>
      </c>
      <c r="L31" s="27">
        <v>0.28971501566822999</v>
      </c>
      <c r="M31">
        <f t="shared" si="17"/>
        <v>-5.2666372273386886E-2</v>
      </c>
      <c r="N31">
        <f t="shared" si="18"/>
        <v>0</v>
      </c>
      <c r="O31">
        <f t="shared" si="19"/>
        <v>0</v>
      </c>
      <c r="P31">
        <f t="shared" si="13"/>
        <v>744</v>
      </c>
      <c r="Q31">
        <f t="shared" si="14"/>
        <v>0</v>
      </c>
      <c r="R31">
        <f t="shared" si="20"/>
        <v>0</v>
      </c>
      <c r="S31">
        <f>IF(Bilanzierung!$C$2=1,1,1-((10-D31)/22))</f>
        <v>1.3909090909090911</v>
      </c>
      <c r="T31">
        <f t="shared" si="21"/>
        <v>17</v>
      </c>
      <c r="U31">
        <f t="shared" si="22"/>
        <v>0</v>
      </c>
      <c r="AA31" t="s">
        <v>62</v>
      </c>
      <c r="AB31">
        <f t="shared" si="15"/>
        <v>0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G32-((F16+(0.5*R16))*Gebäude!I58)</f>
        <v>1762.7990727046868</v>
      </c>
      <c r="I32">
        <f t="shared" si="16"/>
        <v>1762.7990727046868</v>
      </c>
      <c r="J32">
        <f>AF16*Gebäude!I58</f>
        <v>2465.6629499776409</v>
      </c>
      <c r="K32">
        <f t="shared" si="12"/>
        <v>0.77971599804449943</v>
      </c>
      <c r="L32" s="27">
        <v>0.84423212230539002</v>
      </c>
      <c r="M32">
        <f t="shared" si="17"/>
        <v>0.34173870817542695</v>
      </c>
      <c r="N32">
        <f t="shared" si="18"/>
        <v>0.34173870817542695</v>
      </c>
      <c r="O32">
        <f t="shared" si="19"/>
        <v>5.8132496627234742E-2</v>
      </c>
      <c r="P32">
        <f t="shared" si="13"/>
        <v>720</v>
      </c>
      <c r="Q32">
        <f t="shared" si="14"/>
        <v>837.10795143218024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778.079430039812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G33-((F17+(0.5*R17))*Gebäude!I59)</f>
        <v>4639.7530783203101</v>
      </c>
      <c r="I33">
        <f t="shared" si="16"/>
        <v>4639.7530783203101</v>
      </c>
      <c r="J33">
        <f>AF17*Gebäude!I59</f>
        <v>2101.5520997167882</v>
      </c>
      <c r="K33">
        <f t="shared" si="12"/>
        <v>0.36237947108035512</v>
      </c>
      <c r="L33" s="27">
        <v>0.96821410023182997</v>
      </c>
      <c r="M33">
        <f t="shared" si="17"/>
        <v>0.6491390864654476</v>
      </c>
      <c r="N33">
        <f t="shared" si="18"/>
        <v>0.6491390864654476</v>
      </c>
      <c r="O33">
        <f t="shared" si="19"/>
        <v>0.20389979623558449</v>
      </c>
      <c r="P33">
        <f t="shared" si="13"/>
        <v>744</v>
      </c>
      <c r="Q33">
        <f t="shared" si="14"/>
        <v>3034.0289679854973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2800.8333555440145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G34-((F18+(0.5*R18))*Gebäude!I60)</f>
        <v>7887.8647852994491</v>
      </c>
      <c r="I34">
        <f t="shared" si="16"/>
        <v>7887.8647852994491</v>
      </c>
      <c r="J34">
        <f>AF18*Gebäude!I60</f>
        <v>1655.9336221781095</v>
      </c>
      <c r="K34">
        <f t="shared" si="12"/>
        <v>0.19011587501342977</v>
      </c>
      <c r="L34" s="27">
        <v>0.99296395906238999</v>
      </c>
      <c r="M34">
        <f t="shared" si="17"/>
        <v>0.81122178806605427</v>
      </c>
      <c r="N34">
        <f t="shared" si="18"/>
        <v>0.81122178806605427</v>
      </c>
      <c r="O34">
        <f t="shared" si="19"/>
        <v>0.38550561338782796</v>
      </c>
      <c r="P34">
        <f t="shared" si="13"/>
        <v>720</v>
      </c>
      <c r="Q34">
        <f t="shared" si="14"/>
        <v>5551.2808327847224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5087.4088886114041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>
        <f>G35-((F19+(0.5*R19))*Gebäude!I61)</f>
        <v>9659.9127187822851</v>
      </c>
      <c r="I35" s="4">
        <f t="shared" si="16"/>
        <v>9659.9127187822851</v>
      </c>
      <c r="J35" s="4">
        <f>AF19*Gebäude!I61</f>
        <v>1676.2421298678505</v>
      </c>
      <c r="K35" s="4">
        <f t="shared" si="12"/>
        <v>0.16110992245511863</v>
      </c>
      <c r="L35" s="27">
        <v>0.99484165943431002</v>
      </c>
      <c r="M35" s="4">
        <f t="shared" si="17"/>
        <v>0.83972113739341681</v>
      </c>
      <c r="N35" s="4">
        <f t="shared" si="18"/>
        <v>0.83972113739341681</v>
      </c>
      <c r="O35" s="4">
        <f t="shared" si="19"/>
        <v>0.47891318030391217</v>
      </c>
      <c r="P35" s="4">
        <f t="shared" si="13"/>
        <v>744</v>
      </c>
      <c r="Q35" s="4">
        <f t="shared" si="14"/>
        <v>7126.2281229222135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6500.1366100479936</v>
      </c>
    </row>
    <row r="36" spans="2:28" x14ac:dyDescent="0.2">
      <c r="K36" s="1"/>
      <c r="R36">
        <f>SUM(R24:R35)</f>
        <v>6477.7497956980205</v>
      </c>
      <c r="U36">
        <f>SUM(U24:U35)</f>
        <v>4999.9473177647496</v>
      </c>
      <c r="AA36" s="2" t="s">
        <v>126</v>
      </c>
      <c r="AB36" s="2">
        <f>SUM(AB24:AB35)</f>
        <v>30424.96660664881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topLeftCell="A33" workbookViewId="0">
      <selection activeCell="B2" sqref="B2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170</v>
      </c>
      <c r="H2" t="s">
        <v>190</v>
      </c>
    </row>
    <row r="3" spans="2:11" x14ac:dyDescent="0.2">
      <c r="B3" t="s">
        <v>139</v>
      </c>
      <c r="C3" t="str">
        <f>Gebäude!B75</f>
        <v>Ja</v>
      </c>
      <c r="E3" t="s">
        <v>226</v>
      </c>
      <c r="F3" t="str">
        <f>Gebäude!B72</f>
        <v>waermepumpe</v>
      </c>
    </row>
    <row r="4" spans="2:11" x14ac:dyDescent="0.2">
      <c r="B4" t="s">
        <v>143</v>
      </c>
      <c r="C4" t="str">
        <f>Gebäude!B76</f>
        <v>Ja</v>
      </c>
      <c r="E4" t="s">
        <v>229</v>
      </c>
      <c r="F4">
        <f>Gebäude!B73</f>
        <v>0</v>
      </c>
      <c r="H4" s="2" t="s">
        <v>193</v>
      </c>
      <c r="I4" s="2" t="s">
        <v>194</v>
      </c>
      <c r="J4" s="2" t="s">
        <v>136</v>
      </c>
      <c r="K4" s="2" t="s">
        <v>191</v>
      </c>
    </row>
    <row r="5" spans="2:11" x14ac:dyDescent="0.2">
      <c r="B5" t="s">
        <v>135</v>
      </c>
      <c r="C5" t="str">
        <f>Gebäude!B77</f>
        <v>innerhalb</v>
      </c>
      <c r="E5" t="s">
        <v>230</v>
      </c>
      <c r="F5">
        <f>Gebäude!B74</f>
        <v>0</v>
      </c>
      <c r="H5" t="s">
        <v>192</v>
      </c>
      <c r="I5" t="s">
        <v>195</v>
      </c>
      <c r="J5">
        <v>1.099</v>
      </c>
      <c r="K5">
        <v>1.1000000000000001</v>
      </c>
    </row>
    <row r="6" spans="2:11" x14ac:dyDescent="0.2">
      <c r="B6" t="s">
        <v>144</v>
      </c>
      <c r="C6" t="str">
        <f>Gebäude!B78</f>
        <v>Ja</v>
      </c>
      <c r="E6" t="s">
        <v>162</v>
      </c>
      <c r="F6">
        <f>Bilanzierung!AB36</f>
        <v>30424.96660664881</v>
      </c>
      <c r="H6" t="s">
        <v>192</v>
      </c>
      <c r="I6" t="s">
        <v>196</v>
      </c>
      <c r="J6">
        <v>1.07</v>
      </c>
      <c r="K6">
        <v>1.0740000000000001</v>
      </c>
    </row>
    <row r="7" spans="2:11" x14ac:dyDescent="0.2">
      <c r="B7" t="s">
        <v>167</v>
      </c>
      <c r="C7" t="str">
        <f>Gebäude!B79</f>
        <v>flaechenheizung</v>
      </c>
      <c r="E7" t="s">
        <v>187</v>
      </c>
      <c r="F7">
        <f>Bilanzierung!R36</f>
        <v>6477.7497956980205</v>
      </c>
      <c r="H7" t="s">
        <v>192</v>
      </c>
      <c r="I7" t="s">
        <v>197</v>
      </c>
      <c r="J7">
        <v>1.0489999999999999</v>
      </c>
      <c r="K7">
        <v>1.0549999999999999</v>
      </c>
    </row>
    <row r="8" spans="2:11" x14ac:dyDescent="0.2">
      <c r="B8" t="s">
        <v>175</v>
      </c>
      <c r="C8" t="str">
        <f>Gebäude!B80</f>
        <v>35/28</v>
      </c>
      <c r="E8" t="s">
        <v>188</v>
      </c>
      <c r="F8">
        <f>Gebäude!B64</f>
        <v>15324.999551186025</v>
      </c>
      <c r="H8" t="s">
        <v>192</v>
      </c>
      <c r="I8" t="s">
        <v>178</v>
      </c>
      <c r="J8">
        <v>1.0189999999999999</v>
      </c>
      <c r="K8">
        <v>1.028</v>
      </c>
    </row>
    <row r="9" spans="2:11" x14ac:dyDescent="0.2">
      <c r="B9" t="s">
        <v>176</v>
      </c>
      <c r="C9" t="str">
        <f>Gebäude!B81</f>
        <v>35/28</v>
      </c>
      <c r="E9" t="s">
        <v>70</v>
      </c>
      <c r="F9">
        <f>Gebäude!B16</f>
        <v>324</v>
      </c>
      <c r="H9" t="s">
        <v>198</v>
      </c>
      <c r="I9" t="s">
        <v>195</v>
      </c>
      <c r="J9">
        <v>1.085</v>
      </c>
      <c r="K9">
        <v>1.085</v>
      </c>
    </row>
    <row r="10" spans="2:11" x14ac:dyDescent="0.2">
      <c r="B10" t="s">
        <v>179</v>
      </c>
      <c r="C10" t="s">
        <v>181</v>
      </c>
      <c r="H10" t="s">
        <v>198</v>
      </c>
      <c r="I10" t="s">
        <v>196</v>
      </c>
      <c r="J10">
        <v>1.06</v>
      </c>
      <c r="K10">
        <v>1.0629999999999999</v>
      </c>
    </row>
    <row r="11" spans="2:11" x14ac:dyDescent="0.2">
      <c r="B11" t="s">
        <v>184</v>
      </c>
      <c r="C11" t="str">
        <f>Gebäude!B83</f>
        <v>Nein</v>
      </c>
      <c r="H11" t="s">
        <v>198</v>
      </c>
      <c r="I11" t="s">
        <v>197</v>
      </c>
      <c r="J11">
        <v>1.042</v>
      </c>
      <c r="K11">
        <v>1.0469999999999999</v>
      </c>
    </row>
    <row r="12" spans="2:11" x14ac:dyDescent="0.2">
      <c r="B12" t="s">
        <v>200</v>
      </c>
      <c r="C12" t="str">
        <f>Gebäude!B77</f>
        <v>innerhalb</v>
      </c>
      <c r="H12" t="s">
        <v>198</v>
      </c>
      <c r="I12" t="s">
        <v>178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208</v>
      </c>
      <c r="C14">
        <f>Bilanzierung!U36</f>
        <v>4999.9473177647496</v>
      </c>
      <c r="H14" t="s">
        <v>199</v>
      </c>
      <c r="I14" t="str">
        <f>IF(C13&lt;2,"EFH","MFH")</f>
        <v>MFH</v>
      </c>
    </row>
    <row r="15" spans="2:11" x14ac:dyDescent="0.2">
      <c r="H15" t="s">
        <v>201</v>
      </c>
      <c r="I15" s="7">
        <v>1.016</v>
      </c>
      <c r="J15" t="s">
        <v>203</v>
      </c>
    </row>
    <row r="16" spans="2:11" x14ac:dyDescent="0.2">
      <c r="E16" t="s">
        <v>177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171</v>
      </c>
      <c r="E17" t="s">
        <v>182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183</v>
      </c>
      <c r="F18">
        <f>IF(C11="Ja",0.015,0.042)</f>
        <v>4.2000000000000003E-2</v>
      </c>
    </row>
    <row r="19" spans="2:6" x14ac:dyDescent="0.2">
      <c r="B19" t="s">
        <v>172</v>
      </c>
      <c r="C19">
        <f>IF(C7="elektroheizungsflaechen",1.066+0.018,0)</f>
        <v>0</v>
      </c>
    </row>
    <row r="20" spans="2:6" x14ac:dyDescent="0.2">
      <c r="B20" t="s">
        <v>173</v>
      </c>
      <c r="C20">
        <f>IF(C7="heizkoerper",1.042+F16+0.009+0.03+0.036,0)</f>
        <v>0</v>
      </c>
      <c r="E20" s="6"/>
    </row>
    <row r="21" spans="2:6" x14ac:dyDescent="0.2">
      <c r="B21" t="s">
        <v>174</v>
      </c>
      <c r="C21">
        <f>IF(C7="flaechenheizung",1.042+F17+F18-0.03+0.036,0)</f>
        <v>1.111</v>
      </c>
      <c r="E21" s="6"/>
    </row>
    <row r="23" spans="2:6" x14ac:dyDescent="0.2">
      <c r="B23" t="s">
        <v>185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186</v>
      </c>
      <c r="C24">
        <f>(F6/(F7*F8))*1000</f>
        <v>0.3064823510344501</v>
      </c>
      <c r="E24" s="6"/>
    </row>
    <row r="25" spans="2:6" x14ac:dyDescent="0.2">
      <c r="B25" t="s">
        <v>189</v>
      </c>
      <c r="C25">
        <f>(F8/F9)*C23</f>
        <v>52.549612658542202</v>
      </c>
    </row>
    <row r="26" spans="2:6" x14ac:dyDescent="0.2">
      <c r="B26" t="s">
        <v>202</v>
      </c>
      <c r="C26">
        <f>C24*C23*1.06</f>
        <v>0.36093200551923049</v>
      </c>
    </row>
    <row r="27" spans="2:6" x14ac:dyDescent="0.2">
      <c r="B27" t="s">
        <v>204</v>
      </c>
      <c r="C27" s="7">
        <v>1.0022568883755001</v>
      </c>
      <c r="D27" t="s">
        <v>205</v>
      </c>
    </row>
    <row r="28" spans="2:6" x14ac:dyDescent="0.2">
      <c r="B28" t="s">
        <v>201</v>
      </c>
      <c r="C28">
        <f>I15</f>
        <v>1.016</v>
      </c>
      <c r="E28" s="6"/>
    </row>
    <row r="29" spans="2:6" x14ac:dyDescent="0.2">
      <c r="B29" t="s">
        <v>206</v>
      </c>
      <c r="C29">
        <f>C28*C27</f>
        <v>1.0182929985895082</v>
      </c>
      <c r="E29" s="6"/>
    </row>
    <row r="30" spans="2:6" x14ac:dyDescent="0.2">
      <c r="B30" t="s">
        <v>190</v>
      </c>
      <c r="C30">
        <f>1+(C29-1)*(50/C25)</f>
        <v>1.0174054552108431</v>
      </c>
    </row>
    <row r="31" spans="2:6" x14ac:dyDescent="0.2">
      <c r="B31" t="s">
        <v>207</v>
      </c>
      <c r="C31">
        <f>1+(C30-1)*(8760/C14)</f>
        <v>1.030494678834966</v>
      </c>
    </row>
    <row r="32" spans="2:6" x14ac:dyDescent="0.2">
      <c r="B32" t="s">
        <v>212</v>
      </c>
      <c r="C32">
        <f>Bilanzierung!V20</f>
        <v>1377</v>
      </c>
    </row>
    <row r="33" spans="2:5" x14ac:dyDescent="0.2">
      <c r="B33" t="s">
        <v>220</v>
      </c>
      <c r="C33">
        <f>Bilanzierung!U36</f>
        <v>4999.9473177647496</v>
      </c>
    </row>
    <row r="35" spans="2:5" x14ac:dyDescent="0.2">
      <c r="B35" s="2" t="s">
        <v>209</v>
      </c>
    </row>
    <row r="37" spans="2:5" x14ac:dyDescent="0.2">
      <c r="B37" t="s">
        <v>210</v>
      </c>
      <c r="C37" t="str">
        <f>Gebäude!B76</f>
        <v>Ja</v>
      </c>
    </row>
    <row r="38" spans="2:5" x14ac:dyDescent="0.2">
      <c r="B38" t="s">
        <v>211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t="s">
        <v>228</v>
      </c>
      <c r="C40" t="str">
        <f>IF(OR(F3="biomassekessel",F4="biomassekessel",F5="biomassekessel"),"Ja","Nein")</f>
        <v>Nein</v>
      </c>
    </row>
    <row r="41" spans="2:5" x14ac:dyDescent="0.2">
      <c r="B41" t="s">
        <v>231</v>
      </c>
      <c r="C41" t="str">
        <f>IF(OR(F3="waermepumpe",F4="waermepumpe",F5="waermepumpe"),"Ja","Nein")</f>
        <v>Ja</v>
      </c>
    </row>
    <row r="43" spans="2:5" x14ac:dyDescent="0.2">
      <c r="B43" s="2" t="s">
        <v>217</v>
      </c>
      <c r="C43" s="7">
        <v>1.0736222287534001</v>
      </c>
      <c r="D43" t="s">
        <v>219</v>
      </c>
    </row>
    <row r="44" spans="2:5" x14ac:dyDescent="0.2">
      <c r="B44" s="2" t="s">
        <v>221</v>
      </c>
      <c r="C44">
        <f>C43*C33/5000</f>
        <v>1.073610916589635</v>
      </c>
    </row>
    <row r="45" spans="2:5" x14ac:dyDescent="0.2">
      <c r="B45" s="2" t="s">
        <v>222</v>
      </c>
      <c r="C45">
        <f>C26*C31</f>
        <v>0.37193851110879961</v>
      </c>
    </row>
    <row r="47" spans="2:5" x14ac:dyDescent="0.2">
      <c r="B47" t="s">
        <v>214</v>
      </c>
      <c r="C47" s="7">
        <v>18436</v>
      </c>
      <c r="D47" t="s">
        <v>232</v>
      </c>
      <c r="E47" t="s">
        <v>218</v>
      </c>
    </row>
    <row r="48" spans="2:5" x14ac:dyDescent="0.2">
      <c r="B48" t="s">
        <v>215</v>
      </c>
      <c r="C48">
        <f>0.42*POWER(((C32*C39)/(365*0.036)),0.7)</f>
        <v>623.54499849662818</v>
      </c>
      <c r="D48" t="s">
        <v>232</v>
      </c>
      <c r="E48" s="6"/>
    </row>
    <row r="49" spans="2:5" x14ac:dyDescent="0.2">
      <c r="B49" s="2" t="s">
        <v>213</v>
      </c>
      <c r="C49">
        <f>IF(C39&gt;5000,C48/1000,C47/1000)</f>
        <v>18.436</v>
      </c>
      <c r="D49" t="s">
        <v>233</v>
      </c>
    </row>
    <row r="51" spans="2:5" x14ac:dyDescent="0.2">
      <c r="B51" s="2" t="s">
        <v>234</v>
      </c>
      <c r="C51">
        <f>IF(AND(C3="Ja",C41="Nein"),1.5*C49,0)</f>
        <v>0</v>
      </c>
    </row>
    <row r="52" spans="2:5" x14ac:dyDescent="0.2">
      <c r="B52" s="2" t="s">
        <v>235</v>
      </c>
      <c r="C52">
        <f>IF(AND(C3="Ja",C41="Ja"),1.3*F8/1000,0)</f>
        <v>19.922499416541832</v>
      </c>
    </row>
    <row r="53" spans="2:5" x14ac:dyDescent="0.2">
      <c r="B53" s="2" t="s">
        <v>236</v>
      </c>
      <c r="C53">
        <f>IF(AND(C3="Nein",C41="Nein"),1.5*C49,0)</f>
        <v>0</v>
      </c>
    </row>
    <row r="54" spans="2:5" x14ac:dyDescent="0.2">
      <c r="B54" s="2" t="s">
        <v>237</v>
      </c>
      <c r="C54">
        <f>IF(AND(C3="Nein",C41="Ja"),F8/1000,0)</f>
        <v>0</v>
      </c>
    </row>
    <row r="55" spans="2:5" x14ac:dyDescent="0.2">
      <c r="B55" s="2" t="s">
        <v>216</v>
      </c>
      <c r="C55">
        <f>SUM(C51:C54)</f>
        <v>19.922499416541832</v>
      </c>
    </row>
    <row r="57" spans="2:5" x14ac:dyDescent="0.2">
      <c r="B57" s="2" t="s">
        <v>223</v>
      </c>
      <c r="C57">
        <f>IF(C40="Ja",50*C55,0)</f>
        <v>0</v>
      </c>
    </row>
    <row r="58" spans="2:5" x14ac:dyDescent="0.2">
      <c r="B58" s="2" t="s">
        <v>224</v>
      </c>
      <c r="C58">
        <f>IF(AND(C40="Nein",C41="Ja"),9.5*C55,0)</f>
        <v>189.2637444571474</v>
      </c>
    </row>
    <row r="59" spans="2:5" x14ac:dyDescent="0.2">
      <c r="B59" s="2" t="s">
        <v>239</v>
      </c>
      <c r="C59">
        <f>SUM(C57:C58)</f>
        <v>189.2637444571474</v>
      </c>
    </row>
    <row r="61" spans="2:5" x14ac:dyDescent="0.2">
      <c r="B61" s="2" t="s">
        <v>238</v>
      </c>
      <c r="C61">
        <f>IF(C59&gt;1500,1500,C59)</f>
        <v>189.2637444571474</v>
      </c>
    </row>
    <row r="62" spans="2:5" x14ac:dyDescent="0.2">
      <c r="B62" s="2" t="s">
        <v>240</v>
      </c>
      <c r="C62">
        <f>IF(C59&gt;1500,C59-C61,0)</f>
        <v>0</v>
      </c>
    </row>
    <row r="64" spans="2:5" x14ac:dyDescent="0.2">
      <c r="B64" s="2" t="s">
        <v>241</v>
      </c>
      <c r="C64" s="7">
        <v>49.604286779429003</v>
      </c>
      <c r="E64" t="s">
        <v>244</v>
      </c>
    </row>
    <row r="65" spans="2:5" x14ac:dyDescent="0.2">
      <c r="B65" s="2" t="s">
        <v>242</v>
      </c>
      <c r="C65" s="7">
        <v>0</v>
      </c>
    </row>
    <row r="66" spans="2:5" x14ac:dyDescent="0.2">
      <c r="B66" s="2" t="s">
        <v>245</v>
      </c>
      <c r="C66">
        <f>SUM(C64:C65)</f>
        <v>49.604286779429003</v>
      </c>
    </row>
    <row r="68" spans="2:5" x14ac:dyDescent="0.2">
      <c r="B68" s="2" t="s">
        <v>246</v>
      </c>
      <c r="C68">
        <f>1+C66/(F6*C23*C31)</f>
        <v>1.001424063275965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F0F-1C91-984E-A382-DFE3170310F1}">
  <dimension ref="B2:M79"/>
  <sheetViews>
    <sheetView workbookViewId="0">
      <selection activeCell="H39" sqref="H39"/>
    </sheetView>
  </sheetViews>
  <sheetFormatPr baseColWidth="10" defaultRowHeight="16" x14ac:dyDescent="0.2"/>
  <cols>
    <col min="2" max="2" width="32" bestFit="1" customWidth="1"/>
    <col min="4" max="4" width="20.1640625" bestFit="1" customWidth="1"/>
  </cols>
  <sheetData>
    <row r="2" spans="2:7" x14ac:dyDescent="0.2">
      <c r="B2" s="2" t="s">
        <v>170</v>
      </c>
    </row>
    <row r="3" spans="2:7" x14ac:dyDescent="0.2">
      <c r="B3" t="s">
        <v>139</v>
      </c>
      <c r="C3" t="str">
        <f>Gebäude!B75</f>
        <v>Ja</v>
      </c>
    </row>
    <row r="4" spans="2:7" x14ac:dyDescent="0.2">
      <c r="B4" t="s">
        <v>247</v>
      </c>
      <c r="C4" t="str">
        <f>Gebäude!B77</f>
        <v>innerhalb</v>
      </c>
    </row>
    <row r="5" spans="2:7" x14ac:dyDescent="0.2">
      <c r="B5" t="s">
        <v>70</v>
      </c>
      <c r="C5">
        <f>Gebäude!B16</f>
        <v>324</v>
      </c>
    </row>
    <row r="6" spans="2:7" x14ac:dyDescent="0.2">
      <c r="B6" t="s">
        <v>298</v>
      </c>
      <c r="C6" t="str">
        <f>Gebäude!B91</f>
        <v>Ja</v>
      </c>
    </row>
    <row r="8" spans="2:7" x14ac:dyDescent="0.2">
      <c r="B8" s="2" t="s">
        <v>249</v>
      </c>
    </row>
    <row r="9" spans="2:7" x14ac:dyDescent="0.2">
      <c r="B9" t="s">
        <v>212</v>
      </c>
      <c r="C9">
        <f>Bilanzierung!V20</f>
        <v>1377</v>
      </c>
    </row>
    <row r="10" spans="2:7" x14ac:dyDescent="0.2">
      <c r="B10" t="s">
        <v>131</v>
      </c>
      <c r="C10">
        <f>Bilanzierung!U4</f>
        <v>8.5</v>
      </c>
    </row>
    <row r="12" spans="2:7" x14ac:dyDescent="0.2">
      <c r="B12" s="2" t="s">
        <v>252</v>
      </c>
    </row>
    <row r="13" spans="2:7" x14ac:dyDescent="0.2">
      <c r="B13" t="s">
        <v>251</v>
      </c>
      <c r="C13">
        <f>IF(C3="Ja",IF(C4="innerhalb",2.252,2.29),1.193)</f>
        <v>2.2519999999999998</v>
      </c>
    </row>
    <row r="14" spans="2:7" x14ac:dyDescent="0.2">
      <c r="B14" t="s">
        <v>250</v>
      </c>
      <c r="C14">
        <f>1+(C13-1)*(12.5/C9)</f>
        <v>1.011365286855483</v>
      </c>
      <c r="E14" s="6">
        <f>C13</f>
        <v>2.2519999999999998</v>
      </c>
      <c r="G14">
        <f>C9</f>
        <v>1377</v>
      </c>
    </row>
    <row r="15" spans="2:7" x14ac:dyDescent="0.2">
      <c r="E15" s="6"/>
    </row>
    <row r="16" spans="2:7" x14ac:dyDescent="0.2">
      <c r="B16" s="2" t="s">
        <v>253</v>
      </c>
    </row>
    <row r="17" spans="2:5" x14ac:dyDescent="0.2">
      <c r="B17" t="s">
        <v>254</v>
      </c>
      <c r="C17">
        <f>(C10/12.5)*((1+(C13-1)*(12.5/C10))/C13)</f>
        <v>0.85790408525754891</v>
      </c>
      <c r="E17" s="6" t="s">
        <v>255</v>
      </c>
    </row>
    <row r="20" spans="2:5" x14ac:dyDescent="0.2">
      <c r="B20" s="2" t="s">
        <v>257</v>
      </c>
      <c r="D20" s="2" t="s">
        <v>267</v>
      </c>
    </row>
    <row r="21" spans="2:5" x14ac:dyDescent="0.2">
      <c r="B21" t="s">
        <v>258</v>
      </c>
      <c r="C21" s="7">
        <v>228.6</v>
      </c>
      <c r="E21" t="s">
        <v>262</v>
      </c>
    </row>
    <row r="22" spans="2:5" x14ac:dyDescent="0.2">
      <c r="B22" t="s">
        <v>259</v>
      </c>
      <c r="C22">
        <v>0</v>
      </c>
    </row>
    <row r="23" spans="2:5" x14ac:dyDescent="0.2">
      <c r="B23" t="s">
        <v>260</v>
      </c>
      <c r="C23">
        <v>0</v>
      </c>
    </row>
    <row r="26" spans="2:5" x14ac:dyDescent="0.2">
      <c r="B26" s="2" t="s">
        <v>256</v>
      </c>
    </row>
    <row r="27" spans="2:5" x14ac:dyDescent="0.2">
      <c r="B27" t="s">
        <v>258</v>
      </c>
      <c r="C27">
        <v>1122</v>
      </c>
    </row>
    <row r="28" spans="2:5" x14ac:dyDescent="0.2">
      <c r="B28" t="s">
        <v>259</v>
      </c>
      <c r="C28" s="7"/>
      <c r="D28">
        <f>C5-5000</f>
        <v>-4676</v>
      </c>
      <c r="E28" t="s">
        <v>263</v>
      </c>
    </row>
    <row r="29" spans="2:5" x14ac:dyDescent="0.2">
      <c r="B29" t="s">
        <v>260</v>
      </c>
      <c r="C29">
        <v>0</v>
      </c>
    </row>
    <row r="31" spans="2:5" x14ac:dyDescent="0.2">
      <c r="B31" s="2" t="s">
        <v>261</v>
      </c>
    </row>
    <row r="32" spans="2:5" x14ac:dyDescent="0.2">
      <c r="B32" t="s">
        <v>258</v>
      </c>
      <c r="C32">
        <v>1122</v>
      </c>
    </row>
    <row r="33" spans="2:5" x14ac:dyDescent="0.2">
      <c r="B33" t="s">
        <v>259</v>
      </c>
      <c r="C33">
        <v>1122</v>
      </c>
    </row>
    <row r="34" spans="2:5" x14ac:dyDescent="0.2">
      <c r="B34" t="s">
        <v>260</v>
      </c>
      <c r="C34" s="7">
        <v>678.27</v>
      </c>
      <c r="D34">
        <f>C5-10000</f>
        <v>-9676</v>
      </c>
      <c r="E34" t="s">
        <v>264</v>
      </c>
    </row>
    <row r="36" spans="2:5" x14ac:dyDescent="0.2">
      <c r="B36" s="2" t="s">
        <v>265</v>
      </c>
    </row>
    <row r="37" spans="2:5" x14ac:dyDescent="0.2">
      <c r="B37" t="s">
        <v>258</v>
      </c>
      <c r="C37">
        <v>1122</v>
      </c>
    </row>
    <row r="38" spans="2:5" x14ac:dyDescent="0.2">
      <c r="B38" t="s">
        <v>259</v>
      </c>
      <c r="C38">
        <v>1122</v>
      </c>
    </row>
    <row r="39" spans="2:5" x14ac:dyDescent="0.2">
      <c r="B39" t="s">
        <v>260</v>
      </c>
      <c r="C39">
        <v>756</v>
      </c>
    </row>
    <row r="41" spans="2:5" x14ac:dyDescent="0.2">
      <c r="B41" s="2" t="s">
        <v>266</v>
      </c>
    </row>
    <row r="42" spans="2:5" x14ac:dyDescent="0.2">
      <c r="B42" t="s">
        <v>258</v>
      </c>
      <c r="C42">
        <f>IF($C$5&lt;5000,C21,IF(AND($C$5&gt;=5000,$C$5&lt;10000),C27,IF(AND($C$5&gt;=10000,$C$5&lt;13368.98),C32,1122)))</f>
        <v>228.6</v>
      </c>
    </row>
    <row r="43" spans="2:5" x14ac:dyDescent="0.2">
      <c r="B43" t="s">
        <v>259</v>
      </c>
      <c r="C43">
        <f t="shared" ref="C43:C44" si="0">IF($C$5&lt;5000,C22,IF(AND($C$5&gt;=5000,$C$5&lt;10000),C28,IF(AND($C$5&gt;=10000,$C$5&lt;13368.98),C33,1122)))</f>
        <v>0</v>
      </c>
    </row>
    <row r="44" spans="2:5" x14ac:dyDescent="0.2">
      <c r="B44" t="s">
        <v>260</v>
      </c>
      <c r="C44">
        <f t="shared" si="0"/>
        <v>0</v>
      </c>
    </row>
    <row r="45" spans="2:5" x14ac:dyDescent="0.2">
      <c r="B45" t="s">
        <v>270</v>
      </c>
      <c r="C45">
        <f>SUM(C42:C44)</f>
        <v>228.6</v>
      </c>
    </row>
    <row r="48" spans="2:5" x14ac:dyDescent="0.2">
      <c r="B48" s="2" t="s">
        <v>268</v>
      </c>
    </row>
    <row r="49" spans="2:6" x14ac:dyDescent="0.2">
      <c r="B49" t="s">
        <v>268</v>
      </c>
      <c r="C49">
        <f>IF( C45*(C10/12.5)&gt;3000,3000,C45*(C10/12.5))</f>
        <v>155.44800000000001</v>
      </c>
      <c r="E49" t="s">
        <v>269</v>
      </c>
    </row>
    <row r="51" spans="2:6" x14ac:dyDescent="0.2">
      <c r="B51" t="s">
        <v>271</v>
      </c>
      <c r="C51">
        <f>IF(C49&gt;=1500,1500,C49)</f>
        <v>155.44800000000001</v>
      </c>
      <c r="E51" s="6" t="s">
        <v>273</v>
      </c>
    </row>
    <row r="52" spans="2:6" x14ac:dyDescent="0.2">
      <c r="B52" t="s">
        <v>272</v>
      </c>
      <c r="C52">
        <f>IF(C49&gt;=1500,C49-C51,0)</f>
        <v>0</v>
      </c>
    </row>
    <row r="53" spans="2:6" x14ac:dyDescent="0.2">
      <c r="D53" t="s">
        <v>278</v>
      </c>
    </row>
    <row r="54" spans="2:6" x14ac:dyDescent="0.2">
      <c r="B54" t="s">
        <v>274</v>
      </c>
      <c r="C54" s="7">
        <v>603.71680000000003</v>
      </c>
      <c r="E54" t="s">
        <v>275</v>
      </c>
    </row>
    <row r="55" spans="2:6" x14ac:dyDescent="0.2">
      <c r="B55" t="s">
        <v>277</v>
      </c>
      <c r="C55" s="7">
        <v>0</v>
      </c>
      <c r="E55" t="s">
        <v>276</v>
      </c>
    </row>
    <row r="57" spans="2:6" x14ac:dyDescent="0.2">
      <c r="B57" t="s">
        <v>280</v>
      </c>
      <c r="C57">
        <f>SUM(C54:C55)*1.32</f>
        <v>796.90617600000007</v>
      </c>
    </row>
    <row r="59" spans="2:6" x14ac:dyDescent="0.2">
      <c r="B59" s="11" t="s">
        <v>281</v>
      </c>
      <c r="C59" s="11"/>
      <c r="D59" s="11"/>
      <c r="E59" s="11"/>
      <c r="F59" s="11"/>
    </row>
    <row r="61" spans="2:6" x14ac:dyDescent="0.2">
      <c r="B61" t="s">
        <v>282</v>
      </c>
      <c r="C61">
        <f>IF(C4="innerhalb",1.008,1.2096)</f>
        <v>1.008</v>
      </c>
      <c r="F61" s="6" t="s">
        <v>288</v>
      </c>
    </row>
    <row r="63" spans="2:6" x14ac:dyDescent="0.2">
      <c r="B63" t="s">
        <v>284</v>
      </c>
      <c r="C63" s="7">
        <v>244.16</v>
      </c>
    </row>
    <row r="64" spans="2:6" x14ac:dyDescent="0.2">
      <c r="B64" t="s">
        <v>285</v>
      </c>
      <c r="C64" s="7">
        <v>427.84</v>
      </c>
    </row>
    <row r="65" spans="2:13" x14ac:dyDescent="0.2">
      <c r="B65" t="s">
        <v>286</v>
      </c>
      <c r="C65" s="7">
        <v>11.1</v>
      </c>
    </row>
    <row r="66" spans="2:13" x14ac:dyDescent="0.2">
      <c r="B66" t="s">
        <v>287</v>
      </c>
      <c r="C66" s="7">
        <v>4277.92</v>
      </c>
    </row>
    <row r="68" spans="2:13" x14ac:dyDescent="0.2">
      <c r="B68" t="s">
        <v>283</v>
      </c>
      <c r="C68">
        <f>IF($C$5&gt;=5000,C63*(C5/5000), C63)*$C$17</f>
        <v>209.46586145648314</v>
      </c>
    </row>
    <row r="69" spans="2:13" x14ac:dyDescent="0.2">
      <c r="B69" t="s">
        <v>289</v>
      </c>
      <c r="C69">
        <f>IF($C$5&gt;=5000,C64*(C6/5000), C64)*$C$17</f>
        <v>367.04568383658972</v>
      </c>
    </row>
    <row r="70" spans="2:13" x14ac:dyDescent="0.2">
      <c r="B70" t="s">
        <v>290</v>
      </c>
      <c r="C70">
        <f>IF($C$5&gt;=5000,C65*(C8/5000), C65)*$C$17</f>
        <v>9.5227353463587932</v>
      </c>
    </row>
    <row r="71" spans="2:13" x14ac:dyDescent="0.2">
      <c r="B71" t="s">
        <v>291</v>
      </c>
      <c r="C71">
        <f>IF($C$5&gt;=5000,C66*(C9/5000), C66)*(C70/C65)</f>
        <v>3670.0450444049739</v>
      </c>
      <c r="G71" s="6"/>
    </row>
    <row r="72" spans="2:13" x14ac:dyDescent="0.2">
      <c r="E72" t="s">
        <v>294</v>
      </c>
      <c r="F72" t="s">
        <v>295</v>
      </c>
      <c r="M72" s="6" t="s">
        <v>293</v>
      </c>
    </row>
    <row r="73" spans="2:13" x14ac:dyDescent="0.2">
      <c r="B73" t="s">
        <v>292</v>
      </c>
      <c r="C73">
        <f>C61*E73*F73</f>
        <v>142.94206593439296</v>
      </c>
      <c r="E73">
        <f>0.4+0.2*(POWER(C68+C69,0.4))</f>
        <v>2.9430400463103736</v>
      </c>
      <c r="F73">
        <f>(POWER(C68/(C68+C69),2)*365)</f>
        <v>48.184055555555545</v>
      </c>
    </row>
    <row r="75" spans="2:13" x14ac:dyDescent="0.2">
      <c r="B75" s="4"/>
      <c r="C75" s="4"/>
      <c r="D75" s="4"/>
      <c r="E75" s="4"/>
      <c r="F75" s="4"/>
    </row>
    <row r="77" spans="2:13" x14ac:dyDescent="0.2">
      <c r="B77" t="s">
        <v>279</v>
      </c>
      <c r="C77">
        <f>IF(C6="Ja",C73,C57)</f>
        <v>142.94206593439296</v>
      </c>
      <c r="I77" s="6" t="s">
        <v>297</v>
      </c>
    </row>
    <row r="79" spans="2:13" x14ac:dyDescent="0.2">
      <c r="B79" t="s">
        <v>296</v>
      </c>
      <c r="C79">
        <f>1+(C77/(C9*C14*1))</f>
        <v>1.1026403374389782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Gebäude</vt:lpstr>
      <vt:lpstr>Dach</vt:lpstr>
      <vt:lpstr>Bilanzierung</vt:lpstr>
      <vt:lpstr>Heizung</vt:lpstr>
      <vt:lpstr>Trinkwarmwasser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2023-11-24T10:49:28Z</dcterms:modified>
</cp:coreProperties>
</file>