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C5AFE753-7760-1247-BB78-51C6280C1A37}" xr6:coauthVersionLast="47" xr6:coauthVersionMax="47" xr10:uidLastSave="{00000000-0000-0000-0000-000000000000}"/>
  <bookViews>
    <workbookView xWindow="0" yWindow="740" windowWidth="30240" windowHeight="18900" xr2:uid="{7CF02650-DC02-AA49-AC3A-4487EF2FF614}"/>
  </bookViews>
  <sheets>
    <sheet name="Gebäude" sheetId="1" r:id="rId1"/>
    <sheet name="Dach" sheetId="2" r:id="rId2"/>
    <sheet name="Bilanzierung" sheetId="3" r:id="rId3"/>
    <sheet name="Heizsyste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11" i="1"/>
  <c r="S12" i="1"/>
  <c r="C9" i="5"/>
  <c r="Y4" i="3" s="1"/>
  <c r="C8" i="5"/>
  <c r="C7" i="5"/>
  <c r="T25" i="3"/>
  <c r="T26" i="3"/>
  <c r="T27" i="3"/>
  <c r="T28" i="3"/>
  <c r="T29" i="3"/>
  <c r="T30" i="3"/>
  <c r="T31" i="3"/>
  <c r="S25" i="3"/>
  <c r="S26" i="3"/>
  <c r="S27" i="3"/>
  <c r="S28" i="3"/>
  <c r="S29" i="3"/>
  <c r="S30" i="3"/>
  <c r="S31" i="3"/>
  <c r="S32" i="3"/>
  <c r="S33" i="3"/>
  <c r="S34" i="3"/>
  <c r="S35" i="3"/>
  <c r="S24" i="3"/>
  <c r="T24" i="3" s="1"/>
  <c r="O25" i="3"/>
  <c r="O26" i="3"/>
  <c r="O27" i="3"/>
  <c r="O28" i="3"/>
  <c r="O29" i="3"/>
  <c r="O30" i="3"/>
  <c r="O31" i="3"/>
  <c r="O32" i="3"/>
  <c r="O33" i="3"/>
  <c r="O34" i="3"/>
  <c r="O35" i="3"/>
  <c r="O24" i="3"/>
  <c r="I51" i="1"/>
  <c r="I52" i="1"/>
  <c r="I53" i="1"/>
  <c r="I54" i="1"/>
  <c r="I55" i="1"/>
  <c r="I56" i="1"/>
  <c r="I57" i="1"/>
  <c r="I58" i="1"/>
  <c r="I59" i="1"/>
  <c r="I60" i="1"/>
  <c r="I61" i="1"/>
  <c r="I50" i="1"/>
  <c r="U4" i="3"/>
  <c r="B34" i="1" a="1"/>
  <c r="B34" i="1" s="1"/>
  <c r="I3" i="3" s="1"/>
  <c r="I4" i="3" s="1"/>
  <c r="B51" i="1"/>
  <c r="D37" i="3"/>
  <c r="C2" i="3"/>
  <c r="B14" i="1" l="1"/>
  <c r="T35" i="3" s="1"/>
  <c r="H35" i="1"/>
  <c r="J35" i="1" s="1"/>
  <c r="B28" i="1"/>
  <c r="B11" i="1"/>
  <c r="T32" i="3" s="1"/>
  <c r="B7" i="2"/>
  <c r="S9" i="1" s="1"/>
  <c r="N6" i="1"/>
  <c r="K6" i="1"/>
  <c r="N4" i="1"/>
  <c r="K7" i="1"/>
  <c r="K4" i="1"/>
  <c r="E12" i="1"/>
  <c r="H5" i="1"/>
  <c r="H7" i="1" s="1"/>
  <c r="H4" i="1"/>
  <c r="E11" i="1"/>
  <c r="E10" i="1"/>
  <c r="S15" i="1" l="1"/>
  <c r="S17" i="1" s="1"/>
  <c r="S16" i="1"/>
  <c r="K5" i="1"/>
  <c r="E3" i="1"/>
  <c r="K8" i="1"/>
  <c r="N8" i="1"/>
  <c r="B20" i="2"/>
  <c r="P7" i="1"/>
  <c r="P4" i="1"/>
  <c r="P5" i="1"/>
  <c r="H12" i="1"/>
  <c r="H14" i="1" s="1"/>
  <c r="H11" i="1"/>
  <c r="H6" i="1"/>
  <c r="H8" i="1" s="1"/>
  <c r="E4" i="1" l="1"/>
  <c r="B12" i="1" s="1"/>
  <c r="H36" i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B16" i="1" l="1"/>
  <c r="C3" i="3" s="1"/>
  <c r="T33" i="3"/>
  <c r="B15" i="1"/>
  <c r="B43" i="1" s="1"/>
  <c r="B59" i="1" s="1"/>
  <c r="B60" i="1" s="1"/>
  <c r="J12" i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V10" i="3" l="1"/>
  <c r="W10" i="3" s="1"/>
  <c r="E12" i="3"/>
  <c r="F12" i="3" s="1"/>
  <c r="D8" i="3"/>
  <c r="V13" i="3"/>
  <c r="W13" i="3" s="1"/>
  <c r="V14" i="3"/>
  <c r="W14" i="3" s="1"/>
  <c r="E15" i="3"/>
  <c r="F15" i="3" s="1"/>
  <c r="V18" i="3"/>
  <c r="W18" i="3" s="1"/>
  <c r="D19" i="3"/>
  <c r="V9" i="3"/>
  <c r="W9" i="3" s="1"/>
  <c r="E19" i="3"/>
  <c r="F19" i="3" s="1"/>
  <c r="V15" i="3"/>
  <c r="W15" i="3" s="1"/>
  <c r="E14" i="3"/>
  <c r="F14" i="3" s="1"/>
  <c r="D18" i="3"/>
  <c r="V17" i="3"/>
  <c r="W17" i="3" s="1"/>
  <c r="E10" i="3"/>
  <c r="F10" i="3" s="1"/>
  <c r="D10" i="3"/>
  <c r="V11" i="3"/>
  <c r="W11" i="3" s="1"/>
  <c r="E17" i="3"/>
  <c r="F17" i="3" s="1"/>
  <c r="D13" i="3"/>
  <c r="V8" i="3"/>
  <c r="D9" i="3"/>
  <c r="E8" i="3"/>
  <c r="F8" i="3" s="1"/>
  <c r="E11" i="3"/>
  <c r="F11" i="3" s="1"/>
  <c r="D16" i="3"/>
  <c r="E18" i="3"/>
  <c r="F18" i="3" s="1"/>
  <c r="V12" i="3"/>
  <c r="W12" i="3" s="1"/>
  <c r="E16" i="3"/>
  <c r="F16" i="3" s="1"/>
  <c r="D14" i="3"/>
  <c r="D15" i="3"/>
  <c r="E13" i="3"/>
  <c r="F13" i="3" s="1"/>
  <c r="D17" i="3"/>
  <c r="E9" i="3"/>
  <c r="F9" i="3" s="1"/>
  <c r="D12" i="3"/>
  <c r="V16" i="3"/>
  <c r="W16" i="3" s="1"/>
  <c r="D11" i="3"/>
  <c r="V19" i="3"/>
  <c r="W19" i="3" s="1"/>
  <c r="O10" i="3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F20" i="3" l="1"/>
  <c r="W8" i="3"/>
  <c r="W20" i="3" s="1"/>
  <c r="V20" i="3"/>
  <c r="Q20" i="3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T34" i="3" s="1"/>
  <c r="B18" i="1"/>
  <c r="R20" i="3" l="1"/>
  <c r="F25" i="3"/>
  <c r="F29" i="3"/>
  <c r="F31" i="3"/>
  <c r="F32" i="3"/>
  <c r="F33" i="3"/>
  <c r="F34" i="3"/>
  <c r="F35" i="3"/>
  <c r="F24" i="3"/>
  <c r="F26" i="3"/>
  <c r="F27" i="3"/>
  <c r="F28" i="3"/>
  <c r="F30" i="3"/>
  <c r="G32" i="3" l="1"/>
  <c r="H32" i="3" s="1"/>
  <c r="AC16" i="3" s="1"/>
  <c r="AF16" i="3" s="1"/>
  <c r="I32" i="3" s="1"/>
  <c r="J32" i="3" s="1"/>
  <c r="L32" i="3" s="1"/>
  <c r="M32" i="3" s="1"/>
  <c r="N32" i="3" s="1"/>
  <c r="P32" i="3" s="1"/>
  <c r="G27" i="3"/>
  <c r="H27" i="3" s="1"/>
  <c r="AC11" i="3" s="1"/>
  <c r="AF11" i="3" s="1"/>
  <c r="I27" i="3" s="1"/>
  <c r="J27" i="3" s="1"/>
  <c r="L27" i="3" s="1"/>
  <c r="M27" i="3" s="1"/>
  <c r="N27" i="3" s="1"/>
  <c r="P27" i="3" s="1"/>
  <c r="G26" i="3"/>
  <c r="H26" i="3" s="1"/>
  <c r="AC10" i="3" s="1"/>
  <c r="AF10" i="3" s="1"/>
  <c r="I26" i="3" s="1"/>
  <c r="J26" i="3" s="1"/>
  <c r="L26" i="3" s="1"/>
  <c r="M26" i="3" s="1"/>
  <c r="N26" i="3" s="1"/>
  <c r="P26" i="3" s="1"/>
  <c r="G35" i="3"/>
  <c r="H35" i="3" s="1"/>
  <c r="AC19" i="3" s="1"/>
  <c r="AF19" i="3" s="1"/>
  <c r="I35" i="3" s="1"/>
  <c r="J35" i="3" s="1"/>
  <c r="L35" i="3" s="1"/>
  <c r="M35" i="3" s="1"/>
  <c r="N35" i="3" s="1"/>
  <c r="P35" i="3" s="1"/>
  <c r="G33" i="3"/>
  <c r="H33" i="3" s="1"/>
  <c r="AC17" i="3" s="1"/>
  <c r="AF17" i="3" s="1"/>
  <c r="I33" i="3" s="1"/>
  <c r="J33" i="3" s="1"/>
  <c r="L33" i="3" s="1"/>
  <c r="M33" i="3" s="1"/>
  <c r="N33" i="3" s="1"/>
  <c r="P33" i="3" s="1"/>
  <c r="G29" i="3"/>
  <c r="H29" i="3" s="1"/>
  <c r="AC13" i="3" s="1"/>
  <c r="AF13" i="3" s="1"/>
  <c r="I29" i="3" s="1"/>
  <c r="J29" i="3" s="1"/>
  <c r="L29" i="3" s="1"/>
  <c r="M29" i="3" s="1"/>
  <c r="N29" i="3" s="1"/>
  <c r="P29" i="3" s="1"/>
  <c r="G25" i="3"/>
  <c r="H25" i="3" s="1"/>
  <c r="AC9" i="3" s="1"/>
  <c r="AF9" i="3" s="1"/>
  <c r="I25" i="3" s="1"/>
  <c r="J25" i="3" s="1"/>
  <c r="L25" i="3" s="1"/>
  <c r="M25" i="3" s="1"/>
  <c r="N25" i="3" s="1"/>
  <c r="P25" i="3" s="1"/>
  <c r="G28" i="3"/>
  <c r="H28" i="3" s="1"/>
  <c r="AC12" i="3" s="1"/>
  <c r="AF12" i="3" s="1"/>
  <c r="I28" i="3" s="1"/>
  <c r="J28" i="3" s="1"/>
  <c r="L28" i="3" s="1"/>
  <c r="M28" i="3" s="1"/>
  <c r="N28" i="3" s="1"/>
  <c r="P28" i="3" s="1"/>
  <c r="G24" i="3"/>
  <c r="H24" i="3" s="1"/>
  <c r="AC8" i="3" s="1"/>
  <c r="AF8" i="3" s="1"/>
  <c r="I24" i="3" s="1"/>
  <c r="G34" i="3"/>
  <c r="H34" i="3" s="1"/>
  <c r="AC18" i="3" s="1"/>
  <c r="AF18" i="3" s="1"/>
  <c r="I34" i="3" s="1"/>
  <c r="J34" i="3" s="1"/>
  <c r="L34" i="3" s="1"/>
  <c r="M34" i="3" s="1"/>
  <c r="N34" i="3" s="1"/>
  <c r="P34" i="3" s="1"/>
  <c r="G31" i="3"/>
  <c r="H31" i="3" s="1"/>
  <c r="AC15" i="3" s="1"/>
  <c r="AF15" i="3" s="1"/>
  <c r="I31" i="3" s="1"/>
  <c r="J31" i="3" s="1"/>
  <c r="L31" i="3" s="1"/>
  <c r="M31" i="3" s="1"/>
  <c r="N31" i="3" s="1"/>
  <c r="P31" i="3" s="1"/>
  <c r="G30" i="3"/>
  <c r="H30" i="3" s="1"/>
  <c r="AC14" i="3" s="1"/>
  <c r="AF14" i="3" s="1"/>
  <c r="I30" i="3" s="1"/>
  <c r="J30" i="3" s="1"/>
  <c r="L30" i="3" s="1"/>
  <c r="M30" i="3" s="1"/>
  <c r="N30" i="3" s="1"/>
  <c r="P30" i="3" s="1"/>
  <c r="Q32" i="3"/>
  <c r="Q28" i="3" l="1"/>
  <c r="AB28" i="3" s="1"/>
  <c r="Q25" i="3"/>
  <c r="Q27" i="3"/>
  <c r="AB27" i="3" s="1"/>
  <c r="Q29" i="3"/>
  <c r="Q33" i="3"/>
  <c r="AB33" i="3" s="1"/>
  <c r="AC20" i="3"/>
  <c r="AB29" i="3"/>
  <c r="Q30" i="3"/>
  <c r="AB30" i="3" s="1"/>
  <c r="Q35" i="3"/>
  <c r="AB35" i="3" s="1"/>
  <c r="AB25" i="3"/>
  <c r="AB32" i="3"/>
  <c r="Q31" i="3"/>
  <c r="AB31" i="3" s="1"/>
  <c r="Q34" i="3"/>
  <c r="AB34" i="3" s="1"/>
  <c r="Q26" i="3"/>
  <c r="AB26" i="3" s="1"/>
  <c r="AF20" i="3"/>
  <c r="J24" i="3"/>
  <c r="L24" i="3" s="1"/>
  <c r="M24" i="3" s="1"/>
  <c r="N24" i="3" l="1"/>
  <c r="N37" i="3"/>
  <c r="Q24" i="3" l="1"/>
  <c r="AB24" i="3" s="1"/>
  <c r="AB36" i="3" s="1"/>
  <c r="P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<sst xmlns="http://schemas.openxmlformats.org/spreadsheetml/2006/main" count="357" uniqueCount="181">
  <si>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</si>
  <si>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</si>
  <si>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</si>
  <si>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</si>
  <si>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</si>
  <si>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</si>
  <si>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</si>
  <si>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</si>
  <si>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</si>
  <si>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</si>
  <si>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</si>
  <si>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</si>
  <si>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</si>
  <si>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</si>
  <si>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</si>
  <si>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</si>
  <si>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</si>
  <si>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</si>
  <si>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</si>
  <si>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</si>
  <si>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</si>
  <si>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</si>
  <si>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</si>
  <si>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</si>
  <si>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</si>
  <si>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</si>
  <si>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</si>
  <si>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</si>
  <si>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</si>
  <si>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</si>
  <si>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</si>
  <si>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</si>
  <si>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</si>
  <si>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</si>
  <si>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</si>
  <si>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</si>
  <si>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</si>
  <si>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</si>
  <si>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</si>
  <si>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</si>
  <si>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</si>
  <si>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</si>
  <si>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</si>
  <si>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</si>
  <si>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</si>
  <si>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</si>
  <si>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</si>
  <si>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</si>
  <si>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</si>
  <si>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</si>
  <si>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</si>
  <si>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</si>
  <si>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</si>
  <si>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</si>
  <si>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</si>
  <si>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</si>
  <si>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</si>
  <si>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</si>
  <si>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</si>
  <si>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</si>
  <si>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</si>
  <si>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</si>
  <si>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</si>
  <si>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</si>
  <si>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</si>
  <si>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</si>
  <si>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</si>
  <si>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</si>
  <si>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</si>
  <si>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</si>
  <si>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</si>
  <si>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</si>
  <si>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</si>
  <si>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</si>
  <si>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</si>
  <si>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</si>
  <si>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</si>
  <si>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</si>
  <si>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</si>
  <si>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</si>
  <si>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</si>
  <si>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</si>
  <si>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</si>
  <si>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</si>
  <si>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</si>
  <si>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</si>
  <si>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</si>
  <si>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</si>
  <si>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</si>
  <si>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</si>
  <si>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</si>
  <si>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</si>
  <si>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</si>
  <si>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</si>
  <si>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</si>
  <si>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</si>
  <si>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</si>
  <si>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</si>
  <si>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</si>
  <si>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</si>
  <si>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</si>
  <si>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</si>
  <si>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</si>
  <si>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</si>
  <si>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</si>
  <si>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</si>
  <si>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</si>
  <si>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</si>
  <si>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</si>
  <si>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</si>
  <si>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</si>
  <si>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</si>
  <si>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</si>
  <si>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</si>
  <si>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</si>
  <si>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</si>
  <si>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</si>
  <si>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</si>
  <si>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</si>
  <si>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</si>
  <si>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</si>
  <si>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</si>
  <si>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</si>
  <si>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</si>
  <si>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</si>
  <si>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</si>
  <si>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</si>
  <si>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</si>
  <si>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</si>
  <si>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</si>
  <si>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</si>
  <si>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</si>
  <si>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</si>
  <si>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</si>
  <si>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</si>
  <si>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</si>
  <si>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</si>
  <si>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</si>
  <si>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</si>
  <si>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</si>
  <si>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</si>
  <si>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</si>
  <si>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</si>
  <si>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</si>
  <si>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</si>
  <si>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</si>
  <si>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</si>
  <si>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</si>
  <si>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</si>
  <si>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</si>
  <si>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</si>
  <si>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</si>
  <si>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</si>
  <si>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</si>
  <si>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</si>
  <si>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</si>
  <si>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</si>
  <si>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</si>
  <si>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</si>
  <si>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</si>
  <si>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</t>
  </si>
  <si>
    <t>ßhma</t>
  </si>
  <si>
    <t>thm 1</t>
  </si>
  <si>
    <t>thm 2</t>
  </si>
  <si>
    <t>Nutzenergiebedarf</t>
  </si>
  <si>
    <t>kWh</t>
  </si>
  <si>
    <t>qh</t>
  </si>
  <si>
    <t>flna</t>
  </si>
  <si>
    <t>1 - ( ( 10 - $this-&gt;monatsdaten-&gt;temperatur( $monat ) ) / 22 );</t>
  </si>
  <si>
    <t>flna temp</t>
  </si>
  <si>
    <t>Temperaturen</t>
  </si>
  <si>
    <t>ehd</t>
  </si>
  <si>
    <t>ehd0 Einfamilienhäuser</t>
  </si>
  <si>
    <t>Vorlauftemperatur Übergabe</t>
  </si>
  <si>
    <t>Standort Heizung</t>
  </si>
  <si>
    <t>ausserhalb</t>
  </si>
  <si>
    <t>90/70</t>
  </si>
  <si>
    <t>70/55</t>
  </si>
  <si>
    <t>55/45</t>
  </si>
  <si>
    <t>35/28</t>
  </si>
  <si>
    <t>Berechnung Satteldach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</si>
</sst>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6" fillId="0" borderId="0" xfId="0" applyFont="1"/>
    <xf numFmtId="0" fontId="1" fillId="0" borderId="6" xfId="0" applyFont="1" applyBorder="1"/>
    <xf numFmtId="0" fontId="1" fillId="0" borderId="3" xfId="0" applyFont="1" applyBorder="1"/>
    <xf numFmtId="0" fontId="0" fillId="0" borderId="0" xfId="0" applyFont="1"/>
    <xf numFmtId="0" fontId="0" fillId="0" borderId="1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S69"/>
  <sheetViews>
    <sheetView tabSelected="1" topLeftCell="D1" workbookViewId="0">
      <selection activeCell="O26" sqref="O26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  <col min="18" max="18" width="20.5" bestFit="1" customWidth="1"/>
    <col min="19" max="19" width="12.1640625" bestFit="1" customWidth="1"/>
  </cols>
  <sheetData>
    <row r="1" spans="1:19" x14ac:dyDescent="0.2">
      <c r="A1" s="2" t="s">
        <v>0</v>
      </c>
      <c r="B1" t="s">
        <v>48</v>
      </c>
      <c r="C1">
        <v>1990</v>
      </c>
    </row>
    <row r="3" spans="1:19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  <c r="R3" s="2" t="s">
        <v>180</v>
      </c>
    </row>
    <row r="4" spans="1:19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Gebäude!S5</f>
        <v>10</v>
      </c>
      <c r="M4" t="s">
        <v>1</v>
      </c>
      <c r="N4">
        <f>Gebäude!$S$8</f>
        <v>7.5</v>
      </c>
      <c r="P4">
        <f>H4+K4+N4</f>
        <v>67.5</v>
      </c>
    </row>
    <row r="5" spans="1:19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Gebäude!S6</f>
        <v>15</v>
      </c>
      <c r="M5" t="s">
        <v>2</v>
      </c>
      <c r="N5">
        <v>0</v>
      </c>
      <c r="P5">
        <f t="shared" ref="P5:P7" si="0">H5+K5+N5</f>
        <v>90</v>
      </c>
      <c r="R5" t="s">
        <v>16</v>
      </c>
      <c r="S5">
        <f>Dach!B3*Dach!B5</f>
        <v>10</v>
      </c>
    </row>
    <row r="6" spans="1:19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Gebäude!S5</f>
        <v>10</v>
      </c>
      <c r="M6" t="s">
        <v>28</v>
      </c>
      <c r="N6">
        <f>Gebäude!$S$8</f>
        <v>7.5</v>
      </c>
      <c r="P6">
        <f t="shared" si="0"/>
        <v>67.5</v>
      </c>
      <c r="R6" t="s">
        <v>17</v>
      </c>
      <c r="S6">
        <f>Dach!B3*Dach!B6</f>
        <v>15</v>
      </c>
    </row>
    <row r="7" spans="1:19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Gebäude!S6</f>
        <v>15</v>
      </c>
      <c r="L7" s="4"/>
      <c r="M7" s="4" t="s">
        <v>29</v>
      </c>
      <c r="N7" s="4">
        <v>0</v>
      </c>
      <c r="O7" s="4"/>
      <c r="P7" s="4">
        <f t="shared" si="0"/>
        <v>90</v>
      </c>
      <c r="R7" t="s">
        <v>18</v>
      </c>
      <c r="S7">
        <f xml:space="preserve"> S5*2+S6*2</f>
        <v>50</v>
      </c>
    </row>
    <row r="8" spans="1:19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  <c r="R8" t="s">
        <v>19</v>
      </c>
      <c r="S8">
        <f>(Dach!B4-Dach!B3)*(Dach!B5/2)</f>
        <v>7.5</v>
      </c>
    </row>
    <row r="9" spans="1:19" x14ac:dyDescent="0.2">
      <c r="A9" t="s">
        <v>4</v>
      </c>
      <c r="B9" s="3">
        <v>0.25</v>
      </c>
      <c r="J9" s="2"/>
      <c r="R9" t="s">
        <v>35</v>
      </c>
      <c r="S9">
        <f>SQRT(SUMSQ(Dach!B7)+SUMSQ(Dach!B5/2))</f>
        <v>5.2201532544552753</v>
      </c>
    </row>
    <row r="10" spans="1:19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9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  <c r="R11" t="s">
        <v>15</v>
      </c>
      <c r="S11">
        <f>Dach!B5*Dach!B6*Dach!B3</f>
        <v>150</v>
      </c>
    </row>
    <row r="12" spans="1:19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  <c r="R12" t="s">
        <v>20</v>
      </c>
      <c r="S12">
        <f>S8*Dach!B6</f>
        <v>112.5</v>
      </c>
    </row>
    <row r="13" spans="1:19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9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  <c r="R14" s="2" t="s">
        <v>34</v>
      </c>
    </row>
    <row r="15" spans="1:19" x14ac:dyDescent="0.2">
      <c r="A15" t="s">
        <v>52</v>
      </c>
      <c r="B15">
        <f>B12*B14</f>
        <v>769.5</v>
      </c>
      <c r="R15" t="s">
        <v>2</v>
      </c>
      <c r="S15">
        <f>S9*Dach!B6</f>
        <v>78.302298816829136</v>
      </c>
    </row>
    <row r="16" spans="1:19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  <c r="R16" t="s">
        <v>29</v>
      </c>
      <c r="S16">
        <f>S9*Dach!B6</f>
        <v>78.302298816829136</v>
      </c>
    </row>
    <row r="17" spans="1:19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  <c r="R17" t="s">
        <v>11</v>
      </c>
      <c r="S17">
        <f>S15+S16</f>
        <v>156.60459763365827</v>
      </c>
    </row>
    <row r="18" spans="1:19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9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9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9" x14ac:dyDescent="0.2">
      <c r="A21" t="s">
        <v>24</v>
      </c>
      <c r="B21" s="3" t="s">
        <v>26</v>
      </c>
    </row>
    <row r="22" spans="1:19" x14ac:dyDescent="0.2">
      <c r="A22" t="s">
        <v>25</v>
      </c>
      <c r="B22" s="3" t="s">
        <v>26</v>
      </c>
      <c r="G22" s="2" t="s">
        <v>23</v>
      </c>
      <c r="J22" s="2"/>
    </row>
    <row r="23" spans="1:19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9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9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9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9" x14ac:dyDescent="0.2">
      <c r="A27" t="s">
        <v>23</v>
      </c>
      <c r="B27" s="3">
        <v>0.9</v>
      </c>
      <c r="C27">
        <v>1</v>
      </c>
    </row>
    <row r="28" spans="1:19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9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9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9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9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Gebäude!S17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7">
        <v>8.5</v>
      </c>
      <c r="C69" t="s">
        <v>131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B20"/>
  <sheetViews>
    <sheetView topLeftCell="C1" workbookViewId="0">
      <selection activeCell="D2" sqref="D2:E16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2" x14ac:dyDescent="0.2">
      <c r="A1" t="s">
        <v>12</v>
      </c>
    </row>
    <row r="3" spans="1:2" x14ac:dyDescent="0.2">
      <c r="A3" t="s">
        <v>13</v>
      </c>
      <c r="B3">
        <v>1</v>
      </c>
    </row>
    <row r="4" spans="1:2" x14ac:dyDescent="0.2">
      <c r="A4" t="s">
        <v>3</v>
      </c>
      <c r="B4">
        <v>2.5</v>
      </c>
    </row>
    <row r="5" spans="1:2" x14ac:dyDescent="0.2">
      <c r="A5" t="s">
        <v>14</v>
      </c>
      <c r="B5">
        <v>10</v>
      </c>
    </row>
    <row r="6" spans="1:2" x14ac:dyDescent="0.2">
      <c r="A6" t="s">
        <v>39</v>
      </c>
      <c r="B6">
        <v>15</v>
      </c>
    </row>
    <row r="7" spans="1:2" x14ac:dyDescent="0.2">
      <c r="A7" t="s">
        <v>36</v>
      </c>
      <c r="B7">
        <f>B4-B3</f>
        <v>1.5</v>
      </c>
    </row>
    <row r="20" spans="1:2" x14ac:dyDescent="0.2">
      <c r="A20" t="s">
        <v>21</v>
      </c>
      <c r="B20">
        <f>Gebäude!S12+Gebäude!S11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1"/>
  <sheetViews>
    <sheetView topLeftCell="A2" zoomScale="86" zoomScaleNormal="86" workbookViewId="0">
      <selection activeCell="U23" sqref="U23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6.832031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18" max="18" width="14" customWidth="1"/>
    <col min="20" max="20" width="14.5" customWidth="1"/>
    <col min="22" max="22" width="35.33203125" bestFit="1" customWidth="1"/>
    <col min="29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7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Heizsystem!C9</f>
        <v>1.321</v>
      </c>
    </row>
    <row r="6" spans="2:32" x14ac:dyDescent="0.2">
      <c r="B6" s="2" t="s">
        <v>76</v>
      </c>
      <c r="H6" s="12" t="s">
        <v>114</v>
      </c>
      <c r="I6" s="9"/>
      <c r="J6" s="12" t="s">
        <v>122</v>
      </c>
      <c r="K6" s="8"/>
      <c r="L6" s="8"/>
      <c r="M6" s="8"/>
      <c r="N6" s="12" t="s">
        <v>42</v>
      </c>
      <c r="O6" s="19"/>
      <c r="P6" s="19"/>
      <c r="Q6" s="19"/>
      <c r="R6" s="9"/>
      <c r="T6" s="2" t="s">
        <v>133</v>
      </c>
      <c r="AA6" s="2" t="s">
        <v>152</v>
      </c>
      <c r="AE6" s="2" t="s">
        <v>153</v>
      </c>
    </row>
    <row r="7" spans="2:32" x14ac:dyDescent="0.2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10" t="s">
        <v>54</v>
      </c>
      <c r="I7" s="18" t="s">
        <v>126</v>
      </c>
      <c r="J7" s="10" t="s">
        <v>118</v>
      </c>
      <c r="K7" s="11" t="s">
        <v>119</v>
      </c>
      <c r="L7" s="11" t="s">
        <v>120</v>
      </c>
      <c r="M7" s="11" t="s">
        <v>121</v>
      </c>
      <c r="N7" s="10" t="s">
        <v>118</v>
      </c>
      <c r="O7" s="11" t="s">
        <v>119</v>
      </c>
      <c r="P7" s="11" t="s">
        <v>120</v>
      </c>
      <c r="Q7" s="11" t="s">
        <v>121</v>
      </c>
      <c r="R7" s="18" t="s">
        <v>128</v>
      </c>
      <c r="T7" s="2" t="s">
        <v>54</v>
      </c>
      <c r="U7" s="2" t="s">
        <v>126</v>
      </c>
      <c r="V7" s="2" t="s">
        <v>134</v>
      </c>
      <c r="W7" s="2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154.49185479452052</v>
      </c>
      <c r="AA8" t="s">
        <v>55</v>
      </c>
      <c r="AB8">
        <v>31</v>
      </c>
      <c r="AC8">
        <f>H24*(D24/$D$37)*$F$2/Gebäude!I50</f>
        <v>407.92431028289218</v>
      </c>
      <c r="AE8" t="s">
        <v>55</v>
      </c>
      <c r="AF8">
        <f>F8+R8+W8+AC8</f>
        <v>1357.6563083034125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139.54103013698631</v>
      </c>
      <c r="AA9" t="s">
        <v>56</v>
      </c>
      <c r="AB9">
        <v>28</v>
      </c>
      <c r="AC9">
        <f>H25*(D25/$D$37)*$F$2/Gebäude!I51</f>
        <v>335.4194047700654</v>
      </c>
      <c r="AE9" t="s">
        <v>56</v>
      </c>
      <c r="AF9">
        <f t="shared" ref="AF9:AF19" si="9">F9+R9+W9+AC9</f>
        <v>1223.0323112910519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154.49185479452052</v>
      </c>
      <c r="AA10" t="s">
        <v>57</v>
      </c>
      <c r="AB10">
        <v>31</v>
      </c>
      <c r="AC10">
        <f>H26*(D26/$D$37)*$F$2/Gebäude!I52</f>
        <v>74.728302090693319</v>
      </c>
      <c r="AE10" t="s">
        <v>57</v>
      </c>
      <c r="AF10">
        <f t="shared" si="9"/>
        <v>1517.7016447072137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149.50824657534244</v>
      </c>
      <c r="AA11" t="s">
        <v>58</v>
      </c>
      <c r="AB11">
        <v>30</v>
      </c>
      <c r="AC11">
        <f>H27*(D27/$D$37)*$F$2/Gebäude!I53</f>
        <v>104.9733351337067</v>
      </c>
      <c r="AE11" t="s">
        <v>58</v>
      </c>
      <c r="AF11">
        <f t="shared" si="9"/>
        <v>2148.1725578490491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154.49185479452052</v>
      </c>
      <c r="AA12" t="s">
        <v>59</v>
      </c>
      <c r="AB12">
        <v>31</v>
      </c>
      <c r="AC12">
        <f>H28*(D28/$D$37)*$F$2/Gebäude!I54</f>
        <v>23.095391516545366</v>
      </c>
      <c r="AE12" t="s">
        <v>59</v>
      </c>
      <c r="AF12">
        <f t="shared" si="9"/>
        <v>2202.5375111770659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149.50824657534244</v>
      </c>
      <c r="AA13" t="s">
        <v>60</v>
      </c>
      <c r="AB13">
        <v>30</v>
      </c>
      <c r="AC13">
        <f>H29*(D29/$D$37)*$F$2/Gebäude!I55</f>
        <v>2.0907165493471553</v>
      </c>
      <c r="AE13" t="s">
        <v>60</v>
      </c>
      <c r="AF13">
        <f t="shared" si="9"/>
        <v>2195.0303300646901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154.49185479452052</v>
      </c>
      <c r="AA14" t="s">
        <v>61</v>
      </c>
      <c r="AB14">
        <v>31</v>
      </c>
      <c r="AC14">
        <f>H30*(D30/$D$37)*$F$2/Gebäude!I56</f>
        <v>0</v>
      </c>
      <c r="AE14" t="s">
        <v>61</v>
      </c>
      <c r="AF14">
        <f t="shared" si="9"/>
        <v>2110.4914859085206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154.49185479452052</v>
      </c>
      <c r="AA15" t="s">
        <v>62</v>
      </c>
      <c r="AB15">
        <v>31</v>
      </c>
      <c r="AC15">
        <f>H31*(D31/$D$37)*$F$2/Gebäude!I57</f>
        <v>0</v>
      </c>
      <c r="AE15" t="s">
        <v>62</v>
      </c>
      <c r="AF15">
        <f t="shared" si="9"/>
        <v>1946.9373251385205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149.50824657534244</v>
      </c>
      <c r="AA16" t="s">
        <v>63</v>
      </c>
      <c r="AB16">
        <v>30</v>
      </c>
      <c r="AC16">
        <f>H32*(D32/$D$37)*$F$2/Gebäude!I58</f>
        <v>24.629688452901568</v>
      </c>
      <c r="AE16" t="s">
        <v>63</v>
      </c>
      <c r="AF16">
        <f t="shared" si="9"/>
        <v>1637.9163681082439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154.49185479452052</v>
      </c>
      <c r="AA17" t="s">
        <v>64</v>
      </c>
      <c r="AB17">
        <v>31</v>
      </c>
      <c r="AC17">
        <f>H33*(D33/$D$37)*$F$2/Gebäude!I59</f>
        <v>113.2895252340647</v>
      </c>
      <c r="AE17" t="s">
        <v>64</v>
      </c>
      <c r="AF17">
        <f t="shared" si="9"/>
        <v>1459.0804785465855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149.50824657534244</v>
      </c>
      <c r="AA18" t="s">
        <v>65</v>
      </c>
      <c r="AB18">
        <v>30</v>
      </c>
      <c r="AC18">
        <f>H34*(D34/$D$37)*$F$2/Gebäude!I60</f>
        <v>276.28548392783478</v>
      </c>
      <c r="AE18" t="s">
        <v>65</v>
      </c>
      <c r="AF18">
        <f t="shared" si="9"/>
        <v>1141.5269656831774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154.49185479452052</v>
      </c>
      <c r="AA19" s="4" t="s">
        <v>66</v>
      </c>
      <c r="AB19" s="4">
        <v>31</v>
      </c>
      <c r="AC19" s="4">
        <f>H35*(D35/$D$37)*$F$2/Gebäude!I61</f>
        <v>416.83354456285019</v>
      </c>
      <c r="AE19" s="4" t="s">
        <v>66</v>
      </c>
      <c r="AF19" s="4">
        <f t="shared" si="9"/>
        <v>1206.6760808513707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16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1819.0169999999996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20146.759367628903</v>
      </c>
    </row>
    <row r="21" spans="2:32" ht="17" thickTop="1" x14ac:dyDescent="0.2">
      <c r="R21" s="2"/>
      <c r="S21" s="2"/>
    </row>
    <row r="22" spans="2:32" x14ac:dyDescent="0.2">
      <c r="J22" s="2"/>
      <c r="AA22" t="s">
        <v>164</v>
      </c>
    </row>
    <row r="23" spans="2:32" x14ac:dyDescent="0.2">
      <c r="B23" s="2" t="s">
        <v>54</v>
      </c>
      <c r="C23" s="2" t="s">
        <v>67</v>
      </c>
      <c r="D23" s="2" t="s">
        <v>79</v>
      </c>
      <c r="E23" s="2" t="s">
        <v>80</v>
      </c>
      <c r="F23" s="2" t="s">
        <v>107</v>
      </c>
      <c r="G23" s="2" t="s">
        <v>149</v>
      </c>
      <c r="H23" s="2" t="s">
        <v>108</v>
      </c>
      <c r="I23" s="2" t="s">
        <v>154</v>
      </c>
      <c r="J23" s="2" t="s">
        <v>155</v>
      </c>
      <c r="K23" s="2" t="s">
        <v>156</v>
      </c>
      <c r="L23" s="2" t="s">
        <v>158</v>
      </c>
      <c r="M23" s="2" t="s">
        <v>157</v>
      </c>
      <c r="N23" s="2" t="s">
        <v>159</v>
      </c>
      <c r="O23" s="2" t="s">
        <v>162</v>
      </c>
      <c r="P23" s="2" t="s">
        <v>163</v>
      </c>
      <c r="Q23" s="2" t="s">
        <v>160</v>
      </c>
      <c r="R23" s="2" t="s">
        <v>170</v>
      </c>
      <c r="S23" s="2" t="s">
        <v>169</v>
      </c>
      <c r="T23" s="2" t="s">
        <v>167</v>
      </c>
      <c r="AA23" s="2" t="s">
        <v>54</v>
      </c>
      <c r="AB23" s="2" t="s">
        <v>166</v>
      </c>
    </row>
    <row r="24" spans="2:32" x14ac:dyDescent="0.2">
      <c r="B24" s="1" t="s">
        <v>55</v>
      </c>
      <c r="C24" s="1">
        <v>31</v>
      </c>
      <c r="D24" s="7">
        <v>0.56732407424029996</v>
      </c>
      <c r="E24" s="7">
        <v>19.168641979741</v>
      </c>
      <c r="F24" s="1">
        <f t="shared" ref="F24:F35" si="11">$C$4*((E24+12)/32)*D24</f>
        <v>10352.572367942394</v>
      </c>
      <c r="G24">
        <f>F24-(F8+(0.5*R8)*Gebäude!I50)</f>
        <v>9669.9067878173937</v>
      </c>
      <c r="H24">
        <f>IF(G24&lt;0,0,G24)</f>
        <v>9669.9067878173937</v>
      </c>
      <c r="I24">
        <f>AF8*Gebäude!I50</f>
        <v>1824.8068659992102</v>
      </c>
      <c r="J24">
        <f>I24/F24</f>
        <v>0.17626603332422744</v>
      </c>
      <c r="K24" s="7">
        <v>0.99366137766730001</v>
      </c>
      <c r="L24">
        <f>1-K24*J24</f>
        <v>0.82485125049109798</v>
      </c>
      <c r="M24">
        <f>IF(L24&lt;=0,0,L24)</f>
        <v>0.82485125049109798</v>
      </c>
      <c r="N24">
        <f>D24*M24</f>
        <v>0.46795797207081591</v>
      </c>
      <c r="O24">
        <f>C24*24</f>
        <v>744</v>
      </c>
      <c r="P24">
        <f>(N24/0.05)*C24*24</f>
        <v>6963.2146244137402</v>
      </c>
      <c r="Q24">
        <f>IF(N24&gt;0.05,O24,P24)</f>
        <v>744</v>
      </c>
      <c r="R24" s="7">
        <v>1</v>
      </c>
      <c r="S24">
        <f>1-(10-R24)/22</f>
        <v>0.59090909090909083</v>
      </c>
      <c r="T24">
        <f>IF(Gebäude!B3=1,1,Bilanzierung!S24)</f>
        <v>0.59090909090909083</v>
      </c>
      <c r="AA24" t="s">
        <v>55</v>
      </c>
      <c r="AB24" s="20">
        <f>F24*M24*Q24/1000</f>
        <v>6353.2632040416711</v>
      </c>
    </row>
    <row r="25" spans="2:32" x14ac:dyDescent="0.2">
      <c r="B25" s="1" t="s">
        <v>56</v>
      </c>
      <c r="C25" s="1">
        <v>28</v>
      </c>
      <c r="D25" s="7">
        <v>0.54121604949352997</v>
      </c>
      <c r="E25" s="7">
        <v>19.208641979741</v>
      </c>
      <c r="F25" s="1">
        <f t="shared" si="11"/>
        <v>9888.8256400439677</v>
      </c>
      <c r="G25">
        <f>F25-(F9+(0.5*R9)*Gebäude!I51)</f>
        <v>9227.7345415439668</v>
      </c>
      <c r="H25">
        <f t="shared" ref="H25:H35" si="12">IF(G25&lt;0,0,G25)</f>
        <v>9227.7345415439668</v>
      </c>
      <c r="I25">
        <f>AF9*Gebäude!I51</f>
        <v>1819.9885584688273</v>
      </c>
      <c r="J25">
        <f>I25/F25</f>
        <v>0.18404496395395392</v>
      </c>
      <c r="K25" s="7">
        <v>0.99311685252322002</v>
      </c>
      <c r="L25">
        <f t="shared" ref="L25:L35" si="13">1-K25*J25</f>
        <v>0.81722184467529979</v>
      </c>
      <c r="M25">
        <f t="shared" ref="M25:M35" si="14">IF(L25&lt;=0,0,L25)</f>
        <v>0.81722184467529979</v>
      </c>
      <c r="N25">
        <f>D25*M25</f>
        <v>0.4422935783349809</v>
      </c>
      <c r="O25">
        <f t="shared" ref="O25:O35" si="15">C25*24</f>
        <v>672</v>
      </c>
      <c r="P25">
        <f t="shared" ref="P25:P35" si="16">(N25/0.05)*C25*24</f>
        <v>5944.4256928221439</v>
      </c>
      <c r="Q25">
        <f t="shared" ref="Q25:Q35" si="17">IF(N25&gt;0.05,O25,P25)</f>
        <v>672</v>
      </c>
      <c r="R25" s="7">
        <v>1.9</v>
      </c>
      <c r="S25">
        <f t="shared" ref="S25:S35" si="18">1-(10-R25)/22</f>
        <v>0.63181818181818183</v>
      </c>
      <c r="T25">
        <f>IF(Gebäude!B4=1,1,Bilanzierung!S25)</f>
        <v>0.63181818181818183</v>
      </c>
      <c r="AA25" t="s">
        <v>56</v>
      </c>
      <c r="AB25" s="20">
        <f>F25*M25*Q25/1000</f>
        <v>5430.6768305859778</v>
      </c>
    </row>
    <row r="26" spans="2:32" x14ac:dyDescent="0.2">
      <c r="B26" s="1" t="s">
        <v>57</v>
      </c>
      <c r="C26" s="1">
        <v>31</v>
      </c>
      <c r="D26" s="7">
        <v>0.45721604949353001</v>
      </c>
      <c r="E26" s="7">
        <v>0</v>
      </c>
      <c r="F26" s="1">
        <f t="shared" si="11"/>
        <v>3212.1949456636321</v>
      </c>
      <c r="G26">
        <f>F26-(F10+(0.5*R10)*Gebäude!I52)</f>
        <v>2198.0499672886322</v>
      </c>
      <c r="H26">
        <f t="shared" si="12"/>
        <v>2198.0499672886322</v>
      </c>
      <c r="I26">
        <f>AF10*Gebäude!I52</f>
        <v>2039.921565466685</v>
      </c>
      <c r="J26">
        <f>I26/F26</f>
        <v>0.63505534376751283</v>
      </c>
      <c r="K26" s="7">
        <v>0.88002952280601998</v>
      </c>
      <c r="L26">
        <f t="shared" si="13"/>
        <v>0.44113254886886266</v>
      </c>
      <c r="M26">
        <f t="shared" si="14"/>
        <v>0.44113254886886266</v>
      </c>
      <c r="N26">
        <f>D26*M26</f>
        <v>0.20169288129683297</v>
      </c>
      <c r="O26">
        <f t="shared" si="15"/>
        <v>744</v>
      </c>
      <c r="P26">
        <f t="shared" si="16"/>
        <v>3001.1900736968746</v>
      </c>
      <c r="Q26">
        <f t="shared" si="17"/>
        <v>744</v>
      </c>
      <c r="R26" s="7">
        <v>4.7</v>
      </c>
      <c r="S26">
        <f t="shared" si="18"/>
        <v>0.75909090909090904</v>
      </c>
      <c r="T26">
        <f>IF(Gebäude!B5=1,1,Bilanzierung!S26)</f>
        <v>0.75909090909090904</v>
      </c>
      <c r="AA26" t="s">
        <v>57</v>
      </c>
      <c r="AB26" s="20">
        <f>F26*M26*Q26/1000</f>
        <v>1054.2507854201413</v>
      </c>
    </row>
    <row r="27" spans="2:32" x14ac:dyDescent="0.2">
      <c r="B27" s="1" t="s">
        <v>58</v>
      </c>
      <c r="C27" s="1">
        <v>30</v>
      </c>
      <c r="D27" s="7">
        <v>0.32310802474676997</v>
      </c>
      <c r="E27" s="7">
        <v>19.525401237337999</v>
      </c>
      <c r="F27" s="1">
        <f t="shared" si="11"/>
        <v>5963.5868516620267</v>
      </c>
      <c r="G27">
        <f>F27-(F11+(0.5*R11)*Gebäude!I53)</f>
        <v>4514.8736737870267</v>
      </c>
      <c r="H27">
        <f t="shared" si="12"/>
        <v>4514.8736737870267</v>
      </c>
      <c r="I27">
        <f>AF11*Gebäude!I53</f>
        <v>2983.5729970125681</v>
      </c>
      <c r="J27">
        <f>I27/F27</f>
        <v>0.50029840618168553</v>
      </c>
      <c r="K27" s="7">
        <v>0.92689854189822996</v>
      </c>
      <c r="L27">
        <f t="shared" si="13"/>
        <v>0.5362741367961873</v>
      </c>
      <c r="M27">
        <f t="shared" si="14"/>
        <v>0.5362741367961873</v>
      </c>
      <c r="N27">
        <f>D27*M27</f>
        <v>0.1732744770629952</v>
      </c>
      <c r="O27">
        <f t="shared" si="15"/>
        <v>720</v>
      </c>
      <c r="P27">
        <f t="shared" si="16"/>
        <v>2495.1524697071309</v>
      </c>
      <c r="Q27">
        <f t="shared" si="17"/>
        <v>720</v>
      </c>
      <c r="R27" s="7">
        <v>9.1999999999999993</v>
      </c>
      <c r="S27">
        <f t="shared" si="18"/>
        <v>0.96363636363636362</v>
      </c>
      <c r="T27">
        <f>IF(Gebäude!B6=1,1,Bilanzierung!S27)</f>
        <v>0.96363636363636362</v>
      </c>
      <c r="AA27" t="s">
        <v>58</v>
      </c>
      <c r="AB27" s="20">
        <f>F27*M27*Q27/1000</f>
        <v>2302.6445215805848</v>
      </c>
    </row>
    <row r="28" spans="2:32" x14ac:dyDescent="0.2">
      <c r="B28" s="1" t="s">
        <v>59</v>
      </c>
      <c r="C28" s="1">
        <v>31</v>
      </c>
      <c r="D28" s="7">
        <v>0.17610802474677001</v>
      </c>
      <c r="E28" s="7">
        <v>19.742160494935</v>
      </c>
      <c r="F28" s="1">
        <f t="shared" si="11"/>
        <v>3272.7649144272054</v>
      </c>
      <c r="G28">
        <f>F28-(F12+(0.5*R12)*Gebäude!I54)</f>
        <v>1763.6812418022057</v>
      </c>
      <c r="H28">
        <f t="shared" si="12"/>
        <v>1763.6812418022057</v>
      </c>
      <c r="I28">
        <f>AF12*Gebäude!I54</f>
        <v>2960.3998806143359</v>
      </c>
      <c r="J28">
        <f>I28/F28</f>
        <v>0.90455622631620047</v>
      </c>
      <c r="K28" s="7">
        <v>0.77826863399984003</v>
      </c>
      <c r="L28">
        <f t="shared" si="13"/>
        <v>0.29601226136884051</v>
      </c>
      <c r="M28">
        <f t="shared" si="14"/>
        <v>0.29601226136884051</v>
      </c>
      <c r="N28">
        <f>D28*M28</f>
        <v>5.2130134650491114E-2</v>
      </c>
      <c r="O28">
        <f t="shared" si="15"/>
        <v>744</v>
      </c>
      <c r="P28">
        <f t="shared" si="16"/>
        <v>775.69640359930781</v>
      </c>
      <c r="Q28">
        <f t="shared" si="17"/>
        <v>744</v>
      </c>
      <c r="R28" s="7">
        <v>14.1</v>
      </c>
      <c r="S28">
        <f t="shared" si="18"/>
        <v>1.1863636363636363</v>
      </c>
      <c r="T28">
        <f>IF(Gebäude!B7=1,1,Bilanzierung!S28)</f>
        <v>1.1863636363636363</v>
      </c>
      <c r="AA28" t="s">
        <v>59</v>
      </c>
      <c r="AB28" s="20">
        <f>F28*M28*Q28/1000</f>
        <v>720.77123617665859</v>
      </c>
    </row>
    <row r="29" spans="2:32" x14ac:dyDescent="0.2">
      <c r="B29" s="1" t="s">
        <v>60</v>
      </c>
      <c r="C29" s="1">
        <v>30</v>
      </c>
      <c r="D29" s="7">
        <v>9.9000000000000005E-2</v>
      </c>
      <c r="E29" s="7">
        <v>19.852160494934999</v>
      </c>
      <c r="F29" s="1">
        <f t="shared" si="11"/>
        <v>1846.1767249312081</v>
      </c>
      <c r="G29">
        <f>F29-(F13+(0.5*R13)*Gebäude!I55)</f>
        <v>293.47716455620798</v>
      </c>
      <c r="H29">
        <f t="shared" si="12"/>
        <v>293.47716455620798</v>
      </c>
      <c r="I29">
        <f>AF13*Gebäude!I55</f>
        <v>3048.6532362009584</v>
      </c>
      <c r="J29">
        <f>I29/F29</f>
        <v>1.6513333718442131</v>
      </c>
      <c r="K29" s="7">
        <v>0.54016665703894995</v>
      </c>
      <c r="L29">
        <f t="shared" si="13"/>
        <v>0.10800477287405408</v>
      </c>
      <c r="M29">
        <f t="shared" si="14"/>
        <v>0.10800477287405408</v>
      </c>
      <c r="N29">
        <f>D29*M29</f>
        <v>1.0692472514531355E-2</v>
      </c>
      <c r="O29">
        <f t="shared" si="15"/>
        <v>720</v>
      </c>
      <c r="P29">
        <f t="shared" si="16"/>
        <v>153.9716042092515</v>
      </c>
      <c r="Q29">
        <f t="shared" si="17"/>
        <v>153.9716042092515</v>
      </c>
      <c r="R29" s="7">
        <v>16.7</v>
      </c>
      <c r="S29">
        <f t="shared" si="18"/>
        <v>1.3045454545454545</v>
      </c>
      <c r="T29">
        <f>IF(Gebäude!B8=1,1,Bilanzierung!S29)</f>
        <v>1.3045454545454545</v>
      </c>
      <c r="AA29" t="s">
        <v>60</v>
      </c>
      <c r="AB29" s="20">
        <f>F29*M29*Q29/1000</f>
        <v>30.701306266488476</v>
      </c>
    </row>
    <row r="30" spans="2:32" x14ac:dyDescent="0.2">
      <c r="B30" s="1" t="s">
        <v>61</v>
      </c>
      <c r="C30" s="1">
        <v>31</v>
      </c>
      <c r="D30" s="7">
        <v>0.03</v>
      </c>
      <c r="E30" s="7">
        <v>19.96</v>
      </c>
      <c r="F30" s="1">
        <f t="shared" si="11"/>
        <v>561.34157242036201</v>
      </c>
      <c r="G30">
        <f>F30-(F14+(0.5*R14)*Gebäude!I56)</f>
        <v>-901.40430870463786</v>
      </c>
      <c r="H30">
        <f t="shared" si="12"/>
        <v>0</v>
      </c>
      <c r="I30">
        <f>AF14*Gebäude!I56</f>
        <v>2836.6821047157532</v>
      </c>
      <c r="J30">
        <f>I30/F30</f>
        <v>5.0533975106897957</v>
      </c>
      <c r="K30" s="7">
        <v>0.19618448463655</v>
      </c>
      <c r="L30">
        <f t="shared" si="13"/>
        <v>8.6018137016977692E-3</v>
      </c>
      <c r="M30">
        <f t="shared" si="14"/>
        <v>8.6018137016977692E-3</v>
      </c>
      <c r="N30">
        <f>D30*M30</f>
        <v>2.5805441105093306E-4</v>
      </c>
      <c r="O30">
        <f t="shared" si="15"/>
        <v>744</v>
      </c>
      <c r="P30">
        <f t="shared" si="16"/>
        <v>3.8398496364378838</v>
      </c>
      <c r="Q30">
        <f t="shared" si="17"/>
        <v>3.8398496364378838</v>
      </c>
      <c r="R30" s="7">
        <v>19</v>
      </c>
      <c r="S30">
        <f t="shared" si="18"/>
        <v>1.4090909090909092</v>
      </c>
      <c r="T30">
        <f>IF(Gebäude!B9=1,1,Bilanzierung!S30)</f>
        <v>1.4090909090909092</v>
      </c>
      <c r="AA30" t="s">
        <v>61</v>
      </c>
      <c r="AB30" s="20">
        <f>F30*M30*Q30/1000</f>
        <v>1.8540927576451427E-2</v>
      </c>
    </row>
    <row r="31" spans="2:32" x14ac:dyDescent="0.2">
      <c r="B31" s="1" t="s">
        <v>62</v>
      </c>
      <c r="C31" s="1">
        <v>31</v>
      </c>
      <c r="D31" s="7">
        <v>4.2000000000000003E-2</v>
      </c>
      <c r="E31" s="7">
        <v>19.940000000000001</v>
      </c>
      <c r="F31" s="1">
        <f t="shared" si="11"/>
        <v>785.38641277687452</v>
      </c>
      <c r="G31">
        <f>F31-(F15+(0.5*R15)*Gebäude!I57)</f>
        <v>-567.44403772312535</v>
      </c>
      <c r="H31">
        <f t="shared" si="12"/>
        <v>0</v>
      </c>
      <c r="I31">
        <f>AF15*Gebäude!I57</f>
        <v>2616.8512434657532</v>
      </c>
      <c r="J31">
        <f>I31/F31</f>
        <v>3.3319283360319494</v>
      </c>
      <c r="K31" s="7">
        <v>0.29344573311743999</v>
      </c>
      <c r="L31">
        <f t="shared" si="13"/>
        <v>2.22598467383327E-2</v>
      </c>
      <c r="M31">
        <f t="shared" si="14"/>
        <v>2.22598467383327E-2</v>
      </c>
      <c r="N31">
        <f>D31*M31</f>
        <v>9.3491356300997349E-4</v>
      </c>
      <c r="O31">
        <f t="shared" si="15"/>
        <v>744</v>
      </c>
      <c r="P31">
        <f t="shared" si="16"/>
        <v>13.911513817588403</v>
      </c>
      <c r="Q31">
        <f t="shared" si="17"/>
        <v>13.911513817588403</v>
      </c>
      <c r="R31" s="7">
        <v>18.600000000000001</v>
      </c>
      <c r="S31">
        <f t="shared" si="18"/>
        <v>1.3909090909090911</v>
      </c>
      <c r="T31">
        <f>IF(Gebäude!B10=1,1,Bilanzierung!S31)</f>
        <v>1.3909090909090911</v>
      </c>
      <c r="AA31" t="s">
        <v>62</v>
      </c>
      <c r="AB31" s="20">
        <f>F31*M31*Q31/1000</f>
        <v>0.24320916963573855</v>
      </c>
    </row>
    <row r="32" spans="2:32" x14ac:dyDescent="0.2">
      <c r="B32" s="1" t="s">
        <v>63</v>
      </c>
      <c r="C32" s="1">
        <v>30</v>
      </c>
      <c r="D32" s="7">
        <v>0.17010802474677</v>
      </c>
      <c r="E32" s="7">
        <v>19.752160494935001</v>
      </c>
      <c r="F32" s="1">
        <f t="shared" si="11"/>
        <v>3162.2577402046868</v>
      </c>
      <c r="G32">
        <f>F32-(F16+(0.5*R16)*Gebäude!I58)</f>
        <v>2012.0949394546869</v>
      </c>
      <c r="H32">
        <f t="shared" si="12"/>
        <v>2012.0949394546869</v>
      </c>
      <c r="I32">
        <f>AF16*Gebäude!I58</f>
        <v>2274.8838445947831</v>
      </c>
      <c r="J32">
        <f>I32/F32</f>
        <v>0.7193859677129083</v>
      </c>
      <c r="K32" s="7">
        <v>0.84863333226908999</v>
      </c>
      <c r="L32">
        <f t="shared" si="13"/>
        <v>0.38950508903217063</v>
      </c>
      <c r="M32">
        <f t="shared" si="14"/>
        <v>0.38950508903217063</v>
      </c>
      <c r="N32">
        <f>D32*M32</f>
        <v>6.6257941324077335E-2</v>
      </c>
      <c r="O32">
        <f t="shared" si="15"/>
        <v>720</v>
      </c>
      <c r="P32">
        <f t="shared" si="16"/>
        <v>954.11435506671341</v>
      </c>
      <c r="Q32">
        <f t="shared" si="17"/>
        <v>720</v>
      </c>
      <c r="R32" s="7">
        <v>14.3</v>
      </c>
      <c r="S32">
        <f t="shared" si="18"/>
        <v>1.1954545454545455</v>
      </c>
      <c r="T32">
        <f>IF(Gebäude!B11=1,1,Bilanzierung!S32)</f>
        <v>1.1954545454545455</v>
      </c>
      <c r="AA32" t="s">
        <v>63</v>
      </c>
      <c r="AB32" s="20">
        <f>F32*M32*Q32/1000</f>
        <v>886.83514750158997</v>
      </c>
    </row>
    <row r="33" spans="2:29" x14ac:dyDescent="0.2">
      <c r="B33" s="1" t="s">
        <v>64</v>
      </c>
      <c r="C33" s="1">
        <v>31</v>
      </c>
      <c r="D33" s="7">
        <v>0.31410802474677002</v>
      </c>
      <c r="E33" s="7">
        <v>19.535401237338</v>
      </c>
      <c r="F33" s="1">
        <f t="shared" si="11"/>
        <v>5799.3133370703099</v>
      </c>
      <c r="G33">
        <f>F33-(F17+(0.5*R17)*Gebäude!I59)</f>
        <v>4850.4791041953094</v>
      </c>
      <c r="H33">
        <f t="shared" si="12"/>
        <v>4850.4791041953094</v>
      </c>
      <c r="I33">
        <f>AF17*Gebäude!I59</f>
        <v>1961.1296754658406</v>
      </c>
      <c r="J33">
        <f>I33/F33</f>
        <v>0.3381658416229949</v>
      </c>
      <c r="K33" s="7">
        <v>0.96960351484294005</v>
      </c>
      <c r="L33">
        <f t="shared" si="13"/>
        <v>0.67211321136252322</v>
      </c>
      <c r="M33">
        <f t="shared" si="14"/>
        <v>0.67211321136252322</v>
      </c>
      <c r="N33">
        <f>D33*M33</f>
        <v>0.21111615322729052</v>
      </c>
      <c r="O33">
        <f t="shared" si="15"/>
        <v>744</v>
      </c>
      <c r="P33">
        <f t="shared" si="16"/>
        <v>3141.4083600220829</v>
      </c>
      <c r="Q33">
        <f t="shared" si="17"/>
        <v>744</v>
      </c>
      <c r="R33" s="7">
        <v>9.5</v>
      </c>
      <c r="S33">
        <f t="shared" si="18"/>
        <v>0.97727272727272729</v>
      </c>
      <c r="T33">
        <f>IF(Gebäude!B12=1,1,Bilanzierung!S33)</f>
        <v>0.97727272727272729</v>
      </c>
      <c r="AA33" t="s">
        <v>64</v>
      </c>
      <c r="AB33" s="20">
        <f>F33*M33*Q33/1000</f>
        <v>2899.9595623428227</v>
      </c>
    </row>
    <row r="34" spans="2:29" x14ac:dyDescent="0.2">
      <c r="B34" s="1" t="s">
        <v>65</v>
      </c>
      <c r="C34" s="1">
        <v>30</v>
      </c>
      <c r="D34" s="7">
        <v>0.47521604949353002</v>
      </c>
      <c r="E34" s="7">
        <v>19.306481484806</v>
      </c>
      <c r="F34" s="1">
        <f t="shared" si="11"/>
        <v>8710.1280840494492</v>
      </c>
      <c r="G34">
        <f>F34-(F18+(0.5*R18)*Gebäude!I60)</f>
        <v>8079.4411151744489</v>
      </c>
      <c r="H34">
        <f t="shared" si="12"/>
        <v>8079.4411151744489</v>
      </c>
      <c r="I34">
        <f>AF18*Gebäude!I60</f>
        <v>1585.4541190044131</v>
      </c>
      <c r="J34">
        <f>I34/F34</f>
        <v>0.1820242025955737</v>
      </c>
      <c r="K34" s="7">
        <v>0.99325830581830998</v>
      </c>
      <c r="L34">
        <f t="shared" si="13"/>
        <v>0.81920294891199164</v>
      </c>
      <c r="M34">
        <f t="shared" si="14"/>
        <v>0.81920294891199164</v>
      </c>
      <c r="N34">
        <f>D34*M34</f>
        <v>0.38929838911540676</v>
      </c>
      <c r="O34">
        <f t="shared" si="15"/>
        <v>720</v>
      </c>
      <c r="P34">
        <f t="shared" si="16"/>
        <v>5605.8968032618577</v>
      </c>
      <c r="Q34">
        <f t="shared" si="17"/>
        <v>720</v>
      </c>
      <c r="R34" s="7">
        <v>4.0999999999999996</v>
      </c>
      <c r="S34">
        <f t="shared" si="18"/>
        <v>0.73181818181818181</v>
      </c>
      <c r="T34">
        <f>IF(Gebäude!B13=1,1,Bilanzierung!S34)</f>
        <v>0.73181818181818181</v>
      </c>
      <c r="AA34" t="s">
        <v>65</v>
      </c>
      <c r="AB34" s="20">
        <f>F34*M34*Q34/1000</f>
        <v>5137.461080535214</v>
      </c>
    </row>
    <row r="35" spans="2:29" x14ac:dyDescent="0.2">
      <c r="B35" s="1" t="s">
        <v>66</v>
      </c>
      <c r="C35" s="1">
        <v>31</v>
      </c>
      <c r="D35" s="7">
        <v>0.57032407424029996</v>
      </c>
      <c r="E35" s="7">
        <v>19.159722227208999</v>
      </c>
      <c r="F35" s="1">
        <f t="shared" si="11"/>
        <v>10404.338257532285</v>
      </c>
      <c r="G35">
        <f>F35-(F19+(0.5*R19)*Gebäude!I61)</f>
        <v>9829.1252726572857</v>
      </c>
      <c r="H35">
        <f t="shared" si="12"/>
        <v>9829.1252726572857</v>
      </c>
      <c r="I35">
        <f>AF19*Gebäude!I61</f>
        <v>1621.8764527572184</v>
      </c>
      <c r="J35">
        <f>I35/F35</f>
        <v>0.15588463318011128</v>
      </c>
      <c r="K35" s="7">
        <v>0.99508807567738999</v>
      </c>
      <c r="L35">
        <f t="shared" si="13"/>
        <v>0.8448810603411272</v>
      </c>
      <c r="M35">
        <f t="shared" si="14"/>
        <v>0.8448810603411272</v>
      </c>
      <c r="N35">
        <f>D35*M35</f>
        <v>0.48185600858221639</v>
      </c>
      <c r="O35">
        <f t="shared" si="15"/>
        <v>744</v>
      </c>
      <c r="P35">
        <f t="shared" si="16"/>
        <v>7170.0174077033789</v>
      </c>
      <c r="Q35">
        <f t="shared" si="17"/>
        <v>744</v>
      </c>
      <c r="R35" s="7">
        <v>0.9</v>
      </c>
      <c r="S35">
        <f t="shared" si="18"/>
        <v>0.58636363636363642</v>
      </c>
      <c r="T35">
        <f>IF(Gebäude!B14=1,1,Bilanzierung!S35)</f>
        <v>0.58636363636363642</v>
      </c>
      <c r="AA35" s="4" t="s">
        <v>66</v>
      </c>
      <c r="AB35" s="21">
        <f>F35*M35*Q35/1000</f>
        <v>6540.0786843436945</v>
      </c>
    </row>
    <row r="36" spans="2:29" x14ac:dyDescent="0.2">
      <c r="AA36" s="22" t="s">
        <v>11</v>
      </c>
      <c r="AB36" s="23">
        <f>SUM(AB24:AB35)</f>
        <v>31356.904108892053</v>
      </c>
      <c r="AC36" t="s">
        <v>165</v>
      </c>
    </row>
    <row r="37" spans="2:29" x14ac:dyDescent="0.2">
      <c r="B37" s="17" t="s">
        <v>77</v>
      </c>
      <c r="D37">
        <f>MAX(D24:D35)</f>
        <v>0.57032407424029996</v>
      </c>
      <c r="M37" s="2" t="s">
        <v>161</v>
      </c>
      <c r="N37">
        <f>SUM(N24:N35)</f>
        <v>2.4977629761536995</v>
      </c>
    </row>
    <row r="39" spans="2:29" x14ac:dyDescent="0.2">
      <c r="B39" t="s">
        <v>78</v>
      </c>
      <c r="K39" s="6"/>
    </row>
    <row r="41" spans="2:29" x14ac:dyDescent="0.2">
      <c r="G41" s="6"/>
      <c r="H41" s="6"/>
      <c r="R41" s="6" t="s">
        <v>168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6D5-D868-1A43-98B7-3D2B5532C56B}">
  <dimension ref="B2:D28"/>
  <sheetViews>
    <sheetView workbookViewId="0">
      <selection activeCell="B2" sqref="B2:D9"/>
    </sheetView>
  </sheetViews>
  <sheetFormatPr baseColWidth="10" defaultRowHeight="16" x14ac:dyDescent="0.2"/>
  <cols>
    <col min="2" max="2" width="20.5" bestFit="1" customWidth="1"/>
    <col min="3" max="3" width="19.6640625" customWidth="1"/>
  </cols>
  <sheetData>
    <row r="2" spans="2:4" x14ac:dyDescent="0.2">
      <c r="B2" s="2" t="s">
        <v>136</v>
      </c>
    </row>
    <row r="3" spans="2:4" x14ac:dyDescent="0.2">
      <c r="B3" t="s">
        <v>141</v>
      </c>
      <c r="C3" s="3" t="s">
        <v>26</v>
      </c>
      <c r="D3" t="s">
        <v>142</v>
      </c>
    </row>
    <row r="4" spans="2:4" x14ac:dyDescent="0.2">
      <c r="B4" t="s">
        <v>145</v>
      </c>
      <c r="C4" s="3" t="s">
        <v>93</v>
      </c>
    </row>
    <row r="5" spans="2:4" x14ac:dyDescent="0.2">
      <c r="B5" t="s">
        <v>137</v>
      </c>
      <c r="C5" s="3" t="s">
        <v>138</v>
      </c>
      <c r="D5" t="s">
        <v>139</v>
      </c>
    </row>
    <row r="6" spans="2:4" x14ac:dyDescent="0.2">
      <c r="B6" t="s">
        <v>146</v>
      </c>
      <c r="C6" s="3" t="s">
        <v>26</v>
      </c>
    </row>
    <row r="7" spans="2:4" x14ac:dyDescent="0.2">
      <c r="B7" t="s">
        <v>143</v>
      </c>
      <c r="C7">
        <f>IF(C5="innerhalb",IF(C6="Ja",1.554,0.647),IF(C6="Ja",0.815,0.335))</f>
        <v>1.554</v>
      </c>
    </row>
    <row r="8" spans="2:4" x14ac:dyDescent="0.2">
      <c r="B8" t="s">
        <v>144</v>
      </c>
      <c r="C8">
        <f>IF(C6="Ja",1.321,0.451)</f>
        <v>1.321</v>
      </c>
    </row>
    <row r="9" spans="2:4" x14ac:dyDescent="0.2">
      <c r="B9" s="2" t="s">
        <v>140</v>
      </c>
      <c r="C9" s="2">
        <f>IF(C3="Ja",IF(C4="Ja",C7,C8),0.193)</f>
        <v>1.321</v>
      </c>
    </row>
    <row r="16" spans="2:4" x14ac:dyDescent="0.2">
      <c r="B16" t="s">
        <v>171</v>
      </c>
    </row>
    <row r="18" spans="2:3" x14ac:dyDescent="0.2">
      <c r="B18" t="s">
        <v>172</v>
      </c>
    </row>
    <row r="20" spans="2:3" x14ac:dyDescent="0.2">
      <c r="B20" t="s">
        <v>174</v>
      </c>
      <c r="C20" t="s">
        <v>173</v>
      </c>
    </row>
    <row r="21" spans="2:3" x14ac:dyDescent="0.2">
      <c r="B21" t="s">
        <v>138</v>
      </c>
      <c r="C21" t="s">
        <v>176</v>
      </c>
    </row>
    <row r="22" spans="2:3" x14ac:dyDescent="0.2">
      <c r="B22" t="s">
        <v>138</v>
      </c>
      <c r="C22" t="s">
        <v>177</v>
      </c>
    </row>
    <row r="23" spans="2:3" x14ac:dyDescent="0.2">
      <c r="B23" t="s">
        <v>138</v>
      </c>
      <c r="C23" t="s">
        <v>178</v>
      </c>
    </row>
    <row r="24" spans="2:3" x14ac:dyDescent="0.2">
      <c r="B24" t="s">
        <v>138</v>
      </c>
      <c r="C24" t="s">
        <v>179</v>
      </c>
    </row>
    <row r="25" spans="2:3" x14ac:dyDescent="0.2">
      <c r="B25" t="s">
        <v>175</v>
      </c>
      <c r="C25" t="s">
        <v>176</v>
      </c>
    </row>
    <row r="26" spans="2:3" x14ac:dyDescent="0.2">
      <c r="B26" t="s">
        <v>175</v>
      </c>
      <c r="C26" t="s">
        <v>177</v>
      </c>
    </row>
    <row r="27" spans="2:3" x14ac:dyDescent="0.2">
      <c r="B27" t="s">
        <v>175</v>
      </c>
      <c r="C27" t="s">
        <v>178</v>
      </c>
    </row>
    <row r="28" spans="2:3" x14ac:dyDescent="0.2">
      <c r="B28" t="s">
        <v>175</v>
      </c>
      <c r="C28" t="s">
        <v>179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Bilanzierung</vt:lpstr>
      <vt:lpstr>Heizsystem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2023-11-14T08:55:25Z</dcterms:modified>
</cp:coreProperties>
</file>