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3D1D8C2B-47A1-8344-805E-7A5E1EBCE3DD}" xr6:coauthVersionLast="47" xr6:coauthVersionMax="47" xr10:uidLastSave="{00000000-0000-0000-0000-000000000000}"/>
  <bookViews>
    <workbookView xWindow="0" yWindow="740" windowWidth="30240" windowHeight="18900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5" l="1"/>
  <c r="U36" i="3"/>
  <c r="C14" i="5" s="1"/>
  <c r="C28" i="5"/>
  <c r="C29" i="5" s="1"/>
  <c r="C12" i="5"/>
  <c r="C13" i="5"/>
  <c r="I14" i="5" s="1"/>
  <c r="F6" i="5"/>
  <c r="F5" i="5"/>
  <c r="F4" i="5"/>
  <c r="R36" i="3"/>
  <c r="F3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2" i="1"/>
  <c r="B84" i="1" s="1"/>
  <c r="Y4" i="3" s="1"/>
  <c r="B83" i="1"/>
  <c r="U4" i="3"/>
  <c r="B34" i="1" a="1"/>
  <c r="B34" i="1" s="1"/>
  <c r="I3" i="3" s="1"/>
  <c r="I4" i="3" s="1"/>
  <c r="B51" i="1"/>
  <c r="E37" i="3"/>
  <c r="C2" i="3"/>
  <c r="S25" i="3" s="1"/>
  <c r="T25" i="3" s="1"/>
  <c r="C24" i="5" l="1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26" i="5" l="1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V8" i="3" l="1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Q24" i="3"/>
  <c r="AB24" i="3" l="1"/>
  <c r="AB36" i="3" s="1"/>
  <c r="U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<sst xmlns="http://schemas.openxmlformats.org/spreadsheetml/2006/main" count="405" uniqueCount="211">
  <si>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</si>
  <si>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</si>
  <si>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</si>
  <si>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</si>
  <si>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</si>
  <si>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</si>
  <si>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</si>
  <si>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</si>
  <si>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</si>
  <si>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</si>
  <si>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</si>
  <si>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</si>
  <si>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</si>
  <si>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</si>
  <si>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</si>
  <si>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</si>
  <si>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</si>
  <si>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</si>
  <si>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</si>
  <si>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</si>
  <si>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</si>
  <si>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</si>
  <si>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</si>
  <si>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</si>
  <si>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</si>
  <si>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</si>
  <si>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</si>
  <si>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</si>
  <si>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</si>
  <si>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</si>
  <si>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</si>
  <si>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</si>
  <si>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</si>
  <si>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</si>
  <si>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</si>
  <si>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</si>
  <si>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</si>
  <si>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</si>
  <si>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</si>
  <si>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</si>
  <si>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</si>
  <si>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</si>
  <si>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</si>
  <si>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</si>
  <si>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</si>
  <si>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</si>
  <si>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</si>
  <si>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</si>
  <si>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</si>
  <si>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</si>
  <si>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</si>
  <si>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</si>
  <si>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</si>
  <si>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</si>
  <si>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</si>
  <si>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</si>
  <si>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</si>
  <si>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</si>
  <si>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</si>
  <si>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</si>
  <si>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</si>
  <si>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</si>
  <si>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</si>
  <si>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</si>
  <si>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</si>
  <si>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</si>
  <si>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</si>
  <si>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</si>
  <si>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</si>
  <si>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</si>
  <si>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</si>
  <si>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</si>
  <si>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</si>
  <si>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</si>
  <si>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</si>
  <si>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</si>
  <si>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</si>
  <si>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</si>
  <si>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</si>
  <si>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</si>
  <si>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</si>
  <si>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</si>
  <si>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</si>
  <si>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</si>
  <si>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</si>
  <si>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</si>
  <si>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</si>
  <si>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</si>
  <si>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</si>
  <si>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</si>
  <si>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</si>
  <si>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</si>
  <si>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</si>
  <si>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</si>
  <si>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</si>
  <si>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</si>
  <si>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</si>
  <si>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</si>
  <si>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</si>
  <si>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</si>
  <si>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</si>
  <si>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</si>
  <si>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</si>
  <si>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</si>
  <si>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</si>
  <si>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</si>
  <si>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</si>
  <si>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</si>
  <si>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</si>
  <si>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</si>
  <si>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</si>
  <si>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</si>
  <si>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</si>
  <si>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</si>
  <si>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</si>
  <si>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</si>
  <si>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</si>
  <si>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</si>
  <si>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</si>
  <si>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</si>
  <si>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</si>
  <si>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</si>
  <si>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</si>
  <si>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</si>
  <si>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//Nord, Ost, Süd, West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</si>
  <si>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</si>
  <si>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</si>
  <si>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</si>
  <si>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</si>
  <si>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</si>
  <si>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</si>
  <si>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</si>
  <si>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</si>
  <si>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</si>
  <si>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</si>
  <si>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</si>
  <si>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Heizungsanlage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</si>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</sst>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84"/>
  <sheetViews>
    <sheetView tabSelected="1" topLeftCell="A49" workbookViewId="0">
      <selection activeCell="C73" sqref="C73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C7" t="s">
        <v>124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125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 s="3">
        <v>50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148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126</v>
      </c>
      <c r="I49" t="s">
        <v>148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130</v>
      </c>
      <c r="B69" s="7">
        <v>8.5</v>
      </c>
      <c r="C69" t="s">
        <v>131</v>
      </c>
    </row>
    <row r="71" spans="1:3" x14ac:dyDescent="0.2">
      <c r="A71" s="2" t="s">
        <v>136</v>
      </c>
    </row>
    <row r="72" spans="1:3" x14ac:dyDescent="0.2">
      <c r="A72" t="s">
        <v>141</v>
      </c>
      <c r="B72" s="3" t="s">
        <v>26</v>
      </c>
      <c r="C72" t="s">
        <v>142</v>
      </c>
    </row>
    <row r="73" spans="1:3" x14ac:dyDescent="0.2">
      <c r="A73" t="s">
        <v>145</v>
      </c>
      <c r="B73" s="3" t="s">
        <v>93</v>
      </c>
    </row>
    <row r="74" spans="1:3" x14ac:dyDescent="0.2">
      <c r="A74" t="s">
        <v>137</v>
      </c>
      <c r="B74" s="3" t="s">
        <v>138</v>
      </c>
      <c r="C74" t="s">
        <v>139</v>
      </c>
    </row>
    <row r="75" spans="1:3" x14ac:dyDescent="0.2">
      <c r="A75" t="s">
        <v>146</v>
      </c>
      <c r="B75" s="3" t="s">
        <v>26</v>
      </c>
    </row>
    <row r="76" spans="1:3" x14ac:dyDescent="0.2">
      <c r="A76" t="s">
        <v>169</v>
      </c>
      <c r="B76" s="3" t="s">
        <v>171</v>
      </c>
      <c r="C76" t="s">
        <v>170</v>
      </c>
    </row>
    <row r="77" spans="1:3" x14ac:dyDescent="0.2">
      <c r="A77" t="s">
        <v>177</v>
      </c>
      <c r="B77" s="3" t="s">
        <v>180</v>
      </c>
    </row>
    <row r="78" spans="1:3" x14ac:dyDescent="0.2">
      <c r="A78" t="s">
        <v>178</v>
      </c>
      <c r="B78" s="3" t="s">
        <v>180</v>
      </c>
    </row>
    <row r="79" spans="1:3" x14ac:dyDescent="0.2">
      <c r="A79" t="s">
        <v>181</v>
      </c>
      <c r="B79" s="3" t="s">
        <v>183</v>
      </c>
      <c r="C79" t="s">
        <v>182</v>
      </c>
    </row>
    <row r="80" spans="1:3" x14ac:dyDescent="0.2">
      <c r="A80" t="s">
        <v>186</v>
      </c>
      <c r="B80" s="3" t="s">
        <v>93</v>
      </c>
    </row>
    <row r="82" spans="1:2" x14ac:dyDescent="0.2">
      <c r="A82" t="s">
        <v>143</v>
      </c>
      <c r="B82">
        <f>IF(B74="innerhalb",IF(B75="Ja",1.554,0.647),IF(B75="Ja",0.815,0.335))</f>
        <v>1.554</v>
      </c>
    </row>
    <row r="83" spans="1:2" x14ac:dyDescent="0.2">
      <c r="A83" t="s">
        <v>144</v>
      </c>
      <c r="B83">
        <f>IF(B75="Ja",1.321,0.451)</f>
        <v>1.321</v>
      </c>
    </row>
    <row r="84" spans="1:2" x14ac:dyDescent="0.2">
      <c r="A84" s="2" t="s">
        <v>140</v>
      </c>
      <c r="B84" s="2">
        <f>IF(B72="Ja",IF(B73="Ja",B82,B83),0.193)</f>
        <v>1.321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K1" workbookViewId="0">
      <selection activeCell="S38" sqref="S38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150</v>
      </c>
      <c r="F2" s="7">
        <v>5.7000000000000002E-2</v>
      </c>
      <c r="G2" t="s">
        <v>151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132</v>
      </c>
      <c r="U4">
        <f>Gebäude!B69</f>
        <v>8.5</v>
      </c>
      <c r="W4" s="2" t="s">
        <v>147</v>
      </c>
      <c r="Y4">
        <f>Gebäude!B84</f>
        <v>1.321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133</v>
      </c>
      <c r="AA6" s="2" t="s">
        <v>152</v>
      </c>
      <c r="AE6" s="2" t="s">
        <v>153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126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128</v>
      </c>
      <c r="T7" s="11" t="s">
        <v>54</v>
      </c>
      <c r="U7" s="11" t="s">
        <v>126</v>
      </c>
      <c r="V7" s="11" t="s">
        <v>134</v>
      </c>
      <c r="W7" s="11" t="s">
        <v>135</v>
      </c>
      <c r="AA7" s="2" t="s">
        <v>54</v>
      </c>
      <c r="AB7" s="2" t="s">
        <v>126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154.49185479452052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1357.6563083034125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139.54103013698631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1223.0323112910519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154.49185479452052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1517.7016447072137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149.50824657534244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2148.1725578490491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154.49185479452052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2202.5375111770659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149.50824657534244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2195.0303300646901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154.49185479452052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2110.4914859085206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154.49185479452052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1946.9373251385205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149.50824657534244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1637.9163681082439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154.49185479452052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1459.0804785465855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149.50824657534244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1141.5269656831774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154.49185479452052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1206.6760808513707</v>
      </c>
    </row>
    <row r="20" spans="2:32" ht="17" thickBot="1" x14ac:dyDescent="0.25">
      <c r="B20" s="2" t="s">
        <v>129</v>
      </c>
      <c r="F20" s="2">
        <f>SUM(F8:F19)</f>
        <v>5321.6999999999989</v>
      </c>
      <c r="H20" s="2" t="s">
        <v>127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127</v>
      </c>
      <c r="U20" s="2"/>
      <c r="V20" s="2">
        <f>SUM(V8:V19)</f>
        <v>1377</v>
      </c>
      <c r="W20" s="2">
        <f>SUM(W8:W19)</f>
        <v>1819.0169999999996</v>
      </c>
      <c r="AA20" s="2" t="s">
        <v>127</v>
      </c>
      <c r="AB20" s="2"/>
      <c r="AC20" s="2">
        <f>SUM(AC8:AC19)</f>
        <v>1779.2697025209013</v>
      </c>
      <c r="AE20" s="2" t="s">
        <v>129</v>
      </c>
      <c r="AF20" s="2">
        <f>SUM(AF8:AF19)</f>
        <v>20146.759367628903</v>
      </c>
    </row>
    <row r="21" spans="2:32" ht="17" thickTop="1" x14ac:dyDescent="0.2"/>
    <row r="22" spans="2:32" x14ac:dyDescent="0.2">
      <c r="R22" s="2"/>
      <c r="S22" s="2"/>
      <c r="AA22" s="11" t="s">
        <v>163</v>
      </c>
      <c r="AB22" s="4"/>
    </row>
    <row r="23" spans="2:32" x14ac:dyDescent="0.2">
      <c r="B23" s="11" t="s">
        <v>54</v>
      </c>
      <c r="C23" s="11" t="s">
        <v>67</v>
      </c>
      <c r="D23" s="11" t="s">
        <v>166</v>
      </c>
      <c r="E23" s="11" t="s">
        <v>79</v>
      </c>
      <c r="F23" s="11" t="s">
        <v>80</v>
      </c>
      <c r="G23" s="11" t="s">
        <v>107</v>
      </c>
      <c r="H23" s="11" t="s">
        <v>149</v>
      </c>
      <c r="I23" s="11" t="s">
        <v>108</v>
      </c>
      <c r="J23" s="11" t="s">
        <v>154</v>
      </c>
      <c r="K23" s="11" t="s">
        <v>155</v>
      </c>
      <c r="L23" s="11" t="s">
        <v>156</v>
      </c>
      <c r="M23" s="11" t="s">
        <v>158</v>
      </c>
      <c r="N23" s="11" t="s">
        <v>157</v>
      </c>
      <c r="O23" s="11" t="s">
        <v>159</v>
      </c>
      <c r="P23" s="11" t="s">
        <v>160</v>
      </c>
      <c r="Q23" s="11" t="s">
        <v>161</v>
      </c>
      <c r="R23" s="11" t="s">
        <v>162</v>
      </c>
      <c r="S23" s="11" t="s">
        <v>167</v>
      </c>
      <c r="T23" s="11" t="s">
        <v>165</v>
      </c>
      <c r="U23" s="11" t="s">
        <v>168</v>
      </c>
      <c r="AA23" t="s">
        <v>54</v>
      </c>
      <c r="AB23" t="s">
        <v>164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1824.8068659992102</v>
      </c>
      <c r="K24">
        <f t="shared" ref="K24:K35" si="12">J24/G24</f>
        <v>0.17626603332422744</v>
      </c>
      <c r="L24" s="24">
        <v>0.99366137766730001</v>
      </c>
      <c r="M24">
        <f>1-L24*K24</f>
        <v>0.82485125049109798</v>
      </c>
      <c r="N24">
        <f>IF(M24&lt;=0,0,M24)</f>
        <v>0.82485125049109798</v>
      </c>
      <c r="O24">
        <f>E24*N24</f>
        <v>0.46795797207081591</v>
      </c>
      <c r="P24">
        <f t="shared" ref="P24:P35" si="13">C24*24</f>
        <v>744</v>
      </c>
      <c r="Q24">
        <f t="shared" ref="Q24:Q35" si="14">(O24/0.05)*C24*24</f>
        <v>6963.2146244137402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6353.2632040416711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1819.9885584688273</v>
      </c>
      <c r="K25">
        <f t="shared" si="12"/>
        <v>0.18404496395395392</v>
      </c>
      <c r="L25" s="24">
        <v>0.99311685252322002</v>
      </c>
      <c r="M25">
        <f t="shared" ref="M25:M35" si="17">1-L25*K25</f>
        <v>0.81722184467529979</v>
      </c>
      <c r="N25">
        <f t="shared" ref="N25:N35" si="18">IF(M25&lt;=0,0,M25)</f>
        <v>0.81722184467529979</v>
      </c>
      <c r="O25">
        <f t="shared" ref="O25:O35" si="19">E25*N25</f>
        <v>0.4422935783349809</v>
      </c>
      <c r="P25">
        <f t="shared" si="13"/>
        <v>672</v>
      </c>
      <c r="Q25">
        <f t="shared" si="14"/>
        <v>5944.4256928221439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5430.6768305859778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2039.921565466685</v>
      </c>
      <c r="K26">
        <f t="shared" si="12"/>
        <v>0.63505534376751283</v>
      </c>
      <c r="L26" s="24">
        <v>0.88002952280601998</v>
      </c>
      <c r="M26">
        <f t="shared" si="17"/>
        <v>0.44113254886886266</v>
      </c>
      <c r="N26">
        <f t="shared" si="18"/>
        <v>0.44113254886886266</v>
      </c>
      <c r="O26">
        <f t="shared" si="19"/>
        <v>0.20169288129683297</v>
      </c>
      <c r="P26">
        <f t="shared" si="13"/>
        <v>744</v>
      </c>
      <c r="Q26">
        <f t="shared" si="14"/>
        <v>3001.1900736968746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1054.2507854201413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2983.5729970125681</v>
      </c>
      <c r="K27">
        <f t="shared" si="12"/>
        <v>0.50029840618168553</v>
      </c>
      <c r="L27" s="24">
        <v>0.92689854189822996</v>
      </c>
      <c r="M27">
        <f t="shared" si="17"/>
        <v>0.5362741367961873</v>
      </c>
      <c r="N27">
        <f t="shared" si="18"/>
        <v>0.5362741367961873</v>
      </c>
      <c r="O27">
        <f t="shared" si="19"/>
        <v>0.1732744770629952</v>
      </c>
      <c r="P27">
        <f t="shared" si="13"/>
        <v>720</v>
      </c>
      <c r="Q27">
        <f t="shared" si="14"/>
        <v>2495.1524697071309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2302.6445215805848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2960.3998806143359</v>
      </c>
      <c r="K28">
        <f t="shared" si="12"/>
        <v>0.90455622631620047</v>
      </c>
      <c r="L28" s="24">
        <v>0.77826863399984003</v>
      </c>
      <c r="M28">
        <f t="shared" si="17"/>
        <v>0.29601226136884051</v>
      </c>
      <c r="N28">
        <f t="shared" si="18"/>
        <v>0.29601226136884051</v>
      </c>
      <c r="O28">
        <f t="shared" si="19"/>
        <v>5.2130134650491114E-2</v>
      </c>
      <c r="P28">
        <f t="shared" si="13"/>
        <v>744</v>
      </c>
      <c r="Q28">
        <f t="shared" si="14"/>
        <v>775.69640359930781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720.77123617665859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3048.6532362009584</v>
      </c>
      <c r="K29">
        <f t="shared" si="12"/>
        <v>1.6513333718442131</v>
      </c>
      <c r="L29" s="24">
        <v>0.54016665703894995</v>
      </c>
      <c r="M29">
        <f t="shared" si="17"/>
        <v>0.10800477287405408</v>
      </c>
      <c r="N29">
        <f t="shared" si="18"/>
        <v>0.10800477287405408</v>
      </c>
      <c r="O29">
        <f t="shared" si="19"/>
        <v>1.0692472514531355E-2</v>
      </c>
      <c r="P29">
        <f t="shared" si="13"/>
        <v>720</v>
      </c>
      <c r="Q29">
        <f t="shared" si="14"/>
        <v>153.9716042092515</v>
      </c>
      <c r="R29">
        <f t="shared" si="20"/>
        <v>153.9716042092515</v>
      </c>
      <c r="S29">
        <f>IF(Bilanzierung!$C$2=1,1,1-((10-D29)/22))</f>
        <v>1.3045454545454545</v>
      </c>
      <c r="T29">
        <f t="shared" si="21"/>
        <v>17</v>
      </c>
      <c r="U29">
        <f t="shared" si="22"/>
        <v>109.93572540540558</v>
      </c>
      <c r="AA29" t="s">
        <v>60</v>
      </c>
      <c r="AB29">
        <f t="shared" si="15"/>
        <v>30.701306266488476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2836.6821047157532</v>
      </c>
      <c r="K30">
        <f t="shared" si="12"/>
        <v>5.0533975106897957</v>
      </c>
      <c r="L30" s="24">
        <v>0.19618448463655</v>
      </c>
      <c r="M30">
        <f t="shared" si="17"/>
        <v>8.6018137016977692E-3</v>
      </c>
      <c r="N30">
        <f t="shared" si="18"/>
        <v>8.6018137016977692E-3</v>
      </c>
      <c r="O30">
        <f t="shared" si="19"/>
        <v>2.5805441105093306E-4</v>
      </c>
      <c r="P30">
        <f t="shared" si="13"/>
        <v>744</v>
      </c>
      <c r="Q30">
        <f t="shared" si="14"/>
        <v>3.8398496364378838</v>
      </c>
      <c r="R30">
        <f t="shared" si="20"/>
        <v>3.8398496364378838</v>
      </c>
      <c r="S30">
        <f>IF(Bilanzierung!$C$2=1,1,1-((10-D30)/22))</f>
        <v>1.4090909090909092</v>
      </c>
      <c r="T30">
        <f t="shared" si="21"/>
        <v>17</v>
      </c>
      <c r="U30">
        <f t="shared" si="22"/>
        <v>2.7416526404166492</v>
      </c>
      <c r="AA30" t="s">
        <v>61</v>
      </c>
      <c r="AB30">
        <f t="shared" si="15"/>
        <v>1.8540927576451427E-2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2616.8512434657532</v>
      </c>
      <c r="K31">
        <f t="shared" si="12"/>
        <v>3.3319283360319494</v>
      </c>
      <c r="L31" s="24">
        <v>0.29344573311743999</v>
      </c>
      <c r="M31">
        <f t="shared" si="17"/>
        <v>2.22598467383327E-2</v>
      </c>
      <c r="N31">
        <f t="shared" si="18"/>
        <v>2.22598467383327E-2</v>
      </c>
      <c r="O31">
        <f t="shared" si="19"/>
        <v>9.3491356300997349E-4</v>
      </c>
      <c r="P31">
        <f t="shared" si="13"/>
        <v>744</v>
      </c>
      <c r="Q31">
        <f t="shared" si="14"/>
        <v>13.911513817588403</v>
      </c>
      <c r="R31">
        <f t="shared" si="20"/>
        <v>13.911513817588403</v>
      </c>
      <c r="S31">
        <f>IF(Bilanzierung!$C$2=1,1,1-((10-D31)/22))</f>
        <v>1.3909090909090911</v>
      </c>
      <c r="T31">
        <f t="shared" si="21"/>
        <v>17</v>
      </c>
      <c r="U31">
        <f t="shared" si="22"/>
        <v>9.9328208657581207</v>
      </c>
      <c r="AA31" t="s">
        <v>62</v>
      </c>
      <c r="AB31">
        <f t="shared" si="15"/>
        <v>0.24320916963573855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2274.8838445947831</v>
      </c>
      <c r="K32">
        <f t="shared" si="12"/>
        <v>0.7193859677129083</v>
      </c>
      <c r="L32" s="24">
        <v>0.84863333226908999</v>
      </c>
      <c r="M32">
        <f t="shared" si="17"/>
        <v>0.38950508903217063</v>
      </c>
      <c r="N32">
        <f t="shared" si="18"/>
        <v>0.38950508903217063</v>
      </c>
      <c r="O32">
        <f t="shared" si="19"/>
        <v>6.6257941324077335E-2</v>
      </c>
      <c r="P32">
        <f t="shared" si="13"/>
        <v>720</v>
      </c>
      <c r="Q32">
        <f t="shared" si="14"/>
        <v>954.11435506671341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886.83514750158997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1961.1296754658406</v>
      </c>
      <c r="K33">
        <f t="shared" si="12"/>
        <v>0.3381658416229949</v>
      </c>
      <c r="L33" s="24">
        <v>0.96960351484294005</v>
      </c>
      <c r="M33">
        <f t="shared" si="17"/>
        <v>0.67211321136252322</v>
      </c>
      <c r="N33">
        <f t="shared" si="18"/>
        <v>0.67211321136252322</v>
      </c>
      <c r="O33">
        <f t="shared" si="19"/>
        <v>0.21111615322729052</v>
      </c>
      <c r="P33">
        <f t="shared" si="13"/>
        <v>744</v>
      </c>
      <c r="Q33">
        <f t="shared" si="14"/>
        <v>3141.4083600220829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2899.9595623428227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1585.4541190044131</v>
      </c>
      <c r="K34">
        <f t="shared" si="12"/>
        <v>0.1820242025955737</v>
      </c>
      <c r="L34" s="24">
        <v>0.99325830581830998</v>
      </c>
      <c r="M34">
        <f t="shared" si="17"/>
        <v>0.81920294891199164</v>
      </c>
      <c r="N34">
        <f t="shared" si="18"/>
        <v>0.81920294891199164</v>
      </c>
      <c r="O34">
        <f t="shared" si="19"/>
        <v>0.38929838911540676</v>
      </c>
      <c r="P34">
        <f t="shared" si="13"/>
        <v>720</v>
      </c>
      <c r="Q34">
        <f t="shared" si="14"/>
        <v>5605.8968032618577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5137.461080535214</v>
      </c>
    </row>
    <row r="35" spans="2:28" x14ac:dyDescent="0.2">
      <c r="B35" s="26" t="s">
        <v>66</v>
      </c>
      <c r="C35" s="26">
        <v>31</v>
      </c>
      <c r="D35" s="27">
        <v>0.9</v>
      </c>
      <c r="E35" s="27">
        <v>0.57032407424029996</v>
      </c>
      <c r="F35" s="27">
        <v>19.159722227208999</v>
      </c>
      <c r="G35" s="26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1621.8764527572184</v>
      </c>
      <c r="K35" s="4">
        <f t="shared" si="12"/>
        <v>0.15588463318011128</v>
      </c>
      <c r="L35" s="28">
        <v>0.99508807567738999</v>
      </c>
      <c r="M35" s="4">
        <f t="shared" si="17"/>
        <v>0.8448810603411272</v>
      </c>
      <c r="N35" s="4">
        <f t="shared" si="18"/>
        <v>0.8448810603411272</v>
      </c>
      <c r="O35" s="4">
        <f t="shared" si="19"/>
        <v>0.48185600858221639</v>
      </c>
      <c r="P35" s="4">
        <f t="shared" si="13"/>
        <v>744</v>
      </c>
      <c r="Q35" s="4">
        <f t="shared" si="14"/>
        <v>7170.0174077033789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6540.0786843436945</v>
      </c>
    </row>
    <row r="36" spans="2:28" x14ac:dyDescent="0.2">
      <c r="K36" s="1"/>
      <c r="R36">
        <f>SUM(R24:R35)</f>
        <v>6723.7229676632778</v>
      </c>
      <c r="U36" s="29">
        <f>SUM(U24:U35)</f>
        <v>5175.5721625479437</v>
      </c>
      <c r="AA36" s="2" t="s">
        <v>127</v>
      </c>
      <c r="AB36" s="2">
        <f>SUM(AB24:AB35)</f>
        <v>31356.904108892053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5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31"/>
  <sheetViews>
    <sheetView workbookViewId="0">
      <selection activeCell="E36" sqref="E36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9" max="9" width="22" customWidth="1"/>
  </cols>
  <sheetData>
    <row r="2" spans="2:11" x14ac:dyDescent="0.2">
      <c r="B2" s="2" t="s">
        <v>172</v>
      </c>
      <c r="H2" t="s">
        <v>192</v>
      </c>
    </row>
    <row r="3" spans="2:11" x14ac:dyDescent="0.2">
      <c r="B3" t="s">
        <v>141</v>
      </c>
      <c r="C3" t="str">
        <f>Gebäude!B72</f>
        <v>Ja</v>
      </c>
      <c r="E3" t="s">
        <v>164</v>
      </c>
      <c r="F3">
        <f>Bilanzierung!AB36</f>
        <v>31356.904108892053</v>
      </c>
    </row>
    <row r="4" spans="2:11" x14ac:dyDescent="0.2">
      <c r="B4" t="s">
        <v>145</v>
      </c>
      <c r="C4" t="str">
        <f>Gebäude!B73</f>
        <v>Nein</v>
      </c>
      <c r="E4" t="s">
        <v>189</v>
      </c>
      <c r="F4">
        <f>Bilanzierung!R36</f>
        <v>6723.7229676632778</v>
      </c>
      <c r="H4" s="2" t="s">
        <v>195</v>
      </c>
      <c r="I4" s="2" t="s">
        <v>196</v>
      </c>
      <c r="J4" s="2" t="s">
        <v>138</v>
      </c>
      <c r="K4" s="2" t="s">
        <v>193</v>
      </c>
    </row>
    <row r="5" spans="2:11" x14ac:dyDescent="0.2">
      <c r="B5" t="s">
        <v>137</v>
      </c>
      <c r="C5" t="str">
        <f>Gebäude!B74</f>
        <v>innerhalb</v>
      </c>
      <c r="E5" t="s">
        <v>190</v>
      </c>
      <c r="F5">
        <f>Gebäude!B64</f>
        <v>15324.999551186025</v>
      </c>
      <c r="H5" t="s">
        <v>194</v>
      </c>
      <c r="I5" t="s">
        <v>197</v>
      </c>
      <c r="J5">
        <v>1.099</v>
      </c>
      <c r="K5">
        <v>1.1000000000000001</v>
      </c>
    </row>
    <row r="6" spans="2:11" x14ac:dyDescent="0.2">
      <c r="B6" t="s">
        <v>146</v>
      </c>
      <c r="C6" t="str">
        <f>Gebäude!B75</f>
        <v>Ja</v>
      </c>
      <c r="E6" t="s">
        <v>70</v>
      </c>
      <c r="F6">
        <f>Gebäude!B16</f>
        <v>324</v>
      </c>
      <c r="H6" t="s">
        <v>194</v>
      </c>
      <c r="I6" t="s">
        <v>198</v>
      </c>
      <c r="J6">
        <v>1.07</v>
      </c>
      <c r="K6">
        <v>1.0740000000000001</v>
      </c>
    </row>
    <row r="7" spans="2:11" x14ac:dyDescent="0.2">
      <c r="B7" t="s">
        <v>169</v>
      </c>
      <c r="C7" t="str">
        <f>Gebäude!B76</f>
        <v>flaechenheizung</v>
      </c>
      <c r="H7" t="s">
        <v>194</v>
      </c>
      <c r="I7" t="s">
        <v>199</v>
      </c>
      <c r="J7">
        <v>1.0489999999999999</v>
      </c>
      <c r="K7">
        <v>1.0549999999999999</v>
      </c>
    </row>
    <row r="8" spans="2:11" x14ac:dyDescent="0.2">
      <c r="B8" t="s">
        <v>177</v>
      </c>
      <c r="C8" t="str">
        <f>Gebäude!B77</f>
        <v>35/28</v>
      </c>
      <c r="H8" t="s">
        <v>194</v>
      </c>
      <c r="I8" t="s">
        <v>180</v>
      </c>
      <c r="J8">
        <v>1.0189999999999999</v>
      </c>
      <c r="K8">
        <v>1.028</v>
      </c>
    </row>
    <row r="9" spans="2:11" x14ac:dyDescent="0.2">
      <c r="B9" t="s">
        <v>178</v>
      </c>
      <c r="C9" t="str">
        <f>Gebäude!B78</f>
        <v>35/28</v>
      </c>
      <c r="H9" t="s">
        <v>200</v>
      </c>
      <c r="I9" t="s">
        <v>197</v>
      </c>
      <c r="J9">
        <v>1.085</v>
      </c>
      <c r="K9">
        <v>1.085</v>
      </c>
    </row>
    <row r="10" spans="2:11" x14ac:dyDescent="0.2">
      <c r="B10" t="s">
        <v>181</v>
      </c>
      <c r="C10" t="s">
        <v>183</v>
      </c>
      <c r="H10" t="s">
        <v>200</v>
      </c>
      <c r="I10" t="s">
        <v>198</v>
      </c>
      <c r="J10">
        <v>1.06</v>
      </c>
      <c r="K10">
        <v>1.0629999999999999</v>
      </c>
    </row>
    <row r="11" spans="2:11" x14ac:dyDescent="0.2">
      <c r="B11" t="s">
        <v>186</v>
      </c>
      <c r="C11" t="str">
        <f>Gebäude!B80</f>
        <v>Nein</v>
      </c>
      <c r="H11" t="s">
        <v>200</v>
      </c>
      <c r="I11" t="s">
        <v>199</v>
      </c>
      <c r="J11">
        <v>1.042</v>
      </c>
      <c r="K11">
        <v>1.0469999999999999</v>
      </c>
    </row>
    <row r="12" spans="2:11" x14ac:dyDescent="0.2">
      <c r="B12" t="s">
        <v>202</v>
      </c>
      <c r="C12" t="str">
        <f>Gebäude!B74</f>
        <v>innerhalb</v>
      </c>
      <c r="H12" t="s">
        <v>200</v>
      </c>
      <c r="I12" t="s">
        <v>180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210</v>
      </c>
      <c r="C14">
        <f>Bilanzierung!U36</f>
        <v>5175.5721625479437</v>
      </c>
      <c r="H14" t="s">
        <v>201</v>
      </c>
      <c r="I14" t="str">
        <f>IF(C13&lt;2,"EFH","MFH")</f>
        <v>MFH</v>
      </c>
    </row>
    <row r="15" spans="2:11" x14ac:dyDescent="0.2">
      <c r="H15" t="s">
        <v>203</v>
      </c>
      <c r="I15" s="7">
        <v>1.016</v>
      </c>
      <c r="J15" t="s">
        <v>205</v>
      </c>
    </row>
    <row r="16" spans="2:11" x14ac:dyDescent="0.2">
      <c r="E16" t="s">
        <v>179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173</v>
      </c>
      <c r="E17" t="s">
        <v>184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185</v>
      </c>
      <c r="F18">
        <f>IF(C11="Ja",0.015,0.042)</f>
        <v>4.2000000000000003E-2</v>
      </c>
    </row>
    <row r="19" spans="2:6" x14ac:dyDescent="0.2">
      <c r="B19" t="s">
        <v>174</v>
      </c>
      <c r="C19">
        <f>IF(C7="elektroheizungsflaechen",1.066+0.018,0)</f>
        <v>0</v>
      </c>
    </row>
    <row r="20" spans="2:6" x14ac:dyDescent="0.2">
      <c r="B20" t="s">
        <v>175</v>
      </c>
      <c r="C20">
        <f>IF(C7="heizkoerper",1.042+F16+0.009+0.03+0.036,0)</f>
        <v>0</v>
      </c>
      <c r="E20" s="6"/>
    </row>
    <row r="21" spans="2:6" x14ac:dyDescent="0.2">
      <c r="B21" t="s">
        <v>176</v>
      </c>
      <c r="C21">
        <f>IF(C7="flaechenheizung",1.042+F17+F18-0.03+0.036,0)</f>
        <v>1.111</v>
      </c>
      <c r="E21" s="6"/>
    </row>
    <row r="23" spans="2:6" x14ac:dyDescent="0.2">
      <c r="B23" t="s">
        <v>187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188</v>
      </c>
      <c r="C24">
        <f>(F3/(F4*F5))*1000</f>
        <v>0.30431467521015609</v>
      </c>
      <c r="E24" s="6"/>
    </row>
    <row r="25" spans="2:6" x14ac:dyDescent="0.2">
      <c r="B25" t="s">
        <v>191</v>
      </c>
      <c r="C25">
        <f>(F5/F6)*C23</f>
        <v>52.549612658542202</v>
      </c>
    </row>
    <row r="26" spans="2:6" x14ac:dyDescent="0.2">
      <c r="B26" t="s">
        <v>204</v>
      </c>
      <c r="C26">
        <f>C24*C23*1.06</f>
        <v>0.35837922040799247</v>
      </c>
    </row>
    <row r="27" spans="2:6" x14ac:dyDescent="0.2">
      <c r="B27" t="s">
        <v>206</v>
      </c>
      <c r="C27" s="7">
        <v>1.0023351688163</v>
      </c>
      <c r="D27" t="s">
        <v>207</v>
      </c>
    </row>
    <row r="28" spans="2:6" x14ac:dyDescent="0.2">
      <c r="B28" t="s">
        <v>203</v>
      </c>
      <c r="C28">
        <f>I15</f>
        <v>1.016</v>
      </c>
      <c r="E28" s="6"/>
    </row>
    <row r="29" spans="2:6" x14ac:dyDescent="0.2">
      <c r="B29" t="s">
        <v>208</v>
      </c>
      <c r="C29">
        <f>C28*C27</f>
        <v>1.0183725315173608</v>
      </c>
      <c r="E29" s="6"/>
    </row>
    <row r="30" spans="2:6" x14ac:dyDescent="0.2">
      <c r="B30" t="s">
        <v>192</v>
      </c>
      <c r="C30">
        <f>1+(C29-1)*(50/C25)</f>
        <v>1.0174811293441326</v>
      </c>
    </row>
    <row r="31" spans="2:6" x14ac:dyDescent="0.2">
      <c r="B31" t="s">
        <v>209</v>
      </c>
      <c r="C31">
        <f>1+(C30-1)*(8760/C14)</f>
        <v>1.0295879737051552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Gebäude</vt:lpstr>
      <vt:lpstr>Dach</vt:lpstr>
      <vt:lpstr>Bilanzierung</vt:lpstr>
      <vt:lpstr>Heizung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2023-11-14T14:50:08Z</dcterms:modified>
</cp:coreProperties>
</file>