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86006995-9187-DA44-966C-5F456B8FA950}" xr6:coauthVersionLast="47" xr6:coauthVersionMax="47" xr10:uidLastSave="{00000000-0000-0000-0000-000000000000}"/>
  <bookViews>
    <workbookView xWindow="0" yWindow="780" windowWidth="30240" windowHeight="17600" activeTab="3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5" l="1"/>
  <c r="C42" i="5" s="1"/>
  <c r="C40" i="5"/>
  <c r="C32" i="5"/>
  <c r="C38" i="5" l="1"/>
  <c r="C37" i="5"/>
  <c r="C36" i="5"/>
  <c r="C28" i="5"/>
  <c r="C29" i="5" s="1"/>
  <c r="C12" i="5"/>
  <c r="C13" i="5"/>
  <c r="I14" i="5" s="1"/>
  <c r="F6" i="5"/>
  <c r="F5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2" i="1"/>
  <c r="B84" i="1" s="1"/>
  <c r="Y4" i="3" s="1"/>
  <c r="B83" i="1"/>
  <c r="U4" i="3"/>
  <c r="B34" i="1" a="1"/>
  <c r="B34" i="1" s="1"/>
  <c r="I3" i="3" s="1"/>
  <c r="I4" i="3" s="1"/>
  <c r="B51" i="1"/>
  <c r="E37" i="3"/>
  <c r="C2" i="3"/>
  <c r="S25" i="3" s="1"/>
  <c r="T25" i="3" s="1"/>
  <c r="C20" i="5" l="1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E3" i="1" l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V8" i="3" l="1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4" i="5" s="1"/>
  <c r="Q24" i="3"/>
  <c r="AB24" i="3" l="1"/>
  <c r="AB36" i="3" s="1"/>
  <c r="F3" i="5" s="1"/>
  <c r="C24" i="5" s="1"/>
  <c r="C26" i="5" s="1"/>
  <c r="U24" i="3"/>
  <c r="U36" i="3" s="1"/>
  <c r="C14" i="5" l="1"/>
  <c r="C31" i="5" s="1"/>
  <c r="C45" i="5" s="1"/>
  <c r="C33" i="5"/>
  <c r="C4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<sst xmlns="http://schemas.openxmlformats.org/spreadsheetml/2006/main" count="420" uniqueCount="225">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</sst>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4"/>
  <sheetViews>
    <sheetView topLeftCell="A57" workbookViewId="0">
      <selection activeCell="C79" sqref="C79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7">
        <v>8.5</v>
      </c>
      <c r="C69" t="s">
        <v>131</v>
      </c>
    </row>
    <row r="71" spans="1:3" x14ac:dyDescent="0.2">
      <c r="A71" s="2" t="s">
        <v>136</v>
      </c>
    </row>
    <row r="72" spans="1:3" x14ac:dyDescent="0.2">
      <c r="A72" t="s">
        <v>141</v>
      </c>
      <c r="B72" s="3" t="s">
        <v>26</v>
      </c>
      <c r="C72" t="s">
        <v>142</v>
      </c>
    </row>
    <row r="73" spans="1:3" x14ac:dyDescent="0.2">
      <c r="A73" t="s">
        <v>145</v>
      </c>
      <c r="B73" s="3" t="s">
        <v>26</v>
      </c>
    </row>
    <row r="74" spans="1:3" x14ac:dyDescent="0.2">
      <c r="A74" t="s">
        <v>137</v>
      </c>
      <c r="B74" s="3" t="s">
        <v>138</v>
      </c>
      <c r="C74" t="s">
        <v>139</v>
      </c>
    </row>
    <row r="75" spans="1:3" x14ac:dyDescent="0.2">
      <c r="A75" t="s">
        <v>146</v>
      </c>
      <c r="B75" s="3" t="s">
        <v>26</v>
      </c>
    </row>
    <row r="76" spans="1:3" x14ac:dyDescent="0.2">
      <c r="A76" t="s">
        <v>169</v>
      </c>
      <c r="B76" s="3" t="s">
        <v>171</v>
      </c>
      <c r="C76" t="s">
        <v>170</v>
      </c>
    </row>
    <row r="77" spans="1:3" x14ac:dyDescent="0.2">
      <c r="A77" t="s">
        <v>177</v>
      </c>
      <c r="B77" s="3" t="s">
        <v>180</v>
      </c>
    </row>
    <row r="78" spans="1:3" x14ac:dyDescent="0.2">
      <c r="A78" t="s">
        <v>178</v>
      </c>
      <c r="B78" s="3" t="s">
        <v>180</v>
      </c>
    </row>
    <row r="79" spans="1:3" x14ac:dyDescent="0.2">
      <c r="A79" t="s">
        <v>181</v>
      </c>
      <c r="B79" s="3" t="s">
        <v>183</v>
      </c>
      <c r="C79" t="s">
        <v>182</v>
      </c>
    </row>
    <row r="80" spans="1:3" x14ac:dyDescent="0.2">
      <c r="A80" t="s">
        <v>186</v>
      </c>
      <c r="B80" s="3" t="s">
        <v>93</v>
      </c>
    </row>
    <row r="82" spans="1:2" x14ac:dyDescent="0.2">
      <c r="A82" t="s">
        <v>143</v>
      </c>
      <c r="B82">
        <f>IF(B74="innerhalb",IF(B75="Ja",1.554,0.647),IF(B75="Ja",0.815,0.335))</f>
        <v>1.554</v>
      </c>
    </row>
    <row r="83" spans="1:2" x14ac:dyDescent="0.2">
      <c r="A83" t="s">
        <v>144</v>
      </c>
      <c r="B83">
        <f>IF(B75="Ja",1.321,0.451)</f>
        <v>1.321</v>
      </c>
    </row>
    <row r="84" spans="1:2" x14ac:dyDescent="0.2">
      <c r="A84" s="2" t="s">
        <v>140</v>
      </c>
      <c r="B84" s="2">
        <f>IF(B72="Ja",IF(B73="Ja",B82,B83),0.193)</f>
        <v>1.554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E1" workbookViewId="0">
      <selection activeCell="M24" sqref="M2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7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Gebäude!B84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133</v>
      </c>
      <c r="AA6" s="2" t="s">
        <v>152</v>
      </c>
      <c r="AE6" s="2" t="s">
        <v>153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128</v>
      </c>
      <c r="T7" s="11" t="s">
        <v>54</v>
      </c>
      <c r="U7" s="11" t="s">
        <v>126</v>
      </c>
      <c r="V7" s="11" t="s">
        <v>134</v>
      </c>
      <c r="W7" s="11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2139.8579999999997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163</v>
      </c>
      <c r="AB22" s="4"/>
    </row>
    <row r="23" spans="2:32" x14ac:dyDescent="0.2">
      <c r="B23" s="11" t="s">
        <v>54</v>
      </c>
      <c r="C23" s="11" t="s">
        <v>67</v>
      </c>
      <c r="D23" s="11" t="s">
        <v>166</v>
      </c>
      <c r="E23" s="11" t="s">
        <v>79</v>
      </c>
      <c r="F23" s="11" t="s">
        <v>80</v>
      </c>
      <c r="G23" s="11" t="s">
        <v>107</v>
      </c>
      <c r="H23" s="11" t="s">
        <v>149</v>
      </c>
      <c r="I23" s="11" t="s">
        <v>108</v>
      </c>
      <c r="J23" s="11" t="s">
        <v>154</v>
      </c>
      <c r="K23" s="11" t="s">
        <v>155</v>
      </c>
      <c r="L23" s="11" t="s">
        <v>156</v>
      </c>
      <c r="M23" s="11" t="s">
        <v>158</v>
      </c>
      <c r="N23" s="11" t="s">
        <v>157</v>
      </c>
      <c r="O23" s="11" t="s">
        <v>159</v>
      </c>
      <c r="P23" s="11" t="s">
        <v>160</v>
      </c>
      <c r="Q23" s="11" t="s">
        <v>161</v>
      </c>
      <c r="R23" s="11" t="s">
        <v>162</v>
      </c>
      <c r="S23" s="11" t="s">
        <v>167</v>
      </c>
      <c r="T23" s="11" t="s">
        <v>165</v>
      </c>
      <c r="U23" s="11" t="s">
        <v>168</v>
      </c>
      <c r="AA23" t="s">
        <v>54</v>
      </c>
      <c r="AB23" t="s">
        <v>164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127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45"/>
  <sheetViews>
    <sheetView tabSelected="1" topLeftCell="A12" workbookViewId="0">
      <selection activeCell="C34" sqref="C34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9" max="9" width="22" customWidth="1"/>
  </cols>
  <sheetData>
    <row r="2" spans="2:11" x14ac:dyDescent="0.2">
      <c r="B2" s="2" t="s">
        <v>172</v>
      </c>
      <c r="H2" t="s">
        <v>192</v>
      </c>
    </row>
    <row r="3" spans="2:11" x14ac:dyDescent="0.2">
      <c r="B3" t="s">
        <v>141</v>
      </c>
      <c r="C3" t="str">
        <f>Gebäude!B72</f>
        <v>Ja</v>
      </c>
      <c r="E3" t="s">
        <v>164</v>
      </c>
      <c r="F3">
        <f>Bilanzierung!AB36</f>
        <v>31163.496960842906</v>
      </c>
    </row>
    <row r="4" spans="2:11" x14ac:dyDescent="0.2">
      <c r="B4" t="s">
        <v>145</v>
      </c>
      <c r="C4" t="str">
        <f>Gebäude!B73</f>
        <v>Ja</v>
      </c>
      <c r="E4" t="s">
        <v>189</v>
      </c>
      <c r="F4">
        <f>Bilanzierung!R36</f>
        <v>6718.9418297981456</v>
      </c>
      <c r="H4" s="2" t="s">
        <v>195</v>
      </c>
      <c r="I4" s="2" t="s">
        <v>196</v>
      </c>
      <c r="J4" s="2" t="s">
        <v>138</v>
      </c>
      <c r="K4" s="2" t="s">
        <v>193</v>
      </c>
    </row>
    <row r="5" spans="2:11" x14ac:dyDescent="0.2">
      <c r="B5" t="s">
        <v>137</v>
      </c>
      <c r="C5" t="str">
        <f>Gebäude!B74</f>
        <v>innerhalb</v>
      </c>
      <c r="E5" t="s">
        <v>190</v>
      </c>
      <c r="F5">
        <f>Gebäude!B64</f>
        <v>15324.999551186025</v>
      </c>
      <c r="H5" t="s">
        <v>194</v>
      </c>
      <c r="I5" t="s">
        <v>197</v>
      </c>
      <c r="J5">
        <v>1.099</v>
      </c>
      <c r="K5">
        <v>1.1000000000000001</v>
      </c>
    </row>
    <row r="6" spans="2:11" x14ac:dyDescent="0.2">
      <c r="B6" t="s">
        <v>146</v>
      </c>
      <c r="C6" t="str">
        <f>Gebäude!B75</f>
        <v>Ja</v>
      </c>
      <c r="E6" t="s">
        <v>70</v>
      </c>
      <c r="F6">
        <f>Gebäude!B16</f>
        <v>324</v>
      </c>
      <c r="H6" t="s">
        <v>194</v>
      </c>
      <c r="I6" t="s">
        <v>198</v>
      </c>
      <c r="J6">
        <v>1.07</v>
      </c>
      <c r="K6">
        <v>1.0740000000000001</v>
      </c>
    </row>
    <row r="7" spans="2:11" x14ac:dyDescent="0.2">
      <c r="B7" t="s">
        <v>169</v>
      </c>
      <c r="C7" t="str">
        <f>Gebäude!B76</f>
        <v>flaechenheizung</v>
      </c>
      <c r="H7" t="s">
        <v>194</v>
      </c>
      <c r="I7" t="s">
        <v>199</v>
      </c>
      <c r="J7">
        <v>1.0489999999999999</v>
      </c>
      <c r="K7">
        <v>1.0549999999999999</v>
      </c>
    </row>
    <row r="8" spans="2:11" x14ac:dyDescent="0.2">
      <c r="B8" t="s">
        <v>177</v>
      </c>
      <c r="C8" t="str">
        <f>Gebäude!B77</f>
        <v>35/28</v>
      </c>
      <c r="H8" t="s">
        <v>194</v>
      </c>
      <c r="I8" t="s">
        <v>180</v>
      </c>
      <c r="J8">
        <v>1.0189999999999999</v>
      </c>
      <c r="K8">
        <v>1.028</v>
      </c>
    </row>
    <row r="9" spans="2:11" x14ac:dyDescent="0.2">
      <c r="B9" t="s">
        <v>178</v>
      </c>
      <c r="C9" t="str">
        <f>Gebäude!B78</f>
        <v>35/28</v>
      </c>
      <c r="H9" t="s">
        <v>200</v>
      </c>
      <c r="I9" t="s">
        <v>197</v>
      </c>
      <c r="J9">
        <v>1.085</v>
      </c>
      <c r="K9">
        <v>1.085</v>
      </c>
    </row>
    <row r="10" spans="2:11" x14ac:dyDescent="0.2">
      <c r="B10" t="s">
        <v>181</v>
      </c>
      <c r="C10" t="s">
        <v>183</v>
      </c>
      <c r="H10" t="s">
        <v>200</v>
      </c>
      <c r="I10" t="s">
        <v>198</v>
      </c>
      <c r="J10">
        <v>1.06</v>
      </c>
      <c r="K10">
        <v>1.0629999999999999</v>
      </c>
    </row>
    <row r="11" spans="2:11" x14ac:dyDescent="0.2">
      <c r="B11" t="s">
        <v>186</v>
      </c>
      <c r="C11" t="str">
        <f>Gebäude!B80</f>
        <v>Nein</v>
      </c>
      <c r="H11" t="s">
        <v>200</v>
      </c>
      <c r="I11" t="s">
        <v>199</v>
      </c>
      <c r="J11">
        <v>1.042</v>
      </c>
      <c r="K11">
        <v>1.0469999999999999</v>
      </c>
    </row>
    <row r="12" spans="2:11" x14ac:dyDescent="0.2">
      <c r="B12" t="s">
        <v>202</v>
      </c>
      <c r="C12" t="str">
        <f>Gebäude!B74</f>
        <v>innerhalb</v>
      </c>
      <c r="H12" t="s">
        <v>200</v>
      </c>
      <c r="I12" t="s">
        <v>180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210</v>
      </c>
      <c r="C14">
        <f>Bilanzierung!U36</f>
        <v>5172.1584301122384</v>
      </c>
      <c r="H14" t="s">
        <v>201</v>
      </c>
      <c r="I14" t="str">
        <f>IF(C13&lt;2,"EFH","MFH")</f>
        <v>MFH</v>
      </c>
    </row>
    <row r="15" spans="2:11" x14ac:dyDescent="0.2">
      <c r="H15" t="s">
        <v>203</v>
      </c>
      <c r="I15" s="7">
        <v>1.016</v>
      </c>
      <c r="J15" t="s">
        <v>205</v>
      </c>
    </row>
    <row r="16" spans="2:11" x14ac:dyDescent="0.2">
      <c r="E16" t="s">
        <v>179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173</v>
      </c>
      <c r="E17" t="s">
        <v>184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185</v>
      </c>
      <c r="F18">
        <f>IF(C11="Ja",0.015,0.042)</f>
        <v>4.2000000000000003E-2</v>
      </c>
    </row>
    <row r="19" spans="2:6" x14ac:dyDescent="0.2">
      <c r="B19" t="s">
        <v>174</v>
      </c>
      <c r="C19">
        <f>IF(C7="elektroheizungsflaechen",1.066+0.018,0)</f>
        <v>0</v>
      </c>
    </row>
    <row r="20" spans="2:6" x14ac:dyDescent="0.2">
      <c r="B20" t="s">
        <v>175</v>
      </c>
      <c r="C20">
        <f>IF(C7="heizkoerper",1.042+F16+0.009+0.03+0.036,0)</f>
        <v>0</v>
      </c>
      <c r="E20" s="6"/>
    </row>
    <row r="21" spans="2:6" x14ac:dyDescent="0.2">
      <c r="B21" t="s">
        <v>176</v>
      </c>
      <c r="C21">
        <f>IF(C7="flaechenheizung",1.042+F17+F18-0.03+0.036,0)</f>
        <v>1.111</v>
      </c>
      <c r="E21" s="6"/>
    </row>
    <row r="23" spans="2:6" x14ac:dyDescent="0.2">
      <c r="B23" t="s">
        <v>187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188</v>
      </c>
      <c r="C24">
        <f>(F3/(F4*F5))*1000</f>
        <v>0.30265289590216216</v>
      </c>
      <c r="E24" s="6"/>
    </row>
    <row r="25" spans="2:6" x14ac:dyDescent="0.2">
      <c r="B25" t="s">
        <v>191</v>
      </c>
      <c r="C25">
        <f>(F5/F6)*C23</f>
        <v>52.549612658542202</v>
      </c>
    </row>
    <row r="26" spans="2:6" x14ac:dyDescent="0.2">
      <c r="B26" t="s">
        <v>204</v>
      </c>
      <c r="C26">
        <f>C24*C23*1.06</f>
        <v>0.35642220938814029</v>
      </c>
    </row>
    <row r="27" spans="2:6" x14ac:dyDescent="0.2">
      <c r="B27" t="s">
        <v>206</v>
      </c>
      <c r="C27" s="7">
        <v>1.0022568883755001</v>
      </c>
      <c r="D27" t="s">
        <v>207</v>
      </c>
    </row>
    <row r="28" spans="2:6" x14ac:dyDescent="0.2">
      <c r="B28" t="s">
        <v>203</v>
      </c>
      <c r="C28">
        <f>I15</f>
        <v>1.016</v>
      </c>
      <c r="E28" s="6"/>
    </row>
    <row r="29" spans="2:6" x14ac:dyDescent="0.2">
      <c r="B29" t="s">
        <v>208</v>
      </c>
      <c r="C29">
        <f>C28*C27</f>
        <v>1.0182929985895082</v>
      </c>
      <c r="E29" s="6"/>
    </row>
    <row r="30" spans="2:6" x14ac:dyDescent="0.2">
      <c r="B30" t="s">
        <v>192</v>
      </c>
      <c r="C30">
        <f>1+(C29-1)*(50/C25)</f>
        <v>1.0174054552108431</v>
      </c>
    </row>
    <row r="31" spans="2:6" x14ac:dyDescent="0.2">
      <c r="B31" t="s">
        <v>209</v>
      </c>
      <c r="C31">
        <f>1+(C30-1)*(8760/C14)</f>
        <v>1.0294793343450768</v>
      </c>
    </row>
    <row r="32" spans="2:6" x14ac:dyDescent="0.2">
      <c r="B32" t="s">
        <v>214</v>
      </c>
      <c r="C32">
        <f>Bilanzierung!V20</f>
        <v>1377</v>
      </c>
    </row>
    <row r="33" spans="2:5" x14ac:dyDescent="0.2">
      <c r="B33" t="s">
        <v>222</v>
      </c>
      <c r="C33">
        <f>Bilanzierung!U36</f>
        <v>5172.1584301122384</v>
      </c>
    </row>
    <row r="35" spans="2:5" x14ac:dyDescent="0.2">
      <c r="B35" s="2" t="s">
        <v>211</v>
      </c>
    </row>
    <row r="36" spans="2:5" x14ac:dyDescent="0.2">
      <c r="B36" t="s">
        <v>212</v>
      </c>
      <c r="C36" t="str">
        <f>Gebäude!B73</f>
        <v>Ja</v>
      </c>
    </row>
    <row r="37" spans="2:5" x14ac:dyDescent="0.2">
      <c r="B37" t="s">
        <v>213</v>
      </c>
      <c r="C37" t="str">
        <f>Gebäude!B72</f>
        <v>Ja</v>
      </c>
    </row>
    <row r="38" spans="2:5" x14ac:dyDescent="0.2">
      <c r="B38" t="s">
        <v>70</v>
      </c>
      <c r="C38">
        <f>Gebäude!B16</f>
        <v>324</v>
      </c>
    </row>
    <row r="39" spans="2:5" x14ac:dyDescent="0.2">
      <c r="B39" s="2" t="s">
        <v>216</v>
      </c>
      <c r="C39" s="7">
        <v>18436</v>
      </c>
      <c r="D39" t="s">
        <v>220</v>
      </c>
      <c r="E39" s="6"/>
    </row>
    <row r="40" spans="2:5" x14ac:dyDescent="0.2">
      <c r="B40" s="2" t="s">
        <v>217</v>
      </c>
      <c r="C40">
        <f>0.42*POWER(((C32*C38)/(365*0.036)),0.7)</f>
        <v>623.54499849662818</v>
      </c>
      <c r="E40" s="6"/>
    </row>
    <row r="41" spans="2:5" x14ac:dyDescent="0.2">
      <c r="B41" s="2" t="s">
        <v>215</v>
      </c>
      <c r="C41">
        <f>IF(C38&gt;5000,C40,C39)</f>
        <v>18436</v>
      </c>
    </row>
    <row r="42" spans="2:5" x14ac:dyDescent="0.2">
      <c r="B42" s="2" t="s">
        <v>218</v>
      </c>
      <c r="C42">
        <f>1.5*C41</f>
        <v>27654</v>
      </c>
    </row>
    <row r="43" spans="2:5" x14ac:dyDescent="0.2">
      <c r="B43" s="2" t="s">
        <v>219</v>
      </c>
      <c r="C43" s="7">
        <v>1.0736222287534001</v>
      </c>
      <c r="D43" t="s">
        <v>221</v>
      </c>
    </row>
    <row r="44" spans="2:5" x14ac:dyDescent="0.2">
      <c r="B44" s="2" t="s">
        <v>223</v>
      </c>
      <c r="C44">
        <f>C43*C33/5000</f>
        <v>1.1105888522405576</v>
      </c>
      <c r="D44" s="6"/>
    </row>
    <row r="45" spans="2:5" x14ac:dyDescent="0.2">
      <c r="B45" s="2" t="s">
        <v>224</v>
      </c>
      <c r="C45">
        <f>C26*C31</f>
        <v>0.36692929886670422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Bilanzierung</vt:lpstr>
      <vt:lpstr>Heizung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2023-11-16T09:23:53Z</dcterms:modified>
</cp:coreProperties>
</file>