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AA936236-F589-8642-AD46-8CE1E7E89AEF}" xr6:coauthVersionLast="47" xr6:coauthVersionMax="47" xr10:uidLastSave="{00000000-0000-0000-0000-000000000000}"/>
  <bookViews>
    <workbookView xWindow="0" yWindow="740" windowWidth="30240" windowHeight="18900" activeTab="3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5" l="1"/>
  <c r="B86" i="1"/>
  <c r="C66" i="5"/>
  <c r="F5" i="5"/>
  <c r="F4" i="5"/>
  <c r="F3" i="5"/>
  <c r="C40" i="5" s="1"/>
  <c r="C41" i="5" l="1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C54" i="5" l="1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C24" i="5" s="1"/>
  <c r="C26" i="5" s="1"/>
  <c r="U24" i="3"/>
  <c r="U36" i="3" s="1"/>
  <c r="C14" i="5" l="1"/>
  <c r="C31" i="5" s="1"/>
  <c r="C45" i="5" s="1"/>
  <c r="C33" i="5"/>
  <c r="C4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<sst xmlns="http://schemas.openxmlformats.org/spreadsheetml/2006/main" count="447" uniqueCount="248">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</sst>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8"/>
  <sheetViews>
    <sheetView topLeftCell="A5" workbookViewId="0">
      <selection activeCell="C18" sqref="C18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147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147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7">
        <v>8.5</v>
      </c>
      <c r="C69" t="s">
        <v>131</v>
      </c>
    </row>
    <row r="71" spans="1:3" x14ac:dyDescent="0.2">
      <c r="A71" s="2" t="s">
        <v>226</v>
      </c>
    </row>
    <row r="72" spans="1:3" x14ac:dyDescent="0.2">
      <c r="A72" t="s">
        <v>227</v>
      </c>
      <c r="B72" s="3" t="s">
        <v>228</v>
      </c>
    </row>
    <row r="73" spans="1:3" x14ac:dyDescent="0.2">
      <c r="A73" t="s">
        <v>230</v>
      </c>
      <c r="B73" s="3"/>
    </row>
    <row r="74" spans="1:3" x14ac:dyDescent="0.2">
      <c r="A74" t="s">
        <v>231</v>
      </c>
      <c r="B74" s="3"/>
    </row>
    <row r="75" spans="1:3" x14ac:dyDescent="0.2">
      <c r="A75" t="s">
        <v>140</v>
      </c>
      <c r="B75" s="3" t="s">
        <v>26</v>
      </c>
      <c r="C75" t="s">
        <v>141</v>
      </c>
    </row>
    <row r="76" spans="1:3" x14ac:dyDescent="0.2">
      <c r="A76" t="s">
        <v>144</v>
      </c>
      <c r="B76" s="3" t="s">
        <v>26</v>
      </c>
    </row>
    <row r="77" spans="1:3" x14ac:dyDescent="0.2">
      <c r="A77" t="s">
        <v>136</v>
      </c>
      <c r="B77" s="3" t="s">
        <v>137</v>
      </c>
      <c r="C77" t="s">
        <v>138</v>
      </c>
    </row>
    <row r="78" spans="1:3" x14ac:dyDescent="0.2">
      <c r="A78" t="s">
        <v>145</v>
      </c>
      <c r="B78" s="3" t="s">
        <v>26</v>
      </c>
    </row>
    <row r="79" spans="1:3" x14ac:dyDescent="0.2">
      <c r="A79" t="s">
        <v>168</v>
      </c>
      <c r="B79" s="3" t="s">
        <v>170</v>
      </c>
      <c r="C79" t="s">
        <v>169</v>
      </c>
    </row>
    <row r="80" spans="1:3" x14ac:dyDescent="0.2">
      <c r="A80" t="s">
        <v>176</v>
      </c>
      <c r="B80" s="3" t="s">
        <v>179</v>
      </c>
    </row>
    <row r="81" spans="1:3" x14ac:dyDescent="0.2">
      <c r="A81" t="s">
        <v>177</v>
      </c>
      <c r="B81" s="3" t="s">
        <v>179</v>
      </c>
    </row>
    <row r="82" spans="1:3" x14ac:dyDescent="0.2">
      <c r="A82" t="s">
        <v>180</v>
      </c>
      <c r="B82" s="3" t="s">
        <v>182</v>
      </c>
      <c r="C82" t="s">
        <v>181</v>
      </c>
    </row>
    <row r="83" spans="1:3" x14ac:dyDescent="0.2">
      <c r="A83" t="s">
        <v>185</v>
      </c>
      <c r="B83" s="3" t="s">
        <v>93</v>
      </c>
    </row>
    <row r="84" spans="1:3" x14ac:dyDescent="0.2">
      <c r="A84" t="s">
        <v>244</v>
      </c>
      <c r="B84" s="3"/>
    </row>
    <row r="86" spans="1:3" x14ac:dyDescent="0.2">
      <c r="A86" t="s">
        <v>142</v>
      </c>
      <c r="B86">
        <f>IF(B77="innerhalb",IF(B78="Ja",1.554,0.647),IF(B78="Ja",0.815,0.335))</f>
        <v>1.554</v>
      </c>
    </row>
    <row r="87" spans="1:3" x14ac:dyDescent="0.2">
      <c r="A87" t="s">
        <v>143</v>
      </c>
      <c r="B87">
        <f>IF(B78="Ja",1.321,0.451)</f>
        <v>1.321</v>
      </c>
    </row>
    <row r="88" spans="1:3" x14ac:dyDescent="0.2">
      <c r="A88" s="2" t="s">
        <v>139</v>
      </c>
      <c r="B88" s="2">
        <f>IF(B75="Ja",IF(B76="Ja",B86,B87),0.193)</f>
        <v>1.554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workbookViewId="0">
      <selection activeCell="M24" sqref="M2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149</v>
      </c>
      <c r="F2" s="7">
        <v>5.7000000000000002E-2</v>
      </c>
      <c r="G2" t="s">
        <v>150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132</v>
      </c>
      <c r="U4">
        <f>Gebäude!B69</f>
        <v>8.5</v>
      </c>
      <c r="W4" s="2" t="s">
        <v>146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133</v>
      </c>
      <c r="AA6" s="2" t="s">
        <v>151</v>
      </c>
      <c r="AE6" s="2" t="s">
        <v>152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126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128</v>
      </c>
      <c r="T7" s="11" t="s">
        <v>54</v>
      </c>
      <c r="U7" s="11" t="s">
        <v>126</v>
      </c>
      <c r="V7" s="11" t="s">
        <v>134</v>
      </c>
      <c r="W7" s="11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2139.8579999999997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162</v>
      </c>
      <c r="AB22" s="4"/>
    </row>
    <row r="23" spans="2:32" x14ac:dyDescent="0.2">
      <c r="B23" s="11" t="s">
        <v>54</v>
      </c>
      <c r="C23" s="11" t="s">
        <v>67</v>
      </c>
      <c r="D23" s="11" t="s">
        <v>165</v>
      </c>
      <c r="E23" s="11" t="s">
        <v>79</v>
      </c>
      <c r="F23" s="11" t="s">
        <v>80</v>
      </c>
      <c r="G23" s="11" t="s">
        <v>107</v>
      </c>
      <c r="H23" s="11" t="s">
        <v>148</v>
      </c>
      <c r="I23" s="11" t="s">
        <v>108</v>
      </c>
      <c r="J23" s="11" t="s">
        <v>153</v>
      </c>
      <c r="K23" s="11" t="s">
        <v>154</v>
      </c>
      <c r="L23" s="11" t="s">
        <v>155</v>
      </c>
      <c r="M23" s="11" t="s">
        <v>157</v>
      </c>
      <c r="N23" s="11" t="s">
        <v>156</v>
      </c>
      <c r="O23" s="11" t="s">
        <v>158</v>
      </c>
      <c r="P23" s="11" t="s">
        <v>159</v>
      </c>
      <c r="Q23" s="11" t="s">
        <v>160</v>
      </c>
      <c r="R23" s="11" t="s">
        <v>161</v>
      </c>
      <c r="S23" s="11" t="s">
        <v>166</v>
      </c>
      <c r="T23" s="11" t="s">
        <v>164</v>
      </c>
      <c r="U23" s="11" t="s">
        <v>167</v>
      </c>
      <c r="AA23" t="s">
        <v>54</v>
      </c>
      <c r="AB23" t="s">
        <v>163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127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tabSelected="1" topLeftCell="A58" workbookViewId="0">
      <selection activeCell="E68" sqref="E68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171</v>
      </c>
      <c r="H2" t="s">
        <v>191</v>
      </c>
    </row>
    <row r="3" spans="2:11" x14ac:dyDescent="0.2">
      <c r="B3" t="s">
        <v>140</v>
      </c>
      <c r="C3" t="str">
        <f>Gebäude!B75</f>
        <v>Ja</v>
      </c>
      <c r="E3" t="s">
        <v>227</v>
      </c>
      <c r="F3" t="str">
        <f>Gebäude!B72</f>
        <v>waermepumpe</v>
      </c>
    </row>
    <row r="4" spans="2:11" x14ac:dyDescent="0.2">
      <c r="B4" t="s">
        <v>144</v>
      </c>
      <c r="C4" t="str">
        <f>Gebäude!B76</f>
        <v>Ja</v>
      </c>
      <c r="E4" t="s">
        <v>230</v>
      </c>
      <c r="F4">
        <f>Gebäude!B73</f>
        <v>0</v>
      </c>
      <c r="H4" s="2" t="s">
        <v>194</v>
      </c>
      <c r="I4" s="2" t="s">
        <v>195</v>
      </c>
      <c r="J4" s="2" t="s">
        <v>137</v>
      </c>
      <c r="K4" s="2" t="s">
        <v>192</v>
      </c>
    </row>
    <row r="5" spans="2:11" x14ac:dyDescent="0.2">
      <c r="B5" t="s">
        <v>136</v>
      </c>
      <c r="C5" t="str">
        <f>Gebäude!B77</f>
        <v>innerhalb</v>
      </c>
      <c r="E5" t="s">
        <v>231</v>
      </c>
      <c r="F5">
        <f>Gebäude!B74</f>
        <v>0</v>
      </c>
      <c r="H5" t="s">
        <v>193</v>
      </c>
      <c r="I5" t="s">
        <v>196</v>
      </c>
      <c r="J5">
        <v>1.099</v>
      </c>
      <c r="K5">
        <v>1.1000000000000001</v>
      </c>
    </row>
    <row r="6" spans="2:11" x14ac:dyDescent="0.2">
      <c r="B6" t="s">
        <v>145</v>
      </c>
      <c r="C6" t="str">
        <f>Gebäude!B78</f>
        <v>Ja</v>
      </c>
      <c r="E6" t="s">
        <v>163</v>
      </c>
      <c r="F6">
        <f>Bilanzierung!AB36</f>
        <v>31163.496960842906</v>
      </c>
      <c r="H6" t="s">
        <v>193</v>
      </c>
      <c r="I6" t="s">
        <v>197</v>
      </c>
      <c r="J6">
        <v>1.07</v>
      </c>
      <c r="K6">
        <v>1.0740000000000001</v>
      </c>
    </row>
    <row r="7" spans="2:11" x14ac:dyDescent="0.2">
      <c r="B7" t="s">
        <v>168</v>
      </c>
      <c r="C7" t="str">
        <f>Gebäude!B79</f>
        <v>flaechenheizung</v>
      </c>
      <c r="E7" t="s">
        <v>188</v>
      </c>
      <c r="F7">
        <f>Bilanzierung!R36</f>
        <v>6718.9418297981456</v>
      </c>
      <c r="H7" t="s">
        <v>193</v>
      </c>
      <c r="I7" t="s">
        <v>198</v>
      </c>
      <c r="J7">
        <v>1.0489999999999999</v>
      </c>
      <c r="K7">
        <v>1.0549999999999999</v>
      </c>
    </row>
    <row r="8" spans="2:11" x14ac:dyDescent="0.2">
      <c r="B8" t="s">
        <v>176</v>
      </c>
      <c r="C8" t="str">
        <f>Gebäude!B80</f>
        <v>35/28</v>
      </c>
      <c r="E8" t="s">
        <v>189</v>
      </c>
      <c r="F8">
        <f>Gebäude!B64</f>
        <v>15324.999551186025</v>
      </c>
      <c r="H8" t="s">
        <v>193</v>
      </c>
      <c r="I8" t="s">
        <v>179</v>
      </c>
      <c r="J8">
        <v>1.0189999999999999</v>
      </c>
      <c r="K8">
        <v>1.028</v>
      </c>
    </row>
    <row r="9" spans="2:11" x14ac:dyDescent="0.2">
      <c r="B9" t="s">
        <v>177</v>
      </c>
      <c r="C9" t="str">
        <f>Gebäude!B81</f>
        <v>35/28</v>
      </c>
      <c r="E9" t="s">
        <v>70</v>
      </c>
      <c r="F9">
        <f>Gebäude!B16</f>
        <v>324</v>
      </c>
      <c r="H9" t="s">
        <v>199</v>
      </c>
      <c r="I9" t="s">
        <v>196</v>
      </c>
      <c r="J9">
        <v>1.085</v>
      </c>
      <c r="K9">
        <v>1.085</v>
      </c>
    </row>
    <row r="10" spans="2:11" x14ac:dyDescent="0.2">
      <c r="B10" t="s">
        <v>180</v>
      </c>
      <c r="C10" t="s">
        <v>182</v>
      </c>
      <c r="H10" t="s">
        <v>199</v>
      </c>
      <c r="I10" t="s">
        <v>197</v>
      </c>
      <c r="J10">
        <v>1.06</v>
      </c>
      <c r="K10">
        <v>1.0629999999999999</v>
      </c>
    </row>
    <row r="11" spans="2:11" x14ac:dyDescent="0.2">
      <c r="B11" t="s">
        <v>185</v>
      </c>
      <c r="C11" t="str">
        <f>Gebäude!B83</f>
        <v>Nein</v>
      </c>
      <c r="H11" t="s">
        <v>199</v>
      </c>
      <c r="I11" t="s">
        <v>198</v>
      </c>
      <c r="J11">
        <v>1.042</v>
      </c>
      <c r="K11">
        <v>1.0469999999999999</v>
      </c>
    </row>
    <row r="12" spans="2:11" x14ac:dyDescent="0.2">
      <c r="B12" t="s">
        <v>201</v>
      </c>
      <c r="C12" t="str">
        <f>Gebäude!B77</f>
        <v>innerhalb</v>
      </c>
      <c r="H12" t="s">
        <v>199</v>
      </c>
      <c r="I12" t="s">
        <v>179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209</v>
      </c>
      <c r="C14">
        <f>Bilanzierung!U36</f>
        <v>5172.1584301122384</v>
      </c>
      <c r="H14" t="s">
        <v>200</v>
      </c>
      <c r="I14" t="str">
        <f>IF(C13&lt;2,"EFH","MFH")</f>
        <v>MFH</v>
      </c>
    </row>
    <row r="15" spans="2:11" x14ac:dyDescent="0.2">
      <c r="H15" t="s">
        <v>202</v>
      </c>
      <c r="I15" s="7">
        <v>1.016</v>
      </c>
      <c r="J15" t="s">
        <v>204</v>
      </c>
    </row>
    <row r="16" spans="2:11" x14ac:dyDescent="0.2">
      <c r="E16" t="s">
        <v>178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172</v>
      </c>
      <c r="E17" t="s">
        <v>183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184</v>
      </c>
      <c r="F18">
        <f>IF(C11="Ja",0.015,0.042)</f>
        <v>4.2000000000000003E-2</v>
      </c>
    </row>
    <row r="19" spans="2:6" x14ac:dyDescent="0.2">
      <c r="B19" t="s">
        <v>173</v>
      </c>
      <c r="C19">
        <f>IF(C7="elektroheizungsflaechen",1.066+0.018,0)</f>
        <v>0</v>
      </c>
    </row>
    <row r="20" spans="2:6" x14ac:dyDescent="0.2">
      <c r="B20" t="s">
        <v>174</v>
      </c>
      <c r="C20">
        <f>IF(C7="heizkoerper",1.042+F16+0.009+0.03+0.036,0)</f>
        <v>0</v>
      </c>
      <c r="E20" s="6"/>
    </row>
    <row r="21" spans="2:6" x14ac:dyDescent="0.2">
      <c r="B21" t="s">
        <v>175</v>
      </c>
      <c r="C21">
        <f>IF(C7="flaechenheizung",1.042+F17+F18-0.03+0.036,0)</f>
        <v>1.111</v>
      </c>
      <c r="E21" s="6"/>
    </row>
    <row r="23" spans="2:6" x14ac:dyDescent="0.2">
      <c r="B23" t="s">
        <v>186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187</v>
      </c>
      <c r="C24">
        <f>(F6/(F7*F8))*1000</f>
        <v>0.30265289590216216</v>
      </c>
      <c r="E24" s="6"/>
    </row>
    <row r="25" spans="2:6" x14ac:dyDescent="0.2">
      <c r="B25" t="s">
        <v>190</v>
      </c>
      <c r="C25">
        <f>(F8/F9)*C23</f>
        <v>52.549612658542202</v>
      </c>
    </row>
    <row r="26" spans="2:6" x14ac:dyDescent="0.2">
      <c r="B26" t="s">
        <v>203</v>
      </c>
      <c r="C26">
        <f>C24*C23*1.06</f>
        <v>0.35642220938814029</v>
      </c>
    </row>
    <row r="27" spans="2:6" x14ac:dyDescent="0.2">
      <c r="B27" t="s">
        <v>205</v>
      </c>
      <c r="C27" s="7">
        <v>1.0022568883755001</v>
      </c>
      <c r="D27" t="s">
        <v>206</v>
      </c>
    </row>
    <row r="28" spans="2:6" x14ac:dyDescent="0.2">
      <c r="B28" t="s">
        <v>202</v>
      </c>
      <c r="C28">
        <f>I15</f>
        <v>1.016</v>
      </c>
      <c r="E28" s="6"/>
    </row>
    <row r="29" spans="2:6" x14ac:dyDescent="0.2">
      <c r="B29" t="s">
        <v>207</v>
      </c>
      <c r="C29">
        <f>C28*C27</f>
        <v>1.0182929985895082</v>
      </c>
      <c r="E29" s="6"/>
    </row>
    <row r="30" spans="2:6" x14ac:dyDescent="0.2">
      <c r="B30" t="s">
        <v>191</v>
      </c>
      <c r="C30">
        <f>1+(C29-1)*(50/C25)</f>
        <v>1.0174054552108431</v>
      </c>
    </row>
    <row r="31" spans="2:6" x14ac:dyDescent="0.2">
      <c r="B31" t="s">
        <v>208</v>
      </c>
      <c r="C31">
        <f>1+(C30-1)*(8760/C14)</f>
        <v>1.0294793343450768</v>
      </c>
    </row>
    <row r="32" spans="2:6" x14ac:dyDescent="0.2">
      <c r="B32" t="s">
        <v>213</v>
      </c>
      <c r="C32">
        <f>Bilanzierung!V20</f>
        <v>1377</v>
      </c>
    </row>
    <row r="33" spans="2:5" x14ac:dyDescent="0.2">
      <c r="B33" t="s">
        <v>221</v>
      </c>
      <c r="C33">
        <f>Bilanzierung!U36</f>
        <v>5172.1584301122384</v>
      </c>
    </row>
    <row r="35" spans="2:5" x14ac:dyDescent="0.2">
      <c r="B35" s="2" t="s">
        <v>210</v>
      </c>
    </row>
    <row r="37" spans="2:5" x14ac:dyDescent="0.2">
      <c r="B37" t="s">
        <v>211</v>
      </c>
      <c r="C37" t="str">
        <f>Gebäude!B76</f>
        <v>Ja</v>
      </c>
    </row>
    <row r="38" spans="2:5" x14ac:dyDescent="0.2">
      <c r="B38" t="s">
        <v>212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s="28" t="s">
        <v>229</v>
      </c>
      <c r="C40" t="str">
        <f>IF(OR(F3="biomassekessel",F4="biomassekessel",F5="biomassekessel"),"Ja","Nein")</f>
        <v>Nein</v>
      </c>
    </row>
    <row r="41" spans="2:5" x14ac:dyDescent="0.2">
      <c r="B41" s="28" t="s">
        <v>232</v>
      </c>
      <c r="C41" t="str">
        <f>IF(OR(F3="waermepumpe",F4="waermepumpe",F5="waermepumpe"),"Ja","Nein")</f>
        <v>Ja</v>
      </c>
    </row>
    <row r="43" spans="2:5" x14ac:dyDescent="0.2">
      <c r="B43" s="2" t="s">
        <v>218</v>
      </c>
      <c r="C43" s="7">
        <v>1.0736222287534001</v>
      </c>
      <c r="D43" t="s">
        <v>220</v>
      </c>
    </row>
    <row r="44" spans="2:5" x14ac:dyDescent="0.2">
      <c r="B44" s="2" t="s">
        <v>222</v>
      </c>
      <c r="C44">
        <f>C43*C33/5000</f>
        <v>1.1105888522405576</v>
      </c>
    </row>
    <row r="45" spans="2:5" x14ac:dyDescent="0.2">
      <c r="B45" s="2" t="s">
        <v>223</v>
      </c>
      <c r="C45">
        <f>C26*C31</f>
        <v>0.36692929886670422</v>
      </c>
    </row>
    <row r="47" spans="2:5" x14ac:dyDescent="0.2">
      <c r="B47" s="28" t="s">
        <v>215</v>
      </c>
      <c r="C47" s="7">
        <v>18436</v>
      </c>
      <c r="D47" t="s">
        <v>233</v>
      </c>
      <c r="E47" t="s">
        <v>219</v>
      </c>
    </row>
    <row r="48" spans="2:5" x14ac:dyDescent="0.2">
      <c r="B48" s="28" t="s">
        <v>216</v>
      </c>
      <c r="C48">
        <f>0.42*POWER(((C32*C39)/(365*0.036)),0.7)</f>
        <v>623.54499849662818</v>
      </c>
      <c r="D48" t="s">
        <v>233</v>
      </c>
      <c r="E48" s="6"/>
    </row>
    <row r="49" spans="2:5" x14ac:dyDescent="0.2">
      <c r="B49" s="2" t="s">
        <v>214</v>
      </c>
      <c r="C49">
        <f>IF(C39&gt;5000,C48/1000,C47/1000)</f>
        <v>18.436</v>
      </c>
      <c r="D49" t="s">
        <v>234</v>
      </c>
    </row>
    <row r="51" spans="2:5" x14ac:dyDescent="0.2">
      <c r="B51" s="2" t="s">
        <v>235</v>
      </c>
      <c r="C51">
        <f>IF(AND(C3="Ja",C41="Nein"),1.5*C49,0)</f>
        <v>0</v>
      </c>
    </row>
    <row r="52" spans="2:5" x14ac:dyDescent="0.2">
      <c r="B52" s="2" t="s">
        <v>236</v>
      </c>
      <c r="C52">
        <f>IF(AND(C3="Ja",C41="Ja"),1.3*F8/1000,0)</f>
        <v>19.922499416541832</v>
      </c>
    </row>
    <row r="53" spans="2:5" x14ac:dyDescent="0.2">
      <c r="B53" s="2" t="s">
        <v>237</v>
      </c>
      <c r="C53">
        <f>IF(AND(C3="Nein",C41="Nein"),1.5*C49,0)</f>
        <v>0</v>
      </c>
    </row>
    <row r="54" spans="2:5" x14ac:dyDescent="0.2">
      <c r="B54" s="2" t="s">
        <v>238</v>
      </c>
      <c r="C54">
        <f>IF(AND(C3="Nein",C41="Ja"),F8/1000,0)</f>
        <v>0</v>
      </c>
    </row>
    <row r="55" spans="2:5" x14ac:dyDescent="0.2">
      <c r="B55" s="2" t="s">
        <v>217</v>
      </c>
      <c r="C55">
        <f>SUM(C51:C54)</f>
        <v>19.922499416541832</v>
      </c>
    </row>
    <row r="57" spans="2:5" x14ac:dyDescent="0.2">
      <c r="B57" s="2" t="s">
        <v>224</v>
      </c>
      <c r="C57">
        <f>IF(C40="Ja",50*C55,0)</f>
        <v>0</v>
      </c>
    </row>
    <row r="58" spans="2:5" x14ac:dyDescent="0.2">
      <c r="B58" s="2" t="s">
        <v>225</v>
      </c>
      <c r="C58">
        <f>IF(AND(C40="Nein",C41="Ja"),9.5*C55,0)</f>
        <v>189.2637444571474</v>
      </c>
    </row>
    <row r="59" spans="2:5" x14ac:dyDescent="0.2">
      <c r="B59" s="2" t="s">
        <v>240</v>
      </c>
      <c r="C59">
        <f>SUM(C57:C58)</f>
        <v>189.2637444571474</v>
      </c>
    </row>
    <row r="61" spans="2:5" x14ac:dyDescent="0.2">
      <c r="B61" s="2" t="s">
        <v>239</v>
      </c>
      <c r="C61">
        <f>IF(C59&gt;1500,1500,C59)</f>
        <v>189.2637444571474</v>
      </c>
    </row>
    <row r="62" spans="2:5" x14ac:dyDescent="0.2">
      <c r="B62" s="2" t="s">
        <v>241</v>
      </c>
      <c r="C62">
        <f>IF(C59&gt;1500,C59-C61,0)</f>
        <v>0</v>
      </c>
    </row>
    <row r="64" spans="2:5" x14ac:dyDescent="0.2">
      <c r="B64" s="2" t="s">
        <v>242</v>
      </c>
      <c r="C64" s="7">
        <v>49.604286779429003</v>
      </c>
      <c r="E64" t="s">
        <v>245</v>
      </c>
    </row>
    <row r="65" spans="2:5" x14ac:dyDescent="0.2">
      <c r="B65" s="2" t="s">
        <v>243</v>
      </c>
      <c r="C65" s="7">
        <v>0</v>
      </c>
    </row>
    <row r="66" spans="2:5" x14ac:dyDescent="0.2">
      <c r="B66" s="2" t="s">
        <v>246</v>
      </c>
      <c r="C66">
        <f>SUM(C64:C65)</f>
        <v>49.604286779429003</v>
      </c>
    </row>
    <row r="68" spans="2:5" x14ac:dyDescent="0.2">
      <c r="B68" s="2" t="s">
        <v>247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Bilanzierung</vt:lpstr>
      <vt:lpstr>Heizung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2023-11-16T14:42:42Z</dcterms:modified>
</cp:coreProperties>
</file>