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11BA811A-615E-8B4D-B221-646F5326B8D7}" xr6:coauthVersionLast="47" xr6:coauthVersionMax="47" xr10:uidLastSave="{00000000-0000-0000-0000-000000000000}"/>
  <bookViews>
    <workbookView xWindow="0" yWindow="740" windowWidth="30240" windowHeight="18900" activeTab="4" xr2:uid="{7CF02650-DC02-AA49-AC3A-4487EF2FF614}"/>
  </bookViews>
  <sheets>
    <sheet name="Gebäude" sheetId="1" r:id="rId1"/>
    <sheet name="Dach" sheetId="2" r:id="rId2"/>
    <sheet name="Bilanzierung" sheetId="3" r:id="rId3"/>
    <sheet name="Heizung" sheetId="5" r:id="rId4"/>
    <sheet name="Trinkwarmwass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6" l="1"/>
  <c r="C10" i="6"/>
  <c r="C7" i="6"/>
  <c r="C4" i="6"/>
  <c r="C3" i="6"/>
  <c r="B86" i="1" l="1"/>
  <c r="C66" i="5"/>
  <c r="F5" i="5"/>
  <c r="F4" i="5"/>
  <c r="F3" i="5"/>
  <c r="C40" i="5" s="1"/>
  <c r="C41" i="5" l="1"/>
  <c r="C39" i="5"/>
  <c r="C38" i="5"/>
  <c r="C37" i="5"/>
  <c r="C28" i="5"/>
  <c r="C29" i="5" s="1"/>
  <c r="C12" i="5"/>
  <c r="C13" i="5"/>
  <c r="I14" i="5" s="1"/>
  <c r="F9" i="5"/>
  <c r="F8" i="5"/>
  <c r="C11" i="5"/>
  <c r="F18" i="5" s="1"/>
  <c r="F17" i="5" a="1"/>
  <c r="F17" i="5" s="1"/>
  <c r="C9" i="5"/>
  <c r="F16" i="5" s="1" a="1"/>
  <c r="F16" i="5" s="1"/>
  <c r="C8" i="5"/>
  <c r="C7" i="5"/>
  <c r="C19" i="5" s="1"/>
  <c r="C6" i="5"/>
  <c r="C5" i="5"/>
  <c r="C4" i="5"/>
  <c r="C3" i="5"/>
  <c r="P35" i="3"/>
  <c r="P25" i="3"/>
  <c r="P26" i="3"/>
  <c r="P27" i="3"/>
  <c r="P28" i="3"/>
  <c r="P29" i="3"/>
  <c r="P30" i="3"/>
  <c r="P31" i="3"/>
  <c r="P32" i="3"/>
  <c r="P33" i="3"/>
  <c r="P34" i="3"/>
  <c r="P24" i="3"/>
  <c r="I51" i="1"/>
  <c r="I52" i="1"/>
  <c r="I53" i="1"/>
  <c r="I54" i="1"/>
  <c r="I55" i="1"/>
  <c r="I56" i="1"/>
  <c r="I57" i="1"/>
  <c r="I58" i="1"/>
  <c r="I59" i="1"/>
  <c r="I60" i="1"/>
  <c r="I61" i="1"/>
  <c r="I50" i="1"/>
  <c r="B88" i="1"/>
  <c r="Y4" i="3" s="1"/>
  <c r="B87" i="1"/>
  <c r="U4" i="3"/>
  <c r="B34" i="1" a="1"/>
  <c r="B34" i="1" s="1"/>
  <c r="I3" i="3" s="1"/>
  <c r="I4" i="3" s="1"/>
  <c r="B51" i="1"/>
  <c r="E37" i="3"/>
  <c r="C2" i="3"/>
  <c r="S25" i="3" s="1"/>
  <c r="T25" i="3" s="1"/>
  <c r="C54" i="5" l="1"/>
  <c r="C53" i="5"/>
  <c r="C51" i="5"/>
  <c r="C52" i="5"/>
  <c r="C49" i="5"/>
  <c r="C20" i="5"/>
  <c r="C21" i="5"/>
  <c r="C23" i="5" s="1" a="1"/>
  <c r="C23" i="5" s="1"/>
  <c r="C25" i="5" s="1"/>
  <c r="C30" i="5" s="1"/>
  <c r="S35" i="3"/>
  <c r="T35" i="3" s="1"/>
  <c r="S34" i="3"/>
  <c r="T34" i="3" s="1"/>
  <c r="S33" i="3"/>
  <c r="T33" i="3" s="1"/>
  <c r="S24" i="3"/>
  <c r="T24" i="3" s="1"/>
  <c r="S26" i="3"/>
  <c r="T26" i="3" s="1"/>
  <c r="S32" i="3"/>
  <c r="T32" i="3" s="1"/>
  <c r="S27" i="3"/>
  <c r="T27" i="3" s="1"/>
  <c r="S31" i="3"/>
  <c r="T31" i="3" s="1"/>
  <c r="S30" i="3"/>
  <c r="T30" i="3" s="1"/>
  <c r="S29" i="3"/>
  <c r="T29" i="3" s="1"/>
  <c r="S28" i="3"/>
  <c r="T28" i="3" s="1"/>
  <c r="E4" i="1"/>
  <c r="B14" i="1"/>
  <c r="H35" i="1"/>
  <c r="J35" i="1" s="1"/>
  <c r="B28" i="1"/>
  <c r="E9" i="2"/>
  <c r="E10" i="2"/>
  <c r="B11" i="1"/>
  <c r="B7" i="2"/>
  <c r="E7" i="2" s="1"/>
  <c r="N6" i="1"/>
  <c r="N4" i="1"/>
  <c r="K7" i="1"/>
  <c r="K5" i="1"/>
  <c r="K6" i="1"/>
  <c r="E6" i="2"/>
  <c r="E4" i="2"/>
  <c r="E3" i="2"/>
  <c r="K4" i="1" s="1"/>
  <c r="E12" i="1"/>
  <c r="H5" i="1"/>
  <c r="H7" i="1" s="1"/>
  <c r="H4" i="1"/>
  <c r="E11" i="1"/>
  <c r="E10" i="1"/>
  <c r="C55" i="5" l="1"/>
  <c r="C58" i="5" s="1"/>
  <c r="C57" i="5"/>
  <c r="E3" i="1"/>
  <c r="B12" i="1" s="1"/>
  <c r="B16" i="1" s="1"/>
  <c r="C3" i="3" s="1"/>
  <c r="E13" i="2"/>
  <c r="E14" i="2"/>
  <c r="E5" i="2"/>
  <c r="K8" i="1"/>
  <c r="N8" i="1"/>
  <c r="B20" i="2"/>
  <c r="B15" i="1" s="1"/>
  <c r="B43" i="1" s="1"/>
  <c r="P7" i="1"/>
  <c r="P4" i="1"/>
  <c r="P5" i="1"/>
  <c r="H12" i="1"/>
  <c r="H14" i="1" s="1"/>
  <c r="H11" i="1"/>
  <c r="H6" i="1"/>
  <c r="H8" i="1" s="1"/>
  <c r="C59" i="5" l="1"/>
  <c r="C61" i="5" s="1"/>
  <c r="C62" i="5" s="1"/>
  <c r="V8" i="3"/>
  <c r="W8" i="3" s="1"/>
  <c r="V13" i="3"/>
  <c r="W13" i="3" s="1"/>
  <c r="V14" i="3"/>
  <c r="W14" i="3" s="1"/>
  <c r="V18" i="3"/>
  <c r="W18" i="3" s="1"/>
  <c r="V9" i="3"/>
  <c r="W9" i="3" s="1"/>
  <c r="V15" i="3"/>
  <c r="W15" i="3" s="1"/>
  <c r="V16" i="3"/>
  <c r="W16" i="3" s="1"/>
  <c r="V17" i="3"/>
  <c r="W17" i="3" s="1"/>
  <c r="V19" i="3"/>
  <c r="W19" i="3" s="1"/>
  <c r="V10" i="3"/>
  <c r="W10" i="3" s="1"/>
  <c r="V11" i="3"/>
  <c r="W11" i="3" s="1"/>
  <c r="V12" i="3"/>
  <c r="W12" i="3" s="1"/>
  <c r="B59" i="1"/>
  <c r="B60" i="1" s="1"/>
  <c r="E11" i="3"/>
  <c r="F11" i="3" s="1"/>
  <c r="E13" i="3"/>
  <c r="F13" i="3" s="1"/>
  <c r="D17" i="3"/>
  <c r="E9" i="3"/>
  <c r="F9" i="3" s="1"/>
  <c r="D12" i="3"/>
  <c r="D18" i="3"/>
  <c r="D11" i="3"/>
  <c r="E18" i="3"/>
  <c r="F18" i="3" s="1"/>
  <c r="E12" i="3"/>
  <c r="F12" i="3" s="1"/>
  <c r="E17" i="3"/>
  <c r="F17" i="3" s="1"/>
  <c r="E16" i="3"/>
  <c r="F16" i="3" s="1"/>
  <c r="D9" i="3"/>
  <c r="D15" i="3"/>
  <c r="E15" i="3"/>
  <c r="F15" i="3" s="1"/>
  <c r="D19" i="3"/>
  <c r="E19" i="3"/>
  <c r="F19" i="3" s="1"/>
  <c r="E14" i="3"/>
  <c r="F14" i="3" s="1"/>
  <c r="D16" i="3"/>
  <c r="E10" i="3"/>
  <c r="F10" i="3" s="1"/>
  <c r="D10" i="3"/>
  <c r="D8" i="3"/>
  <c r="D13" i="3"/>
  <c r="D14" i="3"/>
  <c r="E8" i="3"/>
  <c r="F8" i="3" s="1"/>
  <c r="E15" i="2"/>
  <c r="H36" i="1" s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J12" i="1" l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W20" i="3"/>
  <c r="F20" i="3"/>
  <c r="V20" i="3"/>
  <c r="C32" i="5" s="1"/>
  <c r="C48" i="5" s="1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O10" i="3" l="1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Q20" i="3" l="1"/>
  <c r="O20" i="3"/>
  <c r="N14" i="3"/>
  <c r="R14" i="3" s="1"/>
  <c r="N11" i="3"/>
  <c r="R11" i="3" s="1"/>
  <c r="N17" i="3"/>
  <c r="R17" i="3" s="1"/>
  <c r="N19" i="3"/>
  <c r="R19" i="3" s="1"/>
  <c r="N12" i="3"/>
  <c r="R12" i="3" s="1"/>
  <c r="N13" i="3"/>
  <c r="R13" i="3" s="1"/>
  <c r="N8" i="3"/>
  <c r="N15" i="3"/>
  <c r="R15" i="3" s="1"/>
  <c r="N10" i="3"/>
  <c r="R10" i="3" s="1"/>
  <c r="N18" i="3"/>
  <c r="R18" i="3" s="1"/>
  <c r="N16" i="3"/>
  <c r="R16" i="3" s="1"/>
  <c r="N9" i="3"/>
  <c r="R9" i="3" s="1"/>
  <c r="B44" i="1"/>
  <c r="B58" i="1"/>
  <c r="B55" i="1"/>
  <c r="B64" i="1" s="1"/>
  <c r="B65" i="1" s="1"/>
  <c r="I38" i="1"/>
  <c r="R8" i="3" l="1"/>
  <c r="N20" i="3"/>
  <c r="B45" i="1"/>
  <c r="C4" i="3" s="1"/>
  <c r="B67" i="1"/>
  <c r="B13" i="1"/>
  <c r="B18" i="1"/>
  <c r="R20" i="3" l="1"/>
  <c r="G25" i="3"/>
  <c r="G29" i="3"/>
  <c r="G31" i="3"/>
  <c r="G32" i="3"/>
  <c r="G33" i="3"/>
  <c r="G34" i="3"/>
  <c r="G35" i="3"/>
  <c r="G24" i="3"/>
  <c r="G26" i="3"/>
  <c r="G27" i="3"/>
  <c r="G28" i="3"/>
  <c r="G30" i="3"/>
  <c r="H33" i="3" l="1"/>
  <c r="I33" i="3" s="1"/>
  <c r="AC17" i="3" s="1"/>
  <c r="AF17" i="3" s="1"/>
  <c r="J33" i="3" s="1"/>
  <c r="K33" i="3" s="1"/>
  <c r="M33" i="3" s="1"/>
  <c r="N33" i="3" s="1"/>
  <c r="O33" i="3" s="1"/>
  <c r="H27" i="3"/>
  <c r="I27" i="3" s="1"/>
  <c r="AC11" i="3" s="1"/>
  <c r="AF11" i="3" s="1"/>
  <c r="J27" i="3" s="1"/>
  <c r="K27" i="3" s="1"/>
  <c r="M27" i="3" s="1"/>
  <c r="N27" i="3" s="1"/>
  <c r="O27" i="3" s="1"/>
  <c r="H25" i="3"/>
  <c r="I25" i="3" s="1"/>
  <c r="AC9" i="3" s="1"/>
  <c r="AF9" i="3" s="1"/>
  <c r="J25" i="3" s="1"/>
  <c r="K25" i="3" s="1"/>
  <c r="M25" i="3" s="1"/>
  <c r="N25" i="3" s="1"/>
  <c r="O25" i="3" s="1"/>
  <c r="H28" i="3"/>
  <c r="I28" i="3" s="1"/>
  <c r="AC12" i="3" s="1"/>
  <c r="AF12" i="3" s="1"/>
  <c r="J28" i="3" s="1"/>
  <c r="K28" i="3" s="1"/>
  <c r="M28" i="3" s="1"/>
  <c r="N28" i="3" s="1"/>
  <c r="O28" i="3" s="1"/>
  <c r="H26" i="3"/>
  <c r="I26" i="3" s="1"/>
  <c r="AC10" i="3" s="1"/>
  <c r="AF10" i="3" s="1"/>
  <c r="J26" i="3" s="1"/>
  <c r="K26" i="3" s="1"/>
  <c r="M26" i="3" s="1"/>
  <c r="N26" i="3" s="1"/>
  <c r="O26" i="3" s="1"/>
  <c r="H24" i="3"/>
  <c r="I24" i="3" s="1"/>
  <c r="AC8" i="3" s="1"/>
  <c r="H35" i="3"/>
  <c r="I35" i="3" s="1"/>
  <c r="AC19" i="3" s="1"/>
  <c r="AF19" i="3" s="1"/>
  <c r="J35" i="3" s="1"/>
  <c r="K35" i="3" s="1"/>
  <c r="M35" i="3" s="1"/>
  <c r="N35" i="3" s="1"/>
  <c r="O35" i="3" s="1"/>
  <c r="H34" i="3"/>
  <c r="I34" i="3" s="1"/>
  <c r="AC18" i="3" s="1"/>
  <c r="AF18" i="3" s="1"/>
  <c r="J34" i="3" s="1"/>
  <c r="K34" i="3" s="1"/>
  <c r="M34" i="3" s="1"/>
  <c r="N34" i="3" s="1"/>
  <c r="O34" i="3" s="1"/>
  <c r="H32" i="3"/>
  <c r="I32" i="3" s="1"/>
  <c r="AC16" i="3" s="1"/>
  <c r="AF16" i="3" s="1"/>
  <c r="J32" i="3" s="1"/>
  <c r="K32" i="3" s="1"/>
  <c r="M32" i="3" s="1"/>
  <c r="N32" i="3" s="1"/>
  <c r="O32" i="3" s="1"/>
  <c r="H31" i="3"/>
  <c r="I31" i="3" s="1"/>
  <c r="AC15" i="3" s="1"/>
  <c r="AF15" i="3" s="1"/>
  <c r="J31" i="3" s="1"/>
  <c r="K31" i="3" s="1"/>
  <c r="M31" i="3" s="1"/>
  <c r="N31" i="3" s="1"/>
  <c r="O31" i="3" s="1"/>
  <c r="H29" i="3"/>
  <c r="I29" i="3" s="1"/>
  <c r="AC13" i="3" s="1"/>
  <c r="AF13" i="3" s="1"/>
  <c r="J29" i="3" s="1"/>
  <c r="K29" i="3" s="1"/>
  <c r="M29" i="3" s="1"/>
  <c r="N29" i="3" s="1"/>
  <c r="O29" i="3" s="1"/>
  <c r="H30" i="3"/>
  <c r="I30" i="3" s="1"/>
  <c r="AC14" i="3" s="1"/>
  <c r="AF14" i="3" s="1"/>
  <c r="J30" i="3" s="1"/>
  <c r="K30" i="3" s="1"/>
  <c r="M30" i="3" s="1"/>
  <c r="N30" i="3" s="1"/>
  <c r="O30" i="3" s="1"/>
  <c r="AC20" i="3" l="1"/>
  <c r="Q30" i="3"/>
  <c r="R30" i="3" s="1"/>
  <c r="Q31" i="3"/>
  <c r="R31" i="3" s="1"/>
  <c r="Q32" i="3"/>
  <c r="R32" i="3"/>
  <c r="Q27" i="3"/>
  <c r="R27" i="3"/>
  <c r="R26" i="3"/>
  <c r="Q26" i="3"/>
  <c r="R25" i="3"/>
  <c r="Q25" i="3"/>
  <c r="Q34" i="3"/>
  <c r="R34" i="3"/>
  <c r="AF8" i="3"/>
  <c r="J24" i="3" s="1"/>
  <c r="Q29" i="3"/>
  <c r="R29" i="3"/>
  <c r="Q28" i="3"/>
  <c r="R28" i="3"/>
  <c r="R35" i="3"/>
  <c r="Q35" i="3"/>
  <c r="R33" i="3"/>
  <c r="Q33" i="3"/>
  <c r="K24" i="3"/>
  <c r="M24" i="3" s="1"/>
  <c r="N24" i="3" s="1"/>
  <c r="AB35" i="3" l="1"/>
  <c r="U35" i="3"/>
  <c r="AB33" i="3"/>
  <c r="U33" i="3"/>
  <c r="AB27" i="3"/>
  <c r="U27" i="3"/>
  <c r="AB32" i="3"/>
  <c r="U32" i="3"/>
  <c r="AB31" i="3"/>
  <c r="U31" i="3"/>
  <c r="AB30" i="3"/>
  <c r="U30" i="3"/>
  <c r="AB25" i="3"/>
  <c r="U25" i="3"/>
  <c r="AB26" i="3"/>
  <c r="U26" i="3"/>
  <c r="AB28" i="3"/>
  <c r="U28" i="3"/>
  <c r="AB29" i="3"/>
  <c r="U29" i="3"/>
  <c r="AB34" i="3"/>
  <c r="U34" i="3"/>
  <c r="AF20" i="3"/>
  <c r="O24" i="3"/>
  <c r="R24" i="3" l="1"/>
  <c r="R36" i="3" s="1"/>
  <c r="F7" i="5" s="1"/>
  <c r="Q24" i="3"/>
  <c r="AB24" i="3" l="1"/>
  <c r="AB36" i="3" s="1"/>
  <c r="F6" i="5" s="1"/>
  <c r="U24" i="3"/>
  <c r="U36" i="3" s="1"/>
  <c r="C24" i="5" l="1"/>
  <c r="C26" i="5" s="1"/>
  <c r="C14" i="5"/>
  <c r="C31" i="5" s="1"/>
  <c r="C45" i="5" s="1"/>
  <c r="C33" i="5"/>
  <c r="C44" i="5" s="1"/>
  <c r="C68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<sst xmlns="http://schemas.openxmlformats.org/spreadsheetml/2006/main" count="455" uniqueCount="253">
  <si>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</si>
  <si>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</si>
  <si>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</si>
  <si>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</si>
  <si>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</si>
  <si>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</si>
  <si>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</si>
  <si>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</si>
  <si>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</si>
  <si>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</si>
  <si>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</si>
  <si>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</si>
  <si>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</si>
  <si>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</si>
  <si>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</si>
  <si>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</si>
  <si>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</si>
  <si>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</si>
  <si>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</si>
  <si>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</si>
  <si>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</si>
  <si>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</si>
  <si>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</si>
  <si>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</si>
  <si>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</si>
  <si>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</si>
  <si>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</si>
  <si>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</si>
  <si>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</si>
  <si>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</si>
  <si>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</si>
  <si>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</si>
  <si>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</si>
  <si>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</si>
  <si>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</si>
  <si>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</si>
  <si>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</si>
  <si>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</si>
  <si>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</si>
  <si>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</si>
  <si>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</si>
  <si>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</si>
  <si>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</si>
  <si>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</si>
  <si>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</si>
  <si>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</si>
  <si>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</si>
  <si>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</si>
  <si>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</si>
  <si>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</si>
  <si>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</si>
  <si>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</si>
  <si>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</si>
  <si>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</si>
  <si>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</si>
  <si>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</si>
  <si>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</si>
  <si>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</si>
  <si>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</si>
  <si>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</si>
  <si>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</si>
  <si>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</si>
  <si>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</si>
  <si>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</si>
  <si>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</si>
  <si>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</si>
  <si>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</si>
  <si>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</si>
  <si>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</si>
  <si>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</si>
  <si>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</si>
  <si>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</si>
  <si>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</si>
  <si>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</si>
  <si>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</si>
  <si>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</si>
  <si>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</si>
  <si>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</si>
  <si>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</si>
  <si>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</si>
  <si>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</si>
  <si>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</si>
  <si>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</si>
  <si>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</si>
  <si>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</si>
  <si>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</si>
  <si>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</si>
  <si>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</si>
  <si>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</si>
  <si>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</si>
  <si>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</si>
  <si>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</si>
  <si>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</si>
  <si>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</si>
  <si>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</si>
  <si>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</si>
  <si>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</si>
  <si>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</si>
  <si>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</si>
  <si>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</si>
  <si>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</si>
  <si>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</si>
  <si>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</si>
  <si>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</si>
  <si>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</si>
  <si>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</si>
  <si>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</si>
  <si>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</si>
  <si>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</si>
  <si>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</si>
  <si>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</si>
  <si>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</si>
  <si>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</si>
  <si>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</si>
  <si>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</si>
  <si>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</si>
  <si>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</si>
  <si>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</si>
  <si>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</si>
  <si>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</si>
  <si>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</si>
  <si>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</si>
  <si>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</si>
  <si>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</si>
  <si>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</si>
  <si>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</si>
  <si>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</si>
  <si>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</si>
  <si>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</si>
  <si>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</si>
  <si>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</si>
  <si>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</si>
  <si>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</si>
  <si>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</si>
  <si>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</si>
  <si>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</si>
  <si>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</si>
  <si>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</si>
  <si>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</si>
  <si>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</si>
  <si>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</si>
  <si>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</si>
  <si>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</si>
  <si>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</si>
  <si>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</si>
  <si>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</si>
  <si>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</si>
  <si>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</si>
  <si>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</si>
  <si>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</si>
  <si>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</si>
  <si>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</si>
  <si>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pi</t>
  </si>
  <si>
    <t>ym</t>
  </si>
  <si>
    <t>nm</t>
  </si>
  <si>
    <t>k</t>
  </si>
  <si>
    <t>k temp</t>
  </si>
  <si>
    <t>ßhm</t>
  </si>
  <si>
    <t>thm 1</t>
  </si>
  <si>
    <t>thm 2</t>
  </si>
  <si>
    <t>thm</t>
  </si>
  <si>
    <t>Nutzenergiebedarf</t>
  </si>
  <si>
    <t>Qh</t>
  </si>
  <si>
    <t>trl</t>
  </si>
  <si>
    <t>Temperaturen</t>
  </si>
  <si>
    <t>flna</t>
  </si>
  <si>
    <t xml:space="preserve">ithrl </t>
  </si>
  <si>
    <t>Übergabesystem</t>
  </si>
  <si>
    <t>elektroheizungsflaechen/heizkoerper/flaechenheizung</t>
  </si>
  <si>
    <t>flaechenheizung</t>
  </si>
  <si>
    <t>Werte aus Gebäudedaten</t>
  </si>
  <si>
    <t>Aufwandszahl für freie Heizflaechen</t>
  </si>
  <si>
    <t>Elektroheizungsflächen</t>
  </si>
  <si>
    <t>Heizkörper</t>
  </si>
  <si>
    <t>Flächenheizung</t>
  </si>
  <si>
    <t>Auslegungstemperaturen Heizung</t>
  </si>
  <si>
    <t>Auslegungstemperaturen Heizkörper</t>
  </si>
  <si>
    <t>Übertemperatur Heizkörper</t>
  </si>
  <si>
    <t>35/28</t>
  </si>
  <si>
    <t>Typ der Flächenheizung</t>
  </si>
  <si>
    <t>fussbodenheizung/wandheizung/deckenheizung</t>
  </si>
  <si>
    <t>fussbodenheizung</t>
  </si>
  <si>
    <t>Zwischenwert Flächenheizungstyp</t>
  </si>
  <si>
    <t>Zwischenwert Mindestdämmung</t>
  </si>
  <si>
    <t>Mindestdämmung vorhanden (Flächenheizung)</t>
  </si>
  <si>
    <t>ehce</t>
  </si>
  <si>
    <t>ßhce</t>
  </si>
  <si>
    <t>Thm</t>
  </si>
  <si>
    <t>$Φh,max</t>
  </si>
  <si>
    <t>qhce</t>
  </si>
  <si>
    <t>ehd</t>
  </si>
  <si>
    <t>ausserhalb</t>
  </si>
  <si>
    <t>EFH</t>
  </si>
  <si>
    <t>Gebäude</t>
  </si>
  <si>
    <t>Auslegunstemperaturen</t>
  </si>
  <si>
    <t>90/70</t>
  </si>
  <si>
    <t>70/55</t>
  </si>
  <si>
    <t>55/45</t>
  </si>
  <si>
    <t>MFH</t>
  </si>
  <si>
    <t>Haus</t>
  </si>
  <si>
    <t>Standort der Heizungsanlage</t>
  </si>
  <si>
    <t>ehd0</t>
  </si>
  <si>
    <t>ßhd</t>
  </si>
  <si>
    <t>Wert für Tests manuell aus oberer Tabelle ermitteln</t>
  </si>
  <si>
    <t>fßd</t>
  </si>
  <si>
    <t>Interpolierter Wert aus Tabelle 32 übernommen aus Skript</t>
  </si>
  <si>
    <t>ehd1</t>
  </si>
  <si>
    <t>ehd korr</t>
  </si>
  <si>
    <t>iht_rl</t>
  </si>
  <si>
    <t>Pufferspeicher</t>
  </si>
  <si>
    <t>Vorhanden</t>
  </si>
  <si>
    <t>Warmwasser über Heizungsanlage</t>
  </si>
  <si>
    <t>QWB</t>
  </si>
  <si>
    <t>pwn</t>
  </si>
  <si>
    <t>pwn &lt;= 5000qm</t>
  </si>
  <si>
    <t>pwn &gt; 5000qm</t>
  </si>
  <si>
    <t>pn</t>
  </si>
  <si>
    <t>fßhs</t>
  </si>
  <si>
    <t>Interpolierter Wert aus Tabelle 139</t>
  </si>
  <si>
    <t>Interpolierter Wert aus Tabelle 52</t>
  </si>
  <si>
    <t>ith_rl</t>
  </si>
  <si>
    <t>fhs</t>
  </si>
  <si>
    <t>ßhs</t>
  </si>
  <si>
    <t>Volumen bei Biomassekessel</t>
  </si>
  <si>
    <t>Volumen bei Wärmepumpe</t>
  </si>
  <si>
    <t>Heizungsystem</t>
  </si>
  <si>
    <t>Heizungsanlage 1</t>
  </si>
  <si>
    <t>waermepumpe</t>
  </si>
  <si>
    <t>Biomassekessel vorhanden</t>
  </si>
  <si>
    <t>Heizungsanlage 2</t>
  </si>
  <si>
    <t>Heizungsanlage 3</t>
  </si>
  <si>
    <t>Wärmepumpe vorhanden</t>
  </si>
  <si>
    <t>W</t>
  </si>
  <si>
    <t>kW</t>
  </si>
  <si>
    <t>pn (Zentral &amp;&amp; keine Wärmepumpe)</t>
  </si>
  <si>
    <t>pn (Zentral &amp;&amp; Wärmepumpe)</t>
  </si>
  <si>
    <t>pn (Dezentral &amp;&amp; keine Wärmepumpe)</t>
  </si>
  <si>
    <t>pn (Dezentral &amp;&amp; Wärmepumpe)</t>
  </si>
  <si>
    <t>Volumen Pufferspeicher 1</t>
  </si>
  <si>
    <t>Zwischenschritt Volumen</t>
  </si>
  <si>
    <t>Volumen Pufferspeicher 2</t>
  </si>
  <si>
    <t>Wärmeabgabe Pufferspeicher (Qhs0Vs1)</t>
  </si>
  <si>
    <t>Wärmeabgabe Pufferspeicher (Qhs0Vs2)</t>
  </si>
  <si>
    <t>Speichergröße (wenn bekannt)</t>
  </si>
  <si>
    <t>Interpolierte Werte aus den Tabellen 50/51</t>
  </si>
  <si>
    <t>Qhs</t>
  </si>
  <si>
    <t>ehs</t>
  </si>
  <si>
    <t>Standort Heizung</t>
  </si>
  <si>
    <t>// Fixer Wert</t>
  </si>
  <si>
    <t>Werte aus der Bilanzierung</t>
  </si>
  <si>
    <t>Berechnete Werte</t>
  </si>
  <si>
    <t>ewd</t>
  </si>
  <si>
    <t>ewd0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</si>
</sst>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49" fontId="0" fillId="0" borderId="0" xfId="0" applyNumberFormat="1" applyAlignment="1">
      <alignment wrapText="1"/>
    </xf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3" borderId="1" xfId="0" applyFill="1" applyBorder="1"/>
    <xf numFmtId="0" fontId="8" fillId="3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P88"/>
  <sheetViews>
    <sheetView topLeftCell="A40" workbookViewId="0">
      <selection activeCell="B84" sqref="B84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</cols>
  <sheetData>
    <row r="1" spans="1:16" x14ac:dyDescent="0.2">
      <c r="A1" s="2" t="s">
        <v>0</v>
      </c>
      <c r="B1" t="s">
        <v>48</v>
      </c>
      <c r="C1" s="3">
        <v>1990</v>
      </c>
    </row>
    <row r="3" spans="1:16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</row>
    <row r="4" spans="1:16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Dach!E3</f>
        <v>10</v>
      </c>
      <c r="M4" t="s">
        <v>1</v>
      </c>
      <c r="N4">
        <f>Dach!$E$6</f>
        <v>7.5</v>
      </c>
      <c r="P4">
        <f>H4+K4+N4</f>
        <v>67.5</v>
      </c>
    </row>
    <row r="5" spans="1:16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Dach!E4</f>
        <v>15</v>
      </c>
      <c r="M5" t="s">
        <v>2</v>
      </c>
      <c r="N5">
        <v>0</v>
      </c>
      <c r="P5">
        <f t="shared" ref="P5:P7" si="0">H5+K5+N5</f>
        <v>90</v>
      </c>
    </row>
    <row r="6" spans="1:16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Dach!E3</f>
        <v>10</v>
      </c>
      <c r="M6" t="s">
        <v>28</v>
      </c>
      <c r="N6">
        <f>Dach!$E$6</f>
        <v>7.5</v>
      </c>
      <c r="P6">
        <f t="shared" si="0"/>
        <v>67.5</v>
      </c>
    </row>
    <row r="7" spans="1:16" x14ac:dyDescent="0.2">
      <c r="A7" t="s">
        <v>123</v>
      </c>
      <c r="B7" s="3" t="s">
        <v>120</v>
      </c>
      <c r="G7" s="4" t="s">
        <v>29</v>
      </c>
      <c r="H7" s="4">
        <f>H5</f>
        <v>75</v>
      </c>
      <c r="I7" s="4"/>
      <c r="J7" s="4" t="s">
        <v>29</v>
      </c>
      <c r="K7" s="4">
        <f>Dach!E4</f>
        <v>15</v>
      </c>
      <c r="L7" s="4"/>
      <c r="M7" s="4" t="s">
        <v>29</v>
      </c>
      <c r="N7" s="4">
        <v>0</v>
      </c>
      <c r="O7" s="4"/>
      <c r="P7" s="4">
        <f t="shared" si="0"/>
        <v>90</v>
      </c>
    </row>
    <row r="8" spans="1:16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</row>
    <row r="9" spans="1:16" x14ac:dyDescent="0.2">
      <c r="A9" t="s">
        <v>4</v>
      </c>
      <c r="B9" s="3">
        <v>0.25</v>
      </c>
      <c r="J9" s="2"/>
    </row>
    <row r="10" spans="1:16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124</v>
      </c>
    </row>
    <row r="11" spans="1:16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</row>
    <row r="12" spans="1:16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</row>
    <row r="13" spans="1:16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6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</row>
    <row r="15" spans="1:16" x14ac:dyDescent="0.2">
      <c r="A15" t="s">
        <v>52</v>
      </c>
      <c r="B15">
        <f>B12*B14</f>
        <v>769.5</v>
      </c>
    </row>
    <row r="16" spans="1:16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</row>
    <row r="17" spans="1:10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</row>
    <row r="18" spans="1:10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0" x14ac:dyDescent="0.2">
      <c r="A19" t="s">
        <v>105</v>
      </c>
      <c r="B19" s="28">
        <v>50</v>
      </c>
      <c r="C19" t="s">
        <v>248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0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0" x14ac:dyDescent="0.2">
      <c r="A21" t="s">
        <v>24</v>
      </c>
      <c r="B21" s="3" t="s">
        <v>26</v>
      </c>
    </row>
    <row r="22" spans="1:10" x14ac:dyDescent="0.2">
      <c r="A22" t="s">
        <v>25</v>
      </c>
      <c r="B22" s="3" t="s">
        <v>26</v>
      </c>
      <c r="G22" s="2" t="s">
        <v>23</v>
      </c>
      <c r="J22" s="2"/>
    </row>
    <row r="23" spans="1:10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0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0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0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0" x14ac:dyDescent="0.2">
      <c r="A27" t="s">
        <v>23</v>
      </c>
      <c r="B27" s="3">
        <v>0.9</v>
      </c>
      <c r="C27">
        <v>1</v>
      </c>
    </row>
    <row r="28" spans="1:10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0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0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0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0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Dach!E15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7">
        <v>0.47099999999999997</v>
      </c>
      <c r="C40" s="5"/>
    </row>
    <row r="41" spans="1:10" x14ac:dyDescent="0.2">
      <c r="A41" t="s">
        <v>84</v>
      </c>
      <c r="B41" s="7">
        <v>1.0660000000000001</v>
      </c>
      <c r="G41" s="2" t="s">
        <v>115</v>
      </c>
    </row>
    <row r="42" spans="1:10" x14ac:dyDescent="0.2">
      <c r="A42" t="s">
        <v>85</v>
      </c>
      <c r="B42" s="7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6"/>
      <c r="G48" s="2" t="s">
        <v>146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125</v>
      </c>
      <c r="I49" t="s">
        <v>146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7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6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6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6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129</v>
      </c>
      <c r="B69" s="7">
        <v>8.5</v>
      </c>
      <c r="C69" t="s">
        <v>130</v>
      </c>
    </row>
    <row r="71" spans="1:3" x14ac:dyDescent="0.2">
      <c r="A71" s="2" t="s">
        <v>225</v>
      </c>
    </row>
    <row r="72" spans="1:3" x14ac:dyDescent="0.2">
      <c r="A72" t="s">
        <v>226</v>
      </c>
      <c r="B72" s="3" t="s">
        <v>227</v>
      </c>
    </row>
    <row r="73" spans="1:3" x14ac:dyDescent="0.2">
      <c r="A73" t="s">
        <v>229</v>
      </c>
      <c r="B73" s="3"/>
    </row>
    <row r="74" spans="1:3" x14ac:dyDescent="0.2">
      <c r="A74" t="s">
        <v>230</v>
      </c>
      <c r="B74" s="3"/>
    </row>
    <row r="75" spans="1:3" x14ac:dyDescent="0.2">
      <c r="A75" t="s">
        <v>139</v>
      </c>
      <c r="B75" s="3" t="s">
        <v>26</v>
      </c>
      <c r="C75" t="s">
        <v>140</v>
      </c>
    </row>
    <row r="76" spans="1:3" x14ac:dyDescent="0.2">
      <c r="A76" t="s">
        <v>143</v>
      </c>
      <c r="B76" s="3" t="s">
        <v>26</v>
      </c>
    </row>
    <row r="77" spans="1:3" x14ac:dyDescent="0.2">
      <c r="A77" t="s">
        <v>135</v>
      </c>
      <c r="B77" s="3" t="s">
        <v>136</v>
      </c>
      <c r="C77" t="s">
        <v>137</v>
      </c>
    </row>
    <row r="78" spans="1:3" x14ac:dyDescent="0.2">
      <c r="A78" t="s">
        <v>144</v>
      </c>
      <c r="B78" s="3" t="s">
        <v>26</v>
      </c>
    </row>
    <row r="79" spans="1:3" x14ac:dyDescent="0.2">
      <c r="A79" t="s">
        <v>167</v>
      </c>
      <c r="B79" s="3" t="s">
        <v>169</v>
      </c>
      <c r="C79" t="s">
        <v>168</v>
      </c>
    </row>
    <row r="80" spans="1:3" x14ac:dyDescent="0.2">
      <c r="A80" t="s">
        <v>175</v>
      </c>
      <c r="B80" s="3" t="s">
        <v>178</v>
      </c>
    </row>
    <row r="81" spans="1:3" x14ac:dyDescent="0.2">
      <c r="A81" t="s">
        <v>176</v>
      </c>
      <c r="B81" s="3" t="s">
        <v>178</v>
      </c>
    </row>
    <row r="82" spans="1:3" x14ac:dyDescent="0.2">
      <c r="A82" t="s">
        <v>179</v>
      </c>
      <c r="B82" s="3" t="s">
        <v>181</v>
      </c>
      <c r="C82" t="s">
        <v>180</v>
      </c>
    </row>
    <row r="83" spans="1:3" x14ac:dyDescent="0.2">
      <c r="A83" t="s">
        <v>184</v>
      </c>
      <c r="B83" s="3" t="s">
        <v>93</v>
      </c>
    </row>
    <row r="84" spans="1:3" x14ac:dyDescent="0.2">
      <c r="A84" t="s">
        <v>243</v>
      </c>
      <c r="B84" s="3"/>
    </row>
    <row r="86" spans="1:3" x14ac:dyDescent="0.2">
      <c r="A86" t="s">
        <v>141</v>
      </c>
      <c r="B86">
        <f>IF(B77="innerhalb",IF(B78="Ja",1.554,0.647),IF(B78="Ja",0.815,0.335))</f>
        <v>1.554</v>
      </c>
    </row>
    <row r="87" spans="1:3" x14ac:dyDescent="0.2">
      <c r="A87" t="s">
        <v>142</v>
      </c>
      <c r="B87">
        <f>IF(B78="Ja",1.321,0.451)</f>
        <v>1.321</v>
      </c>
    </row>
    <row r="88" spans="1:3" x14ac:dyDescent="0.2">
      <c r="A88" s="2" t="s">
        <v>138</v>
      </c>
      <c r="B88" s="2">
        <f>IF(B75="Ja",IF(B76="Ja",B86,B87),0.193)</f>
        <v>1.554</v>
      </c>
    </row>
  </sheetData>
  <phoneticPr fontId="3" type="noConversion"/>
  <dataValidations count="4">
    <dataValidation type="list" allowBlank="1" showInputMessage="1" showErrorMessage="1" sqref="B72:B74" xr:uid="{EDB12EEA-2178-8A41-89B4-DA86F44950E3}">
      <formula1>"gasheizung,waermepumpe,biomassekessel"</formula1>
    </dataValidation>
    <dataValidation type="list" allowBlank="1" showInputMessage="1" showErrorMessage="1" sqref="B77" xr:uid="{3111FD3F-8FDF-BA45-98A0-84A9BF69D4A3}">
      <formula1>"innerhalb,ausserhalb"</formula1>
    </dataValidation>
    <dataValidation type="list" allowBlank="1" showInputMessage="1" showErrorMessage="1" sqref="B75 B76 B78 B83 B48 B49 B21 B22 B17" xr:uid="{3A890D37-40C6-5B45-88D5-3759B5891EA8}">
      <formula1>"Ja,Nein"</formula1>
    </dataValidation>
    <dataValidation type="list" allowBlank="1" showInputMessage="1" showErrorMessage="1" sqref="B7" xr:uid="{4D09400F-15BB-CC44-8D01-11722A6F7887}">
      <formula1>"Nord,Ost,Süd,West"</formula1>
    </dataValidation>
  </dataValidation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E20"/>
  <sheetViews>
    <sheetView topLeftCell="D8" zoomScale="150" workbookViewId="0">
      <selection activeCell="G29" sqref="G29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5" x14ac:dyDescent="0.2">
      <c r="A1" t="s">
        <v>12</v>
      </c>
    </row>
    <row r="3" spans="1:5" x14ac:dyDescent="0.2">
      <c r="A3" t="s">
        <v>13</v>
      </c>
      <c r="B3">
        <v>1</v>
      </c>
      <c r="D3" t="s">
        <v>16</v>
      </c>
      <c r="E3">
        <f>B3*B5</f>
        <v>10</v>
      </c>
    </row>
    <row r="4" spans="1:5" x14ac:dyDescent="0.2">
      <c r="A4" t="s">
        <v>3</v>
      </c>
      <c r="B4">
        <v>2.5</v>
      </c>
      <c r="D4" t="s">
        <v>17</v>
      </c>
      <c r="E4">
        <f>B3*B6</f>
        <v>15</v>
      </c>
    </row>
    <row r="5" spans="1:5" x14ac:dyDescent="0.2">
      <c r="A5" t="s">
        <v>14</v>
      </c>
      <c r="B5">
        <v>10</v>
      </c>
      <c r="D5" t="s">
        <v>18</v>
      </c>
      <c r="E5">
        <f xml:space="preserve"> E3*2+E4*2</f>
        <v>50</v>
      </c>
    </row>
    <row r="6" spans="1:5" x14ac:dyDescent="0.2">
      <c r="A6" t="s">
        <v>39</v>
      </c>
      <c r="B6">
        <v>15</v>
      </c>
      <c r="D6" t="s">
        <v>19</v>
      </c>
      <c r="E6">
        <f>(B4-B3)*(B5/2)</f>
        <v>7.5</v>
      </c>
    </row>
    <row r="7" spans="1:5" x14ac:dyDescent="0.2">
      <c r="A7" t="s">
        <v>36</v>
      </c>
      <c r="B7">
        <f>B4-B3</f>
        <v>1.5</v>
      </c>
      <c r="D7" t="s">
        <v>35</v>
      </c>
      <c r="E7">
        <f>SQRT(SUMSQ(B7)+SUMSQ(B5/2))</f>
        <v>5.2201532544552753</v>
      </c>
    </row>
    <row r="9" spans="1:5" x14ac:dyDescent="0.2">
      <c r="D9" t="s">
        <v>15</v>
      </c>
      <c r="E9">
        <f>B5*B6*B3</f>
        <v>150</v>
      </c>
    </row>
    <row r="10" spans="1:5" x14ac:dyDescent="0.2">
      <c r="D10" t="s">
        <v>20</v>
      </c>
      <c r="E10">
        <f>E6*B6</f>
        <v>112.5</v>
      </c>
    </row>
    <row r="12" spans="1:5" x14ac:dyDescent="0.2">
      <c r="D12" s="2" t="s">
        <v>34</v>
      </c>
    </row>
    <row r="13" spans="1:5" x14ac:dyDescent="0.2">
      <c r="D13" t="s">
        <v>2</v>
      </c>
      <c r="E13">
        <f>E7*B6</f>
        <v>78.302298816829136</v>
      </c>
    </row>
    <row r="14" spans="1:5" x14ac:dyDescent="0.2">
      <c r="D14" t="s">
        <v>29</v>
      </c>
      <c r="E14">
        <f>E7*B6</f>
        <v>78.302298816829136</v>
      </c>
    </row>
    <row r="15" spans="1:5" x14ac:dyDescent="0.2">
      <c r="D15" t="s">
        <v>11</v>
      </c>
      <c r="E15">
        <f>E13+E14</f>
        <v>156.60459763365827</v>
      </c>
    </row>
    <row r="20" spans="1:2" x14ac:dyDescent="0.2">
      <c r="A20" t="s">
        <v>21</v>
      </c>
      <c r="B20">
        <f>E10+E9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0"/>
  <sheetViews>
    <sheetView topLeftCell="K1" workbookViewId="0">
      <selection activeCell="V20" sqref="V20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12.1640625" bestFit="1" customWidth="1"/>
    <col min="10" max="10" width="14.1640625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20" max="20" width="35.33203125" bestFit="1" customWidth="1"/>
    <col min="22" max="22" width="12.1640625" bestFit="1" customWidth="1"/>
    <col min="27" max="27" width="30.83203125" bestFit="1" customWidth="1"/>
    <col min="28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148</v>
      </c>
      <c r="F2" s="7">
        <v>5.7000000000000002E-2</v>
      </c>
      <c r="G2" t="s">
        <v>149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2" t="s">
        <v>22</v>
      </c>
      <c r="L3" s="8"/>
      <c r="M3" s="8"/>
      <c r="N3" s="8"/>
      <c r="O3" s="8"/>
      <c r="P3" s="8"/>
      <c r="Q3" s="8"/>
      <c r="R3" s="9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0.9*1*0.9*0.7*I3</f>
        <v>0.44225999999999999</v>
      </c>
      <c r="J4" s="6"/>
      <c r="K4" s="14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5">
        <f>Gebäude!M14</f>
        <v>11.9625</v>
      </c>
      <c r="T4" s="2" t="s">
        <v>131</v>
      </c>
      <c r="U4">
        <f>Gebäude!B69</f>
        <v>8.5</v>
      </c>
      <c r="W4" s="2" t="s">
        <v>145</v>
      </c>
      <c r="Y4">
        <f>Gebäude!B88</f>
        <v>1.554</v>
      </c>
    </row>
    <row r="5" spans="2:32" ht="17" thickBot="1" x14ac:dyDescent="0.25"/>
    <row r="6" spans="2:32" x14ac:dyDescent="0.2">
      <c r="B6" s="2" t="s">
        <v>76</v>
      </c>
      <c r="H6" s="2" t="s">
        <v>114</v>
      </c>
      <c r="J6" s="12" t="s">
        <v>122</v>
      </c>
      <c r="K6" s="8"/>
      <c r="L6" s="8"/>
      <c r="M6" s="8"/>
      <c r="N6" s="16" t="s">
        <v>42</v>
      </c>
      <c r="O6" s="17"/>
      <c r="P6" s="17"/>
      <c r="Q6" s="17"/>
      <c r="R6" s="18"/>
      <c r="T6" s="2" t="s">
        <v>132</v>
      </c>
      <c r="AA6" s="2" t="s">
        <v>150</v>
      </c>
      <c r="AE6" s="2" t="s">
        <v>151</v>
      </c>
    </row>
    <row r="7" spans="2:32" ht="17" thickBot="1" x14ac:dyDescent="0.25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2" t="s">
        <v>54</v>
      </c>
      <c r="I7" s="2" t="s">
        <v>125</v>
      </c>
      <c r="J7" s="10" t="s">
        <v>118</v>
      </c>
      <c r="K7" s="11" t="s">
        <v>119</v>
      </c>
      <c r="L7" s="11" t="s">
        <v>120</v>
      </c>
      <c r="M7" s="11" t="s">
        <v>121</v>
      </c>
      <c r="N7" s="19" t="s">
        <v>118</v>
      </c>
      <c r="O7" s="20" t="s">
        <v>119</v>
      </c>
      <c r="P7" s="20" t="s">
        <v>120</v>
      </c>
      <c r="Q7" s="20" t="s">
        <v>121</v>
      </c>
      <c r="R7" s="21" t="s">
        <v>127</v>
      </c>
      <c r="T7" s="11" t="s">
        <v>54</v>
      </c>
      <c r="U7" s="11" t="s">
        <v>125</v>
      </c>
      <c r="V7" s="11" t="s">
        <v>133</v>
      </c>
      <c r="W7" s="11" t="s">
        <v>134</v>
      </c>
      <c r="AA7" s="2" t="s">
        <v>54</v>
      </c>
      <c r="AB7" s="2" t="s">
        <v>125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25.788622860000004</v>
      </c>
      <c r="O8">
        <f t="shared" ref="O8:O19" si="2">K8*$I$4*$N$4*0.024*$I8</f>
        <v>98.403955650000015</v>
      </c>
      <c r="P8">
        <f t="shared" ref="P8:P19" si="3">L8*$I$4*$P$4*0.024*$I8</f>
        <v>152.15287487399999</v>
      </c>
      <c r="Q8">
        <f t="shared" ref="Q8:Q19" si="4">M8*$I$4*$R$4*0.024*$I8</f>
        <v>66.914689842000001</v>
      </c>
      <c r="R8">
        <f>SUM(N8:Q8)</f>
        <v>343.26014322599997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181.74136438356163</v>
      </c>
      <c r="AA8" t="s">
        <v>55</v>
      </c>
      <c r="AB8">
        <v>31</v>
      </c>
      <c r="AC8">
        <f>I24*(E24/$E$37)*$F$2/Gebäude!I50</f>
        <v>407.92431028289218</v>
      </c>
      <c r="AE8" t="s">
        <v>55</v>
      </c>
      <c r="AF8">
        <f>F8+R8+W8+AC8</f>
        <v>1384.9058178924538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3">
        <v>24</v>
      </c>
      <c r="N9">
        <f t="shared" si="1"/>
        <v>41.927309424000001</v>
      </c>
      <c r="O9">
        <f t="shared" si="2"/>
        <v>103.101950952</v>
      </c>
      <c r="P9">
        <f t="shared" si="3"/>
        <v>109.47686349600001</v>
      </c>
      <c r="Q9">
        <f t="shared" si="4"/>
        <v>85.325752511999994</v>
      </c>
      <c r="R9">
        <f t="shared" ref="R9:R19" si="8">SUM(N9:Q9)</f>
        <v>339.831876384</v>
      </c>
      <c r="T9" t="s">
        <v>56</v>
      </c>
      <c r="U9">
        <v>28</v>
      </c>
      <c r="V9">
        <f t="shared" si="5"/>
        <v>105.63287671232877</v>
      </c>
      <c r="W9">
        <f t="shared" si="6"/>
        <v>164.15349041095891</v>
      </c>
      <c r="AA9" t="s">
        <v>56</v>
      </c>
      <c r="AB9">
        <v>28</v>
      </c>
      <c r="AC9">
        <f>I25*(E25/$E$37)*$F$2/Gebäude!I51</f>
        <v>335.4194047700654</v>
      </c>
      <c r="AE9" t="s">
        <v>56</v>
      </c>
      <c r="AF9">
        <f t="shared" ref="AF9:AF19" si="9">F9+R9+W9+AC9</f>
        <v>1247.6447715650243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79.944730866</v>
      </c>
      <c r="O10">
        <f t="shared" si="2"/>
        <v>267.65875936800001</v>
      </c>
      <c r="P10">
        <f t="shared" si="3"/>
        <v>252.72850402800003</v>
      </c>
      <c r="Q10">
        <f t="shared" si="4"/>
        <v>236.16949356000001</v>
      </c>
      <c r="R10">
        <f t="shared" si="8"/>
        <v>836.50148782200006</v>
      </c>
      <c r="T10" t="s">
        <v>57</v>
      </c>
      <c r="U10">
        <v>31</v>
      </c>
      <c r="V10">
        <f t="shared" si="5"/>
        <v>116.95068493150684</v>
      </c>
      <c r="W10">
        <f t="shared" si="6"/>
        <v>181.74136438356163</v>
      </c>
      <c r="AA10" t="s">
        <v>57</v>
      </c>
      <c r="AB10">
        <v>31</v>
      </c>
      <c r="AC10">
        <f>I26*(E26/$E$37)*$F$2/Gebäude!I52</f>
        <v>74.728302090693319</v>
      </c>
      <c r="AE10" t="s">
        <v>57</v>
      </c>
      <c r="AF10">
        <f t="shared" si="9"/>
        <v>1544.951154296255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144.74904444000003</v>
      </c>
      <c r="O11">
        <f t="shared" si="2"/>
        <v>510.43084091999998</v>
      </c>
      <c r="P11">
        <f t="shared" si="3"/>
        <v>366.86395746000005</v>
      </c>
      <c r="Q11">
        <f t="shared" si="4"/>
        <v>434.24713331999999</v>
      </c>
      <c r="R11">
        <f t="shared" si="8"/>
        <v>1456.2909761400001</v>
      </c>
      <c r="T11" t="s">
        <v>58</v>
      </c>
      <c r="U11">
        <v>30</v>
      </c>
      <c r="V11">
        <f t="shared" si="5"/>
        <v>113.17808219178082</v>
      </c>
      <c r="W11">
        <f t="shared" si="6"/>
        <v>175.87873972602739</v>
      </c>
      <c r="AA11" t="s">
        <v>58</v>
      </c>
      <c r="AB11">
        <v>30</v>
      </c>
      <c r="AC11">
        <f>I27*(E27/$E$37)*$F$2/Gebäude!I53</f>
        <v>104.9733351337067</v>
      </c>
      <c r="AE11" t="s">
        <v>58</v>
      </c>
      <c r="AF11">
        <f t="shared" si="9"/>
        <v>2174.5430509997345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193.41467145000001</v>
      </c>
      <c r="O12">
        <f t="shared" si="2"/>
        <v>539.25367696199999</v>
      </c>
      <c r="P12">
        <f t="shared" si="3"/>
        <v>340.40982175199997</v>
      </c>
      <c r="Q12">
        <f t="shared" si="4"/>
        <v>499.89209470199995</v>
      </c>
      <c r="R12">
        <f t="shared" si="8"/>
        <v>1572.9702648659998</v>
      </c>
      <c r="T12" t="s">
        <v>59</v>
      </c>
      <c r="U12">
        <v>31</v>
      </c>
      <c r="V12">
        <f t="shared" si="5"/>
        <v>116.95068493150684</v>
      </c>
      <c r="W12">
        <f t="shared" si="6"/>
        <v>181.74136438356163</v>
      </c>
      <c r="AA12" t="s">
        <v>59</v>
      </c>
      <c r="AB12">
        <v>31</v>
      </c>
      <c r="AC12">
        <f>I28*(E28/$E$37)*$F$2/Gebäude!I54</f>
        <v>23.095391516545366</v>
      </c>
      <c r="AE12" t="s">
        <v>59</v>
      </c>
      <c r="AF12">
        <f t="shared" si="9"/>
        <v>2229.7870207661072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207.14087394000001</v>
      </c>
      <c r="O13">
        <f t="shared" si="2"/>
        <v>571.37780700000008</v>
      </c>
      <c r="P13">
        <f t="shared" si="3"/>
        <v>309.46347431999999</v>
      </c>
      <c r="Q13">
        <f t="shared" si="4"/>
        <v>518.04921167999998</v>
      </c>
      <c r="R13">
        <f t="shared" si="8"/>
        <v>1606.0313669400002</v>
      </c>
      <c r="T13" t="s">
        <v>60</v>
      </c>
      <c r="U13">
        <v>30</v>
      </c>
      <c r="V13">
        <f t="shared" si="5"/>
        <v>113.17808219178082</v>
      </c>
      <c r="W13">
        <f t="shared" si="6"/>
        <v>175.87873972602739</v>
      </c>
      <c r="AA13" t="s">
        <v>60</v>
      </c>
      <c r="AB13">
        <v>30</v>
      </c>
      <c r="AC13">
        <f>I29*(E29/$E$37)*$F$2/Gebäude!I55</f>
        <v>2.0907165493471553</v>
      </c>
      <c r="AE13" t="s">
        <v>60</v>
      </c>
      <c r="AF13">
        <f t="shared" si="9"/>
        <v>2221.4008232153751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208.88784516600001</v>
      </c>
      <c r="O14">
        <f t="shared" si="2"/>
        <v>543.18983518799996</v>
      </c>
      <c r="P14">
        <f t="shared" si="3"/>
        <v>291.41143831800002</v>
      </c>
      <c r="Q14">
        <f t="shared" si="4"/>
        <v>460.53051244199997</v>
      </c>
      <c r="R14">
        <f t="shared" si="8"/>
        <v>1504.019631114</v>
      </c>
      <c r="T14" t="s">
        <v>61</v>
      </c>
      <c r="U14">
        <v>31</v>
      </c>
      <c r="V14">
        <f t="shared" si="5"/>
        <v>116.95068493150684</v>
      </c>
      <c r="W14">
        <f t="shared" si="6"/>
        <v>181.74136438356163</v>
      </c>
      <c r="AA14" t="s">
        <v>61</v>
      </c>
      <c r="AB14">
        <v>31</v>
      </c>
      <c r="AC14">
        <f>I30*(E30/$E$37)*$F$2/Gebäude!I56</f>
        <v>0</v>
      </c>
      <c r="AE14" t="s">
        <v>61</v>
      </c>
      <c r="AF14">
        <f t="shared" si="9"/>
        <v>2137.7409954975619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146.99515030200001</v>
      </c>
      <c r="O15">
        <f t="shared" si="2"/>
        <v>452.65819598999997</v>
      </c>
      <c r="P15">
        <f t="shared" si="3"/>
        <v>327.51551032200001</v>
      </c>
      <c r="Q15">
        <f t="shared" si="4"/>
        <v>413.29661372999999</v>
      </c>
      <c r="R15">
        <f t="shared" si="8"/>
        <v>1340.4654703439999</v>
      </c>
      <c r="T15" t="s">
        <v>62</v>
      </c>
      <c r="U15">
        <v>31</v>
      </c>
      <c r="V15">
        <f t="shared" si="5"/>
        <v>116.95068493150684</v>
      </c>
      <c r="W15">
        <f t="shared" si="6"/>
        <v>181.74136438356163</v>
      </c>
      <c r="AA15" t="s">
        <v>62</v>
      </c>
      <c r="AB15">
        <v>31</v>
      </c>
      <c r="AC15">
        <f>I31*(E31/$E$37)*$F$2/Gebäude!I57</f>
        <v>0</v>
      </c>
      <c r="AE15" t="s">
        <v>62</v>
      </c>
      <c r="AF15">
        <f t="shared" si="9"/>
        <v>1974.1868347275615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102.32260038</v>
      </c>
      <c r="O16">
        <f t="shared" si="2"/>
        <v>316.16238654</v>
      </c>
      <c r="P16">
        <f t="shared" si="3"/>
        <v>306.96780114000001</v>
      </c>
      <c r="Q16">
        <f t="shared" si="4"/>
        <v>300.92564501999999</v>
      </c>
      <c r="R16">
        <f t="shared" si="8"/>
        <v>1026.3784330799999</v>
      </c>
      <c r="T16" t="s">
        <v>63</v>
      </c>
      <c r="U16">
        <v>30</v>
      </c>
      <c r="V16">
        <f t="shared" si="5"/>
        <v>113.17808219178082</v>
      </c>
      <c r="W16">
        <f t="shared" si="6"/>
        <v>175.87873972602739</v>
      </c>
      <c r="AA16" t="s">
        <v>63</v>
      </c>
      <c r="AB16">
        <v>30</v>
      </c>
      <c r="AC16">
        <f>I32*(E32/$E$37)*$F$2/Gebäude!I58</f>
        <v>24.629688452901568</v>
      </c>
      <c r="AE16" t="s">
        <v>63</v>
      </c>
      <c r="AF16">
        <f t="shared" si="9"/>
        <v>1664.2868612589289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64.47155715000001</v>
      </c>
      <c r="O17">
        <f t="shared" si="2"/>
        <v>216.48870243000005</v>
      </c>
      <c r="P17">
        <f t="shared" si="3"/>
        <v>273.359402316</v>
      </c>
      <c r="Q17">
        <f t="shared" si="4"/>
        <v>184.99943662200002</v>
      </c>
      <c r="R17">
        <f t="shared" si="8"/>
        <v>739.31909851800015</v>
      </c>
      <c r="T17" t="s">
        <v>64</v>
      </c>
      <c r="U17">
        <v>31</v>
      </c>
      <c r="V17">
        <f t="shared" si="5"/>
        <v>116.95068493150684</v>
      </c>
      <c r="W17">
        <f t="shared" si="6"/>
        <v>181.74136438356163</v>
      </c>
      <c r="AA17" t="s">
        <v>64</v>
      </c>
      <c r="AB17">
        <v>31</v>
      </c>
      <c r="AC17">
        <f>I33*(E33/$E$37)*$F$2/Gebäude!I59</f>
        <v>113.2895252340647</v>
      </c>
      <c r="AE17" t="s">
        <v>64</v>
      </c>
      <c r="AF17">
        <f t="shared" si="9"/>
        <v>1486.3299881356265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32.443751339999999</v>
      </c>
      <c r="O18">
        <f t="shared" si="2"/>
        <v>76.183707600000005</v>
      </c>
      <c r="P18">
        <f t="shared" si="3"/>
        <v>97.331254020000003</v>
      </c>
      <c r="Q18">
        <f t="shared" si="4"/>
        <v>72.374522220000003</v>
      </c>
      <c r="R18">
        <f t="shared" si="8"/>
        <v>278.33323518000003</v>
      </c>
      <c r="T18" t="s">
        <v>65</v>
      </c>
      <c r="U18">
        <v>30</v>
      </c>
      <c r="V18">
        <f t="shared" si="5"/>
        <v>113.17808219178082</v>
      </c>
      <c r="W18">
        <f t="shared" si="6"/>
        <v>175.87873972602739</v>
      </c>
      <c r="AA18" t="s">
        <v>65</v>
      </c>
      <c r="AB18">
        <v>30</v>
      </c>
      <c r="AC18">
        <f>I34*(E34/$E$37)*$F$2/Gebäude!I60</f>
        <v>276.28548392783478</v>
      </c>
      <c r="AE18" t="s">
        <v>65</v>
      </c>
      <c r="AF18">
        <f t="shared" si="9"/>
        <v>1167.8974588338622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18.052036002000001</v>
      </c>
      <c r="O19" s="4">
        <f t="shared" si="2"/>
        <v>47.233898711999998</v>
      </c>
      <c r="P19" s="4">
        <f t="shared" si="3"/>
        <v>74.787006294000008</v>
      </c>
      <c r="Q19" s="4">
        <f t="shared" si="4"/>
        <v>43.297740486000009</v>
      </c>
      <c r="R19" s="4">
        <f t="shared" si="8"/>
        <v>183.37068149400002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181.74136438356163</v>
      </c>
      <c r="AA19" s="4" t="s">
        <v>66</v>
      </c>
      <c r="AB19" s="4">
        <v>31</v>
      </c>
      <c r="AC19" s="4">
        <f>I35*(E35/$E$37)*$F$2/Gebäude!I61</f>
        <v>416.83354456285019</v>
      </c>
      <c r="AE19" s="4" t="s">
        <v>66</v>
      </c>
      <c r="AF19" s="4">
        <f t="shared" si="9"/>
        <v>1233.9255904404117</v>
      </c>
    </row>
    <row r="20" spans="2:32" ht="17" thickBot="1" x14ac:dyDescent="0.25">
      <c r="B20" s="2" t="s">
        <v>128</v>
      </c>
      <c r="F20" s="2">
        <f>SUM(F8:F19)</f>
        <v>5321.6999999999989</v>
      </c>
      <c r="H20" s="2" t="s">
        <v>126</v>
      </c>
      <c r="N20">
        <f>SUM(N8:N19)</f>
        <v>1266.1381933200003</v>
      </c>
      <c r="O20">
        <f>SUM(O8:O19)</f>
        <v>3742.1437173120007</v>
      </c>
      <c r="P20">
        <f t="shared" ref="P20:Q20" si="10">SUM(P8:P19)</f>
        <v>2902.4679083400001</v>
      </c>
      <c r="Q20">
        <f t="shared" si="10"/>
        <v>3316.0228461359998</v>
      </c>
      <c r="R20" s="22">
        <f>SUM(R8:R19)</f>
        <v>11226.772665108001</v>
      </c>
      <c r="T20" s="2" t="s">
        <v>126</v>
      </c>
      <c r="U20" s="2"/>
      <c r="V20" s="2">
        <f>SUM(V8:V19)</f>
        <v>1377</v>
      </c>
      <c r="W20" s="2">
        <f>SUM(W8:W19)</f>
        <v>2139.8579999999997</v>
      </c>
      <c r="AA20" s="2" t="s">
        <v>126</v>
      </c>
      <c r="AB20" s="2"/>
      <c r="AC20" s="2">
        <f>SUM(AC8:AC19)</f>
        <v>1779.2697025209013</v>
      </c>
      <c r="AE20" s="2" t="s">
        <v>128</v>
      </c>
      <c r="AF20" s="2">
        <f>SUM(AF8:AF19)</f>
        <v>20467.6003676289</v>
      </c>
    </row>
    <row r="21" spans="2:32" ht="17" thickTop="1" x14ac:dyDescent="0.2"/>
    <row r="22" spans="2:32" x14ac:dyDescent="0.2">
      <c r="R22" s="2"/>
      <c r="S22" s="2"/>
      <c r="AA22" s="11" t="s">
        <v>161</v>
      </c>
      <c r="AB22" s="4"/>
    </row>
    <row r="23" spans="2:32" x14ac:dyDescent="0.2">
      <c r="B23" s="11" t="s">
        <v>54</v>
      </c>
      <c r="C23" s="11" t="s">
        <v>67</v>
      </c>
      <c r="D23" s="11" t="s">
        <v>164</v>
      </c>
      <c r="E23" s="11" t="s">
        <v>79</v>
      </c>
      <c r="F23" s="11" t="s">
        <v>80</v>
      </c>
      <c r="G23" s="11" t="s">
        <v>107</v>
      </c>
      <c r="H23" s="11" t="s">
        <v>147</v>
      </c>
      <c r="I23" s="11" t="s">
        <v>108</v>
      </c>
      <c r="J23" s="11" t="s">
        <v>152</v>
      </c>
      <c r="K23" s="11" t="s">
        <v>153</v>
      </c>
      <c r="L23" s="11" t="s">
        <v>154</v>
      </c>
      <c r="M23" s="11" t="s">
        <v>156</v>
      </c>
      <c r="N23" s="11" t="s">
        <v>155</v>
      </c>
      <c r="O23" s="11" t="s">
        <v>157</v>
      </c>
      <c r="P23" s="11" t="s">
        <v>158</v>
      </c>
      <c r="Q23" s="11" t="s">
        <v>159</v>
      </c>
      <c r="R23" s="11" t="s">
        <v>160</v>
      </c>
      <c r="S23" s="11" t="s">
        <v>165</v>
      </c>
      <c r="T23" s="11" t="s">
        <v>163</v>
      </c>
      <c r="U23" s="11" t="s">
        <v>166</v>
      </c>
      <c r="AA23" t="s">
        <v>54</v>
      </c>
      <c r="AB23" t="s">
        <v>162</v>
      </c>
    </row>
    <row r="24" spans="2:32" x14ac:dyDescent="0.2">
      <c r="B24" s="1" t="s">
        <v>55</v>
      </c>
      <c r="C24" s="1">
        <v>31</v>
      </c>
      <c r="D24" s="7">
        <v>1</v>
      </c>
      <c r="E24" s="7">
        <v>0.56732407424029996</v>
      </c>
      <c r="F24" s="7">
        <v>19.168641979741</v>
      </c>
      <c r="G24" s="1">
        <f t="shared" ref="G24:G35" si="11">$C$4*((F24+12)/32)*E24</f>
        <v>10352.572367942394</v>
      </c>
      <c r="H24">
        <f>G24-(F8+(0.5*R8)*Gebäude!I50)</f>
        <v>9669.9067878173937</v>
      </c>
      <c r="I24">
        <f>IF(H24&lt;0,0,H24)</f>
        <v>9669.9067878173937</v>
      </c>
      <c r="J24">
        <f>AF8*Gebäude!I50</f>
        <v>1861.4325509307173</v>
      </c>
      <c r="K24">
        <f t="shared" ref="K24:K35" si="12">J24/G24</f>
        <v>0.17980386755805725</v>
      </c>
      <c r="L24" s="27">
        <v>0.99341372927093996</v>
      </c>
      <c r="M24">
        <f>1-L24*K24</f>
        <v>0.82138036939181214</v>
      </c>
      <c r="N24">
        <f>IF(M24&lt;=0,0,M24)</f>
        <v>0.82138036939181214</v>
      </c>
      <c r="O24">
        <f>E24*N24</f>
        <v>0.46598885766436543</v>
      </c>
      <c r="P24">
        <f t="shared" ref="P24:P35" si="13">C24*24</f>
        <v>744</v>
      </c>
      <c r="Q24">
        <f t="shared" ref="Q24:Q35" si="14">(O24/0.05)*C24*24</f>
        <v>6933.9142020457575</v>
      </c>
      <c r="R24">
        <f>IF(O24&gt;0.05,P24,Q24)</f>
        <v>744</v>
      </c>
      <c r="S24">
        <f>IF(Bilanzierung!$C$2=1,1,1-((10-D24)/22))</f>
        <v>0.59090909090909083</v>
      </c>
      <c r="T24">
        <f>IF(24-S24*7&lt;17,17,24-S24*7)</f>
        <v>19.863636363636363</v>
      </c>
      <c r="U24">
        <f>R24*0.042*T24</f>
        <v>620.69890909090907</v>
      </c>
      <c r="AA24" t="s">
        <v>55</v>
      </c>
      <c r="AB24">
        <f t="shared" ref="AB24:AB35" si="15">G24*N24*R24/1000</f>
        <v>6326.5293885075771</v>
      </c>
    </row>
    <row r="25" spans="2:32" x14ac:dyDescent="0.2">
      <c r="B25" s="1" t="s">
        <v>56</v>
      </c>
      <c r="C25" s="1">
        <v>28</v>
      </c>
      <c r="D25" s="7">
        <v>1.9</v>
      </c>
      <c r="E25" s="7">
        <v>0.54121604949352997</v>
      </c>
      <c r="F25" s="7">
        <v>19.208641979741</v>
      </c>
      <c r="G25" s="1">
        <f t="shared" si="11"/>
        <v>9888.8256400439677</v>
      </c>
      <c r="H25">
        <f>G25-(F9+(0.5*R9)*Gebäude!I51)</f>
        <v>9227.7345415439668</v>
      </c>
      <c r="I25">
        <f t="shared" ref="I25:I35" si="16">IF(H25&lt;0,0,H25)</f>
        <v>9227.7345415439668</v>
      </c>
      <c r="J25">
        <f>AF9*Gebäude!I51</f>
        <v>1856.6142434003339</v>
      </c>
      <c r="K25">
        <f t="shared" si="12"/>
        <v>0.18774870859105156</v>
      </c>
      <c r="L25" s="27">
        <v>0.99285759039862997</v>
      </c>
      <c r="M25">
        <f t="shared" ref="M25:M35" si="17">1-L25*K25</f>
        <v>0.81359226958783393</v>
      </c>
      <c r="N25">
        <f t="shared" ref="N25:N35" si="18">IF(M25&lt;=0,0,M25)</f>
        <v>0.81359226958783393</v>
      </c>
      <c r="O25">
        <f t="shared" ref="O25:O35" si="19">E25*N25</f>
        <v>0.44032919404480253</v>
      </c>
      <c r="P25">
        <f t="shared" si="13"/>
        <v>672</v>
      </c>
      <c r="Q25">
        <f t="shared" si="14"/>
        <v>5918.0243679621453</v>
      </c>
      <c r="R25">
        <f t="shared" ref="R25:R35" si="20">IF(O25&gt;0.05,P25,Q25)</f>
        <v>672</v>
      </c>
      <c r="S25">
        <f>IF(Bilanzierung!$C$2=1,1,1-((10-D25)/22))</f>
        <v>0.63181818181818183</v>
      </c>
      <c r="T25">
        <f t="shared" ref="T25:T35" si="21">IF(24-S25*7&lt;17,17,24-S25*7)</f>
        <v>19.577272727272728</v>
      </c>
      <c r="U25">
        <f t="shared" ref="U25:U35" si="22">R25*0.042*T25</f>
        <v>552.54894545454545</v>
      </c>
      <c r="AA25" t="s">
        <v>56</v>
      </c>
      <c r="AB25">
        <f t="shared" si="15"/>
        <v>5406.5572485400462</v>
      </c>
    </row>
    <row r="26" spans="2:32" x14ac:dyDescent="0.2">
      <c r="B26" s="1" t="s">
        <v>57</v>
      </c>
      <c r="C26" s="1">
        <v>31</v>
      </c>
      <c r="D26" s="7">
        <v>4.7</v>
      </c>
      <c r="E26" s="7">
        <v>0.45721604949353001</v>
      </c>
      <c r="F26" s="7">
        <v>0</v>
      </c>
      <c r="G26" s="1">
        <f t="shared" si="11"/>
        <v>3212.1949456636321</v>
      </c>
      <c r="H26">
        <f>G26-(F10+(0.5*R10)*Gebäude!I52)</f>
        <v>2198.0499672886322</v>
      </c>
      <c r="I26">
        <f t="shared" si="16"/>
        <v>2198.0499672886322</v>
      </c>
      <c r="J26">
        <f>AF10*Gebäude!I52</f>
        <v>2076.5472503981923</v>
      </c>
      <c r="K26">
        <f t="shared" si="12"/>
        <v>0.64645741791028888</v>
      </c>
      <c r="L26" s="27">
        <v>0.87581075537319997</v>
      </c>
      <c r="M26">
        <f t="shared" si="17"/>
        <v>0.43382564050338146</v>
      </c>
      <c r="N26">
        <f t="shared" si="18"/>
        <v>0.43382564050338146</v>
      </c>
      <c r="O26">
        <f t="shared" si="19"/>
        <v>0.19835204551995642</v>
      </c>
      <c r="P26">
        <f t="shared" si="13"/>
        <v>744</v>
      </c>
      <c r="Q26">
        <f t="shared" si="14"/>
        <v>2951.4784373369512</v>
      </c>
      <c r="R26">
        <f t="shared" si="20"/>
        <v>744</v>
      </c>
      <c r="S26">
        <f>IF(Bilanzierung!$C$2=1,1,1-((10-D26)/22))</f>
        <v>0.75909090909090904</v>
      </c>
      <c r="T26">
        <f t="shared" si="21"/>
        <v>18.686363636363637</v>
      </c>
      <c r="U26">
        <f t="shared" si="22"/>
        <v>583.91149090909096</v>
      </c>
      <c r="AA26" t="s">
        <v>57</v>
      </c>
      <c r="AB26">
        <f t="shared" si="15"/>
        <v>1036.7882021148419</v>
      </c>
    </row>
    <row r="27" spans="2:32" x14ac:dyDescent="0.2">
      <c r="B27" s="1" t="s">
        <v>58</v>
      </c>
      <c r="C27" s="1">
        <v>30</v>
      </c>
      <c r="D27" s="7">
        <v>9.1999999999999993</v>
      </c>
      <c r="E27" s="7">
        <v>0.32310802474676997</v>
      </c>
      <c r="F27" s="7">
        <v>19.525401237337999</v>
      </c>
      <c r="G27" s="1">
        <f t="shared" si="11"/>
        <v>5963.5868516620267</v>
      </c>
      <c r="H27">
        <f>G27-(F11+(0.5*R11)*Gebäude!I53)</f>
        <v>4514.8736737870267</v>
      </c>
      <c r="I27">
        <f t="shared" si="16"/>
        <v>4514.8736737870267</v>
      </c>
      <c r="J27">
        <f>AF11*Gebäude!I53</f>
        <v>3020.1986819440758</v>
      </c>
      <c r="K27">
        <f t="shared" si="12"/>
        <v>0.50643995921722162</v>
      </c>
      <c r="L27" s="27">
        <v>0.92481041386615004</v>
      </c>
      <c r="M27">
        <f t="shared" si="17"/>
        <v>0.53163905171796511</v>
      </c>
      <c r="N27">
        <f t="shared" si="18"/>
        <v>0.53163905171796511</v>
      </c>
      <c r="O27">
        <f t="shared" si="19"/>
        <v>0.1717768438788376</v>
      </c>
      <c r="P27">
        <f t="shared" si="13"/>
        <v>720</v>
      </c>
      <c r="Q27">
        <f t="shared" si="14"/>
        <v>2473.586551855261</v>
      </c>
      <c r="R27">
        <f t="shared" si="20"/>
        <v>720</v>
      </c>
      <c r="S27">
        <f>IF(Bilanzierung!$C$2=1,1,1-((10-D27)/22))</f>
        <v>0.96363636363636362</v>
      </c>
      <c r="T27">
        <f t="shared" si="21"/>
        <v>17.254545454545454</v>
      </c>
      <c r="U27">
        <f t="shared" si="22"/>
        <v>521.77745454545459</v>
      </c>
      <c r="AA27" t="s">
        <v>58</v>
      </c>
      <c r="AB27">
        <f t="shared" si="15"/>
        <v>2282.742474231834</v>
      </c>
    </row>
    <row r="28" spans="2:32" x14ac:dyDescent="0.2">
      <c r="B28" s="1" t="s">
        <v>59</v>
      </c>
      <c r="C28" s="1">
        <v>31</v>
      </c>
      <c r="D28" s="7">
        <v>14.1</v>
      </c>
      <c r="E28" s="7">
        <v>0.17610802474677001</v>
      </c>
      <c r="F28" s="7">
        <v>19.742160494935</v>
      </c>
      <c r="G28" s="1">
        <f t="shared" si="11"/>
        <v>3272.7649144272054</v>
      </c>
      <c r="H28">
        <f>G28-(F12+(0.5*R12)*Gebäude!I54)</f>
        <v>1763.6812418022057</v>
      </c>
      <c r="I28">
        <f t="shared" si="16"/>
        <v>1763.6812418022057</v>
      </c>
      <c r="J28">
        <f>AF12*Gebäude!I54</f>
        <v>2997.0255655458427</v>
      </c>
      <c r="K28">
        <f t="shared" si="12"/>
        <v>0.91574727910769538</v>
      </c>
      <c r="L28" s="27">
        <v>0.77401603393907004</v>
      </c>
      <c r="M28">
        <f t="shared" si="17"/>
        <v>0.291196922934567</v>
      </c>
      <c r="N28">
        <f t="shared" si="18"/>
        <v>0.291196922934567</v>
      </c>
      <c r="O28">
        <f t="shared" si="19"/>
        <v>5.1282114910344005E-2</v>
      </c>
      <c r="P28">
        <f t="shared" si="13"/>
        <v>744</v>
      </c>
      <c r="Q28">
        <f t="shared" si="14"/>
        <v>763.07786986591873</v>
      </c>
      <c r="R28">
        <f t="shared" si="20"/>
        <v>744</v>
      </c>
      <c r="S28">
        <f>IF(Bilanzierung!$C$2=1,1,1-((10-D28)/22))</f>
        <v>1.1863636363636363</v>
      </c>
      <c r="T28">
        <f t="shared" si="21"/>
        <v>17</v>
      </c>
      <c r="U28">
        <f t="shared" si="22"/>
        <v>531.21600000000001</v>
      </c>
      <c r="AA28" t="s">
        <v>59</v>
      </c>
      <c r="AB28">
        <f t="shared" si="15"/>
        <v>709.04618999164393</v>
      </c>
    </row>
    <row r="29" spans="2:32" x14ac:dyDescent="0.2">
      <c r="B29" s="1" t="s">
        <v>60</v>
      </c>
      <c r="C29" s="1">
        <v>30</v>
      </c>
      <c r="D29" s="7">
        <v>16.7</v>
      </c>
      <c r="E29" s="7">
        <v>9.9000000000000005E-2</v>
      </c>
      <c r="F29" s="7">
        <v>19.852160494934999</v>
      </c>
      <c r="G29" s="1">
        <f t="shared" si="11"/>
        <v>1846.1767249312081</v>
      </c>
      <c r="H29">
        <f>G29-(F13+(0.5*R13)*Gebäude!I55)</f>
        <v>293.47716455620798</v>
      </c>
      <c r="I29">
        <f t="shared" si="16"/>
        <v>293.47716455620798</v>
      </c>
      <c r="J29">
        <f>AF13*Gebäude!I55</f>
        <v>3085.2789211324653</v>
      </c>
      <c r="K29">
        <f t="shared" si="12"/>
        <v>1.6711720386613738</v>
      </c>
      <c r="L29" s="27">
        <v>0.53520699033466002</v>
      </c>
      <c r="M29">
        <f t="shared" si="17"/>
        <v>0.10557704285660807</v>
      </c>
      <c r="N29">
        <f t="shared" si="18"/>
        <v>0.10557704285660807</v>
      </c>
      <c r="O29">
        <f t="shared" si="19"/>
        <v>1.0452127242804199E-2</v>
      </c>
      <c r="P29">
        <f t="shared" si="13"/>
        <v>720</v>
      </c>
      <c r="Q29">
        <f t="shared" si="14"/>
        <v>150.51063229638046</v>
      </c>
      <c r="R29">
        <f t="shared" si="20"/>
        <v>150.51063229638046</v>
      </c>
      <c r="S29">
        <f>IF(Bilanzierung!$C$2=1,1,1-((10-D29)/22))</f>
        <v>1.3045454545454545</v>
      </c>
      <c r="T29">
        <f t="shared" si="21"/>
        <v>17</v>
      </c>
      <c r="U29">
        <f t="shared" si="22"/>
        <v>107.46459145961566</v>
      </c>
      <c r="AA29" t="s">
        <v>60</v>
      </c>
      <c r="AB29">
        <f t="shared" si="15"/>
        <v>29.336611203077055</v>
      </c>
    </row>
    <row r="30" spans="2:32" x14ac:dyDescent="0.2">
      <c r="B30" s="1" t="s">
        <v>61</v>
      </c>
      <c r="C30" s="1">
        <v>31</v>
      </c>
      <c r="D30" s="7">
        <v>19</v>
      </c>
      <c r="E30" s="7">
        <v>0.03</v>
      </c>
      <c r="F30" s="7">
        <v>19.96</v>
      </c>
      <c r="G30" s="1">
        <f t="shared" si="11"/>
        <v>561.34157242036201</v>
      </c>
      <c r="H30">
        <f>G30-(F14+(0.5*R14)*Gebäude!I56)</f>
        <v>-901.40430870463786</v>
      </c>
      <c r="I30">
        <f t="shared" si="16"/>
        <v>0</v>
      </c>
      <c r="J30">
        <f>AF14*Gebäude!I56</f>
        <v>2873.3077896472605</v>
      </c>
      <c r="K30">
        <f t="shared" si="12"/>
        <v>5.1186442102591627</v>
      </c>
      <c r="L30" s="27">
        <v>0.19396609685119001</v>
      </c>
      <c r="M30">
        <f t="shared" si="17"/>
        <v>7.156561366088221E-3</v>
      </c>
      <c r="N30">
        <f t="shared" si="18"/>
        <v>7.156561366088221E-3</v>
      </c>
      <c r="O30">
        <f t="shared" si="19"/>
        <v>2.1469684098264662E-4</v>
      </c>
      <c r="P30">
        <f t="shared" si="13"/>
        <v>744</v>
      </c>
      <c r="Q30">
        <f t="shared" si="14"/>
        <v>3.1946889938217815</v>
      </c>
      <c r="R30">
        <f t="shared" si="20"/>
        <v>3.1946889938217815</v>
      </c>
      <c r="S30">
        <f>IF(Bilanzierung!$C$2=1,1,1-((10-D30)/22))</f>
        <v>1.4090909090909092</v>
      </c>
      <c r="T30">
        <f t="shared" si="21"/>
        <v>17</v>
      </c>
      <c r="U30">
        <f t="shared" si="22"/>
        <v>2.2810079415887521</v>
      </c>
      <c r="AA30" t="s">
        <v>61</v>
      </c>
      <c r="AB30">
        <f t="shared" si="15"/>
        <v>1.2833945538636841E-2</v>
      </c>
    </row>
    <row r="31" spans="2:32" x14ac:dyDescent="0.2">
      <c r="B31" s="1" t="s">
        <v>62</v>
      </c>
      <c r="C31" s="1">
        <v>31</v>
      </c>
      <c r="D31" s="7">
        <v>18.600000000000001</v>
      </c>
      <c r="E31" s="7">
        <v>4.2000000000000003E-2</v>
      </c>
      <c r="F31" s="7">
        <v>19.940000000000001</v>
      </c>
      <c r="G31" s="1">
        <f t="shared" si="11"/>
        <v>785.38641277687452</v>
      </c>
      <c r="H31">
        <f>G31-(F15+(0.5*R15)*Gebäude!I57)</f>
        <v>-567.44403772312535</v>
      </c>
      <c r="I31">
        <f t="shared" si="16"/>
        <v>0</v>
      </c>
      <c r="J31">
        <f>AF15*Gebäude!I57</f>
        <v>2653.4769283972601</v>
      </c>
      <c r="K31">
        <f t="shared" si="12"/>
        <v>3.3785623041470969</v>
      </c>
      <c r="L31" s="27">
        <v>0.28971501566822999</v>
      </c>
      <c r="M31">
        <f t="shared" si="17"/>
        <v>2.1179769117932623E-2</v>
      </c>
      <c r="N31">
        <f t="shared" si="18"/>
        <v>2.1179769117932623E-2</v>
      </c>
      <c r="O31">
        <f t="shared" si="19"/>
        <v>8.8955030295317027E-4</v>
      </c>
      <c r="P31">
        <f t="shared" si="13"/>
        <v>744</v>
      </c>
      <c r="Q31">
        <f t="shared" si="14"/>
        <v>13.236508507943174</v>
      </c>
      <c r="R31">
        <f t="shared" si="20"/>
        <v>13.236508507943174</v>
      </c>
      <c r="S31">
        <f>IF(Bilanzierung!$C$2=1,1,1-((10-D31)/22))</f>
        <v>1.3909090909090911</v>
      </c>
      <c r="T31">
        <f t="shared" si="21"/>
        <v>17</v>
      </c>
      <c r="U31">
        <f t="shared" si="22"/>
        <v>9.4508670746714269</v>
      </c>
      <c r="AA31" t="s">
        <v>62</v>
      </c>
      <c r="AB31">
        <f t="shared" si="15"/>
        <v>0.22018009174010134</v>
      </c>
    </row>
    <row r="32" spans="2:32" x14ac:dyDescent="0.2">
      <c r="B32" s="1" t="s">
        <v>63</v>
      </c>
      <c r="C32" s="1">
        <v>30</v>
      </c>
      <c r="D32" s="7">
        <v>14.3</v>
      </c>
      <c r="E32" s="7">
        <v>0.17010802474677</v>
      </c>
      <c r="F32" s="7">
        <v>19.752160494935001</v>
      </c>
      <c r="G32" s="1">
        <f t="shared" si="11"/>
        <v>3162.2577402046868</v>
      </c>
      <c r="H32">
        <f>G32-(F16+(0.5*R16)*Gebäude!I58)</f>
        <v>2012.0949394546869</v>
      </c>
      <c r="I32">
        <f t="shared" si="16"/>
        <v>2012.0949394546869</v>
      </c>
      <c r="J32">
        <f>AF16*Gebäude!I58</f>
        <v>2311.50952952629</v>
      </c>
      <c r="K32">
        <f t="shared" si="12"/>
        <v>0.73096809919632622</v>
      </c>
      <c r="L32" s="27">
        <v>0.84423212230539002</v>
      </c>
      <c r="M32">
        <f t="shared" si="17"/>
        <v>0.38289325027794863</v>
      </c>
      <c r="N32">
        <f t="shared" si="18"/>
        <v>0.38289325027794863</v>
      </c>
      <c r="O32">
        <f t="shared" si="19"/>
        <v>6.5133214493652489E-2</v>
      </c>
      <c r="P32">
        <f t="shared" si="13"/>
        <v>720</v>
      </c>
      <c r="Q32">
        <f t="shared" si="14"/>
        <v>937.9182887085957</v>
      </c>
      <c r="R32">
        <f t="shared" si="20"/>
        <v>720</v>
      </c>
      <c r="S32">
        <f>IF(Bilanzierung!$C$2=1,1,1-((10-D32)/22))</f>
        <v>1.1954545454545455</v>
      </c>
      <c r="T32">
        <f t="shared" si="21"/>
        <v>17</v>
      </c>
      <c r="U32">
        <f t="shared" si="22"/>
        <v>514.08000000000004</v>
      </c>
      <c r="AA32" t="s">
        <v>63</v>
      </c>
      <c r="AB32">
        <f t="shared" si="15"/>
        <v>871.78114394177271</v>
      </c>
    </row>
    <row r="33" spans="2:28" x14ac:dyDescent="0.2">
      <c r="B33" s="1" t="s">
        <v>64</v>
      </c>
      <c r="C33" s="1">
        <v>31</v>
      </c>
      <c r="D33" s="7">
        <v>9.5</v>
      </c>
      <c r="E33" s="7">
        <v>0.31410802474677002</v>
      </c>
      <c r="F33" s="7">
        <v>19.535401237338</v>
      </c>
      <c r="G33" s="1">
        <f t="shared" si="11"/>
        <v>5799.3133370703099</v>
      </c>
      <c r="H33">
        <f>G33-(F17+(0.5*R17)*Gebäude!I59)</f>
        <v>4850.4791041953094</v>
      </c>
      <c r="I33">
        <f t="shared" si="16"/>
        <v>4850.4791041953094</v>
      </c>
      <c r="J33">
        <f>AF17*Gebäude!I59</f>
        <v>1997.7553603973474</v>
      </c>
      <c r="K33">
        <f t="shared" si="12"/>
        <v>0.34448136258258655</v>
      </c>
      <c r="L33" s="27">
        <v>0.96821410023182997</v>
      </c>
      <c r="M33">
        <f t="shared" si="17"/>
        <v>0.66646828748046616</v>
      </c>
      <c r="N33">
        <f t="shared" si="18"/>
        <v>0.66646828748046616</v>
      </c>
      <c r="O33">
        <f t="shared" si="19"/>
        <v>0.2093430373368517</v>
      </c>
      <c r="P33">
        <f t="shared" si="13"/>
        <v>744</v>
      </c>
      <c r="Q33">
        <f t="shared" si="14"/>
        <v>3115.0243955723527</v>
      </c>
      <c r="R33">
        <f t="shared" si="20"/>
        <v>744</v>
      </c>
      <c r="S33">
        <f>IF(Bilanzierung!$C$2=1,1,1-((10-D33)/22))</f>
        <v>0.97727272727272729</v>
      </c>
      <c r="T33">
        <f t="shared" si="21"/>
        <v>17.15909090909091</v>
      </c>
      <c r="U33">
        <f t="shared" si="22"/>
        <v>536.18727272727278</v>
      </c>
      <c r="AA33" t="s">
        <v>64</v>
      </c>
      <c r="AB33">
        <f t="shared" si="15"/>
        <v>2875.6034706699884</v>
      </c>
    </row>
    <row r="34" spans="2:28" x14ac:dyDescent="0.2">
      <c r="B34" s="1" t="s">
        <v>65</v>
      </c>
      <c r="C34" s="1">
        <v>30</v>
      </c>
      <c r="D34" s="7">
        <v>4.0999999999999996</v>
      </c>
      <c r="E34" s="7">
        <v>0.47521604949353002</v>
      </c>
      <c r="F34" s="7">
        <v>19.306481484806</v>
      </c>
      <c r="G34" s="1">
        <f t="shared" si="11"/>
        <v>8710.1280840494492</v>
      </c>
      <c r="H34">
        <f>G34-(F18+(0.5*R18)*Gebäude!I60)</f>
        <v>8079.4411151744489</v>
      </c>
      <c r="I34">
        <f t="shared" si="16"/>
        <v>8079.4411151744489</v>
      </c>
      <c r="J34">
        <f>AF18*Gebäude!I60</f>
        <v>1622.0798039359197</v>
      </c>
      <c r="K34">
        <f t="shared" si="12"/>
        <v>0.18622915625160294</v>
      </c>
      <c r="L34" s="27">
        <v>0.99296395906238999</v>
      </c>
      <c r="M34">
        <f t="shared" si="17"/>
        <v>0.81508115971555994</v>
      </c>
      <c r="N34">
        <f t="shared" si="18"/>
        <v>0.81508115971555994</v>
      </c>
      <c r="O34">
        <f t="shared" si="19"/>
        <v>0.3873396487366334</v>
      </c>
      <c r="P34">
        <f t="shared" si="13"/>
        <v>720</v>
      </c>
      <c r="Q34">
        <f t="shared" si="14"/>
        <v>5577.6909418075211</v>
      </c>
      <c r="R34">
        <f t="shared" si="20"/>
        <v>720</v>
      </c>
      <c r="S34">
        <f>IF(Bilanzierung!$C$2=1,1,1-((10-D34)/22))</f>
        <v>0.73181818181818181</v>
      </c>
      <c r="T34">
        <f t="shared" si="21"/>
        <v>18.877272727272725</v>
      </c>
      <c r="U34">
        <f t="shared" si="22"/>
        <v>570.84872727272727</v>
      </c>
      <c r="AA34" t="s">
        <v>65</v>
      </c>
      <c r="AB34">
        <f t="shared" si="15"/>
        <v>5111.6121360130273</v>
      </c>
    </row>
    <row r="35" spans="2:28" x14ac:dyDescent="0.2">
      <c r="B35" s="25" t="s">
        <v>66</v>
      </c>
      <c r="C35" s="25">
        <v>31</v>
      </c>
      <c r="D35" s="26">
        <v>0.9</v>
      </c>
      <c r="E35" s="26">
        <v>0.57032407424029996</v>
      </c>
      <c r="F35" s="26">
        <v>19.159722227208999</v>
      </c>
      <c r="G35" s="25">
        <f t="shared" si="11"/>
        <v>10404.338257532285</v>
      </c>
      <c r="H35" s="4">
        <f>G35-(F19+(0.5*R19)*Gebäude!I61)</f>
        <v>9829.1252726572857</v>
      </c>
      <c r="I35" s="4">
        <f t="shared" si="16"/>
        <v>9829.1252726572857</v>
      </c>
      <c r="J35" s="4">
        <f>AF19*Gebäude!I61</f>
        <v>1658.5021376887253</v>
      </c>
      <c r="K35" s="4">
        <f t="shared" si="12"/>
        <v>0.15940486522418112</v>
      </c>
      <c r="L35" s="27">
        <v>0.99484165943431002</v>
      </c>
      <c r="M35" s="4">
        <f t="shared" si="17"/>
        <v>0.84141739935847315</v>
      </c>
      <c r="N35" s="4">
        <f t="shared" si="18"/>
        <v>0.84141739935847315</v>
      </c>
      <c r="O35" s="4">
        <f t="shared" si="19"/>
        <v>0.47988059933880195</v>
      </c>
      <c r="P35" s="4">
        <f t="shared" si="13"/>
        <v>744</v>
      </c>
      <c r="Q35" s="4">
        <f t="shared" si="14"/>
        <v>7140.6233181613734</v>
      </c>
      <c r="R35" s="4">
        <f t="shared" si="20"/>
        <v>744</v>
      </c>
      <c r="S35" s="4">
        <f>IF(Bilanzierung!$C$2=1,1,1-((10-D35)/22))</f>
        <v>0.58636363636363642</v>
      </c>
      <c r="T35" s="4">
        <f t="shared" si="21"/>
        <v>19.895454545454545</v>
      </c>
      <c r="U35" s="4">
        <f t="shared" si="22"/>
        <v>621.69316363636358</v>
      </c>
      <c r="AA35" s="4" t="s">
        <v>66</v>
      </c>
      <c r="AB35" s="4">
        <f t="shared" si="15"/>
        <v>6513.26708159182</v>
      </c>
    </row>
    <row r="36" spans="2:28" x14ac:dyDescent="0.2">
      <c r="K36" s="1"/>
      <c r="R36">
        <f>SUM(R24:R35)</f>
        <v>6718.9418297981456</v>
      </c>
      <c r="U36">
        <f>SUM(U24:U35)</f>
        <v>5172.1584301122384</v>
      </c>
      <c r="AA36" s="2" t="s">
        <v>126</v>
      </c>
      <c r="AB36" s="2">
        <f>SUM(AB24:AB35)</f>
        <v>31163.496960842906</v>
      </c>
    </row>
    <row r="37" spans="2:28" x14ac:dyDescent="0.2">
      <c r="B37" s="23" t="s">
        <v>77</v>
      </c>
      <c r="E37">
        <f>MAX(E24:E35)</f>
        <v>0.57032407424029996</v>
      </c>
    </row>
    <row r="38" spans="2:28" x14ac:dyDescent="0.2">
      <c r="S38" s="24"/>
    </row>
    <row r="39" spans="2:28" x14ac:dyDescent="0.2">
      <c r="B39" t="s">
        <v>78</v>
      </c>
      <c r="K39" s="6"/>
    </row>
    <row r="40" spans="2:28" x14ac:dyDescent="0.2">
      <c r="G40" s="6"/>
      <c r="H40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BB1D-9E50-6844-83C8-B5BC48EE082C}">
  <dimension ref="B2:K68"/>
  <sheetViews>
    <sheetView workbookViewId="0">
      <selection activeCell="B2" sqref="B2"/>
    </sheetView>
  </sheetViews>
  <sheetFormatPr baseColWidth="10" defaultRowHeight="16" x14ac:dyDescent="0.2"/>
  <cols>
    <col min="2" max="2" width="40.5" bestFit="1" customWidth="1"/>
    <col min="3" max="3" width="22.83203125" customWidth="1"/>
    <col min="5" max="5" width="29.5" bestFit="1" customWidth="1"/>
    <col min="6" max="6" width="27.33203125" customWidth="1"/>
    <col min="9" max="9" width="22" customWidth="1"/>
  </cols>
  <sheetData>
    <row r="2" spans="2:11" x14ac:dyDescent="0.2">
      <c r="B2" s="2" t="s">
        <v>170</v>
      </c>
      <c r="H2" t="s">
        <v>190</v>
      </c>
    </row>
    <row r="3" spans="2:11" x14ac:dyDescent="0.2">
      <c r="B3" t="s">
        <v>139</v>
      </c>
      <c r="C3" t="str">
        <f>Gebäude!B75</f>
        <v>Ja</v>
      </c>
      <c r="E3" t="s">
        <v>226</v>
      </c>
      <c r="F3" t="str">
        <f>Gebäude!B72</f>
        <v>waermepumpe</v>
      </c>
    </row>
    <row r="4" spans="2:11" x14ac:dyDescent="0.2">
      <c r="B4" t="s">
        <v>143</v>
      </c>
      <c r="C4" t="str">
        <f>Gebäude!B76</f>
        <v>Ja</v>
      </c>
      <c r="E4" t="s">
        <v>229</v>
      </c>
      <c r="F4">
        <f>Gebäude!B73</f>
        <v>0</v>
      </c>
      <c r="H4" s="2" t="s">
        <v>193</v>
      </c>
      <c r="I4" s="2" t="s">
        <v>194</v>
      </c>
      <c r="J4" s="2" t="s">
        <v>136</v>
      </c>
      <c r="K4" s="2" t="s">
        <v>191</v>
      </c>
    </row>
    <row r="5" spans="2:11" x14ac:dyDescent="0.2">
      <c r="B5" t="s">
        <v>135</v>
      </c>
      <c r="C5" t="str">
        <f>Gebäude!B77</f>
        <v>innerhalb</v>
      </c>
      <c r="E5" t="s">
        <v>230</v>
      </c>
      <c r="F5">
        <f>Gebäude!B74</f>
        <v>0</v>
      </c>
      <c r="H5" t="s">
        <v>192</v>
      </c>
      <c r="I5" t="s">
        <v>195</v>
      </c>
      <c r="J5">
        <v>1.099</v>
      </c>
      <c r="K5">
        <v>1.1000000000000001</v>
      </c>
    </row>
    <row r="6" spans="2:11" x14ac:dyDescent="0.2">
      <c r="B6" t="s">
        <v>144</v>
      </c>
      <c r="C6" t="str">
        <f>Gebäude!B78</f>
        <v>Ja</v>
      </c>
      <c r="E6" t="s">
        <v>162</v>
      </c>
      <c r="F6">
        <f>Bilanzierung!AB36</f>
        <v>31163.496960842906</v>
      </c>
      <c r="H6" t="s">
        <v>192</v>
      </c>
      <c r="I6" t="s">
        <v>196</v>
      </c>
      <c r="J6">
        <v>1.07</v>
      </c>
      <c r="K6">
        <v>1.0740000000000001</v>
      </c>
    </row>
    <row r="7" spans="2:11" x14ac:dyDescent="0.2">
      <c r="B7" t="s">
        <v>167</v>
      </c>
      <c r="C7" t="str">
        <f>Gebäude!B79</f>
        <v>flaechenheizung</v>
      </c>
      <c r="E7" t="s">
        <v>187</v>
      </c>
      <c r="F7">
        <f>Bilanzierung!R36</f>
        <v>6718.9418297981456</v>
      </c>
      <c r="H7" t="s">
        <v>192</v>
      </c>
      <c r="I7" t="s">
        <v>197</v>
      </c>
      <c r="J7">
        <v>1.0489999999999999</v>
      </c>
      <c r="K7">
        <v>1.0549999999999999</v>
      </c>
    </row>
    <row r="8" spans="2:11" x14ac:dyDescent="0.2">
      <c r="B8" t="s">
        <v>175</v>
      </c>
      <c r="C8" t="str">
        <f>Gebäude!B80</f>
        <v>35/28</v>
      </c>
      <c r="E8" t="s">
        <v>188</v>
      </c>
      <c r="F8">
        <f>Gebäude!B64</f>
        <v>15324.999551186025</v>
      </c>
      <c r="H8" t="s">
        <v>192</v>
      </c>
      <c r="I8" t="s">
        <v>178</v>
      </c>
      <c r="J8">
        <v>1.0189999999999999</v>
      </c>
      <c r="K8">
        <v>1.028</v>
      </c>
    </row>
    <row r="9" spans="2:11" x14ac:dyDescent="0.2">
      <c r="B9" t="s">
        <v>176</v>
      </c>
      <c r="C9" t="str">
        <f>Gebäude!B81</f>
        <v>35/28</v>
      </c>
      <c r="E9" t="s">
        <v>70</v>
      </c>
      <c r="F9">
        <f>Gebäude!B16</f>
        <v>324</v>
      </c>
      <c r="H9" t="s">
        <v>198</v>
      </c>
      <c r="I9" t="s">
        <v>195</v>
      </c>
      <c r="J9">
        <v>1.085</v>
      </c>
      <c r="K9">
        <v>1.085</v>
      </c>
    </row>
    <row r="10" spans="2:11" x14ac:dyDescent="0.2">
      <c r="B10" t="s">
        <v>179</v>
      </c>
      <c r="C10" t="s">
        <v>181</v>
      </c>
      <c r="H10" t="s">
        <v>198</v>
      </c>
      <c r="I10" t="s">
        <v>196</v>
      </c>
      <c r="J10">
        <v>1.06</v>
      </c>
      <c r="K10">
        <v>1.0629999999999999</v>
      </c>
    </row>
    <row r="11" spans="2:11" x14ac:dyDescent="0.2">
      <c r="B11" t="s">
        <v>184</v>
      </c>
      <c r="C11" t="str">
        <f>Gebäude!B83</f>
        <v>Nein</v>
      </c>
      <c r="H11" t="s">
        <v>198</v>
      </c>
      <c r="I11" t="s">
        <v>197</v>
      </c>
      <c r="J11">
        <v>1.042</v>
      </c>
      <c r="K11">
        <v>1.0469999999999999</v>
      </c>
    </row>
    <row r="12" spans="2:11" x14ac:dyDescent="0.2">
      <c r="B12" t="s">
        <v>200</v>
      </c>
      <c r="C12" t="str">
        <f>Gebäude!B77</f>
        <v>innerhalb</v>
      </c>
      <c r="H12" t="s">
        <v>198</v>
      </c>
      <c r="I12" t="s">
        <v>178</v>
      </c>
      <c r="J12">
        <v>1.016</v>
      </c>
      <c r="K12">
        <v>1.024</v>
      </c>
    </row>
    <row r="13" spans="2:11" x14ac:dyDescent="0.2">
      <c r="B13" t="s">
        <v>74</v>
      </c>
      <c r="C13">
        <f>Gebäude!B3</f>
        <v>2</v>
      </c>
    </row>
    <row r="14" spans="2:11" x14ac:dyDescent="0.2">
      <c r="B14" t="s">
        <v>208</v>
      </c>
      <c r="C14">
        <f>Bilanzierung!U36</f>
        <v>5172.1584301122384</v>
      </c>
      <c r="H14" t="s">
        <v>199</v>
      </c>
      <c r="I14" t="str">
        <f>IF(C13&lt;2,"EFH","MFH")</f>
        <v>MFH</v>
      </c>
    </row>
    <row r="15" spans="2:11" x14ac:dyDescent="0.2">
      <c r="H15" t="s">
        <v>201</v>
      </c>
      <c r="I15" s="7">
        <v>1.016</v>
      </c>
      <c r="J15" t="s">
        <v>203</v>
      </c>
    </row>
    <row r="16" spans="2:11" x14ac:dyDescent="0.2">
      <c r="E16" t="s">
        <v>177</v>
      </c>
      <c r="F16" cm="1">
        <f t="array" ref="F16">_xlfn.SWITCH(C9,"90/70",1.042,"70/55",0.021,"55/45",0.015,"35/28",0.012)</f>
        <v>1.2E-2</v>
      </c>
    </row>
    <row r="17" spans="2:6" x14ac:dyDescent="0.2">
      <c r="B17" s="2" t="s">
        <v>171</v>
      </c>
      <c r="E17" t="s">
        <v>182</v>
      </c>
      <c r="F17" cm="1">
        <f t="array" ref="F17">_xlfn.SWITCH(C10,"fussbodenheizung",0.021,"wandheizung",0.045,"deckenheizung",0.063)</f>
        <v>2.1000000000000001E-2</v>
      </c>
    </row>
    <row r="18" spans="2:6" x14ac:dyDescent="0.2">
      <c r="E18" t="s">
        <v>183</v>
      </c>
      <c r="F18">
        <f>IF(C11="Ja",0.015,0.042)</f>
        <v>4.2000000000000003E-2</v>
      </c>
    </row>
    <row r="19" spans="2:6" x14ac:dyDescent="0.2">
      <c r="B19" t="s">
        <v>172</v>
      </c>
      <c r="C19">
        <f>IF(C7="elektroheizungsflaechen",1.066+0.018,0)</f>
        <v>0</v>
      </c>
    </row>
    <row r="20" spans="2:6" x14ac:dyDescent="0.2">
      <c r="B20" t="s">
        <v>173</v>
      </c>
      <c r="C20">
        <f>IF(C7="heizkoerper",1.042+F16+0.009+0.03+0.036,0)</f>
        <v>0</v>
      </c>
      <c r="E20" s="6"/>
    </row>
    <row r="21" spans="2:6" x14ac:dyDescent="0.2">
      <c r="B21" t="s">
        <v>174</v>
      </c>
      <c r="C21">
        <f>IF(C7="flaechenheizung",1.042+F17+F18-0.03+0.036,0)</f>
        <v>1.111</v>
      </c>
      <c r="E21" s="6"/>
    </row>
    <row r="23" spans="2:6" x14ac:dyDescent="0.2">
      <c r="B23" t="s">
        <v>185</v>
      </c>
      <c r="C23" cm="1">
        <f t="array" ref="C23">_xlfn.SWITCH(C7,"elektroheizungsflaechen",C19,"heizkoerper",C20,"flaechenheizung",C21)</f>
        <v>1.111</v>
      </c>
    </row>
    <row r="24" spans="2:6" x14ac:dyDescent="0.2">
      <c r="B24" t="s">
        <v>186</v>
      </c>
      <c r="C24">
        <f>(F6/(F7*F8))*1000</f>
        <v>0.30265289590216216</v>
      </c>
      <c r="E24" s="6"/>
    </row>
    <row r="25" spans="2:6" x14ac:dyDescent="0.2">
      <c r="B25" t="s">
        <v>189</v>
      </c>
      <c r="C25">
        <f>(F8/F9)*C23</f>
        <v>52.549612658542202</v>
      </c>
    </row>
    <row r="26" spans="2:6" x14ac:dyDescent="0.2">
      <c r="B26" t="s">
        <v>202</v>
      </c>
      <c r="C26">
        <f>C24*C23*1.06</f>
        <v>0.35642220938814029</v>
      </c>
    </row>
    <row r="27" spans="2:6" x14ac:dyDescent="0.2">
      <c r="B27" t="s">
        <v>204</v>
      </c>
      <c r="C27" s="7">
        <v>1.0022568883755001</v>
      </c>
      <c r="D27" t="s">
        <v>205</v>
      </c>
    </row>
    <row r="28" spans="2:6" x14ac:dyDescent="0.2">
      <c r="B28" t="s">
        <v>201</v>
      </c>
      <c r="C28">
        <f>I15</f>
        <v>1.016</v>
      </c>
      <c r="E28" s="6"/>
    </row>
    <row r="29" spans="2:6" x14ac:dyDescent="0.2">
      <c r="B29" t="s">
        <v>206</v>
      </c>
      <c r="C29">
        <f>C28*C27</f>
        <v>1.0182929985895082</v>
      </c>
      <c r="E29" s="6"/>
    </row>
    <row r="30" spans="2:6" x14ac:dyDescent="0.2">
      <c r="B30" t="s">
        <v>190</v>
      </c>
      <c r="C30">
        <f>1+(C29-1)*(50/C25)</f>
        <v>1.0174054552108431</v>
      </c>
    </row>
    <row r="31" spans="2:6" x14ac:dyDescent="0.2">
      <c r="B31" t="s">
        <v>207</v>
      </c>
      <c r="C31">
        <f>1+(C30-1)*(8760/C14)</f>
        <v>1.0294793343450768</v>
      </c>
    </row>
    <row r="32" spans="2:6" x14ac:dyDescent="0.2">
      <c r="B32" t="s">
        <v>212</v>
      </c>
      <c r="C32">
        <f>Bilanzierung!V20</f>
        <v>1377</v>
      </c>
    </row>
    <row r="33" spans="2:5" x14ac:dyDescent="0.2">
      <c r="B33" t="s">
        <v>220</v>
      </c>
      <c r="C33">
        <f>Bilanzierung!U36</f>
        <v>5172.1584301122384</v>
      </c>
    </row>
    <row r="35" spans="2:5" x14ac:dyDescent="0.2">
      <c r="B35" s="2" t="s">
        <v>209</v>
      </c>
    </row>
    <row r="37" spans="2:5" x14ac:dyDescent="0.2">
      <c r="B37" t="s">
        <v>210</v>
      </c>
      <c r="C37" t="str">
        <f>Gebäude!B76</f>
        <v>Ja</v>
      </c>
    </row>
    <row r="38" spans="2:5" x14ac:dyDescent="0.2">
      <c r="B38" t="s">
        <v>211</v>
      </c>
      <c r="C38" t="str">
        <f>Gebäude!B75</f>
        <v>Ja</v>
      </c>
    </row>
    <row r="39" spans="2:5" x14ac:dyDescent="0.2">
      <c r="B39" t="s">
        <v>70</v>
      </c>
      <c r="C39">
        <f>Gebäude!B16</f>
        <v>324</v>
      </c>
    </row>
    <row r="40" spans="2:5" x14ac:dyDescent="0.2">
      <c r="B40" t="s">
        <v>228</v>
      </c>
      <c r="C40" t="str">
        <f>IF(OR(F3="biomassekessel",F4="biomassekessel",F5="biomassekessel"),"Ja","Nein")</f>
        <v>Nein</v>
      </c>
    </row>
    <row r="41" spans="2:5" x14ac:dyDescent="0.2">
      <c r="B41" t="s">
        <v>231</v>
      </c>
      <c r="C41" t="str">
        <f>IF(OR(F3="waermepumpe",F4="waermepumpe",F5="waermepumpe"),"Ja","Nein")</f>
        <v>Ja</v>
      </c>
    </row>
    <row r="43" spans="2:5" x14ac:dyDescent="0.2">
      <c r="B43" s="2" t="s">
        <v>217</v>
      </c>
      <c r="C43" s="7">
        <v>1.0736222287534001</v>
      </c>
      <c r="D43" t="s">
        <v>219</v>
      </c>
    </row>
    <row r="44" spans="2:5" x14ac:dyDescent="0.2">
      <c r="B44" s="2" t="s">
        <v>221</v>
      </c>
      <c r="C44">
        <f>C43*C33/5000</f>
        <v>1.1105888522405576</v>
      </c>
    </row>
    <row r="45" spans="2:5" x14ac:dyDescent="0.2">
      <c r="B45" s="2" t="s">
        <v>222</v>
      </c>
      <c r="C45">
        <f>C26*C31</f>
        <v>0.36692929886670422</v>
      </c>
    </row>
    <row r="47" spans="2:5" x14ac:dyDescent="0.2">
      <c r="B47" t="s">
        <v>214</v>
      </c>
      <c r="C47" s="7">
        <v>18436</v>
      </c>
      <c r="D47" t="s">
        <v>232</v>
      </c>
      <c r="E47" t="s">
        <v>218</v>
      </c>
    </row>
    <row r="48" spans="2:5" x14ac:dyDescent="0.2">
      <c r="B48" t="s">
        <v>215</v>
      </c>
      <c r="C48">
        <f>0.42*POWER(((C32*C39)/(365*0.036)),0.7)</f>
        <v>623.54499849662818</v>
      </c>
      <c r="D48" t="s">
        <v>232</v>
      </c>
      <c r="E48" s="6"/>
    </row>
    <row r="49" spans="2:5" x14ac:dyDescent="0.2">
      <c r="B49" s="2" t="s">
        <v>213</v>
      </c>
      <c r="C49">
        <f>IF(C39&gt;5000,C48/1000,C47/1000)</f>
        <v>18.436</v>
      </c>
      <c r="D49" t="s">
        <v>233</v>
      </c>
    </row>
    <row r="51" spans="2:5" x14ac:dyDescent="0.2">
      <c r="B51" s="2" t="s">
        <v>234</v>
      </c>
      <c r="C51">
        <f>IF(AND(C3="Ja",C41="Nein"),1.5*C49,0)</f>
        <v>0</v>
      </c>
    </row>
    <row r="52" spans="2:5" x14ac:dyDescent="0.2">
      <c r="B52" s="2" t="s">
        <v>235</v>
      </c>
      <c r="C52">
        <f>IF(AND(C3="Ja",C41="Ja"),1.3*F8/1000,0)</f>
        <v>19.922499416541832</v>
      </c>
    </row>
    <row r="53" spans="2:5" x14ac:dyDescent="0.2">
      <c r="B53" s="2" t="s">
        <v>236</v>
      </c>
      <c r="C53">
        <f>IF(AND(C3="Nein",C41="Nein"),1.5*C49,0)</f>
        <v>0</v>
      </c>
    </row>
    <row r="54" spans="2:5" x14ac:dyDescent="0.2">
      <c r="B54" s="2" t="s">
        <v>237</v>
      </c>
      <c r="C54">
        <f>IF(AND(C3="Nein",C41="Ja"),F8/1000,0)</f>
        <v>0</v>
      </c>
    </row>
    <row r="55" spans="2:5" x14ac:dyDescent="0.2">
      <c r="B55" s="2" t="s">
        <v>216</v>
      </c>
      <c r="C55">
        <f>SUM(C51:C54)</f>
        <v>19.922499416541832</v>
      </c>
    </row>
    <row r="57" spans="2:5" x14ac:dyDescent="0.2">
      <c r="B57" s="2" t="s">
        <v>223</v>
      </c>
      <c r="C57">
        <f>IF(C40="Ja",50*C55,0)</f>
        <v>0</v>
      </c>
    </row>
    <row r="58" spans="2:5" x14ac:dyDescent="0.2">
      <c r="B58" s="2" t="s">
        <v>224</v>
      </c>
      <c r="C58">
        <f>IF(AND(C40="Nein",C41="Ja"),9.5*C55,0)</f>
        <v>189.2637444571474</v>
      </c>
    </row>
    <row r="59" spans="2:5" x14ac:dyDescent="0.2">
      <c r="B59" s="2" t="s">
        <v>239</v>
      </c>
      <c r="C59">
        <f>SUM(C57:C58)</f>
        <v>189.2637444571474</v>
      </c>
    </row>
    <row r="61" spans="2:5" x14ac:dyDescent="0.2">
      <c r="B61" s="2" t="s">
        <v>238</v>
      </c>
      <c r="C61">
        <f>IF(C59&gt;1500,1500,C59)</f>
        <v>189.2637444571474</v>
      </c>
    </row>
    <row r="62" spans="2:5" x14ac:dyDescent="0.2">
      <c r="B62" s="2" t="s">
        <v>240</v>
      </c>
      <c r="C62">
        <f>IF(C59&gt;1500,C59-C61,0)</f>
        <v>0</v>
      </c>
    </row>
    <row r="64" spans="2:5" x14ac:dyDescent="0.2">
      <c r="B64" s="2" t="s">
        <v>241</v>
      </c>
      <c r="C64" s="7">
        <v>49.604286779429003</v>
      </c>
      <c r="E64" t="s">
        <v>244</v>
      </c>
    </row>
    <row r="65" spans="2:5" x14ac:dyDescent="0.2">
      <c r="B65" s="2" t="s">
        <v>242</v>
      </c>
      <c r="C65" s="7">
        <v>0</v>
      </c>
    </row>
    <row r="66" spans="2:5" x14ac:dyDescent="0.2">
      <c r="B66" s="2" t="s">
        <v>245</v>
      </c>
      <c r="C66">
        <f>SUM(C64:C65)</f>
        <v>49.604286779429003</v>
      </c>
    </row>
    <row r="68" spans="2:5" x14ac:dyDescent="0.2">
      <c r="B68" s="2" t="s">
        <v>246</v>
      </c>
      <c r="C68">
        <f>1+C66/(F6*C23*C31)</f>
        <v>1.0013916862367662</v>
      </c>
      <c r="E68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F0F-1C91-984E-A382-DFE3170310F1}">
  <dimension ref="B2:E12"/>
  <sheetViews>
    <sheetView tabSelected="1" workbookViewId="0">
      <selection activeCell="B9" sqref="B9"/>
    </sheetView>
  </sheetViews>
  <sheetFormatPr baseColWidth="10" defaultRowHeight="16" x14ac:dyDescent="0.2"/>
  <cols>
    <col min="2" max="2" width="28" bestFit="1" customWidth="1"/>
  </cols>
  <sheetData>
    <row r="2" spans="2:5" x14ac:dyDescent="0.2">
      <c r="B2" s="2" t="s">
        <v>170</v>
      </c>
    </row>
    <row r="3" spans="2:5" x14ac:dyDescent="0.2">
      <c r="B3" t="s">
        <v>139</v>
      </c>
      <c r="C3" t="str">
        <f>Gebäude!B75</f>
        <v>Ja</v>
      </c>
    </row>
    <row r="4" spans="2:5" x14ac:dyDescent="0.2">
      <c r="B4" t="s">
        <v>247</v>
      </c>
      <c r="C4" t="str">
        <f>Gebäude!B77</f>
        <v>innerhalb</v>
      </c>
    </row>
    <row r="6" spans="2:5" x14ac:dyDescent="0.2">
      <c r="B6" s="2" t="s">
        <v>249</v>
      </c>
    </row>
    <row r="7" spans="2:5" x14ac:dyDescent="0.2">
      <c r="B7" t="s">
        <v>212</v>
      </c>
      <c r="C7">
        <f>Bilanzierung!V20</f>
        <v>1377</v>
      </c>
    </row>
    <row r="9" spans="2:5" x14ac:dyDescent="0.2">
      <c r="B9" s="2" t="s">
        <v>250</v>
      </c>
    </row>
    <row r="10" spans="2:5" x14ac:dyDescent="0.2">
      <c r="B10" t="s">
        <v>252</v>
      </c>
      <c r="C10">
        <f>IF(C3="Ja",IF(C4="innerhalb",2.252,2.29),1.193)</f>
        <v>2.2519999999999998</v>
      </c>
    </row>
    <row r="11" spans="2:5" x14ac:dyDescent="0.2">
      <c r="B11" t="s">
        <v>251</v>
      </c>
      <c r="C11">
        <f>1+(C10-1)*(12.5/C7)</f>
        <v>1.011365286855483</v>
      </c>
      <c r="E11" s="6"/>
    </row>
    <row r="12" spans="2:5" x14ac:dyDescent="0.2">
      <c r="E12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Gebäude</vt:lpstr>
      <vt:lpstr>Dach</vt:lpstr>
      <vt:lpstr>Bilanzierung</vt:lpstr>
      <vt:lpstr>Heizung</vt:lpstr>
      <vt:lpstr>Trinkwarmwasser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2023-11-17T11:51:35Z</dcterms:modified>
</cp:coreProperties>
</file>