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gesve/Desktop/"/>
    </mc:Choice>
  </mc:AlternateContent>
  <xr:revisionPtr revIDLastSave="0" documentId="8_{D446FFF0-634D-8246-984F-F0B1822B82C4}" xr6:coauthVersionLast="47" xr6:coauthVersionMax="47" xr10:uidLastSave="{00000000-0000-0000-0000-000000000000}"/>
  <bookViews>
    <workbookView xWindow="0" yWindow="740" windowWidth="30240" windowHeight="18900" xr2:uid="{7CF02650-DC02-AA49-AC3A-4487EF2FF614}"/>
  </bookViews>
  <sheets>
    <sheet name="Gebäude" sheetId="1" r:id="rId1"/>
    <sheet name="Dach" sheetId="2" r:id="rId2"/>
    <sheet name="Wärmequellen" sheetId="3" r:id="rId3"/>
    <sheet name="Tabelle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5" i="3" l="1"/>
  <c r="U26" i="3"/>
  <c r="U27" i="3"/>
  <c r="U28" i="3"/>
  <c r="U29" i="3"/>
  <c r="U30" i="3"/>
  <c r="U31" i="3"/>
  <c r="U32" i="3"/>
  <c r="U33" i="3"/>
  <c r="U34" i="3"/>
  <c r="U35" i="3"/>
  <c r="U24" i="3"/>
  <c r="T25" i="3"/>
  <c r="T26" i="3"/>
  <c r="T27" i="3"/>
  <c r="T28" i="3"/>
  <c r="T29" i="3"/>
  <c r="T30" i="3"/>
  <c r="T31" i="3"/>
  <c r="T32" i="3"/>
  <c r="T33" i="3"/>
  <c r="T34" i="3"/>
  <c r="T35" i="3"/>
  <c r="T24" i="3"/>
  <c r="S26" i="3"/>
  <c r="S33" i="3"/>
  <c r="S34" i="3"/>
  <c r="S35" i="3"/>
  <c r="S24" i="3"/>
  <c r="P35" i="3"/>
  <c r="P25" i="3"/>
  <c r="P26" i="3"/>
  <c r="P27" i="3"/>
  <c r="P28" i="3"/>
  <c r="P29" i="3"/>
  <c r="P30" i="3"/>
  <c r="P31" i="3"/>
  <c r="P32" i="3"/>
  <c r="P33" i="3"/>
  <c r="P34" i="3"/>
  <c r="P24" i="3"/>
  <c r="I51" i="1"/>
  <c r="I52" i="1"/>
  <c r="I53" i="1"/>
  <c r="I54" i="1"/>
  <c r="I55" i="1"/>
  <c r="I56" i="1"/>
  <c r="I57" i="1"/>
  <c r="I58" i="1"/>
  <c r="I59" i="1"/>
  <c r="I60" i="1"/>
  <c r="I61" i="1"/>
  <c r="I50" i="1"/>
  <c r="B76" i="1"/>
  <c r="B78" i="1" s="1"/>
  <c r="Y4" i="3" s="1"/>
  <c r="B77" i="1"/>
  <c r="U4" i="3"/>
  <c r="B34" i="1" a="1"/>
  <c r="B34" i="1" s="1"/>
  <c r="I3" i="3" s="1"/>
  <c r="I4" i="3" s="1"/>
  <c r="B51" i="1"/>
  <c r="E37" i="3"/>
  <c r="C2" i="3"/>
  <c r="S25" i="3" s="1"/>
  <c r="S32" i="3" l="1"/>
  <c r="S27" i="3"/>
  <c r="S31" i="3"/>
  <c r="S30" i="3"/>
  <c r="S29" i="3"/>
  <c r="S28" i="3"/>
  <c r="E4" i="1"/>
  <c r="B14" i="1"/>
  <c r="H35" i="1"/>
  <c r="J35" i="1" s="1"/>
  <c r="B28" i="1"/>
  <c r="E9" i="2"/>
  <c r="E10" i="2"/>
  <c r="B11" i="1"/>
  <c r="B7" i="2"/>
  <c r="E7" i="2" s="1"/>
  <c r="N6" i="1"/>
  <c r="N4" i="1"/>
  <c r="K7" i="1"/>
  <c r="K5" i="1"/>
  <c r="K6" i="1"/>
  <c r="E6" i="2"/>
  <c r="E4" i="2"/>
  <c r="E3" i="2"/>
  <c r="K4" i="1" s="1"/>
  <c r="E12" i="1"/>
  <c r="H5" i="1"/>
  <c r="H7" i="1" s="1"/>
  <c r="H4" i="1"/>
  <c r="E11" i="1"/>
  <c r="E10" i="1"/>
  <c r="E3" i="1" l="1"/>
  <c r="B12" i="1" s="1"/>
  <c r="B16" i="1" s="1"/>
  <c r="C3" i="3" s="1"/>
  <c r="E13" i="2"/>
  <c r="E14" i="2"/>
  <c r="E5" i="2"/>
  <c r="K8" i="1"/>
  <c r="N8" i="1"/>
  <c r="B20" i="2"/>
  <c r="B15" i="1" s="1"/>
  <c r="B43" i="1" s="1"/>
  <c r="P7" i="1"/>
  <c r="P4" i="1"/>
  <c r="P5" i="1"/>
  <c r="H12" i="1"/>
  <c r="H14" i="1" s="1"/>
  <c r="H11" i="1"/>
  <c r="H6" i="1"/>
  <c r="H8" i="1" s="1"/>
  <c r="V8" i="3" l="1"/>
  <c r="W8" i="3" s="1"/>
  <c r="V13" i="3"/>
  <c r="W13" i="3" s="1"/>
  <c r="V14" i="3"/>
  <c r="W14" i="3" s="1"/>
  <c r="V18" i="3"/>
  <c r="W18" i="3" s="1"/>
  <c r="V9" i="3"/>
  <c r="W9" i="3" s="1"/>
  <c r="V15" i="3"/>
  <c r="W15" i="3" s="1"/>
  <c r="V16" i="3"/>
  <c r="W16" i="3" s="1"/>
  <c r="V17" i="3"/>
  <c r="W17" i="3" s="1"/>
  <c r="V19" i="3"/>
  <c r="W19" i="3" s="1"/>
  <c r="V10" i="3"/>
  <c r="W10" i="3" s="1"/>
  <c r="V11" i="3"/>
  <c r="W11" i="3" s="1"/>
  <c r="V12" i="3"/>
  <c r="W12" i="3" s="1"/>
  <c r="B59" i="1"/>
  <c r="B60" i="1" s="1"/>
  <c r="E11" i="3"/>
  <c r="F11" i="3" s="1"/>
  <c r="E13" i="3"/>
  <c r="F13" i="3" s="1"/>
  <c r="D17" i="3"/>
  <c r="E9" i="3"/>
  <c r="F9" i="3" s="1"/>
  <c r="D12" i="3"/>
  <c r="D18" i="3"/>
  <c r="D11" i="3"/>
  <c r="E18" i="3"/>
  <c r="F18" i="3" s="1"/>
  <c r="E12" i="3"/>
  <c r="F12" i="3" s="1"/>
  <c r="E17" i="3"/>
  <c r="F17" i="3" s="1"/>
  <c r="E16" i="3"/>
  <c r="F16" i="3" s="1"/>
  <c r="D9" i="3"/>
  <c r="D15" i="3"/>
  <c r="E15" i="3"/>
  <c r="F15" i="3" s="1"/>
  <c r="D19" i="3"/>
  <c r="E19" i="3"/>
  <c r="F19" i="3" s="1"/>
  <c r="E14" i="3"/>
  <c r="F14" i="3" s="1"/>
  <c r="D16" i="3"/>
  <c r="E10" i="3"/>
  <c r="F10" i="3" s="1"/>
  <c r="D10" i="3"/>
  <c r="D8" i="3"/>
  <c r="D13" i="3"/>
  <c r="D14" i="3"/>
  <c r="E8" i="3"/>
  <c r="F8" i="3" s="1"/>
  <c r="E15" i="2"/>
  <c r="H36" i="1" s="1"/>
  <c r="J36" i="1" s="1"/>
  <c r="I11" i="1"/>
  <c r="M13" i="1" s="1" a="1"/>
  <c r="M13" i="1" s="1"/>
  <c r="P4" i="3" s="1"/>
  <c r="H23" i="1"/>
  <c r="I23" i="1" s="1"/>
  <c r="J23" i="1" s="1"/>
  <c r="H17" i="1"/>
  <c r="I17" i="1" s="1"/>
  <c r="J17" i="1" s="1"/>
  <c r="H20" i="1"/>
  <c r="I20" i="1" s="1"/>
  <c r="J20" i="1" s="1"/>
  <c r="H26" i="1"/>
  <c r="I26" i="1" s="1"/>
  <c r="J26" i="1" s="1"/>
  <c r="I12" i="1"/>
  <c r="H24" i="1"/>
  <c r="I24" i="1" s="1"/>
  <c r="J24" i="1" s="1"/>
  <c r="H18" i="1"/>
  <c r="I18" i="1" s="1"/>
  <c r="J18" i="1" s="1"/>
  <c r="P6" i="1"/>
  <c r="P8" i="1" s="1"/>
  <c r="I14" i="1"/>
  <c r="H13" i="1"/>
  <c r="J12" i="1" l="1"/>
  <c r="M14" i="1" a="1"/>
  <c r="M14" i="1" s="1"/>
  <c r="R4" i="3" s="1"/>
  <c r="P19" i="3"/>
  <c r="P11" i="3"/>
  <c r="P17" i="3"/>
  <c r="P16" i="3"/>
  <c r="P18" i="3"/>
  <c r="P15" i="3"/>
  <c r="P12" i="3"/>
  <c r="P13" i="3"/>
  <c r="P9" i="3"/>
  <c r="P14" i="3"/>
  <c r="P8" i="3"/>
  <c r="P10" i="3"/>
  <c r="J14" i="1"/>
  <c r="M12" i="1" a="1"/>
  <c r="M12" i="1" s="1"/>
  <c r="N4" i="3" s="1"/>
  <c r="W20" i="3"/>
  <c r="F20" i="3"/>
  <c r="V20" i="3"/>
  <c r="J11" i="1"/>
  <c r="H45" i="1"/>
  <c r="H32" i="1" s="1"/>
  <c r="J32" i="1" s="1"/>
  <c r="H43" i="1"/>
  <c r="H30" i="1" s="1"/>
  <c r="J30" i="1" s="1"/>
  <c r="H25" i="1"/>
  <c r="I25" i="1" s="1"/>
  <c r="J25" i="1" s="1"/>
  <c r="H19" i="1"/>
  <c r="I19" i="1" s="1"/>
  <c r="J19" i="1" s="1"/>
  <c r="H42" i="1"/>
  <c r="H29" i="1" s="1"/>
  <c r="J29" i="1" s="1"/>
  <c r="I13" i="1"/>
  <c r="O10" i="3" l="1"/>
  <c r="O15" i="3"/>
  <c r="O18" i="3"/>
  <c r="O14" i="3"/>
  <c r="O17" i="3"/>
  <c r="O8" i="3"/>
  <c r="O11" i="3"/>
  <c r="O16" i="3"/>
  <c r="O19" i="3"/>
  <c r="O13" i="3"/>
  <c r="O9" i="3"/>
  <c r="O12" i="3"/>
  <c r="J13" i="1"/>
  <c r="M11" i="1" a="1"/>
  <c r="M11" i="1" s="1"/>
  <c r="L4" i="3" s="1"/>
  <c r="Q9" i="3"/>
  <c r="Q14" i="3"/>
  <c r="Q12" i="3"/>
  <c r="Q15" i="3"/>
  <c r="Q13" i="3"/>
  <c r="Q18" i="3"/>
  <c r="Q10" i="3"/>
  <c r="Q8" i="3"/>
  <c r="Q11" i="3"/>
  <c r="Q16" i="3"/>
  <c r="Q19" i="3"/>
  <c r="Q17" i="3"/>
  <c r="P20" i="3"/>
  <c r="H44" i="1"/>
  <c r="H31" i="1" s="1"/>
  <c r="J31" i="1" s="1"/>
  <c r="J38" i="1" s="1"/>
  <c r="B37" i="1" s="1"/>
  <c r="Q20" i="3" l="1"/>
  <c r="O20" i="3"/>
  <c r="N14" i="3"/>
  <c r="R14" i="3" s="1"/>
  <c r="N11" i="3"/>
  <c r="R11" i="3" s="1"/>
  <c r="N17" i="3"/>
  <c r="R17" i="3" s="1"/>
  <c r="N19" i="3"/>
  <c r="R19" i="3" s="1"/>
  <c r="N12" i="3"/>
  <c r="R12" i="3" s="1"/>
  <c r="N13" i="3"/>
  <c r="R13" i="3" s="1"/>
  <c r="N8" i="3"/>
  <c r="N15" i="3"/>
  <c r="R15" i="3" s="1"/>
  <c r="N10" i="3"/>
  <c r="R10" i="3" s="1"/>
  <c r="N18" i="3"/>
  <c r="R18" i="3" s="1"/>
  <c r="N16" i="3"/>
  <c r="R16" i="3" s="1"/>
  <c r="N9" i="3"/>
  <c r="R9" i="3" s="1"/>
  <c r="B44" i="1"/>
  <c r="B58" i="1"/>
  <c r="B55" i="1"/>
  <c r="B64" i="1" s="1"/>
  <c r="B65" i="1" s="1"/>
  <c r="I38" i="1"/>
  <c r="R8" i="3" l="1"/>
  <c r="N20" i="3"/>
  <c r="B45" i="1"/>
  <c r="C4" i="3" s="1"/>
  <c r="B67" i="1"/>
  <c r="B13" i="1"/>
  <c r="B18" i="1"/>
  <c r="R20" i="3" l="1"/>
  <c r="G25" i="3"/>
  <c r="G29" i="3"/>
  <c r="G31" i="3"/>
  <c r="G32" i="3"/>
  <c r="G33" i="3"/>
  <c r="G34" i="3"/>
  <c r="G35" i="3"/>
  <c r="G24" i="3"/>
  <c r="G26" i="3"/>
  <c r="G27" i="3"/>
  <c r="G28" i="3"/>
  <c r="G30" i="3"/>
  <c r="H33" i="3" l="1"/>
  <c r="I33" i="3" s="1"/>
  <c r="AC17" i="3" s="1"/>
  <c r="AF17" i="3" s="1"/>
  <c r="J33" i="3" s="1"/>
  <c r="K33" i="3" s="1"/>
  <c r="M33" i="3" s="1"/>
  <c r="N33" i="3" s="1"/>
  <c r="O33" i="3" s="1"/>
  <c r="H27" i="3"/>
  <c r="I27" i="3" s="1"/>
  <c r="AC11" i="3" s="1"/>
  <c r="AF11" i="3" s="1"/>
  <c r="J27" i="3" s="1"/>
  <c r="K27" i="3" s="1"/>
  <c r="M27" i="3" s="1"/>
  <c r="N27" i="3" s="1"/>
  <c r="O27" i="3" s="1"/>
  <c r="H25" i="3"/>
  <c r="I25" i="3" s="1"/>
  <c r="AC9" i="3" s="1"/>
  <c r="AF9" i="3" s="1"/>
  <c r="J25" i="3" s="1"/>
  <c r="K25" i="3" s="1"/>
  <c r="M25" i="3" s="1"/>
  <c r="N25" i="3" s="1"/>
  <c r="O25" i="3" s="1"/>
  <c r="H28" i="3"/>
  <c r="I28" i="3" s="1"/>
  <c r="AC12" i="3" s="1"/>
  <c r="AF12" i="3" s="1"/>
  <c r="J28" i="3" s="1"/>
  <c r="K28" i="3" s="1"/>
  <c r="M28" i="3" s="1"/>
  <c r="N28" i="3" s="1"/>
  <c r="O28" i="3" s="1"/>
  <c r="H26" i="3"/>
  <c r="I26" i="3" s="1"/>
  <c r="AC10" i="3" s="1"/>
  <c r="AF10" i="3" s="1"/>
  <c r="J26" i="3" s="1"/>
  <c r="K26" i="3" s="1"/>
  <c r="M26" i="3" s="1"/>
  <c r="N26" i="3" s="1"/>
  <c r="O26" i="3" s="1"/>
  <c r="H24" i="3"/>
  <c r="I24" i="3" s="1"/>
  <c r="AC8" i="3" s="1"/>
  <c r="H35" i="3"/>
  <c r="I35" i="3" s="1"/>
  <c r="AC19" i="3" s="1"/>
  <c r="AF19" i="3" s="1"/>
  <c r="J35" i="3" s="1"/>
  <c r="K35" i="3" s="1"/>
  <c r="M35" i="3" s="1"/>
  <c r="N35" i="3" s="1"/>
  <c r="O35" i="3" s="1"/>
  <c r="H34" i="3"/>
  <c r="I34" i="3" s="1"/>
  <c r="AC18" i="3" s="1"/>
  <c r="AF18" i="3" s="1"/>
  <c r="J34" i="3" s="1"/>
  <c r="K34" i="3" s="1"/>
  <c r="M34" i="3" s="1"/>
  <c r="N34" i="3" s="1"/>
  <c r="O34" i="3" s="1"/>
  <c r="H32" i="3"/>
  <c r="I32" i="3" s="1"/>
  <c r="AC16" i="3" s="1"/>
  <c r="AF16" i="3" s="1"/>
  <c r="J32" i="3" s="1"/>
  <c r="K32" i="3" s="1"/>
  <c r="M32" i="3" s="1"/>
  <c r="N32" i="3" s="1"/>
  <c r="O32" i="3" s="1"/>
  <c r="H31" i="3"/>
  <c r="I31" i="3" s="1"/>
  <c r="AC15" i="3" s="1"/>
  <c r="AF15" i="3" s="1"/>
  <c r="J31" i="3" s="1"/>
  <c r="K31" i="3" s="1"/>
  <c r="M31" i="3" s="1"/>
  <c r="N31" i="3" s="1"/>
  <c r="O31" i="3" s="1"/>
  <c r="H29" i="3"/>
  <c r="I29" i="3" s="1"/>
  <c r="AC13" i="3" s="1"/>
  <c r="AF13" i="3" s="1"/>
  <c r="J29" i="3" s="1"/>
  <c r="K29" i="3" s="1"/>
  <c r="M29" i="3" s="1"/>
  <c r="N29" i="3" s="1"/>
  <c r="O29" i="3" s="1"/>
  <c r="H30" i="3"/>
  <c r="I30" i="3" s="1"/>
  <c r="AC14" i="3" s="1"/>
  <c r="AF14" i="3" s="1"/>
  <c r="J30" i="3" s="1"/>
  <c r="K30" i="3" s="1"/>
  <c r="M30" i="3" s="1"/>
  <c r="N30" i="3" s="1"/>
  <c r="O30" i="3" s="1"/>
  <c r="AC20" i="3" l="1"/>
  <c r="Q30" i="3"/>
  <c r="R30" i="3" s="1"/>
  <c r="AB30" i="3" s="1"/>
  <c r="Q31" i="3"/>
  <c r="R31" i="3" s="1"/>
  <c r="AB31" i="3" s="1"/>
  <c r="Q32" i="3"/>
  <c r="R32" i="3"/>
  <c r="AB32" i="3" s="1"/>
  <c r="Q27" i="3"/>
  <c r="R27" i="3"/>
  <c r="AB27" i="3" s="1"/>
  <c r="R26" i="3"/>
  <c r="AB26" i="3" s="1"/>
  <c r="Q26" i="3"/>
  <c r="R25" i="3"/>
  <c r="AB25" i="3" s="1"/>
  <c r="Q25" i="3"/>
  <c r="Q34" i="3"/>
  <c r="R34" i="3"/>
  <c r="AB34" i="3" s="1"/>
  <c r="AF8" i="3"/>
  <c r="J24" i="3" s="1"/>
  <c r="Q29" i="3"/>
  <c r="R29" i="3"/>
  <c r="AB29" i="3" s="1"/>
  <c r="Q28" i="3"/>
  <c r="R28" i="3"/>
  <c r="AB28" i="3" s="1"/>
  <c r="R35" i="3"/>
  <c r="AB35" i="3" s="1"/>
  <c r="Q35" i="3"/>
  <c r="R33" i="3"/>
  <c r="AB33" i="3" s="1"/>
  <c r="Q33" i="3"/>
  <c r="K24" i="3"/>
  <c r="M24" i="3" s="1"/>
  <c r="N24" i="3" s="1"/>
  <c r="AF20" i="3" l="1"/>
  <c r="O24" i="3"/>
  <c r="R24" i="3" l="1"/>
  <c r="AB24" i="3" s="1"/>
  <c r="AB36" i="3" s="1"/>
  <c r="Q2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<sst xmlns="http://schemas.openxmlformats.org/spreadsheetml/2006/main" count="347" uniqueCount="170">
  <si>
    <t>Haus Rechteckig</t>
  </si>
  <si>
    <t>Seite A</t>
  </si>
  <si>
    <t>Seite B</t>
  </si>
  <si>
    <t>Lichte Raumhöhe</t>
  </si>
  <si>
    <t>Höhe der Böden</t>
  </si>
  <si>
    <t>Wandstärke</t>
  </si>
  <si>
    <t>Innere Wandbreite A</t>
  </si>
  <si>
    <t>Innere Wandhöhe</t>
  </si>
  <si>
    <t>Boden</t>
  </si>
  <si>
    <t>Innere Wandbreite B</t>
  </si>
  <si>
    <t>Stockwerk</t>
  </si>
  <si>
    <t>Gesamt</t>
  </si>
  <si>
    <t>Sattteldach</t>
  </si>
  <si>
    <t>Kniestockhöhe</t>
  </si>
  <si>
    <t>Giebelbreite</t>
  </si>
  <si>
    <t>Volumen Kniestock</t>
  </si>
  <si>
    <t>Kniestock Giebelseite</t>
  </si>
  <si>
    <t>Kniestock Traufseite</t>
  </si>
  <si>
    <t>Kniestock Wandfläche</t>
  </si>
  <si>
    <t>Giebelfläche</t>
  </si>
  <si>
    <t>Giebelvolumen</t>
  </si>
  <si>
    <t>Volumen gesamt</t>
  </si>
  <si>
    <t>Fensterflächen</t>
  </si>
  <si>
    <t>Rolladenkästen</t>
  </si>
  <si>
    <t>Heizkörpernischen vorhanden</t>
  </si>
  <si>
    <t>Rolladenkästen vorhanden</t>
  </si>
  <si>
    <t>Ja</t>
  </si>
  <si>
    <t>Heizkörpernischen</t>
  </si>
  <si>
    <t>Seite C</t>
  </si>
  <si>
    <t>Seite D</t>
  </si>
  <si>
    <t>Nettowandflächen</t>
  </si>
  <si>
    <t>Kniestock</t>
  </si>
  <si>
    <t>Gesamtfläche</t>
  </si>
  <si>
    <t>Wandflächen</t>
  </si>
  <si>
    <t>Dachflaeche</t>
  </si>
  <si>
    <t>Dachseitenlänge Giebel</t>
  </si>
  <si>
    <t>Giebelhöhe</t>
  </si>
  <si>
    <t>Dachfläche</t>
  </si>
  <si>
    <t>Volumen Etagen</t>
  </si>
  <si>
    <t>Trauflänge</t>
  </si>
  <si>
    <t>U-Werte</t>
  </si>
  <si>
    <t>Wände</t>
  </si>
  <si>
    <t>Fenster</t>
  </si>
  <si>
    <t>FX Werte</t>
  </si>
  <si>
    <t>ht</t>
  </si>
  <si>
    <t>Dach</t>
  </si>
  <si>
    <t>Fußboden</t>
  </si>
  <si>
    <t>Sonstige</t>
  </si>
  <si>
    <t>Baujahr</t>
  </si>
  <si>
    <t>AVE Verhältnis</t>
  </si>
  <si>
    <t>Nettovolumen Multiplikator</t>
  </si>
  <si>
    <t>Geschosse</t>
  </si>
  <si>
    <t>Nettovolumen</t>
  </si>
  <si>
    <t>Hüllfläche</t>
  </si>
  <si>
    <t>Monat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</si>
  <si>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</si>
  <si>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</si>
  <si>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</si>
  <si>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</si>
  <si>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</si>
  <si>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</si>
  <si>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</si>
  <si>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</si>
  <si>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</si>
  <si>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</si>
  <si>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</si>
  <si>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</si>
  <si>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Tage im Monat</t>
  </si>
  <si>
    <t>QiP Einfamlienhaus</t>
  </si>
  <si>
    <t>QiP Mehrfamilienhaus</t>
  </si>
  <si>
    <t>Nutzfläche</t>
  </si>
  <si>
    <t>Hüllvolumen</t>
  </si>
  <si>
    <t>Volumen Dach</t>
  </si>
  <si>
    <t>Geschosshöhe</t>
  </si>
  <si>
    <t>Wohneinheiten</t>
  </si>
  <si>
    <t>QiP</t>
  </si>
  <si>
    <t>Wärmequellen infolge von Personen</t>
  </si>
  <si>
    <t>ßemMax</t>
  </si>
  <si>
    <t>* ßem1 und θih sind ermittelte Werte aus den Skripten und müssen per Hand nachgerechnet werden</t>
  </si>
  <si>
    <t>ßem1*</t>
  </si>
  <si>
    <t>θih*</t>
  </si>
  <si>
    <t>Transmission</t>
  </si>
  <si>
    <t>Wärmesenken</t>
  </si>
  <si>
    <t>fwin1</t>
  </si>
  <si>
    <t>fwin2</t>
  </si>
  <si>
    <t>n0</t>
  </si>
  <si>
    <t>hv</t>
  </si>
  <si>
    <t>Hges</t>
  </si>
  <si>
    <t>Qges</t>
  </si>
  <si>
    <t>Maximaler Wärmestrom</t>
  </si>
  <si>
    <t>Berechnung der Heizlast ohne mechanische Lüftung</t>
  </si>
  <si>
    <t>Φh,max</t>
  </si>
  <si>
    <t>Blower door Test</t>
  </si>
  <si>
    <t>Nein</t>
  </si>
  <si>
    <t>Berechnung der Heizlast mit mechanischer Lüftung</t>
  </si>
  <si>
    <t>Heizlast</t>
  </si>
  <si>
    <t>nAnl</t>
  </si>
  <si>
    <t>Mechanische Lüftung</t>
  </si>
  <si>
    <t>Bedarfsgeführt</t>
  </si>
  <si>
    <t>nwrg</t>
  </si>
  <si>
    <t>Φh,max bedarfsgeführt</t>
  </si>
  <si>
    <t>Φh,max nicht bedarfsgeführt</t>
  </si>
  <si>
    <t>Φh,max,spez</t>
  </si>
  <si>
    <t>Φh,max mechansisch</t>
  </si>
  <si>
    <t>Φh,max nicht mechanisch</t>
  </si>
  <si>
    <t>cwirk</t>
  </si>
  <si>
    <t>Tau</t>
  </si>
  <si>
    <t>PH,sink</t>
  </si>
  <si>
    <t>PH*sink</t>
  </si>
  <si>
    <t>G-Werte</t>
  </si>
  <si>
    <t>G-Wert</t>
  </si>
  <si>
    <t>Zweifach</t>
  </si>
  <si>
    <t>// Einfach, Zweifach, Dreifach</t>
  </si>
  <si>
    <t>// Aluminuimfenster gewählt, gelten als zweifach (siehe code)</t>
  </si>
  <si>
    <t>Wärmequellen infolge von Solar</t>
  </si>
  <si>
    <t>Summe Fläche Fenster, Heizkörpernischen, Rolladenkästen</t>
  </si>
  <si>
    <t>Solare Gewinne MPK</t>
  </si>
  <si>
    <t>G-Wert Fenster</t>
  </si>
  <si>
    <t>Nord</t>
  </si>
  <si>
    <t>Ost</t>
  </si>
  <si>
    <t>Süd</t>
  </si>
  <si>
    <t>West</t>
  </si>
  <si>
    <t>Strahlungsfaktoren aus Tabelle (90°)</t>
  </si>
  <si>
    <t>Ausrichtung</t>
  </si>
  <si>
    <t>//Nord, Ost, Süd, West</t>
  </si>
  <si>
    <t>Fensterflächen nach Ausrichtung</t>
  </si>
  <si>
    <t>Tage</t>
  </si>
  <si>
    <t>Jahr gesamt</t>
  </si>
  <si>
    <t>Alle Fenster</t>
  </si>
  <si>
    <t>Jahr Gesamt</t>
  </si>
  <si>
    <t>Nutzwärmebedarf Trinkwasser</t>
  </si>
  <si>
    <t>// Interpolierter Wert aus Tabelle</t>
  </si>
  <si>
    <t>Nutzwärmebedarf Trinkwasser (qwb)</t>
  </si>
  <si>
    <t>Wärmequellen infolge von Warmwasser</t>
  </si>
  <si>
    <t>QWB Monat</t>
  </si>
  <si>
    <t>Qi Wasser</t>
  </si>
  <si>
    <t>Heizungsanlage</t>
  </si>
  <si>
    <t>Standort</t>
  </si>
  <si>
    <t>innerhalb</t>
  </si>
  <si>
    <t>Thermischer Hülle (innerhalb/ausserhalb)</t>
  </si>
  <si>
    <t>Faw</t>
  </si>
  <si>
    <t>Warmwasser in Heizungsanlage</t>
  </si>
  <si>
    <t>Ja = zentral / Nein = dezentzal</t>
  </si>
  <si>
    <t>Faw mit Speicher</t>
  </si>
  <si>
    <t>Faw ohne Speicher</t>
  </si>
  <si>
    <t>Pufferspeicher vorhanden</t>
  </si>
  <si>
    <t>Mit Zirkulation</t>
  </si>
  <si>
    <t>Anteil nutzbarer Wärme Faw</t>
  </si>
  <si>
    <t>Fum</t>
  </si>
  <si>
    <t>PH*sink Temp</t>
  </si>
  <si>
    <t>fa h</t>
  </si>
  <si>
    <t>Berechneter Wert aus den Skripten</t>
  </si>
  <si>
    <t>Wärmequellen infolge von Heizung</t>
  </si>
  <si>
    <t>Qi</t>
  </si>
  <si>
    <t>pi</t>
  </si>
  <si>
    <t>ym</t>
  </si>
  <si>
    <t>nm</t>
  </si>
  <si>
    <t>k</t>
  </si>
  <si>
    <t>k temp</t>
  </si>
  <si>
    <t>ßhm</t>
  </si>
  <si>
    <t>thm 1</t>
  </si>
  <si>
    <t>thm 2</t>
  </si>
  <si>
    <t>thm</t>
  </si>
  <si>
    <t>Nutzenergiebedarf</t>
  </si>
  <si>
    <t>Qh</t>
  </si>
  <si>
    <t>trl</t>
  </si>
  <si>
    <t>Temperaturen</t>
  </si>
  <si>
    <t>flna</t>
  </si>
  <si>
    <t>1 - ( ( 10 - $this-&gt;monatsdaten-&gt;temperatur( $monat ) ) / 22 );</t>
  </si>
  <si>
    <t xml:space="preserve">ithrl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</si>
</sst>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6"/>
      <color rgb="FF000000"/>
      <name val="Helvetica Neue"/>
      <family val="2"/>
    </font>
    <font>
      <sz val="12"/>
      <color rgb="FF6A737D"/>
      <name val="Menlo"/>
      <family val="2"/>
    </font>
    <font>
      <sz val="13"/>
      <color rgb="FF50575E"/>
      <name val="Helvetica Neue"/>
      <family val="2"/>
    </font>
    <font>
      <b/>
      <sz val="12"/>
      <color rgb="FF000000"/>
      <name val="Calibri"/>
      <family val="2"/>
      <scheme val="minor"/>
    </font>
    <font>
      <sz val="12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1" xfId="0" applyBorder="1"/>
    <xf numFmtId="0" fontId="4" fillId="0" borderId="0" xfId="0" applyFont="1"/>
    <xf numFmtId="49" fontId="0" fillId="0" borderId="0" xfId="0" applyNumberFormat="1" applyAlignment="1">
      <alignment wrapText="1"/>
    </xf>
    <xf numFmtId="0" fontId="5" fillId="0" borderId="0" xfId="0" applyFont="1"/>
    <xf numFmtId="0" fontId="0" fillId="3" borderId="0" xfId="0" applyFill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1" xfId="0" applyFont="1" applyBorder="1"/>
    <xf numFmtId="0" fontId="1" fillId="0" borderId="2" xfId="0" applyFont="1" applyBorder="1"/>
    <xf numFmtId="0" fontId="6" fillId="0" borderId="0" xfId="0" applyFont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7" fillId="0" borderId="0" xfId="0" applyFont="1"/>
    <xf numFmtId="0" fontId="2" fillId="3" borderId="0" xfId="0" applyFont="1" applyFill="1"/>
    <xf numFmtId="0" fontId="0" fillId="0" borderId="0" xfId="0" applyFill="1" applyBorder="1"/>
    <xf numFmtId="0" fontId="0" fillId="0" borderId="1" xfId="0" applyFill="1" applyBorder="1"/>
    <xf numFmtId="0" fontId="8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A30B-5A9B-F949-B5FE-8B73CA8912C0}">
  <dimension ref="A1:P78"/>
  <sheetViews>
    <sheetView tabSelected="1" workbookViewId="0">
      <selection activeCell="H24" sqref="H24"/>
    </sheetView>
  </sheetViews>
  <sheetFormatPr baseColWidth="10" defaultRowHeight="16" x14ac:dyDescent="0.2"/>
  <cols>
    <col min="1" max="1" width="44.33203125" bestFit="1" customWidth="1"/>
    <col min="2" max="2" width="22.6640625" customWidth="1"/>
    <col min="3" max="3" width="66.5" customWidth="1"/>
    <col min="4" max="4" width="18.33203125" bestFit="1" customWidth="1"/>
    <col min="5" max="5" width="6.1640625" bestFit="1" customWidth="1"/>
    <col min="6" max="6" width="8.83203125" customWidth="1"/>
    <col min="7" max="7" width="13.6640625" bestFit="1" customWidth="1"/>
    <col min="8" max="8" width="11.5" bestFit="1" customWidth="1"/>
    <col min="9" max="9" width="12.1640625" bestFit="1" customWidth="1"/>
    <col min="12" max="12" width="9.5" customWidth="1"/>
  </cols>
  <sheetData>
    <row r="1" spans="1:16" x14ac:dyDescent="0.2">
      <c r="A1" s="2" t="s">
        <v>0</v>
      </c>
      <c r="B1" t="s">
        <v>48</v>
      </c>
      <c r="C1">
        <v>1990</v>
      </c>
    </row>
    <row r="3" spans="1:16" x14ac:dyDescent="0.2">
      <c r="A3" t="s">
        <v>74</v>
      </c>
      <c r="B3" s="3">
        <v>2</v>
      </c>
      <c r="D3" s="2" t="s">
        <v>38</v>
      </c>
      <c r="E3">
        <f>B5*B6*B11*B4</f>
        <v>750</v>
      </c>
      <c r="G3" s="2" t="s">
        <v>33</v>
      </c>
      <c r="J3" s="2" t="s">
        <v>31</v>
      </c>
      <c r="M3" s="2" t="s">
        <v>19</v>
      </c>
      <c r="P3" s="2" t="s">
        <v>32</v>
      </c>
    </row>
    <row r="4" spans="1:16" x14ac:dyDescent="0.2">
      <c r="A4" t="s">
        <v>51</v>
      </c>
      <c r="B4" s="3">
        <v>2</v>
      </c>
      <c r="D4" t="s">
        <v>72</v>
      </c>
      <c r="E4">
        <f>Dach!B20</f>
        <v>262.5</v>
      </c>
      <c r="G4" t="s">
        <v>1</v>
      </c>
      <c r="H4">
        <f>B5*($B$8+$B$9)*$B$4</f>
        <v>50</v>
      </c>
      <c r="J4" t="s">
        <v>1</v>
      </c>
      <c r="K4">
        <f>Dach!E3</f>
        <v>10</v>
      </c>
      <c r="M4" t="s">
        <v>1</v>
      </c>
      <c r="N4">
        <f>Dach!$E$6</f>
        <v>7.5</v>
      </c>
      <c r="P4">
        <f>H4+K4+N4</f>
        <v>67.5</v>
      </c>
    </row>
    <row r="5" spans="1:16" x14ac:dyDescent="0.2">
      <c r="A5" t="s">
        <v>1</v>
      </c>
      <c r="B5" s="3">
        <v>10</v>
      </c>
      <c r="G5" t="s">
        <v>2</v>
      </c>
      <c r="H5">
        <f>B6*($B$8+$B$9)*$B$4</f>
        <v>75</v>
      </c>
      <c r="J5" t="s">
        <v>2</v>
      </c>
      <c r="K5">
        <f>Dach!E4</f>
        <v>15</v>
      </c>
      <c r="M5" t="s">
        <v>2</v>
      </c>
      <c r="N5">
        <v>0</v>
      </c>
      <c r="P5">
        <f t="shared" ref="P5:P7" si="0">H5+K5+N5</f>
        <v>90</v>
      </c>
    </row>
    <row r="6" spans="1:16" x14ac:dyDescent="0.2">
      <c r="A6" t="s">
        <v>2</v>
      </c>
      <c r="B6" s="3">
        <v>15</v>
      </c>
      <c r="G6" t="s">
        <v>28</v>
      </c>
      <c r="H6">
        <f>H4</f>
        <v>50</v>
      </c>
      <c r="J6" t="s">
        <v>28</v>
      </c>
      <c r="K6">
        <f>Dach!E3</f>
        <v>10</v>
      </c>
      <c r="M6" t="s">
        <v>28</v>
      </c>
      <c r="N6">
        <f>Dach!$E$6</f>
        <v>7.5</v>
      </c>
      <c r="P6">
        <f t="shared" si="0"/>
        <v>67.5</v>
      </c>
    </row>
    <row r="7" spans="1:16" x14ac:dyDescent="0.2">
      <c r="A7" t="s">
        <v>123</v>
      </c>
      <c r="B7" s="3" t="s">
        <v>120</v>
      </c>
      <c r="C7" t="s">
        <v>124</v>
      </c>
      <c r="G7" s="4" t="s">
        <v>29</v>
      </c>
      <c r="H7" s="4">
        <f>H5</f>
        <v>75</v>
      </c>
      <c r="I7" s="4"/>
      <c r="J7" s="4" t="s">
        <v>29</v>
      </c>
      <c r="K7" s="4">
        <f>Dach!E4</f>
        <v>15</v>
      </c>
      <c r="L7" s="4"/>
      <c r="M7" s="4" t="s">
        <v>29</v>
      </c>
      <c r="N7" s="4">
        <v>0</v>
      </c>
      <c r="O7" s="4"/>
      <c r="P7" s="4">
        <f t="shared" si="0"/>
        <v>90</v>
      </c>
    </row>
    <row r="8" spans="1:16" x14ac:dyDescent="0.2">
      <c r="A8" t="s">
        <v>3</v>
      </c>
      <c r="B8" s="3">
        <v>2.25</v>
      </c>
      <c r="G8" s="2" t="s">
        <v>11</v>
      </c>
      <c r="H8">
        <f>SUM(H4:H7)</f>
        <v>250</v>
      </c>
      <c r="K8">
        <f t="shared" ref="K8:P8" si="1">SUM(K4:K7)</f>
        <v>50</v>
      </c>
      <c r="N8">
        <f t="shared" si="1"/>
        <v>15</v>
      </c>
      <c r="P8">
        <f t="shared" si="1"/>
        <v>315</v>
      </c>
    </row>
    <row r="9" spans="1:16" x14ac:dyDescent="0.2">
      <c r="A9" t="s">
        <v>4</v>
      </c>
      <c r="B9" s="3">
        <v>0.25</v>
      </c>
      <c r="J9" s="2"/>
    </row>
    <row r="10" spans="1:16" x14ac:dyDescent="0.2">
      <c r="A10" t="s">
        <v>5</v>
      </c>
      <c r="B10" s="3">
        <v>0.25</v>
      </c>
      <c r="D10" t="s">
        <v>7</v>
      </c>
      <c r="E10">
        <f>B8</f>
        <v>2.25</v>
      </c>
      <c r="G10" s="2" t="s">
        <v>22</v>
      </c>
      <c r="H10" s="2" t="s">
        <v>10</v>
      </c>
      <c r="I10" s="2" t="s">
        <v>11</v>
      </c>
      <c r="J10" s="2" t="s">
        <v>44</v>
      </c>
      <c r="L10" s="2" t="s">
        <v>125</v>
      </c>
    </row>
    <row r="11" spans="1:16" x14ac:dyDescent="0.2">
      <c r="A11" t="s">
        <v>73</v>
      </c>
      <c r="B11">
        <f>B8+B9</f>
        <v>2.5</v>
      </c>
      <c r="D11" t="s">
        <v>6</v>
      </c>
      <c r="E11">
        <f>B5-(2*B10)</f>
        <v>9.5</v>
      </c>
      <c r="G11" t="s">
        <v>1</v>
      </c>
      <c r="H11">
        <f>(E10-1.5)*(E11*0.55)</f>
        <v>3.9187500000000002</v>
      </c>
      <c r="I11">
        <f>H11*$B$4</f>
        <v>7.8375000000000004</v>
      </c>
      <c r="J11">
        <f>I11*$B$26*$C$26</f>
        <v>11.756250000000001</v>
      </c>
      <c r="L11" t="s">
        <v>118</v>
      </c>
      <c r="M11" cm="1">
        <f t="array" ref="M11">_xlfn.SWITCH(B7,"Nord", I11,"Ost",I12,"Süd",I13,"West",I14)</f>
        <v>7.8375000000000004</v>
      </c>
    </row>
    <row r="12" spans="1:16" x14ac:dyDescent="0.2">
      <c r="A12" t="s">
        <v>71</v>
      </c>
      <c r="B12" s="1">
        <f>E3+E4</f>
        <v>1012.5</v>
      </c>
      <c r="D12" t="s">
        <v>9</v>
      </c>
      <c r="E12">
        <f>B6-(2*B10)</f>
        <v>14.5</v>
      </c>
      <c r="G12" t="s">
        <v>2</v>
      </c>
      <c r="H12">
        <f>(E10-1.5)*(E12*0.55)</f>
        <v>5.9812500000000002</v>
      </c>
      <c r="I12">
        <f>H12*$B$4</f>
        <v>11.9625</v>
      </c>
      <c r="J12">
        <f>I12*$B$26*$C$26</f>
        <v>17.943750000000001</v>
      </c>
      <c r="L12" t="s">
        <v>119</v>
      </c>
      <c r="M12" cm="1">
        <f t="array" ref="M12">_xlfn.SWITCH(B7,"Nord",I12,"Ost",I11,"Süd",I14,"West",I13)</f>
        <v>11.9625</v>
      </c>
    </row>
    <row r="13" spans="1:16" x14ac:dyDescent="0.2">
      <c r="A13" t="s">
        <v>53</v>
      </c>
      <c r="B13">
        <f>I38</f>
        <v>621.60459763365827</v>
      </c>
      <c r="G13" t="s">
        <v>28</v>
      </c>
      <c r="H13">
        <f>H11</f>
        <v>3.9187500000000002</v>
      </c>
      <c r="I13">
        <f>H13*$B$4</f>
        <v>7.8375000000000004</v>
      </c>
      <c r="J13">
        <f>I13*$B$26*$C$26</f>
        <v>11.756250000000001</v>
      </c>
      <c r="L13" t="s">
        <v>120</v>
      </c>
      <c r="M13" cm="1">
        <f t="array" ref="M13">_xlfn.SWITCH($B$7,"Nord",I13,"Ost",I12,"Süd",I11,"West",I14)</f>
        <v>7.8375000000000004</v>
      </c>
    </row>
    <row r="14" spans="1:16" x14ac:dyDescent="0.2">
      <c r="A14" t="s">
        <v>50</v>
      </c>
      <c r="B14">
        <f>IF(B4&lt;4,0.76,0.8)</f>
        <v>0.76</v>
      </c>
      <c r="G14" t="s">
        <v>29</v>
      </c>
      <c r="H14">
        <f>H12</f>
        <v>5.9812500000000002</v>
      </c>
      <c r="I14">
        <f>H14*$B$4</f>
        <v>11.9625</v>
      </c>
      <c r="J14">
        <f>I14*$B$26*$C$26</f>
        <v>17.943750000000001</v>
      </c>
      <c r="L14" t="s">
        <v>121</v>
      </c>
      <c r="M14" cm="1">
        <f t="array" ref="M14">_xlfn.SWITCH($B$7,"Nord",I14,"Ost",I13,"Süd",I12,"West",I11)</f>
        <v>11.9625</v>
      </c>
    </row>
    <row r="15" spans="1:16" x14ac:dyDescent="0.2">
      <c r="A15" t="s">
        <v>52</v>
      </c>
      <c r="B15">
        <f>B12*B14</f>
        <v>769.5</v>
      </c>
    </row>
    <row r="16" spans="1:16" x14ac:dyDescent="0.2">
      <c r="A16" t="s">
        <v>70</v>
      </c>
      <c r="B16">
        <f>IF(AND(B11&gt;=2.5,B11&lt;=3),B12*0.32,B12*(1/B11-0.04))</f>
        <v>324</v>
      </c>
      <c r="G16" s="2" t="s">
        <v>27</v>
      </c>
      <c r="J16" s="2"/>
    </row>
    <row r="17" spans="1:10" x14ac:dyDescent="0.2">
      <c r="A17" t="s">
        <v>92</v>
      </c>
      <c r="B17" s="3" t="s">
        <v>93</v>
      </c>
      <c r="G17" t="s">
        <v>1</v>
      </c>
      <c r="H17">
        <f>IF($B$21="Ja",H11*0.5,0)</f>
        <v>1.9593750000000001</v>
      </c>
      <c r="I17">
        <f>H17*$B$4</f>
        <v>3.9187500000000002</v>
      </c>
      <c r="J17">
        <f>I17*$B$28*$C$28</f>
        <v>4.7024999999999997</v>
      </c>
    </row>
    <row r="18" spans="1:10" x14ac:dyDescent="0.2">
      <c r="A18" t="s">
        <v>49</v>
      </c>
      <c r="B18">
        <f>I38/B12</f>
        <v>0.6139304667986748</v>
      </c>
      <c r="G18" t="s">
        <v>2</v>
      </c>
      <c r="H18">
        <f>IF($B$21="Ja",H12*0.5,0)</f>
        <v>2.9906250000000001</v>
      </c>
      <c r="I18">
        <f>H18*$B$4</f>
        <v>5.9812500000000002</v>
      </c>
      <c r="J18">
        <f>I18*$B$28*$C$28</f>
        <v>7.1775000000000002</v>
      </c>
    </row>
    <row r="19" spans="1:10" x14ac:dyDescent="0.2">
      <c r="A19" t="s">
        <v>105</v>
      </c>
      <c r="B19" s="3">
        <v>50</v>
      </c>
      <c r="G19" t="s">
        <v>28</v>
      </c>
      <c r="H19">
        <f>IF($B$21="Ja",H13*0.5,0)</f>
        <v>1.9593750000000001</v>
      </c>
      <c r="I19">
        <f>H19*$B$4</f>
        <v>3.9187500000000002</v>
      </c>
      <c r="J19">
        <f>I19*$B$28*$C$28</f>
        <v>4.7024999999999997</v>
      </c>
    </row>
    <row r="20" spans="1:10" x14ac:dyDescent="0.2">
      <c r="G20" t="s">
        <v>29</v>
      </c>
      <c r="H20">
        <f>IF($B$21="Ja",H14*0.5,0)</f>
        <v>2.9906250000000001</v>
      </c>
      <c r="I20">
        <f>H20*$B$4</f>
        <v>5.9812500000000002</v>
      </c>
      <c r="J20">
        <f>I20*$B$28*$C$28</f>
        <v>7.1775000000000002</v>
      </c>
    </row>
    <row r="21" spans="1:10" x14ac:dyDescent="0.2">
      <c r="A21" t="s">
        <v>24</v>
      </c>
      <c r="B21" s="3" t="s">
        <v>26</v>
      </c>
    </row>
    <row r="22" spans="1:10" x14ac:dyDescent="0.2">
      <c r="A22" t="s">
        <v>25</v>
      </c>
      <c r="B22" s="3" t="s">
        <v>26</v>
      </c>
      <c r="G22" s="2" t="s">
        <v>23</v>
      </c>
      <c r="J22" s="2"/>
    </row>
    <row r="23" spans="1:10" x14ac:dyDescent="0.2">
      <c r="G23" t="s">
        <v>1</v>
      </c>
      <c r="H23">
        <f>IF($B$22="Ja",H11*0.1,0)</f>
        <v>0.39187500000000003</v>
      </c>
      <c r="I23">
        <f>H23*$B$4</f>
        <v>0.78375000000000006</v>
      </c>
      <c r="J23">
        <f>I23*$B$27*$C$27</f>
        <v>0.70537500000000009</v>
      </c>
    </row>
    <row r="24" spans="1:10" x14ac:dyDescent="0.2">
      <c r="A24" s="2" t="s">
        <v>40</v>
      </c>
      <c r="C24" s="2" t="s">
        <v>43</v>
      </c>
      <c r="G24" t="s">
        <v>2</v>
      </c>
      <c r="H24">
        <f>IF($B$22="Ja",H12*0.1,0)</f>
        <v>0.59812500000000002</v>
      </c>
      <c r="I24">
        <f>H24*$B$4</f>
        <v>1.19625</v>
      </c>
      <c r="J24">
        <f>I24*$B$27*$C$27</f>
        <v>1.0766250000000002</v>
      </c>
    </row>
    <row r="25" spans="1:10" x14ac:dyDescent="0.2">
      <c r="A25" t="s">
        <v>41</v>
      </c>
      <c r="B25" s="3">
        <v>0.6</v>
      </c>
      <c r="C25">
        <v>1</v>
      </c>
      <c r="G25" t="s">
        <v>28</v>
      </c>
      <c r="H25">
        <f>IF($B$22="Ja",H13*0.1,0)</f>
        <v>0.39187500000000003</v>
      </c>
      <c r="I25">
        <f>H25*$B$4</f>
        <v>0.78375000000000006</v>
      </c>
      <c r="J25">
        <f>I25*$B$27*$C$27</f>
        <v>0.70537500000000009</v>
      </c>
    </row>
    <row r="26" spans="1:10" x14ac:dyDescent="0.2">
      <c r="A26" t="s">
        <v>42</v>
      </c>
      <c r="B26" s="3">
        <v>1.5</v>
      </c>
      <c r="C26">
        <v>1</v>
      </c>
      <c r="G26" t="s">
        <v>29</v>
      </c>
      <c r="H26">
        <f>IF($B$22="Ja",H14*0.1,0)</f>
        <v>0.59812500000000002</v>
      </c>
      <c r="I26">
        <f>H26*$B$4</f>
        <v>1.19625</v>
      </c>
      <c r="J26">
        <f>I26*$B$27*$C$27</f>
        <v>1.0766250000000002</v>
      </c>
    </row>
    <row r="27" spans="1:10" x14ac:dyDescent="0.2">
      <c r="A27" t="s">
        <v>23</v>
      </c>
      <c r="B27" s="3">
        <v>0.9</v>
      </c>
      <c r="C27">
        <v>1</v>
      </c>
    </row>
    <row r="28" spans="1:10" x14ac:dyDescent="0.2">
      <c r="A28" t="s">
        <v>27</v>
      </c>
      <c r="B28">
        <f>B25*2</f>
        <v>1.2</v>
      </c>
      <c r="C28">
        <v>1</v>
      </c>
      <c r="G28" s="2" t="s">
        <v>30</v>
      </c>
      <c r="J28" s="2"/>
    </row>
    <row r="29" spans="1:10" x14ac:dyDescent="0.2">
      <c r="A29" t="s">
        <v>8</v>
      </c>
      <c r="B29" s="3">
        <v>0.6</v>
      </c>
      <c r="C29">
        <v>0.8</v>
      </c>
      <c r="G29" t="s">
        <v>1</v>
      </c>
      <c r="H29">
        <f>P4-H42</f>
        <v>54.96</v>
      </c>
      <c r="J29">
        <f>H29*$B$25*$C$25</f>
        <v>32.975999999999999</v>
      </c>
    </row>
    <row r="30" spans="1:10" x14ac:dyDescent="0.2">
      <c r="A30" t="s">
        <v>45</v>
      </c>
      <c r="B30" s="3">
        <v>0.4</v>
      </c>
      <c r="C30">
        <v>1</v>
      </c>
      <c r="G30" t="s">
        <v>2</v>
      </c>
      <c r="H30">
        <f>P5-H43</f>
        <v>70.86</v>
      </c>
      <c r="J30">
        <f>H30*$B$25*$C$25</f>
        <v>42.515999999999998</v>
      </c>
    </row>
    <row r="31" spans="1:10" x14ac:dyDescent="0.2">
      <c r="G31" t="s">
        <v>28</v>
      </c>
      <c r="H31">
        <f>P6-H44</f>
        <v>54.96</v>
      </c>
      <c r="J31">
        <f>H31*$B$25*$C$25</f>
        <v>32.975999999999999</v>
      </c>
    </row>
    <row r="32" spans="1:10" x14ac:dyDescent="0.2">
      <c r="A32" s="2" t="s">
        <v>109</v>
      </c>
      <c r="G32" t="s">
        <v>29</v>
      </c>
      <c r="H32">
        <f>P7-H45</f>
        <v>70.86</v>
      </c>
      <c r="J32">
        <f>H32*$B$25*$C$25</f>
        <v>42.515999999999998</v>
      </c>
    </row>
    <row r="33" spans="1:10" x14ac:dyDescent="0.2">
      <c r="A33" t="s">
        <v>42</v>
      </c>
      <c r="B33" s="3" t="s">
        <v>111</v>
      </c>
      <c r="C33" t="s">
        <v>112</v>
      </c>
    </row>
    <row r="34" spans="1:10" x14ac:dyDescent="0.2">
      <c r="A34" t="s">
        <v>110</v>
      </c>
      <c r="B34" cm="1">
        <f t="array" ref="B34">_xlfn.SWITCH(B33,"Einfach",0.87,"Zweifach",0.78,"Dreifach",0.7)</f>
        <v>0.78</v>
      </c>
      <c r="C34" t="s">
        <v>113</v>
      </c>
      <c r="G34" s="2" t="s">
        <v>47</v>
      </c>
      <c r="J34" s="2"/>
    </row>
    <row r="35" spans="1:10" x14ac:dyDescent="0.2">
      <c r="G35" t="s">
        <v>46</v>
      </c>
      <c r="H35" s="1">
        <f>B5*B6</f>
        <v>150</v>
      </c>
      <c r="J35">
        <f>H35*$B$29*$C$29</f>
        <v>72</v>
      </c>
    </row>
    <row r="36" spans="1:10" x14ac:dyDescent="0.2">
      <c r="A36" s="2" t="s">
        <v>81</v>
      </c>
      <c r="G36" t="s">
        <v>37</v>
      </c>
      <c r="H36">
        <f>Dach!E15</f>
        <v>156.60459763365827</v>
      </c>
      <c r="J36">
        <f>H36*$B$30*$C$30</f>
        <v>62.641839053463315</v>
      </c>
    </row>
    <row r="37" spans="1:10" x14ac:dyDescent="0.2">
      <c r="A37" t="s">
        <v>44</v>
      </c>
      <c r="B37">
        <f>J38</f>
        <v>372.34983905346326</v>
      </c>
    </row>
    <row r="38" spans="1:10" x14ac:dyDescent="0.2">
      <c r="G38" s="2" t="s">
        <v>11</v>
      </c>
      <c r="I38">
        <f>SUM(I11:I26)+SUM(H29:H36)</f>
        <v>621.60459763365827</v>
      </c>
      <c r="J38">
        <f>SUM(J11:J36)</f>
        <v>372.34983905346326</v>
      </c>
    </row>
    <row r="39" spans="1:10" x14ac:dyDescent="0.2">
      <c r="A39" s="2" t="s">
        <v>82</v>
      </c>
    </row>
    <row r="40" spans="1:10" x14ac:dyDescent="0.2">
      <c r="A40" t="s">
        <v>83</v>
      </c>
      <c r="B40" s="8">
        <v>0.47099999999999997</v>
      </c>
      <c r="C40" s="6"/>
    </row>
    <row r="41" spans="1:10" x14ac:dyDescent="0.2">
      <c r="A41" t="s">
        <v>84</v>
      </c>
      <c r="B41" s="8">
        <v>1.0660000000000001</v>
      </c>
      <c r="G41" s="2" t="s">
        <v>115</v>
      </c>
    </row>
    <row r="42" spans="1:10" x14ac:dyDescent="0.2">
      <c r="A42" t="s">
        <v>85</v>
      </c>
      <c r="B42" s="8">
        <v>0.79</v>
      </c>
      <c r="G42" t="s">
        <v>1</v>
      </c>
      <c r="H42">
        <f>I11+I17+I23</f>
        <v>12.540000000000001</v>
      </c>
    </row>
    <row r="43" spans="1:10" x14ac:dyDescent="0.2">
      <c r="A43" t="s">
        <v>86</v>
      </c>
      <c r="B43">
        <f>B42*(1-B40+B40*B41)*0.34*B15</f>
        <v>213.11279384220003</v>
      </c>
      <c r="G43" t="s">
        <v>2</v>
      </c>
      <c r="H43">
        <f>I12+I18+I24</f>
        <v>19.14</v>
      </c>
    </row>
    <row r="44" spans="1:10" x14ac:dyDescent="0.2">
      <c r="A44" t="s">
        <v>87</v>
      </c>
      <c r="B44">
        <f>B37+B43</f>
        <v>585.46263289566332</v>
      </c>
      <c r="G44" t="s">
        <v>28</v>
      </c>
      <c r="H44">
        <f>I13+I19+I25</f>
        <v>12.540000000000001</v>
      </c>
    </row>
    <row r="45" spans="1:10" x14ac:dyDescent="0.2">
      <c r="A45" t="s">
        <v>88</v>
      </c>
      <c r="B45">
        <f>B44*32</f>
        <v>18734.804252661226</v>
      </c>
      <c r="C45" t="s">
        <v>89</v>
      </c>
      <c r="G45" t="s">
        <v>29</v>
      </c>
      <c r="H45">
        <f>I14+I20+I26</f>
        <v>19.14</v>
      </c>
    </row>
    <row r="47" spans="1:10" x14ac:dyDescent="0.2">
      <c r="A47" s="2" t="s">
        <v>95</v>
      </c>
    </row>
    <row r="48" spans="1:10" x14ac:dyDescent="0.2">
      <c r="A48" t="s">
        <v>97</v>
      </c>
      <c r="B48" s="3" t="s">
        <v>93</v>
      </c>
      <c r="C48" s="7"/>
      <c r="G48" s="2" t="s">
        <v>148</v>
      </c>
    </row>
    <row r="49" spans="1:9" x14ac:dyDescent="0.2">
      <c r="A49" t="s">
        <v>98</v>
      </c>
      <c r="B49" s="3" t="s">
        <v>93</v>
      </c>
      <c r="G49" t="s">
        <v>54</v>
      </c>
      <c r="H49" t="s">
        <v>126</v>
      </c>
      <c r="I49" t="s">
        <v>148</v>
      </c>
    </row>
    <row r="50" spans="1:9" x14ac:dyDescent="0.2">
      <c r="G50" s="1" t="s">
        <v>55</v>
      </c>
      <c r="H50" s="1">
        <v>31</v>
      </c>
      <c r="I50">
        <f>1000/(24*H50)</f>
        <v>1.3440860215053763</v>
      </c>
    </row>
    <row r="51" spans="1:9" x14ac:dyDescent="0.2">
      <c r="A51" t="s">
        <v>96</v>
      </c>
      <c r="B51">
        <f>IF(B48="Ja",IF(B49="Ja",0.35,0.4),0)</f>
        <v>0</v>
      </c>
      <c r="G51" s="1" t="s">
        <v>56</v>
      </c>
      <c r="H51" s="1">
        <v>28</v>
      </c>
      <c r="I51">
        <f t="shared" ref="I51:I61" si="2">1000/(24*H51)</f>
        <v>1.4880952380952381</v>
      </c>
    </row>
    <row r="52" spans="1:9" x14ac:dyDescent="0.2">
      <c r="A52" t="s">
        <v>99</v>
      </c>
      <c r="B52" s="8">
        <v>0.79</v>
      </c>
      <c r="G52" s="1" t="s">
        <v>57</v>
      </c>
      <c r="H52" s="1">
        <v>31</v>
      </c>
      <c r="I52">
        <f t="shared" si="2"/>
        <v>1.3440860215053763</v>
      </c>
    </row>
    <row r="53" spans="1:9" x14ac:dyDescent="0.2">
      <c r="G53" s="1" t="s">
        <v>58</v>
      </c>
      <c r="H53" s="1">
        <v>30</v>
      </c>
      <c r="I53">
        <f t="shared" si="2"/>
        <v>1.3888888888888888</v>
      </c>
    </row>
    <row r="54" spans="1:9" x14ac:dyDescent="0.2">
      <c r="A54" t="s">
        <v>90</v>
      </c>
      <c r="G54" s="1" t="s">
        <v>59</v>
      </c>
      <c r="H54" s="1">
        <v>31</v>
      </c>
      <c r="I54">
        <f t="shared" si="2"/>
        <v>1.3440860215053763</v>
      </c>
    </row>
    <row r="55" spans="1:9" x14ac:dyDescent="0.2">
      <c r="A55" t="s">
        <v>104</v>
      </c>
      <c r="B55">
        <f>(B37+0.5*B43)*32</f>
        <v>15324.999551186025</v>
      </c>
      <c r="G55" s="1" t="s">
        <v>60</v>
      </c>
      <c r="H55" s="1">
        <v>30</v>
      </c>
      <c r="I55">
        <f t="shared" si="2"/>
        <v>1.3888888888888888</v>
      </c>
    </row>
    <row r="56" spans="1:9" x14ac:dyDescent="0.2">
      <c r="G56" s="1" t="s">
        <v>61</v>
      </c>
      <c r="H56" s="1">
        <v>31</v>
      </c>
      <c r="I56">
        <f t="shared" si="2"/>
        <v>1.3440860215053763</v>
      </c>
    </row>
    <row r="57" spans="1:9" x14ac:dyDescent="0.2">
      <c r="A57" t="s">
        <v>94</v>
      </c>
      <c r="G57" s="1" t="s">
        <v>62</v>
      </c>
      <c r="H57" s="1">
        <v>31</v>
      </c>
      <c r="I57">
        <f t="shared" si="2"/>
        <v>1.3440860215053763</v>
      </c>
    </row>
    <row r="58" spans="1:9" x14ac:dyDescent="0.2">
      <c r="A58" t="s">
        <v>100</v>
      </c>
      <c r="B58">
        <f>(B37+B43-0.5*B15*0.34*(B52-B51))*32</f>
        <v>15427.801052661227</v>
      </c>
      <c r="C58" s="7"/>
      <c r="G58" s="1" t="s">
        <v>63</v>
      </c>
      <c r="H58" s="1">
        <v>30</v>
      </c>
      <c r="I58">
        <f t="shared" si="2"/>
        <v>1.3888888888888888</v>
      </c>
    </row>
    <row r="59" spans="1:9" x14ac:dyDescent="0.2">
      <c r="A59" t="s">
        <v>101</v>
      </c>
      <c r="B59">
        <f>(B43-0.5*B15*0.34*(B52-B51))*32</f>
        <v>3512.606202950401</v>
      </c>
      <c r="C59" s="7"/>
      <c r="G59" s="1" t="s">
        <v>64</v>
      </c>
      <c r="H59" s="1">
        <v>31</v>
      </c>
      <c r="I59">
        <f t="shared" si="2"/>
        <v>1.3440860215053763</v>
      </c>
    </row>
    <row r="60" spans="1:9" x14ac:dyDescent="0.2">
      <c r="A60" t="s">
        <v>103</v>
      </c>
      <c r="B60">
        <f>IF(B49="Ja",B58,B59)</f>
        <v>3512.606202950401</v>
      </c>
      <c r="C60" s="7"/>
      <c r="G60" s="1" t="s">
        <v>65</v>
      </c>
      <c r="H60" s="1">
        <v>30</v>
      </c>
      <c r="I60">
        <f t="shared" si="2"/>
        <v>1.3888888888888888</v>
      </c>
    </row>
    <row r="61" spans="1:9" x14ac:dyDescent="0.2">
      <c r="G61" s="1" t="s">
        <v>66</v>
      </c>
      <c r="H61" s="1">
        <v>31</v>
      </c>
      <c r="I61">
        <f t="shared" si="2"/>
        <v>1.3440860215053763</v>
      </c>
    </row>
    <row r="64" spans="1:9" x14ac:dyDescent="0.2">
      <c r="A64" s="2" t="s">
        <v>91</v>
      </c>
      <c r="B64">
        <f>IF(B48="Ja",B60,B55)</f>
        <v>15324.999551186025</v>
      </c>
    </row>
    <row r="65" spans="1:3" x14ac:dyDescent="0.2">
      <c r="A65" s="2" t="s">
        <v>102</v>
      </c>
      <c r="B65">
        <f>B64/B16</f>
        <v>47.299381330821063</v>
      </c>
    </row>
    <row r="67" spans="1:3" x14ac:dyDescent="0.2">
      <c r="A67" s="2" t="s">
        <v>106</v>
      </c>
      <c r="B67">
        <f>B19*B16/B44</f>
        <v>27.670425215484318</v>
      </c>
    </row>
    <row r="69" spans="1:3" x14ac:dyDescent="0.2">
      <c r="A69" s="2" t="s">
        <v>130</v>
      </c>
      <c r="B69" s="8">
        <v>8.5</v>
      </c>
      <c r="C69" t="s">
        <v>131</v>
      </c>
    </row>
    <row r="71" spans="1:3" x14ac:dyDescent="0.2">
      <c r="A71" s="2" t="s">
        <v>136</v>
      </c>
    </row>
    <row r="72" spans="1:3" x14ac:dyDescent="0.2">
      <c r="A72" t="s">
        <v>141</v>
      </c>
      <c r="B72" s="3" t="s">
        <v>26</v>
      </c>
      <c r="C72" t="s">
        <v>142</v>
      </c>
    </row>
    <row r="73" spans="1:3" x14ac:dyDescent="0.2">
      <c r="A73" t="s">
        <v>145</v>
      </c>
      <c r="B73" s="3" t="s">
        <v>93</v>
      </c>
    </row>
    <row r="74" spans="1:3" x14ac:dyDescent="0.2">
      <c r="A74" t="s">
        <v>137</v>
      </c>
      <c r="B74" s="3" t="s">
        <v>138</v>
      </c>
      <c r="C74" t="s">
        <v>139</v>
      </c>
    </row>
    <row r="75" spans="1:3" x14ac:dyDescent="0.2">
      <c r="A75" t="s">
        <v>146</v>
      </c>
      <c r="B75" s="3" t="s">
        <v>26</v>
      </c>
    </row>
    <row r="76" spans="1:3" x14ac:dyDescent="0.2">
      <c r="A76" t="s">
        <v>143</v>
      </c>
      <c r="B76">
        <f>IF(B74="innerhalb",IF(B75="Ja",1.554,0.647),IF(B75="Ja",0.815,0.335))</f>
        <v>1.554</v>
      </c>
    </row>
    <row r="77" spans="1:3" x14ac:dyDescent="0.2">
      <c r="A77" t="s">
        <v>144</v>
      </c>
      <c r="B77">
        <f>IF(B75="Ja",1.321,0.451)</f>
        <v>1.321</v>
      </c>
    </row>
    <row r="78" spans="1:3" x14ac:dyDescent="0.2">
      <c r="A78" s="2" t="s">
        <v>140</v>
      </c>
      <c r="B78" s="2">
        <f>IF(B72="Ja",IF(B73="Ja",B76,B77),0.193)</f>
        <v>1.321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28B4-6980-5D4B-8184-D8E1A3E7B562}">
  <dimension ref="A1:E20"/>
  <sheetViews>
    <sheetView topLeftCell="C1" workbookViewId="0">
      <selection activeCell="G29" sqref="G29"/>
    </sheetView>
  </sheetViews>
  <sheetFormatPr baseColWidth="10" defaultRowHeight="16" x14ac:dyDescent="0.2"/>
  <cols>
    <col min="1" max="1" width="15.33203125" bestFit="1" customWidth="1"/>
    <col min="4" max="4" width="20.5" bestFit="1" customWidth="1"/>
    <col min="5" max="5" width="15.5" customWidth="1"/>
  </cols>
  <sheetData>
    <row r="1" spans="1:5" x14ac:dyDescent="0.2">
      <c r="A1" t="s">
        <v>12</v>
      </c>
    </row>
    <row r="3" spans="1:5" x14ac:dyDescent="0.2">
      <c r="A3" t="s">
        <v>13</v>
      </c>
      <c r="B3">
        <v>1</v>
      </c>
      <c r="D3" t="s">
        <v>16</v>
      </c>
      <c r="E3">
        <f>B3*B5</f>
        <v>10</v>
      </c>
    </row>
    <row r="4" spans="1:5" x14ac:dyDescent="0.2">
      <c r="A4" t="s">
        <v>3</v>
      </c>
      <c r="B4">
        <v>2.5</v>
      </c>
      <c r="D4" t="s">
        <v>17</v>
      </c>
      <c r="E4">
        <f>B3*B6</f>
        <v>15</v>
      </c>
    </row>
    <row r="5" spans="1:5" x14ac:dyDescent="0.2">
      <c r="A5" t="s">
        <v>14</v>
      </c>
      <c r="B5">
        <v>10</v>
      </c>
      <c r="D5" t="s">
        <v>18</v>
      </c>
      <c r="E5">
        <f xml:space="preserve"> E3*2+E4*2</f>
        <v>50</v>
      </c>
    </row>
    <row r="6" spans="1:5" x14ac:dyDescent="0.2">
      <c r="A6" t="s">
        <v>39</v>
      </c>
      <c r="B6">
        <v>15</v>
      </c>
      <c r="D6" t="s">
        <v>19</v>
      </c>
      <c r="E6">
        <f>(B4-B3)*(B5/2)</f>
        <v>7.5</v>
      </c>
    </row>
    <row r="7" spans="1:5" x14ac:dyDescent="0.2">
      <c r="A7" t="s">
        <v>36</v>
      </c>
      <c r="B7">
        <f>B4-B3</f>
        <v>1.5</v>
      </c>
      <c r="D7" t="s">
        <v>35</v>
      </c>
      <c r="E7">
        <f>SQRT(SUMSQ(B7)+SUMSQ(B5/2))</f>
        <v>5.2201532544552753</v>
      </c>
    </row>
    <row r="9" spans="1:5" x14ac:dyDescent="0.2">
      <c r="D9" t="s">
        <v>15</v>
      </c>
      <c r="E9">
        <f>B5*B6*B3</f>
        <v>150</v>
      </c>
    </row>
    <row r="10" spans="1:5" x14ac:dyDescent="0.2">
      <c r="D10" t="s">
        <v>20</v>
      </c>
      <c r="E10">
        <f>E6*B6</f>
        <v>112.5</v>
      </c>
    </row>
    <row r="12" spans="1:5" x14ac:dyDescent="0.2">
      <c r="D12" s="2" t="s">
        <v>34</v>
      </c>
    </row>
    <row r="13" spans="1:5" x14ac:dyDescent="0.2">
      <c r="D13" t="s">
        <v>2</v>
      </c>
      <c r="E13">
        <f>E7*B6</f>
        <v>78.302298816829136</v>
      </c>
    </row>
    <row r="14" spans="1:5" x14ac:dyDescent="0.2">
      <c r="D14" t="s">
        <v>29</v>
      </c>
      <c r="E14">
        <f>E7*B6</f>
        <v>78.302298816829136</v>
      </c>
    </row>
    <row r="15" spans="1:5" x14ac:dyDescent="0.2">
      <c r="D15" t="s">
        <v>11</v>
      </c>
      <c r="E15">
        <f>E13+E14</f>
        <v>156.60459763365827</v>
      </c>
    </row>
    <row r="20" spans="1:2" x14ac:dyDescent="0.2">
      <c r="A20" t="s">
        <v>21</v>
      </c>
      <c r="B20">
        <f>E10+E9</f>
        <v>262.5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40B5-F068-DF4D-BA05-F7AD24B208A4}">
  <dimension ref="B2:AF40"/>
  <sheetViews>
    <sheetView topLeftCell="L1" workbookViewId="0">
      <selection activeCell="Y26" sqref="Y26"/>
    </sheetView>
  </sheetViews>
  <sheetFormatPr baseColWidth="10" defaultRowHeight="16" x14ac:dyDescent="0.2"/>
  <cols>
    <col min="2" max="3" width="13.6640625" bestFit="1" customWidth="1"/>
    <col min="4" max="4" width="17.33203125" bestFit="1" customWidth="1"/>
    <col min="5" max="5" width="19.6640625" bestFit="1" customWidth="1"/>
    <col min="6" max="6" width="12.1640625" bestFit="1" customWidth="1"/>
    <col min="7" max="8" width="14" customWidth="1"/>
    <col min="9" max="9" width="12.1640625" bestFit="1" customWidth="1"/>
    <col min="10" max="10" width="14.1640625" customWidth="1"/>
    <col min="11" max="11" width="15.83203125" bestFit="1" customWidth="1"/>
    <col min="12" max="12" width="13.5" bestFit="1" customWidth="1"/>
    <col min="13" max="13" width="12.1640625" bestFit="1" customWidth="1"/>
    <col min="14" max="14" width="14.33203125" customWidth="1"/>
    <col min="16" max="17" width="12.1640625" bestFit="1" customWidth="1"/>
    <col min="20" max="20" width="35.33203125" bestFit="1" customWidth="1"/>
    <col min="22" max="22" width="12.1640625" bestFit="1" customWidth="1"/>
    <col min="27" max="27" width="30.83203125" bestFit="1" customWidth="1"/>
    <col min="28" max="29" width="12.1640625" bestFit="1" customWidth="1"/>
    <col min="32" max="32" width="12.1640625" bestFit="1" customWidth="1"/>
  </cols>
  <sheetData>
    <row r="2" spans="2:32" x14ac:dyDescent="0.2">
      <c r="B2" t="s">
        <v>74</v>
      </c>
      <c r="C2">
        <f>Gebäude!B3</f>
        <v>2</v>
      </c>
      <c r="E2" t="s">
        <v>150</v>
      </c>
      <c r="F2" s="8">
        <v>5.7000000000000002E-2</v>
      </c>
      <c r="G2" t="s">
        <v>151</v>
      </c>
    </row>
    <row r="3" spans="2:32" x14ac:dyDescent="0.2">
      <c r="B3" t="s">
        <v>70</v>
      </c>
      <c r="C3">
        <f>Gebäude!B16</f>
        <v>324</v>
      </c>
      <c r="H3" t="s">
        <v>117</v>
      </c>
      <c r="I3">
        <f>Gebäude!B34</f>
        <v>0.78</v>
      </c>
      <c r="K3" s="13" t="s">
        <v>22</v>
      </c>
      <c r="L3" s="9"/>
      <c r="M3" s="9"/>
      <c r="N3" s="9"/>
      <c r="O3" s="9"/>
      <c r="P3" s="9"/>
      <c r="Q3" s="9"/>
      <c r="R3" s="10"/>
    </row>
    <row r="4" spans="2:32" x14ac:dyDescent="0.2">
      <c r="B4" t="s">
        <v>88</v>
      </c>
      <c r="C4">
        <f>Gebäude!B45</f>
        <v>18734.804252661226</v>
      </c>
      <c r="D4" t="s">
        <v>89</v>
      </c>
      <c r="H4" t="s">
        <v>116</v>
      </c>
      <c r="I4">
        <f>0.9*1*0.9*0.7*I3</f>
        <v>0.44225999999999999</v>
      </c>
      <c r="J4" s="7"/>
      <c r="K4" s="15" t="s">
        <v>118</v>
      </c>
      <c r="L4" s="4">
        <f>Gebäude!M11</f>
        <v>7.8375000000000004</v>
      </c>
      <c r="M4" s="4" t="s">
        <v>119</v>
      </c>
      <c r="N4" s="4">
        <f>Gebäude!M12</f>
        <v>11.9625</v>
      </c>
      <c r="O4" s="4" t="s">
        <v>120</v>
      </c>
      <c r="P4" s="4">
        <f>Gebäude!M13</f>
        <v>7.8375000000000004</v>
      </c>
      <c r="Q4" s="4" t="s">
        <v>121</v>
      </c>
      <c r="R4" s="16">
        <f>Gebäude!M14</f>
        <v>11.9625</v>
      </c>
      <c r="T4" s="2" t="s">
        <v>132</v>
      </c>
      <c r="U4">
        <f>Gebäude!B69</f>
        <v>8.5</v>
      </c>
      <c r="W4" s="2" t="s">
        <v>147</v>
      </c>
      <c r="Y4">
        <f>Gebäude!B78</f>
        <v>1.321</v>
      </c>
    </row>
    <row r="5" spans="2:32" ht="17" thickBot="1" x14ac:dyDescent="0.25"/>
    <row r="6" spans="2:32" x14ac:dyDescent="0.2">
      <c r="B6" s="2" t="s">
        <v>76</v>
      </c>
      <c r="H6" s="2" t="s">
        <v>114</v>
      </c>
      <c r="J6" s="13" t="s">
        <v>122</v>
      </c>
      <c r="K6" s="9"/>
      <c r="L6" s="9"/>
      <c r="M6" s="9"/>
      <c r="N6" s="17" t="s">
        <v>42</v>
      </c>
      <c r="O6" s="18"/>
      <c r="P6" s="18"/>
      <c r="Q6" s="18"/>
      <c r="R6" s="19"/>
      <c r="T6" s="2" t="s">
        <v>133</v>
      </c>
      <c r="AA6" s="2" t="s">
        <v>152</v>
      </c>
      <c r="AE6" s="2" t="s">
        <v>153</v>
      </c>
    </row>
    <row r="7" spans="2:32" ht="17" thickBot="1" x14ac:dyDescent="0.25">
      <c r="B7" s="2" t="s">
        <v>54</v>
      </c>
      <c r="C7" s="2" t="s">
        <v>67</v>
      </c>
      <c r="D7" s="2" t="s">
        <v>68</v>
      </c>
      <c r="E7" s="2" t="s">
        <v>69</v>
      </c>
      <c r="F7" s="2" t="s">
        <v>75</v>
      </c>
      <c r="H7" s="2" t="s">
        <v>54</v>
      </c>
      <c r="I7" s="2" t="s">
        <v>126</v>
      </c>
      <c r="J7" s="11" t="s">
        <v>118</v>
      </c>
      <c r="K7" s="12" t="s">
        <v>119</v>
      </c>
      <c r="L7" s="12" t="s">
        <v>120</v>
      </c>
      <c r="M7" s="12" t="s">
        <v>121</v>
      </c>
      <c r="N7" s="20" t="s">
        <v>118</v>
      </c>
      <c r="O7" s="21" t="s">
        <v>119</v>
      </c>
      <c r="P7" s="21" t="s">
        <v>120</v>
      </c>
      <c r="Q7" s="21" t="s">
        <v>121</v>
      </c>
      <c r="R7" s="22" t="s">
        <v>128</v>
      </c>
      <c r="T7" s="2" t="s">
        <v>54</v>
      </c>
      <c r="U7" s="2" t="s">
        <v>126</v>
      </c>
      <c r="V7" s="2" t="s">
        <v>134</v>
      </c>
      <c r="W7" s="2" t="s">
        <v>135</v>
      </c>
      <c r="AA7" s="2" t="s">
        <v>54</v>
      </c>
      <c r="AB7" s="2" t="s">
        <v>126</v>
      </c>
    </row>
    <row r="8" spans="2:32" x14ac:dyDescent="0.2">
      <c r="B8" t="s">
        <v>55</v>
      </c>
      <c r="C8">
        <v>31</v>
      </c>
      <c r="D8">
        <f>45*$C$3*C8/1000</f>
        <v>451.98</v>
      </c>
      <c r="E8">
        <f t="shared" ref="E8:E19" si="0">90*$C$3/$C$2*$C8/1000</f>
        <v>451.98</v>
      </c>
      <c r="F8">
        <f>IF(Gebäude!$B$3&gt;1,E8,D8)</f>
        <v>451.98</v>
      </c>
      <c r="H8" t="s">
        <v>55</v>
      </c>
      <c r="I8">
        <v>31</v>
      </c>
      <c r="J8">
        <v>10</v>
      </c>
      <c r="K8">
        <v>25</v>
      </c>
      <c r="L8">
        <v>59</v>
      </c>
      <c r="M8">
        <v>17</v>
      </c>
      <c r="N8">
        <f t="shared" ref="N8:N19" si="1">J8*$I$4*$L$4*0.024*$I8</f>
        <v>25.788622860000004</v>
      </c>
      <c r="O8">
        <f t="shared" ref="O8:O19" si="2">K8*$I$4*$N$4*0.024*$I8</f>
        <v>98.403955650000015</v>
      </c>
      <c r="P8">
        <f t="shared" ref="P8:P19" si="3">L8*$I$4*$P$4*0.024*$I8</f>
        <v>152.15287487399999</v>
      </c>
      <c r="Q8">
        <f t="shared" ref="Q8:Q19" si="4">M8*$I$4*$R$4*0.024*$I8</f>
        <v>66.914689842000001</v>
      </c>
      <c r="R8">
        <f>SUM(N8:Q8)</f>
        <v>343.26014322599997</v>
      </c>
      <c r="T8" t="s">
        <v>55</v>
      </c>
      <c r="U8">
        <v>31</v>
      </c>
      <c r="V8">
        <f t="shared" ref="V8:V19" si="5">($C$3/$C$2)*$U$4*(U8/365)</f>
        <v>116.95068493150684</v>
      </c>
      <c r="W8">
        <f t="shared" ref="W8:W19" si="6">V8*$Y$4</f>
        <v>154.49185479452052</v>
      </c>
      <c r="AA8" t="s">
        <v>55</v>
      </c>
      <c r="AB8">
        <v>31</v>
      </c>
      <c r="AC8">
        <f>I24*(E24/$E$37)*$F$2/Gebäude!I50</f>
        <v>407.92431028289218</v>
      </c>
      <c r="AE8" t="s">
        <v>55</v>
      </c>
      <c r="AF8">
        <f>F8+R8+W8+AC8</f>
        <v>1357.6563083034125</v>
      </c>
    </row>
    <row r="9" spans="2:32" ht="17" x14ac:dyDescent="0.2">
      <c r="B9" t="s">
        <v>56</v>
      </c>
      <c r="C9">
        <v>28</v>
      </c>
      <c r="D9">
        <f t="shared" ref="D9:D19" si="7">45*$C$3*C9/1000</f>
        <v>408.24</v>
      </c>
      <c r="E9">
        <f t="shared" si="0"/>
        <v>408.24</v>
      </c>
      <c r="F9">
        <f>IF(Gebäude!$B$3&gt;1,E9,D9)</f>
        <v>408.24</v>
      </c>
      <c r="H9" t="s">
        <v>56</v>
      </c>
      <c r="I9">
        <v>28</v>
      </c>
      <c r="J9">
        <v>18</v>
      </c>
      <c r="K9">
        <v>29</v>
      </c>
      <c r="L9">
        <v>47</v>
      </c>
      <c r="M9" s="14">
        <v>24</v>
      </c>
      <c r="N9">
        <f t="shared" si="1"/>
        <v>41.927309424000001</v>
      </c>
      <c r="O9">
        <f t="shared" si="2"/>
        <v>103.101950952</v>
      </c>
      <c r="P9">
        <f t="shared" si="3"/>
        <v>109.47686349600001</v>
      </c>
      <c r="Q9">
        <f t="shared" si="4"/>
        <v>85.325752511999994</v>
      </c>
      <c r="R9">
        <f t="shared" ref="R9:R19" si="8">SUM(N9:Q9)</f>
        <v>339.831876384</v>
      </c>
      <c r="T9" t="s">
        <v>56</v>
      </c>
      <c r="U9">
        <v>28</v>
      </c>
      <c r="V9">
        <f t="shared" si="5"/>
        <v>105.63287671232877</v>
      </c>
      <c r="W9">
        <f t="shared" si="6"/>
        <v>139.54103013698631</v>
      </c>
      <c r="AA9" t="s">
        <v>56</v>
      </c>
      <c r="AB9">
        <v>28</v>
      </c>
      <c r="AC9">
        <f>I25*(E25/$E$37)*$F$2/Gebäude!I51</f>
        <v>335.4194047700654</v>
      </c>
      <c r="AE9" t="s">
        <v>56</v>
      </c>
      <c r="AF9">
        <f t="shared" ref="AF9:AF19" si="9">F9+R9+W9+AC9</f>
        <v>1223.0323112910519</v>
      </c>
    </row>
    <row r="10" spans="2:32" x14ac:dyDescent="0.2">
      <c r="B10" t="s">
        <v>57</v>
      </c>
      <c r="C10">
        <v>31</v>
      </c>
      <c r="D10">
        <f t="shared" si="7"/>
        <v>451.98</v>
      </c>
      <c r="E10">
        <f t="shared" si="0"/>
        <v>451.98</v>
      </c>
      <c r="F10">
        <f>IF(Gebäude!$B$3&gt;1,E10,D10)</f>
        <v>451.98</v>
      </c>
      <c r="H10" t="s">
        <v>57</v>
      </c>
      <c r="I10">
        <v>31</v>
      </c>
      <c r="J10">
        <v>31</v>
      </c>
      <c r="K10">
        <v>68</v>
      </c>
      <c r="L10">
        <v>98</v>
      </c>
      <c r="M10">
        <v>60</v>
      </c>
      <c r="N10">
        <f t="shared" si="1"/>
        <v>79.944730866</v>
      </c>
      <c r="O10">
        <f t="shared" si="2"/>
        <v>267.65875936800001</v>
      </c>
      <c r="P10">
        <f t="shared" si="3"/>
        <v>252.72850402800003</v>
      </c>
      <c r="Q10">
        <f t="shared" si="4"/>
        <v>236.16949356000001</v>
      </c>
      <c r="R10">
        <f t="shared" si="8"/>
        <v>836.50148782200006</v>
      </c>
      <c r="T10" t="s">
        <v>57</v>
      </c>
      <c r="U10">
        <v>31</v>
      </c>
      <c r="V10">
        <f t="shared" si="5"/>
        <v>116.95068493150684</v>
      </c>
      <c r="W10">
        <f t="shared" si="6"/>
        <v>154.49185479452052</v>
      </c>
      <c r="AA10" t="s">
        <v>57</v>
      </c>
      <c r="AB10">
        <v>31</v>
      </c>
      <c r="AC10">
        <f>I26*(E26/$E$37)*$F$2/Gebäude!I52</f>
        <v>74.728302090693319</v>
      </c>
      <c r="AE10" t="s">
        <v>57</v>
      </c>
      <c r="AF10">
        <f t="shared" si="9"/>
        <v>1517.7016447072137</v>
      </c>
    </row>
    <row r="11" spans="2:32" x14ac:dyDescent="0.2">
      <c r="B11" t="s">
        <v>58</v>
      </c>
      <c r="C11">
        <v>30</v>
      </c>
      <c r="D11">
        <f t="shared" si="7"/>
        <v>437.4</v>
      </c>
      <c r="E11">
        <f t="shared" si="0"/>
        <v>437.4</v>
      </c>
      <c r="F11">
        <f>IF(Gebäude!$B$3&gt;1,E11,D11)</f>
        <v>437.4</v>
      </c>
      <c r="H11" t="s">
        <v>58</v>
      </c>
      <c r="I11">
        <v>30</v>
      </c>
      <c r="J11">
        <v>58</v>
      </c>
      <c r="K11">
        <v>134</v>
      </c>
      <c r="L11">
        <v>147</v>
      </c>
      <c r="M11">
        <v>114</v>
      </c>
      <c r="N11">
        <f t="shared" si="1"/>
        <v>144.74904444000003</v>
      </c>
      <c r="O11">
        <f t="shared" si="2"/>
        <v>510.43084091999998</v>
      </c>
      <c r="P11">
        <f t="shared" si="3"/>
        <v>366.86395746000005</v>
      </c>
      <c r="Q11">
        <f t="shared" si="4"/>
        <v>434.24713331999999</v>
      </c>
      <c r="R11">
        <f t="shared" si="8"/>
        <v>1456.2909761400001</v>
      </c>
      <c r="T11" t="s">
        <v>58</v>
      </c>
      <c r="U11">
        <v>30</v>
      </c>
      <c r="V11">
        <f t="shared" si="5"/>
        <v>113.17808219178082</v>
      </c>
      <c r="W11">
        <f t="shared" si="6"/>
        <v>149.50824657534244</v>
      </c>
      <c r="AA11" t="s">
        <v>58</v>
      </c>
      <c r="AB11">
        <v>30</v>
      </c>
      <c r="AC11">
        <f>I27*(E27/$E$37)*$F$2/Gebäude!I53</f>
        <v>104.9733351337067</v>
      </c>
      <c r="AE11" t="s">
        <v>58</v>
      </c>
      <c r="AF11">
        <f t="shared" si="9"/>
        <v>2148.1725578490491</v>
      </c>
    </row>
    <row r="12" spans="2:32" x14ac:dyDescent="0.2">
      <c r="B12" t="s">
        <v>59</v>
      </c>
      <c r="C12">
        <v>31</v>
      </c>
      <c r="D12">
        <f t="shared" si="7"/>
        <v>451.98</v>
      </c>
      <c r="E12">
        <f t="shared" si="0"/>
        <v>451.98</v>
      </c>
      <c r="F12">
        <f>IF(Gebäude!$B$3&gt;1,E12,D12)</f>
        <v>451.98</v>
      </c>
      <c r="H12" t="s">
        <v>59</v>
      </c>
      <c r="I12">
        <v>31</v>
      </c>
      <c r="J12">
        <v>75</v>
      </c>
      <c r="K12">
        <v>137</v>
      </c>
      <c r="L12">
        <v>132</v>
      </c>
      <c r="M12">
        <v>127</v>
      </c>
      <c r="N12">
        <f t="shared" si="1"/>
        <v>193.41467145000001</v>
      </c>
      <c r="O12">
        <f t="shared" si="2"/>
        <v>539.25367696199999</v>
      </c>
      <c r="P12">
        <f t="shared" si="3"/>
        <v>340.40982175199997</v>
      </c>
      <c r="Q12">
        <f t="shared" si="4"/>
        <v>499.89209470199995</v>
      </c>
      <c r="R12">
        <f t="shared" si="8"/>
        <v>1572.9702648659998</v>
      </c>
      <c r="T12" t="s">
        <v>59</v>
      </c>
      <c r="U12">
        <v>31</v>
      </c>
      <c r="V12">
        <f t="shared" si="5"/>
        <v>116.95068493150684</v>
      </c>
      <c r="W12">
        <f t="shared" si="6"/>
        <v>154.49185479452052</v>
      </c>
      <c r="AA12" t="s">
        <v>59</v>
      </c>
      <c r="AB12">
        <v>31</v>
      </c>
      <c r="AC12">
        <f>I28*(E28/$E$37)*$F$2/Gebäude!I54</f>
        <v>23.095391516545366</v>
      </c>
      <c r="AE12" t="s">
        <v>59</v>
      </c>
      <c r="AF12">
        <f t="shared" si="9"/>
        <v>2202.5375111770659</v>
      </c>
    </row>
    <row r="13" spans="2:32" x14ac:dyDescent="0.2">
      <c r="B13" t="s">
        <v>60</v>
      </c>
      <c r="C13">
        <v>30</v>
      </c>
      <c r="D13">
        <f t="shared" si="7"/>
        <v>437.4</v>
      </c>
      <c r="E13">
        <f t="shared" si="0"/>
        <v>437.4</v>
      </c>
      <c r="F13">
        <f>IF(Gebäude!$B$3&gt;1,E13,D13)</f>
        <v>437.4</v>
      </c>
      <c r="H13" t="s">
        <v>60</v>
      </c>
      <c r="I13">
        <v>30</v>
      </c>
      <c r="J13">
        <v>83</v>
      </c>
      <c r="K13">
        <v>150</v>
      </c>
      <c r="L13">
        <v>124</v>
      </c>
      <c r="M13">
        <v>136</v>
      </c>
      <c r="N13">
        <f t="shared" si="1"/>
        <v>207.14087394000001</v>
      </c>
      <c r="O13">
        <f t="shared" si="2"/>
        <v>571.37780700000008</v>
      </c>
      <c r="P13">
        <f t="shared" si="3"/>
        <v>309.46347431999999</v>
      </c>
      <c r="Q13">
        <f t="shared" si="4"/>
        <v>518.04921167999998</v>
      </c>
      <c r="R13">
        <f t="shared" si="8"/>
        <v>1606.0313669400002</v>
      </c>
      <c r="T13" t="s">
        <v>60</v>
      </c>
      <c r="U13">
        <v>30</v>
      </c>
      <c r="V13">
        <f t="shared" si="5"/>
        <v>113.17808219178082</v>
      </c>
      <c r="W13">
        <f t="shared" si="6"/>
        <v>149.50824657534244</v>
      </c>
      <c r="AA13" t="s">
        <v>60</v>
      </c>
      <c r="AB13">
        <v>30</v>
      </c>
      <c r="AC13">
        <f>I29*(E29/$E$37)*$F$2/Gebäude!I55</f>
        <v>2.0907165493471553</v>
      </c>
      <c r="AE13" t="s">
        <v>60</v>
      </c>
      <c r="AF13">
        <f t="shared" si="9"/>
        <v>2195.0303300646901</v>
      </c>
    </row>
    <row r="14" spans="2:32" x14ac:dyDescent="0.2">
      <c r="B14" t="s">
        <v>61</v>
      </c>
      <c r="C14">
        <v>31</v>
      </c>
      <c r="D14">
        <f t="shared" si="7"/>
        <v>451.98</v>
      </c>
      <c r="E14">
        <f t="shared" si="0"/>
        <v>451.98</v>
      </c>
      <c r="F14">
        <f>IF(Gebäude!$B$3&gt;1,E14,D14)</f>
        <v>451.98</v>
      </c>
      <c r="H14" t="s">
        <v>61</v>
      </c>
      <c r="I14">
        <v>31</v>
      </c>
      <c r="J14">
        <v>81</v>
      </c>
      <c r="K14">
        <v>138</v>
      </c>
      <c r="L14">
        <v>113</v>
      </c>
      <c r="M14">
        <v>117</v>
      </c>
      <c r="N14">
        <f t="shared" si="1"/>
        <v>208.88784516600001</v>
      </c>
      <c r="O14">
        <f t="shared" si="2"/>
        <v>543.18983518799996</v>
      </c>
      <c r="P14">
        <f t="shared" si="3"/>
        <v>291.41143831800002</v>
      </c>
      <c r="Q14">
        <f t="shared" si="4"/>
        <v>460.53051244199997</v>
      </c>
      <c r="R14">
        <f t="shared" si="8"/>
        <v>1504.019631114</v>
      </c>
      <c r="T14" t="s">
        <v>61</v>
      </c>
      <c r="U14">
        <v>31</v>
      </c>
      <c r="V14">
        <f t="shared" si="5"/>
        <v>116.95068493150684</v>
      </c>
      <c r="W14">
        <f t="shared" si="6"/>
        <v>154.49185479452052</v>
      </c>
      <c r="AA14" t="s">
        <v>61</v>
      </c>
      <c r="AB14">
        <v>31</v>
      </c>
      <c r="AC14">
        <f>I30*(E30/$E$37)*$F$2/Gebäude!I56</f>
        <v>0</v>
      </c>
      <c r="AE14" t="s">
        <v>61</v>
      </c>
      <c r="AF14">
        <f t="shared" si="9"/>
        <v>2110.4914859085206</v>
      </c>
    </row>
    <row r="15" spans="2:32" x14ac:dyDescent="0.2">
      <c r="B15" t="s">
        <v>62</v>
      </c>
      <c r="C15">
        <v>31</v>
      </c>
      <c r="D15">
        <f t="shared" si="7"/>
        <v>451.98</v>
      </c>
      <c r="E15">
        <f t="shared" si="0"/>
        <v>451.98</v>
      </c>
      <c r="F15">
        <f>IF(Gebäude!$B$3&gt;1,E15,D15)</f>
        <v>451.98</v>
      </c>
      <c r="H15" t="s">
        <v>62</v>
      </c>
      <c r="I15">
        <v>31</v>
      </c>
      <c r="J15">
        <v>57</v>
      </c>
      <c r="K15">
        <v>115</v>
      </c>
      <c r="L15">
        <v>127</v>
      </c>
      <c r="M15">
        <v>105</v>
      </c>
      <c r="N15">
        <f t="shared" si="1"/>
        <v>146.99515030200001</v>
      </c>
      <c r="O15">
        <f t="shared" si="2"/>
        <v>452.65819598999997</v>
      </c>
      <c r="P15">
        <f t="shared" si="3"/>
        <v>327.51551032200001</v>
      </c>
      <c r="Q15">
        <f t="shared" si="4"/>
        <v>413.29661372999999</v>
      </c>
      <c r="R15">
        <f t="shared" si="8"/>
        <v>1340.4654703439999</v>
      </c>
      <c r="T15" t="s">
        <v>62</v>
      </c>
      <c r="U15">
        <v>31</v>
      </c>
      <c r="V15">
        <f t="shared" si="5"/>
        <v>116.95068493150684</v>
      </c>
      <c r="W15">
        <f t="shared" si="6"/>
        <v>154.49185479452052</v>
      </c>
      <c r="AA15" t="s">
        <v>62</v>
      </c>
      <c r="AB15">
        <v>31</v>
      </c>
      <c r="AC15">
        <f>I31*(E31/$E$37)*$F$2/Gebäude!I57</f>
        <v>0</v>
      </c>
      <c r="AE15" t="s">
        <v>62</v>
      </c>
      <c r="AF15">
        <f t="shared" si="9"/>
        <v>1946.9373251385205</v>
      </c>
    </row>
    <row r="16" spans="2:32" x14ac:dyDescent="0.2">
      <c r="B16" t="s">
        <v>63</v>
      </c>
      <c r="C16">
        <v>30</v>
      </c>
      <c r="D16">
        <f t="shared" si="7"/>
        <v>437.4</v>
      </c>
      <c r="E16">
        <f t="shared" si="0"/>
        <v>437.4</v>
      </c>
      <c r="F16">
        <f>IF(Gebäude!$B$3&gt;1,E16,D16)</f>
        <v>437.4</v>
      </c>
      <c r="H16" t="s">
        <v>63</v>
      </c>
      <c r="I16">
        <v>30</v>
      </c>
      <c r="J16">
        <v>41</v>
      </c>
      <c r="K16">
        <v>83</v>
      </c>
      <c r="L16">
        <v>123</v>
      </c>
      <c r="M16">
        <v>79</v>
      </c>
      <c r="N16">
        <f t="shared" si="1"/>
        <v>102.32260038</v>
      </c>
      <c r="O16">
        <f t="shared" si="2"/>
        <v>316.16238654</v>
      </c>
      <c r="P16">
        <f t="shared" si="3"/>
        <v>306.96780114000001</v>
      </c>
      <c r="Q16">
        <f t="shared" si="4"/>
        <v>300.92564501999999</v>
      </c>
      <c r="R16">
        <f t="shared" si="8"/>
        <v>1026.3784330799999</v>
      </c>
      <c r="T16" t="s">
        <v>63</v>
      </c>
      <c r="U16">
        <v>30</v>
      </c>
      <c r="V16">
        <f t="shared" si="5"/>
        <v>113.17808219178082</v>
      </c>
      <c r="W16">
        <f t="shared" si="6"/>
        <v>149.50824657534244</v>
      </c>
      <c r="AA16" t="s">
        <v>63</v>
      </c>
      <c r="AB16">
        <v>30</v>
      </c>
      <c r="AC16">
        <f>I32*(E32/$E$37)*$F$2/Gebäude!I58</f>
        <v>24.629688452901568</v>
      </c>
      <c r="AE16" t="s">
        <v>63</v>
      </c>
      <c r="AF16">
        <f t="shared" si="9"/>
        <v>1637.9163681082439</v>
      </c>
    </row>
    <row r="17" spans="2:32" x14ac:dyDescent="0.2">
      <c r="B17" t="s">
        <v>64</v>
      </c>
      <c r="C17">
        <v>31</v>
      </c>
      <c r="D17">
        <f t="shared" si="7"/>
        <v>451.98</v>
      </c>
      <c r="E17">
        <f t="shared" si="0"/>
        <v>451.98</v>
      </c>
      <c r="F17">
        <f>IF(Gebäude!$B$3&gt;1,E17,D17)</f>
        <v>451.98</v>
      </c>
      <c r="H17" t="s">
        <v>64</v>
      </c>
      <c r="I17">
        <v>31</v>
      </c>
      <c r="J17">
        <v>25</v>
      </c>
      <c r="K17">
        <v>55</v>
      </c>
      <c r="L17">
        <v>106</v>
      </c>
      <c r="M17">
        <v>47</v>
      </c>
      <c r="N17">
        <f t="shared" si="1"/>
        <v>64.47155715000001</v>
      </c>
      <c r="O17">
        <f t="shared" si="2"/>
        <v>216.48870243000005</v>
      </c>
      <c r="P17">
        <f t="shared" si="3"/>
        <v>273.359402316</v>
      </c>
      <c r="Q17">
        <f t="shared" si="4"/>
        <v>184.99943662200002</v>
      </c>
      <c r="R17">
        <f t="shared" si="8"/>
        <v>739.31909851800015</v>
      </c>
      <c r="T17" t="s">
        <v>64</v>
      </c>
      <c r="U17">
        <v>31</v>
      </c>
      <c r="V17">
        <f t="shared" si="5"/>
        <v>116.95068493150684</v>
      </c>
      <c r="W17">
        <f t="shared" si="6"/>
        <v>154.49185479452052</v>
      </c>
      <c r="AA17" t="s">
        <v>64</v>
      </c>
      <c r="AB17">
        <v>31</v>
      </c>
      <c r="AC17">
        <f>I33*(E33/$E$37)*$F$2/Gebäude!I59</f>
        <v>113.2895252340647</v>
      </c>
      <c r="AE17" t="s">
        <v>64</v>
      </c>
      <c r="AF17">
        <f t="shared" si="9"/>
        <v>1459.0804785465855</v>
      </c>
    </row>
    <row r="18" spans="2:32" x14ac:dyDescent="0.2">
      <c r="B18" t="s">
        <v>65</v>
      </c>
      <c r="C18">
        <v>30</v>
      </c>
      <c r="D18">
        <f t="shared" si="7"/>
        <v>437.4</v>
      </c>
      <c r="E18">
        <f t="shared" si="0"/>
        <v>437.4</v>
      </c>
      <c r="F18">
        <f>IF(Gebäude!$B$3&gt;1,E18,D18)</f>
        <v>437.4</v>
      </c>
      <c r="H18" t="s">
        <v>65</v>
      </c>
      <c r="I18">
        <v>30</v>
      </c>
      <c r="J18">
        <v>13</v>
      </c>
      <c r="K18">
        <v>20</v>
      </c>
      <c r="L18">
        <v>39</v>
      </c>
      <c r="M18">
        <v>19</v>
      </c>
      <c r="N18">
        <f t="shared" si="1"/>
        <v>32.443751339999999</v>
      </c>
      <c r="O18">
        <f t="shared" si="2"/>
        <v>76.183707600000005</v>
      </c>
      <c r="P18">
        <f t="shared" si="3"/>
        <v>97.331254020000003</v>
      </c>
      <c r="Q18">
        <f t="shared" si="4"/>
        <v>72.374522220000003</v>
      </c>
      <c r="R18">
        <f t="shared" si="8"/>
        <v>278.33323518000003</v>
      </c>
      <c r="T18" t="s">
        <v>65</v>
      </c>
      <c r="U18">
        <v>30</v>
      </c>
      <c r="V18">
        <f t="shared" si="5"/>
        <v>113.17808219178082</v>
      </c>
      <c r="W18">
        <f t="shared" si="6"/>
        <v>149.50824657534244</v>
      </c>
      <c r="AA18" t="s">
        <v>65</v>
      </c>
      <c r="AB18">
        <v>30</v>
      </c>
      <c r="AC18">
        <f>I34*(E34/$E$37)*$F$2/Gebäude!I60</f>
        <v>276.28548392783478</v>
      </c>
      <c r="AE18" t="s">
        <v>65</v>
      </c>
      <c r="AF18">
        <f t="shared" si="9"/>
        <v>1141.5269656831774</v>
      </c>
    </row>
    <row r="19" spans="2:32" x14ac:dyDescent="0.2">
      <c r="B19" s="4" t="s">
        <v>66</v>
      </c>
      <c r="C19" s="4">
        <v>31</v>
      </c>
      <c r="D19" s="4">
        <f t="shared" si="7"/>
        <v>451.98</v>
      </c>
      <c r="E19" s="4">
        <f t="shared" si="0"/>
        <v>451.98</v>
      </c>
      <c r="F19" s="4">
        <f>IF(Gebäude!$B$3&gt;1,E19,D19)</f>
        <v>451.98</v>
      </c>
      <c r="H19" s="4" t="s">
        <v>66</v>
      </c>
      <c r="I19" s="4">
        <v>31</v>
      </c>
      <c r="J19" s="4">
        <v>7</v>
      </c>
      <c r="K19" s="4">
        <v>12</v>
      </c>
      <c r="L19" s="4">
        <v>29</v>
      </c>
      <c r="M19" s="4">
        <v>11</v>
      </c>
      <c r="N19" s="4">
        <f t="shared" si="1"/>
        <v>18.052036002000001</v>
      </c>
      <c r="O19" s="4">
        <f t="shared" si="2"/>
        <v>47.233898711999998</v>
      </c>
      <c r="P19" s="4">
        <f t="shared" si="3"/>
        <v>74.787006294000008</v>
      </c>
      <c r="Q19" s="4">
        <f t="shared" si="4"/>
        <v>43.297740486000009</v>
      </c>
      <c r="R19" s="4">
        <f t="shared" si="8"/>
        <v>183.37068149400002</v>
      </c>
      <c r="T19" s="4" t="s">
        <v>66</v>
      </c>
      <c r="U19" s="4">
        <v>31</v>
      </c>
      <c r="V19" s="4">
        <f t="shared" si="5"/>
        <v>116.95068493150684</v>
      </c>
      <c r="W19" s="4">
        <f t="shared" si="6"/>
        <v>154.49185479452052</v>
      </c>
      <c r="AA19" s="4" t="s">
        <v>66</v>
      </c>
      <c r="AB19" s="4">
        <v>31</v>
      </c>
      <c r="AC19" s="4">
        <f>I35*(E35/$E$37)*$F$2/Gebäude!I61</f>
        <v>416.83354456285019</v>
      </c>
      <c r="AE19" s="4" t="s">
        <v>66</v>
      </c>
      <c r="AF19" s="4">
        <f t="shared" si="9"/>
        <v>1206.6760808513707</v>
      </c>
    </row>
    <row r="20" spans="2:32" ht="17" thickBot="1" x14ac:dyDescent="0.25">
      <c r="B20" s="2" t="s">
        <v>129</v>
      </c>
      <c r="F20" s="2">
        <f>SUM(F8:F19)</f>
        <v>5321.6999999999989</v>
      </c>
      <c r="H20" s="2" t="s">
        <v>127</v>
      </c>
      <c r="N20">
        <f>SUM(N8:N19)</f>
        <v>1266.1381933200003</v>
      </c>
      <c r="O20">
        <f>SUM(O8:O19)</f>
        <v>3742.1437173120007</v>
      </c>
      <c r="P20">
        <f t="shared" ref="P20:Q20" si="10">SUM(P8:P19)</f>
        <v>2902.4679083400001</v>
      </c>
      <c r="Q20">
        <f t="shared" si="10"/>
        <v>3316.0228461359998</v>
      </c>
      <c r="R20" s="23">
        <f>SUM(R8:R19)</f>
        <v>11226.772665108001</v>
      </c>
      <c r="T20" s="2" t="s">
        <v>127</v>
      </c>
      <c r="U20" s="2"/>
      <c r="V20" s="2">
        <f>SUM(V8:V19)</f>
        <v>1377</v>
      </c>
      <c r="W20" s="2">
        <f>SUM(W8:W19)</f>
        <v>1819.0169999999996</v>
      </c>
      <c r="AA20" s="2" t="s">
        <v>127</v>
      </c>
      <c r="AB20" s="2"/>
      <c r="AC20" s="2">
        <f>SUM(AC8:AC19)</f>
        <v>1779.2697025209013</v>
      </c>
      <c r="AE20" s="2" t="s">
        <v>129</v>
      </c>
      <c r="AF20" s="2">
        <f>SUM(AF8:AF19)</f>
        <v>20146.759367628903</v>
      </c>
    </row>
    <row r="21" spans="2:32" ht="17" thickTop="1" x14ac:dyDescent="0.2"/>
    <row r="22" spans="2:32" x14ac:dyDescent="0.2">
      <c r="R22" s="2"/>
      <c r="S22" s="2"/>
      <c r="AA22" s="12" t="s">
        <v>163</v>
      </c>
      <c r="AB22" s="4"/>
    </row>
    <row r="23" spans="2:32" x14ac:dyDescent="0.2">
      <c r="B23" s="12" t="s">
        <v>54</v>
      </c>
      <c r="C23" s="12" t="s">
        <v>67</v>
      </c>
      <c r="D23" s="12" t="s">
        <v>166</v>
      </c>
      <c r="E23" s="12" t="s">
        <v>79</v>
      </c>
      <c r="F23" s="12" t="s">
        <v>80</v>
      </c>
      <c r="G23" s="12" t="s">
        <v>107</v>
      </c>
      <c r="H23" s="12" t="s">
        <v>149</v>
      </c>
      <c r="I23" s="12" t="s">
        <v>108</v>
      </c>
      <c r="J23" s="4" t="s">
        <v>154</v>
      </c>
      <c r="K23" s="4" t="s">
        <v>155</v>
      </c>
      <c r="L23" s="4" t="s">
        <v>156</v>
      </c>
      <c r="M23" s="4" t="s">
        <v>158</v>
      </c>
      <c r="N23" s="4" t="s">
        <v>157</v>
      </c>
      <c r="O23" s="4" t="s">
        <v>159</v>
      </c>
      <c r="P23" s="4" t="s">
        <v>160</v>
      </c>
      <c r="Q23" s="4" t="s">
        <v>161</v>
      </c>
      <c r="R23" s="4" t="s">
        <v>162</v>
      </c>
      <c r="S23" s="27" t="s">
        <v>167</v>
      </c>
      <c r="T23" s="27" t="s">
        <v>165</v>
      </c>
      <c r="U23" s="27" t="s">
        <v>169</v>
      </c>
      <c r="V23" s="26"/>
      <c r="AA23" t="s">
        <v>54</v>
      </c>
      <c r="AB23" t="s">
        <v>164</v>
      </c>
    </row>
    <row r="24" spans="2:32" x14ac:dyDescent="0.2">
      <c r="B24" s="1" t="s">
        <v>55</v>
      </c>
      <c r="C24" s="1">
        <v>31</v>
      </c>
      <c r="D24" s="8">
        <v>1</v>
      </c>
      <c r="E24" s="8">
        <v>0.56732407424029996</v>
      </c>
      <c r="F24" s="8">
        <v>19.168641979741</v>
      </c>
      <c r="G24" s="1">
        <f t="shared" ref="G24:G35" si="11">$C$4*((F24+12)/32)*E24</f>
        <v>10352.572367942394</v>
      </c>
      <c r="H24">
        <f>G24-(F8+(0.5*R8)*Gebäude!I50)</f>
        <v>9669.9067878173937</v>
      </c>
      <c r="I24">
        <f>IF(H24&lt;0,0,H24)</f>
        <v>9669.9067878173937</v>
      </c>
      <c r="J24">
        <f>AF8*Gebäude!I50</f>
        <v>1824.8068659992102</v>
      </c>
      <c r="K24">
        <f>J24/G24</f>
        <v>0.17626603332422744</v>
      </c>
      <c r="L24" s="25">
        <v>0.99366137766730001</v>
      </c>
      <c r="M24">
        <f>1-L24*K24</f>
        <v>0.82485125049109798</v>
      </c>
      <c r="N24">
        <f>IF(M24&lt;=0,0,M24)</f>
        <v>0.82485125049109798</v>
      </c>
      <c r="O24">
        <f>E24*N24</f>
        <v>0.46795797207081591</v>
      </c>
      <c r="P24">
        <f>C24*24</f>
        <v>744</v>
      </c>
      <c r="Q24">
        <f>(O24/0.05)*C24*24</f>
        <v>6963.2146244137402</v>
      </c>
      <c r="R24">
        <f>IF(O24&gt;0.05,P24,Q24)</f>
        <v>744</v>
      </c>
      <c r="S24">
        <f>IF(Wärmequellen!$C$2=1,1,1-((10-D24)/22))</f>
        <v>0.59090909090909083</v>
      </c>
      <c r="T24">
        <f>IF(24-S24*7&lt;17,17,24-S24*7)</f>
        <v>19.863636363636363</v>
      </c>
      <c r="U24">
        <f>R24*0.042*T24</f>
        <v>620.69890909090907</v>
      </c>
      <c r="AA24" t="s">
        <v>55</v>
      </c>
      <c r="AB24">
        <f>G24*N24*R24/1000</f>
        <v>6353.2632040416711</v>
      </c>
    </row>
    <row r="25" spans="2:32" x14ac:dyDescent="0.2">
      <c r="B25" s="1" t="s">
        <v>56</v>
      </c>
      <c r="C25" s="1">
        <v>28</v>
      </c>
      <c r="D25" s="8">
        <v>1.9</v>
      </c>
      <c r="E25" s="8">
        <v>0.54121604949352997</v>
      </c>
      <c r="F25" s="8">
        <v>19.208641979741</v>
      </c>
      <c r="G25" s="1">
        <f t="shared" si="11"/>
        <v>9888.8256400439677</v>
      </c>
      <c r="H25">
        <f>G25-(F9+(0.5*R9)*Gebäude!I51)</f>
        <v>9227.7345415439668</v>
      </c>
      <c r="I25">
        <f t="shared" ref="I25:I35" si="12">IF(H25&lt;0,0,H25)</f>
        <v>9227.7345415439668</v>
      </c>
      <c r="J25">
        <f>AF9*Gebäude!I51</f>
        <v>1819.9885584688273</v>
      </c>
      <c r="K25">
        <f>J25/G25</f>
        <v>0.18404496395395392</v>
      </c>
      <c r="L25" s="25">
        <v>0.99311685252322002</v>
      </c>
      <c r="M25">
        <f t="shared" ref="M25:M35" si="13">1-L25*K25</f>
        <v>0.81722184467529979</v>
      </c>
      <c r="N25">
        <f t="shared" ref="N25:N35" si="14">IF(M25&lt;=0,0,M25)</f>
        <v>0.81722184467529979</v>
      </c>
      <c r="O25">
        <f t="shared" ref="O25:O35" si="15">E25*N25</f>
        <v>0.4422935783349809</v>
      </c>
      <c r="P25">
        <f>C25*24</f>
        <v>672</v>
      </c>
      <c r="Q25">
        <f>(O25/0.05)*C25*24</f>
        <v>5944.4256928221439</v>
      </c>
      <c r="R25">
        <f t="shared" ref="R25:R35" si="16">IF(O25&gt;0.05,P25,Q25)</f>
        <v>672</v>
      </c>
      <c r="S25">
        <f>IF(Wärmequellen!$C$2=1,1,1-((10-D25)/22))</f>
        <v>0.63181818181818183</v>
      </c>
      <c r="T25">
        <f t="shared" ref="T25:T35" si="17">IF(24-S25*7&lt;17,17,24-S25*7)</f>
        <v>19.577272727272728</v>
      </c>
      <c r="U25">
        <f t="shared" ref="U25:U35" si="18">R25*0.042*T25</f>
        <v>552.54894545454545</v>
      </c>
      <c r="AA25" t="s">
        <v>56</v>
      </c>
      <c r="AB25">
        <f>G25*N25*R25/1000</f>
        <v>5430.6768305859778</v>
      </c>
    </row>
    <row r="26" spans="2:32" x14ac:dyDescent="0.2">
      <c r="B26" s="1" t="s">
        <v>57</v>
      </c>
      <c r="C26" s="1">
        <v>31</v>
      </c>
      <c r="D26" s="8">
        <v>4.7</v>
      </c>
      <c r="E26" s="8">
        <v>0.45721604949353001</v>
      </c>
      <c r="F26" s="8">
        <v>0</v>
      </c>
      <c r="G26" s="1">
        <f t="shared" si="11"/>
        <v>3212.1949456636321</v>
      </c>
      <c r="H26">
        <f>G26-(F10+(0.5*R10)*Gebäude!I52)</f>
        <v>2198.0499672886322</v>
      </c>
      <c r="I26">
        <f t="shared" si="12"/>
        <v>2198.0499672886322</v>
      </c>
      <c r="J26">
        <f>AF10*Gebäude!I52</f>
        <v>2039.921565466685</v>
      </c>
      <c r="K26">
        <f>J26/G26</f>
        <v>0.63505534376751283</v>
      </c>
      <c r="L26" s="25">
        <v>0.88002952280601998</v>
      </c>
      <c r="M26">
        <f t="shared" si="13"/>
        <v>0.44113254886886266</v>
      </c>
      <c r="N26">
        <f t="shared" si="14"/>
        <v>0.44113254886886266</v>
      </c>
      <c r="O26">
        <f t="shared" si="15"/>
        <v>0.20169288129683297</v>
      </c>
      <c r="P26">
        <f>C26*24</f>
        <v>744</v>
      </c>
      <c r="Q26">
        <f>(O26/0.05)*C26*24</f>
        <v>3001.1900736968746</v>
      </c>
      <c r="R26">
        <f t="shared" si="16"/>
        <v>744</v>
      </c>
      <c r="S26">
        <f>IF(Wärmequellen!$C$2=1,1,1-((10-D26)/22))</f>
        <v>0.75909090909090904</v>
      </c>
      <c r="T26">
        <f t="shared" si="17"/>
        <v>18.686363636363637</v>
      </c>
      <c r="U26">
        <f t="shared" si="18"/>
        <v>583.91149090909096</v>
      </c>
      <c r="AA26" t="s">
        <v>57</v>
      </c>
      <c r="AB26">
        <f>G26*N26*R26/1000</f>
        <v>1054.2507854201413</v>
      </c>
    </row>
    <row r="27" spans="2:32" x14ac:dyDescent="0.2">
      <c r="B27" s="1" t="s">
        <v>58</v>
      </c>
      <c r="C27" s="1">
        <v>30</v>
      </c>
      <c r="D27" s="8">
        <v>9.1999999999999993</v>
      </c>
      <c r="E27" s="8">
        <v>0.32310802474676997</v>
      </c>
      <c r="F27" s="8">
        <v>19.525401237337999</v>
      </c>
      <c r="G27" s="1">
        <f t="shared" si="11"/>
        <v>5963.5868516620267</v>
      </c>
      <c r="H27">
        <f>G27-(F11+(0.5*R11)*Gebäude!I53)</f>
        <v>4514.8736737870267</v>
      </c>
      <c r="I27">
        <f t="shared" si="12"/>
        <v>4514.8736737870267</v>
      </c>
      <c r="J27">
        <f>AF11*Gebäude!I53</f>
        <v>2983.5729970125681</v>
      </c>
      <c r="K27">
        <f>J27/G27</f>
        <v>0.50029840618168553</v>
      </c>
      <c r="L27" s="25">
        <v>0.92689854189822996</v>
      </c>
      <c r="M27">
        <f t="shared" si="13"/>
        <v>0.5362741367961873</v>
      </c>
      <c r="N27">
        <f t="shared" si="14"/>
        <v>0.5362741367961873</v>
      </c>
      <c r="O27">
        <f t="shared" si="15"/>
        <v>0.1732744770629952</v>
      </c>
      <c r="P27">
        <f>C27*24</f>
        <v>720</v>
      </c>
      <c r="Q27">
        <f>(O27/0.05)*C27*24</f>
        <v>2495.1524697071309</v>
      </c>
      <c r="R27">
        <f t="shared" si="16"/>
        <v>720</v>
      </c>
      <c r="S27">
        <f>IF(Wärmequellen!$C$2=1,1,1-((10-D27)/22))</f>
        <v>0.96363636363636362</v>
      </c>
      <c r="T27">
        <f t="shared" si="17"/>
        <v>17.254545454545454</v>
      </c>
      <c r="U27">
        <f t="shared" si="18"/>
        <v>521.77745454545459</v>
      </c>
      <c r="AA27" t="s">
        <v>58</v>
      </c>
      <c r="AB27">
        <f>G27*N27*R27/1000</f>
        <v>2302.6445215805848</v>
      </c>
    </row>
    <row r="28" spans="2:32" x14ac:dyDescent="0.2">
      <c r="B28" s="1" t="s">
        <v>59</v>
      </c>
      <c r="C28" s="1">
        <v>31</v>
      </c>
      <c r="D28" s="8">
        <v>14.1</v>
      </c>
      <c r="E28" s="8">
        <v>0.17610802474677001</v>
      </c>
      <c r="F28" s="8">
        <v>19.742160494935</v>
      </c>
      <c r="G28" s="1">
        <f t="shared" si="11"/>
        <v>3272.7649144272054</v>
      </c>
      <c r="H28">
        <f>G28-(F12+(0.5*R12)*Gebäude!I54)</f>
        <v>1763.6812418022057</v>
      </c>
      <c r="I28">
        <f t="shared" si="12"/>
        <v>1763.6812418022057</v>
      </c>
      <c r="J28">
        <f>AF12*Gebäude!I54</f>
        <v>2960.3998806143359</v>
      </c>
      <c r="K28">
        <f>J28/G28</f>
        <v>0.90455622631620047</v>
      </c>
      <c r="L28" s="25">
        <v>0.77826863399984003</v>
      </c>
      <c r="M28">
        <f t="shared" si="13"/>
        <v>0.29601226136884051</v>
      </c>
      <c r="N28">
        <f t="shared" si="14"/>
        <v>0.29601226136884051</v>
      </c>
      <c r="O28">
        <f t="shared" si="15"/>
        <v>5.2130134650491114E-2</v>
      </c>
      <c r="P28">
        <f>C28*24</f>
        <v>744</v>
      </c>
      <c r="Q28">
        <f>(O28/0.05)*C28*24</f>
        <v>775.69640359930781</v>
      </c>
      <c r="R28">
        <f t="shared" si="16"/>
        <v>744</v>
      </c>
      <c r="S28">
        <f>IF(Wärmequellen!$C$2=1,1,1-((10-D28)/22))</f>
        <v>1.1863636363636363</v>
      </c>
      <c r="T28">
        <f t="shared" si="17"/>
        <v>17</v>
      </c>
      <c r="U28">
        <f t="shared" si="18"/>
        <v>531.21600000000001</v>
      </c>
      <c r="AA28" t="s">
        <v>59</v>
      </c>
      <c r="AB28">
        <f>G28*N28*R28/1000</f>
        <v>720.77123617665859</v>
      </c>
    </row>
    <row r="29" spans="2:32" x14ac:dyDescent="0.2">
      <c r="B29" s="1" t="s">
        <v>60</v>
      </c>
      <c r="C29" s="1">
        <v>30</v>
      </c>
      <c r="D29" s="8">
        <v>16.7</v>
      </c>
      <c r="E29" s="8">
        <v>9.9000000000000005E-2</v>
      </c>
      <c r="F29" s="8">
        <v>19.852160494934999</v>
      </c>
      <c r="G29" s="1">
        <f t="shared" si="11"/>
        <v>1846.1767249312081</v>
      </c>
      <c r="H29">
        <f>G29-(F13+(0.5*R13)*Gebäude!I55)</f>
        <v>293.47716455620798</v>
      </c>
      <c r="I29">
        <f t="shared" si="12"/>
        <v>293.47716455620798</v>
      </c>
      <c r="J29">
        <f>AF13*Gebäude!I55</f>
        <v>3048.6532362009584</v>
      </c>
      <c r="K29">
        <f>J29/G29</f>
        <v>1.6513333718442131</v>
      </c>
      <c r="L29" s="25">
        <v>0.54016665703894995</v>
      </c>
      <c r="M29">
        <f t="shared" si="13"/>
        <v>0.10800477287405408</v>
      </c>
      <c r="N29">
        <f t="shared" si="14"/>
        <v>0.10800477287405408</v>
      </c>
      <c r="O29">
        <f t="shared" si="15"/>
        <v>1.0692472514531355E-2</v>
      </c>
      <c r="P29">
        <f>C29*24</f>
        <v>720</v>
      </c>
      <c r="Q29">
        <f>(O29/0.05)*C29*24</f>
        <v>153.9716042092515</v>
      </c>
      <c r="R29">
        <f t="shared" si="16"/>
        <v>153.9716042092515</v>
      </c>
      <c r="S29">
        <f>IF(Wärmequellen!$C$2=1,1,1-((10-D29)/22))</f>
        <v>1.3045454545454545</v>
      </c>
      <c r="T29">
        <f t="shared" si="17"/>
        <v>17</v>
      </c>
      <c r="U29">
        <f t="shared" si="18"/>
        <v>109.93572540540558</v>
      </c>
      <c r="AA29" t="s">
        <v>60</v>
      </c>
      <c r="AB29">
        <f>G29*N29*R29/1000</f>
        <v>30.701306266488476</v>
      </c>
    </row>
    <row r="30" spans="2:32" x14ac:dyDescent="0.2">
      <c r="B30" s="1" t="s">
        <v>61</v>
      </c>
      <c r="C30" s="1">
        <v>31</v>
      </c>
      <c r="D30" s="8">
        <v>19</v>
      </c>
      <c r="E30" s="8">
        <v>0.03</v>
      </c>
      <c r="F30" s="8">
        <v>19.96</v>
      </c>
      <c r="G30" s="1">
        <f t="shared" si="11"/>
        <v>561.34157242036201</v>
      </c>
      <c r="H30">
        <f>G30-(F14+(0.5*R14)*Gebäude!I56)</f>
        <v>-901.40430870463786</v>
      </c>
      <c r="I30">
        <f t="shared" si="12"/>
        <v>0</v>
      </c>
      <c r="J30">
        <f>AF14*Gebäude!I56</f>
        <v>2836.6821047157532</v>
      </c>
      <c r="K30">
        <f>J30/G30</f>
        <v>5.0533975106897957</v>
      </c>
      <c r="L30" s="25">
        <v>0.19618448463655</v>
      </c>
      <c r="M30">
        <f t="shared" si="13"/>
        <v>8.6018137016977692E-3</v>
      </c>
      <c r="N30">
        <f t="shared" si="14"/>
        <v>8.6018137016977692E-3</v>
      </c>
      <c r="O30">
        <f t="shared" si="15"/>
        <v>2.5805441105093306E-4</v>
      </c>
      <c r="P30">
        <f>C30*24</f>
        <v>744</v>
      </c>
      <c r="Q30">
        <f>(O30/0.05)*C30*24</f>
        <v>3.8398496364378838</v>
      </c>
      <c r="R30">
        <f t="shared" si="16"/>
        <v>3.8398496364378838</v>
      </c>
      <c r="S30">
        <f>IF(Wärmequellen!$C$2=1,1,1-((10-D30)/22))</f>
        <v>1.4090909090909092</v>
      </c>
      <c r="T30">
        <f t="shared" si="17"/>
        <v>17</v>
      </c>
      <c r="U30">
        <f t="shared" si="18"/>
        <v>2.7416526404166492</v>
      </c>
      <c r="AA30" t="s">
        <v>61</v>
      </c>
      <c r="AB30">
        <f>G30*N30*R30/1000</f>
        <v>1.8540927576451427E-2</v>
      </c>
    </row>
    <row r="31" spans="2:32" x14ac:dyDescent="0.2">
      <c r="B31" s="1" t="s">
        <v>62</v>
      </c>
      <c r="C31" s="1">
        <v>31</v>
      </c>
      <c r="D31" s="8">
        <v>18.600000000000001</v>
      </c>
      <c r="E31" s="8">
        <v>4.2000000000000003E-2</v>
      </c>
      <c r="F31" s="8">
        <v>19.940000000000001</v>
      </c>
      <c r="G31" s="1">
        <f t="shared" si="11"/>
        <v>785.38641277687452</v>
      </c>
      <c r="H31">
        <f>G31-(F15+(0.5*R15)*Gebäude!I57)</f>
        <v>-567.44403772312535</v>
      </c>
      <c r="I31">
        <f t="shared" si="12"/>
        <v>0</v>
      </c>
      <c r="J31">
        <f>AF15*Gebäude!I57</f>
        <v>2616.8512434657532</v>
      </c>
      <c r="K31">
        <f>J31/G31</f>
        <v>3.3319283360319494</v>
      </c>
      <c r="L31" s="25">
        <v>0.29344573311743999</v>
      </c>
      <c r="M31">
        <f t="shared" si="13"/>
        <v>2.22598467383327E-2</v>
      </c>
      <c r="N31">
        <f t="shared" si="14"/>
        <v>2.22598467383327E-2</v>
      </c>
      <c r="O31">
        <f t="shared" si="15"/>
        <v>9.3491356300997349E-4</v>
      </c>
      <c r="P31">
        <f>C31*24</f>
        <v>744</v>
      </c>
      <c r="Q31">
        <f>(O31/0.05)*C31*24</f>
        <v>13.911513817588403</v>
      </c>
      <c r="R31">
        <f t="shared" si="16"/>
        <v>13.911513817588403</v>
      </c>
      <c r="S31">
        <f>IF(Wärmequellen!$C$2=1,1,1-((10-D31)/22))</f>
        <v>1.3909090909090911</v>
      </c>
      <c r="T31">
        <f t="shared" si="17"/>
        <v>17</v>
      </c>
      <c r="U31">
        <f t="shared" si="18"/>
        <v>9.9328208657581207</v>
      </c>
      <c r="AA31" t="s">
        <v>62</v>
      </c>
      <c r="AB31">
        <f>G31*N31*R31/1000</f>
        <v>0.24320916963573855</v>
      </c>
    </row>
    <row r="32" spans="2:32" x14ac:dyDescent="0.2">
      <c r="B32" s="1" t="s">
        <v>63</v>
      </c>
      <c r="C32" s="1">
        <v>30</v>
      </c>
      <c r="D32" s="8">
        <v>14.3</v>
      </c>
      <c r="E32" s="8">
        <v>0.17010802474677</v>
      </c>
      <c r="F32" s="8">
        <v>19.752160494935001</v>
      </c>
      <c r="G32" s="1">
        <f t="shared" si="11"/>
        <v>3162.2577402046868</v>
      </c>
      <c r="H32">
        <f>G32-(F16+(0.5*R16)*Gebäude!I58)</f>
        <v>2012.0949394546869</v>
      </c>
      <c r="I32">
        <f t="shared" si="12"/>
        <v>2012.0949394546869</v>
      </c>
      <c r="J32">
        <f>AF16*Gebäude!I58</f>
        <v>2274.8838445947831</v>
      </c>
      <c r="K32">
        <f>J32/G32</f>
        <v>0.7193859677129083</v>
      </c>
      <c r="L32" s="25">
        <v>0.84863333226908999</v>
      </c>
      <c r="M32">
        <f t="shared" si="13"/>
        <v>0.38950508903217063</v>
      </c>
      <c r="N32">
        <f t="shared" si="14"/>
        <v>0.38950508903217063</v>
      </c>
      <c r="O32">
        <f t="shared" si="15"/>
        <v>6.6257941324077335E-2</v>
      </c>
      <c r="P32">
        <f>C32*24</f>
        <v>720</v>
      </c>
      <c r="Q32">
        <f>(O32/0.05)*C32*24</f>
        <v>954.11435506671341</v>
      </c>
      <c r="R32">
        <f t="shared" si="16"/>
        <v>720</v>
      </c>
      <c r="S32">
        <f>IF(Wärmequellen!$C$2=1,1,1-((10-D32)/22))</f>
        <v>1.1954545454545455</v>
      </c>
      <c r="T32">
        <f t="shared" si="17"/>
        <v>17</v>
      </c>
      <c r="U32">
        <f t="shared" si="18"/>
        <v>514.08000000000004</v>
      </c>
      <c r="AA32" t="s">
        <v>63</v>
      </c>
      <c r="AB32">
        <f>G32*N32*R32/1000</f>
        <v>886.83514750158997</v>
      </c>
    </row>
    <row r="33" spans="2:28" x14ac:dyDescent="0.2">
      <c r="B33" s="1" t="s">
        <v>64</v>
      </c>
      <c r="C33" s="1">
        <v>31</v>
      </c>
      <c r="D33" s="8">
        <v>9.5</v>
      </c>
      <c r="E33" s="8">
        <v>0.31410802474677002</v>
      </c>
      <c r="F33" s="8">
        <v>19.535401237338</v>
      </c>
      <c r="G33" s="1">
        <f t="shared" si="11"/>
        <v>5799.3133370703099</v>
      </c>
      <c r="H33">
        <f>G33-(F17+(0.5*R17)*Gebäude!I59)</f>
        <v>4850.4791041953094</v>
      </c>
      <c r="I33">
        <f t="shared" si="12"/>
        <v>4850.4791041953094</v>
      </c>
      <c r="J33">
        <f>AF17*Gebäude!I59</f>
        <v>1961.1296754658406</v>
      </c>
      <c r="K33">
        <f>J33/G33</f>
        <v>0.3381658416229949</v>
      </c>
      <c r="L33" s="25">
        <v>0.96960351484294005</v>
      </c>
      <c r="M33">
        <f t="shared" si="13"/>
        <v>0.67211321136252322</v>
      </c>
      <c r="N33">
        <f t="shared" si="14"/>
        <v>0.67211321136252322</v>
      </c>
      <c r="O33">
        <f t="shared" si="15"/>
        <v>0.21111615322729052</v>
      </c>
      <c r="P33">
        <f>C33*24</f>
        <v>744</v>
      </c>
      <c r="Q33">
        <f>(O33/0.05)*C33*24</f>
        <v>3141.4083600220829</v>
      </c>
      <c r="R33">
        <f t="shared" si="16"/>
        <v>744</v>
      </c>
      <c r="S33">
        <f>IF(Wärmequellen!$C$2=1,1,1-((10-D33)/22))</f>
        <v>0.97727272727272729</v>
      </c>
      <c r="T33">
        <f t="shared" si="17"/>
        <v>17.15909090909091</v>
      </c>
      <c r="U33">
        <f t="shared" si="18"/>
        <v>536.18727272727278</v>
      </c>
      <c r="AA33" t="s">
        <v>64</v>
      </c>
      <c r="AB33">
        <f>G33*N33*R33/1000</f>
        <v>2899.9595623428227</v>
      </c>
    </row>
    <row r="34" spans="2:28" x14ac:dyDescent="0.2">
      <c r="B34" s="1" t="s">
        <v>65</v>
      </c>
      <c r="C34" s="1">
        <v>30</v>
      </c>
      <c r="D34" s="8">
        <v>4.0999999999999996</v>
      </c>
      <c r="E34" s="8">
        <v>0.47521604949353002</v>
      </c>
      <c r="F34" s="8">
        <v>19.306481484806</v>
      </c>
      <c r="G34" s="1">
        <f t="shared" si="11"/>
        <v>8710.1280840494492</v>
      </c>
      <c r="H34">
        <f>G34-(F18+(0.5*R18)*Gebäude!I60)</f>
        <v>8079.4411151744489</v>
      </c>
      <c r="I34">
        <f t="shared" si="12"/>
        <v>8079.4411151744489</v>
      </c>
      <c r="J34">
        <f>AF18*Gebäude!I60</f>
        <v>1585.4541190044131</v>
      </c>
      <c r="K34">
        <f>J34/G34</f>
        <v>0.1820242025955737</v>
      </c>
      <c r="L34" s="25">
        <v>0.99325830581830998</v>
      </c>
      <c r="M34">
        <f t="shared" si="13"/>
        <v>0.81920294891199164</v>
      </c>
      <c r="N34">
        <f t="shared" si="14"/>
        <v>0.81920294891199164</v>
      </c>
      <c r="O34">
        <f t="shared" si="15"/>
        <v>0.38929838911540676</v>
      </c>
      <c r="P34">
        <f>C34*24</f>
        <v>720</v>
      </c>
      <c r="Q34">
        <f>(O34/0.05)*C34*24</f>
        <v>5605.8968032618577</v>
      </c>
      <c r="R34">
        <f t="shared" si="16"/>
        <v>720</v>
      </c>
      <c r="S34">
        <f>IF(Wärmequellen!$C$2=1,1,1-((10-D34)/22))</f>
        <v>0.73181818181818181</v>
      </c>
      <c r="T34">
        <f t="shared" si="17"/>
        <v>18.877272727272725</v>
      </c>
      <c r="U34">
        <f t="shared" si="18"/>
        <v>570.84872727272727</v>
      </c>
      <c r="AA34" t="s">
        <v>65</v>
      </c>
      <c r="AB34">
        <f>G34*N34*R34/1000</f>
        <v>5137.461080535214</v>
      </c>
    </row>
    <row r="35" spans="2:28" x14ac:dyDescent="0.2">
      <c r="B35" s="1" t="s">
        <v>66</v>
      </c>
      <c r="C35" s="1">
        <v>31</v>
      </c>
      <c r="D35" s="8">
        <v>0.9</v>
      </c>
      <c r="E35" s="8">
        <v>0.57032407424029996</v>
      </c>
      <c r="F35" s="8">
        <v>19.159722227208999</v>
      </c>
      <c r="G35" s="1">
        <f t="shared" si="11"/>
        <v>10404.338257532285</v>
      </c>
      <c r="H35">
        <f>G35-(F19+(0.5*R19)*Gebäude!I61)</f>
        <v>9829.1252726572857</v>
      </c>
      <c r="I35">
        <f t="shared" si="12"/>
        <v>9829.1252726572857</v>
      </c>
      <c r="J35">
        <f>AF19*Gebäude!I61</f>
        <v>1621.8764527572184</v>
      </c>
      <c r="K35">
        <f>J35/G35</f>
        <v>0.15588463318011128</v>
      </c>
      <c r="L35" s="25">
        <v>0.99508807567738999</v>
      </c>
      <c r="M35">
        <f t="shared" si="13"/>
        <v>0.8448810603411272</v>
      </c>
      <c r="N35">
        <f t="shared" si="14"/>
        <v>0.8448810603411272</v>
      </c>
      <c r="O35">
        <f t="shared" si="15"/>
        <v>0.48185600858221639</v>
      </c>
      <c r="P35">
        <f>C35*24</f>
        <v>744</v>
      </c>
      <c r="Q35">
        <f>(O35/0.05)*C35*24</f>
        <v>7170.0174077033789</v>
      </c>
      <c r="R35">
        <f t="shared" si="16"/>
        <v>744</v>
      </c>
      <c r="S35">
        <f>IF(Wärmequellen!$C$2=1,1,1-((10-D35)/22))</f>
        <v>0.58636363636363642</v>
      </c>
      <c r="T35">
        <f t="shared" si="17"/>
        <v>19.895454545454545</v>
      </c>
      <c r="U35">
        <f t="shared" si="18"/>
        <v>621.69316363636358</v>
      </c>
      <c r="AA35" s="4" t="s">
        <v>66</v>
      </c>
      <c r="AB35" s="4">
        <f>G35*N35*R35/1000</f>
        <v>6540.0786843436945</v>
      </c>
    </row>
    <row r="36" spans="2:28" x14ac:dyDescent="0.2">
      <c r="K36" s="1"/>
      <c r="AA36" s="2" t="s">
        <v>127</v>
      </c>
      <c r="AB36" s="2">
        <f>SUM(AB24:AB35)</f>
        <v>31356.904108892053</v>
      </c>
    </row>
    <row r="37" spans="2:28" x14ac:dyDescent="0.2">
      <c r="B37" s="24" t="s">
        <v>77</v>
      </c>
      <c r="E37">
        <f>MAX(E24:E35)</f>
        <v>0.57032407424029996</v>
      </c>
    </row>
    <row r="38" spans="2:28" x14ac:dyDescent="0.2">
      <c r="S38" s="28" t="s">
        <v>168</v>
      </c>
    </row>
    <row r="39" spans="2:28" x14ac:dyDescent="0.2">
      <c r="B39" t="s">
        <v>78</v>
      </c>
      <c r="K39" s="7"/>
    </row>
    <row r="40" spans="2:28" x14ac:dyDescent="0.2">
      <c r="G40" s="7"/>
      <c r="H40" s="7"/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336C9-D30B-3E41-B0AD-8BF2B56C5439}">
  <dimension ref="A1:C12"/>
  <sheetViews>
    <sheetView workbookViewId="0">
      <selection activeCell="C1" sqref="A1:XFD1048576"/>
    </sheetView>
  </sheetViews>
  <sheetFormatPr baseColWidth="10" defaultRowHeight="16" x14ac:dyDescent="0.2"/>
  <cols>
    <col min="3" max="3" width="10.83203125" customWidth="1"/>
  </cols>
  <sheetData>
    <row r="1" spans="1:3" ht="20" x14ac:dyDescent="0.2">
      <c r="A1" s="5" t="s">
        <v>55</v>
      </c>
      <c r="B1" s="5">
        <v>31</v>
      </c>
      <c r="C1" s="5">
        <v>0.56732407424029996</v>
      </c>
    </row>
    <row r="2" spans="1:3" ht="20" x14ac:dyDescent="0.2">
      <c r="A2" s="5" t="s">
        <v>56</v>
      </c>
      <c r="B2" s="5">
        <v>28</v>
      </c>
      <c r="C2" s="5">
        <v>0.54121604949352997</v>
      </c>
    </row>
    <row r="3" spans="1:3" ht="20" x14ac:dyDescent="0.2">
      <c r="A3" s="5" t="s">
        <v>57</v>
      </c>
      <c r="B3" s="5">
        <v>31</v>
      </c>
      <c r="C3" s="5">
        <v>0.45721604949353001</v>
      </c>
    </row>
    <row r="4" spans="1:3" ht="20" x14ac:dyDescent="0.2">
      <c r="A4" s="5" t="s">
        <v>58</v>
      </c>
      <c r="B4" s="5">
        <v>30</v>
      </c>
      <c r="C4" s="5">
        <v>0.32310802474676997</v>
      </c>
    </row>
    <row r="5" spans="1:3" ht="20" x14ac:dyDescent="0.2">
      <c r="A5" s="5" t="s">
        <v>59</v>
      </c>
      <c r="B5" s="5">
        <v>31</v>
      </c>
      <c r="C5" s="5">
        <v>0.17610802474677001</v>
      </c>
    </row>
    <row r="6" spans="1:3" ht="20" x14ac:dyDescent="0.2">
      <c r="A6" s="5" t="s">
        <v>60</v>
      </c>
      <c r="B6" s="5">
        <v>30</v>
      </c>
      <c r="C6" s="5">
        <v>9.9000000000000005E-2</v>
      </c>
    </row>
    <row r="7" spans="1:3" ht="20" x14ac:dyDescent="0.2">
      <c r="A7" s="5" t="s">
        <v>61</v>
      </c>
      <c r="B7" s="5">
        <v>31</v>
      </c>
      <c r="C7" s="5">
        <v>0.03</v>
      </c>
    </row>
    <row r="8" spans="1:3" ht="20" x14ac:dyDescent="0.2">
      <c r="A8" s="5" t="s">
        <v>62</v>
      </c>
      <c r="B8" s="5">
        <v>31</v>
      </c>
      <c r="C8" s="5">
        <v>4.2000000000000003E-2</v>
      </c>
    </row>
    <row r="9" spans="1:3" ht="20" x14ac:dyDescent="0.2">
      <c r="A9" s="5" t="s">
        <v>63</v>
      </c>
      <c r="B9" s="5">
        <v>30</v>
      </c>
      <c r="C9" s="5">
        <v>0.17010802474677</v>
      </c>
    </row>
    <row r="10" spans="1:3" ht="20" x14ac:dyDescent="0.2">
      <c r="A10" s="5" t="s">
        <v>64</v>
      </c>
      <c r="B10" s="5">
        <v>31</v>
      </c>
      <c r="C10" s="5">
        <v>0.31410802474677002</v>
      </c>
    </row>
    <row r="11" spans="1:3" ht="20" x14ac:dyDescent="0.2">
      <c r="A11" s="5" t="s">
        <v>65</v>
      </c>
      <c r="B11" s="5">
        <v>30</v>
      </c>
      <c r="C11" s="5">
        <v>0.47521604949353002</v>
      </c>
    </row>
    <row r="12" spans="1:3" ht="20" x14ac:dyDescent="0.2">
      <c r="A12" s="5" t="s">
        <v>66</v>
      </c>
      <c r="B12" s="5">
        <v>31</v>
      </c>
      <c r="C12" s="5">
        <v>0.57032407424029996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Gebäude</vt:lpstr>
      <vt:lpstr>Dach</vt:lpstr>
      <vt:lpstr>Wärmequellen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Wagener</dc:creator>
  <cp:lastModifiedBy>Sven Wagener</cp:lastModifiedBy>
  <dcterms:created xsi:type="dcterms:W3CDTF">2023-11-10T08:06:12Z</dcterms:created>
  <dcterms:modified xsi:type="dcterms:W3CDTF">2023-11-14T09:30:54Z</dcterms:modified>
</cp:coreProperties>
</file>