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lut-my.sharepoint.com/personal/mai_elsayed_lut_fi/Documents/LEMPS/EEM25/"/>
    </mc:Choice>
  </mc:AlternateContent>
  <xr:revisionPtr revIDLastSave="6" documentId="8_{C7C4E4EB-2A58-496F-A4A4-DC75B0F80E10}" xr6:coauthVersionLast="47" xr6:coauthVersionMax="47" xr10:uidLastSave="{CE9BB6D1-FB8E-47B2-965A-6306C3D07BBC}"/>
  <bookViews>
    <workbookView xWindow="-375" yWindow="-16320" windowWidth="29040" windowHeight="15720" xr2:uid="{C685B625-B080-4F74-A583-A0F5C54CD460}"/>
  </bookViews>
  <sheets>
    <sheet name="Data" sheetId="5" r:id="rId1"/>
    <sheet name="Metadata"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6" i="5" l="1"/>
  <c r="E136" i="5"/>
  <c r="F135" i="5"/>
  <c r="E135" i="5"/>
  <c r="F134" i="5"/>
  <c r="E134" i="5"/>
  <c r="F133" i="5"/>
  <c r="E133" i="5"/>
  <c r="F132" i="5"/>
  <c r="E132" i="5"/>
  <c r="F131" i="5"/>
  <c r="E131" i="5"/>
  <c r="F130" i="5"/>
  <c r="E130" i="5"/>
  <c r="F129" i="5"/>
  <c r="E129" i="5"/>
  <c r="F128" i="5"/>
  <c r="E128" i="5"/>
  <c r="F127" i="5"/>
  <c r="E127" i="5"/>
  <c r="F126" i="5"/>
  <c r="E126" i="5"/>
  <c r="F125" i="5"/>
  <c r="E125" i="5"/>
  <c r="F124" i="5"/>
  <c r="E124" i="5"/>
  <c r="F123" i="5"/>
  <c r="E123" i="5"/>
  <c r="F122" i="5"/>
  <c r="E122" i="5"/>
  <c r="F121" i="5"/>
  <c r="E121" i="5"/>
  <c r="F120" i="5"/>
  <c r="E120" i="5"/>
  <c r="F119" i="5"/>
  <c r="E119" i="5"/>
  <c r="F118" i="5"/>
  <c r="E118" i="5"/>
  <c r="F117" i="5"/>
  <c r="E117" i="5"/>
  <c r="F116" i="5"/>
  <c r="E116" i="5"/>
  <c r="F115" i="5"/>
  <c r="E115" i="5"/>
  <c r="F114" i="5"/>
  <c r="E114" i="5"/>
  <c r="F113" i="5"/>
  <c r="E113" i="5"/>
  <c r="F112" i="5"/>
  <c r="E112" i="5"/>
  <c r="F111" i="5"/>
  <c r="E111" i="5"/>
  <c r="F110" i="5"/>
  <c r="E110" i="5"/>
  <c r="F109" i="5"/>
  <c r="E109" i="5"/>
  <c r="F108" i="5"/>
  <c r="E108" i="5"/>
  <c r="F107" i="5"/>
  <c r="E107" i="5"/>
  <c r="F106" i="5"/>
  <c r="E106" i="5"/>
  <c r="F105" i="5"/>
  <c r="E105" i="5"/>
  <c r="F104" i="5"/>
  <c r="E104" i="5"/>
  <c r="F103" i="5"/>
  <c r="E103" i="5"/>
  <c r="F102" i="5"/>
  <c r="E102" i="5"/>
  <c r="F101" i="5"/>
  <c r="E101" i="5"/>
  <c r="F100" i="5"/>
  <c r="E100" i="5"/>
  <c r="F99" i="5"/>
  <c r="E99" i="5"/>
  <c r="F98" i="5"/>
  <c r="E98" i="5"/>
  <c r="F97" i="5"/>
  <c r="E97" i="5"/>
  <c r="F96" i="5"/>
  <c r="E96" i="5"/>
  <c r="F95" i="5"/>
  <c r="E95" i="5"/>
  <c r="F94" i="5"/>
  <c r="E94" i="5"/>
  <c r="F93" i="5"/>
  <c r="E93" i="5"/>
  <c r="F92" i="5"/>
  <c r="E92" i="5"/>
  <c r="F91" i="5"/>
  <c r="E91" i="5"/>
  <c r="F90" i="5"/>
  <c r="E90" i="5"/>
  <c r="F89" i="5"/>
  <c r="E89" i="5"/>
  <c r="F88" i="5"/>
  <c r="E88" i="5"/>
  <c r="F87" i="5"/>
  <c r="E87" i="5"/>
  <c r="F86" i="5"/>
  <c r="E86" i="5"/>
  <c r="F85" i="5"/>
  <c r="E85" i="5"/>
  <c r="F84" i="5"/>
  <c r="E84" i="5"/>
  <c r="F83" i="5"/>
  <c r="E83" i="5"/>
  <c r="F82" i="5"/>
  <c r="E82" i="5"/>
  <c r="F81" i="5"/>
  <c r="E81" i="5"/>
  <c r="F80" i="5"/>
  <c r="E80" i="5"/>
  <c r="F79" i="5"/>
  <c r="E79" i="5"/>
  <c r="F78" i="5"/>
  <c r="E78" i="5"/>
  <c r="F77" i="5"/>
  <c r="E77" i="5"/>
  <c r="F76" i="5"/>
  <c r="E76" i="5"/>
  <c r="F75" i="5"/>
  <c r="E75" i="5"/>
  <c r="F74" i="5"/>
  <c r="E74" i="5"/>
  <c r="F73" i="5"/>
  <c r="E73" i="5"/>
  <c r="F72" i="5"/>
  <c r="E72" i="5"/>
  <c r="F71" i="5"/>
  <c r="E71" i="5"/>
  <c r="F70" i="5"/>
  <c r="E70" i="5"/>
  <c r="F69" i="5"/>
  <c r="E69" i="5"/>
  <c r="F68" i="5"/>
  <c r="E68" i="5"/>
  <c r="F67" i="5"/>
  <c r="E67" i="5"/>
  <c r="F66" i="5"/>
  <c r="E66" i="5"/>
  <c r="F65" i="5"/>
  <c r="E65" i="5"/>
  <c r="F64" i="5"/>
  <c r="E64" i="5"/>
  <c r="F63" i="5"/>
  <c r="E63" i="5"/>
  <c r="F62" i="5"/>
  <c r="E62" i="5"/>
  <c r="F61" i="5"/>
  <c r="E61" i="5"/>
  <c r="F60" i="5"/>
  <c r="E60" i="5"/>
  <c r="F59" i="5"/>
  <c r="E59" i="5"/>
  <c r="F58" i="5"/>
  <c r="E58" i="5"/>
  <c r="F57" i="5"/>
  <c r="E57" i="5"/>
  <c r="F56" i="5"/>
  <c r="E56" i="5"/>
  <c r="F55" i="5"/>
  <c r="E55" i="5"/>
  <c r="F54" i="5"/>
  <c r="E54" i="5"/>
  <c r="F53" i="5"/>
  <c r="E53" i="5"/>
  <c r="F52" i="5"/>
  <c r="E52" i="5"/>
  <c r="F51" i="5"/>
  <c r="E51" i="5"/>
  <c r="F50" i="5"/>
  <c r="E50" i="5"/>
  <c r="F49" i="5"/>
  <c r="E49" i="5"/>
  <c r="F48" i="5"/>
  <c r="E48" i="5"/>
  <c r="F47" i="5"/>
  <c r="E47" i="5"/>
  <c r="F46" i="5"/>
  <c r="E46" i="5"/>
  <c r="F45" i="5"/>
  <c r="E45" i="5"/>
  <c r="F44" i="5"/>
  <c r="E44" i="5"/>
  <c r="F43" i="5"/>
  <c r="E43" i="5"/>
  <c r="F42" i="5"/>
  <c r="E42" i="5"/>
  <c r="F41" i="5"/>
  <c r="E41" i="5"/>
  <c r="F40" i="5"/>
  <c r="E40" i="5"/>
  <c r="F39" i="5"/>
  <c r="E39" i="5"/>
  <c r="F38" i="5"/>
  <c r="E38" i="5"/>
  <c r="F37" i="5"/>
  <c r="E37" i="5"/>
  <c r="F36" i="5"/>
  <c r="E36" i="5"/>
  <c r="F35" i="5"/>
  <c r="E35" i="5"/>
  <c r="F34" i="5"/>
  <c r="E34" i="5"/>
  <c r="F33" i="5"/>
  <c r="E33" i="5"/>
  <c r="F32" i="5"/>
  <c r="E32" i="5"/>
  <c r="F31" i="5"/>
  <c r="E31" i="5"/>
  <c r="F30" i="5"/>
  <c r="E30" i="5"/>
  <c r="F29" i="5"/>
  <c r="E29" i="5"/>
  <c r="F28" i="5"/>
  <c r="E28" i="5"/>
  <c r="F27" i="5"/>
  <c r="E27" i="5"/>
  <c r="F26" i="5"/>
  <c r="E26" i="5"/>
  <c r="F25" i="5"/>
  <c r="E25" i="5"/>
  <c r="F24" i="5"/>
  <c r="E24" i="5"/>
  <c r="F23" i="5"/>
  <c r="E23" i="5"/>
  <c r="F22" i="5"/>
  <c r="E22" i="5"/>
  <c r="F21" i="5"/>
  <c r="E21" i="5"/>
  <c r="F20" i="5"/>
  <c r="E20" i="5"/>
  <c r="F19" i="5"/>
  <c r="E19" i="5"/>
  <c r="F18" i="5"/>
  <c r="E18" i="5"/>
  <c r="F17" i="5"/>
  <c r="E17" i="5"/>
  <c r="F16" i="5"/>
  <c r="E16" i="5"/>
  <c r="F15" i="5"/>
  <c r="E15" i="5"/>
  <c r="F14" i="5"/>
  <c r="E14" i="5"/>
  <c r="F13" i="5"/>
  <c r="E13" i="5"/>
  <c r="F12" i="5"/>
  <c r="E12" i="5"/>
  <c r="F11" i="5"/>
  <c r="E11" i="5"/>
  <c r="F10" i="5"/>
  <c r="E10" i="5"/>
  <c r="F9" i="5"/>
  <c r="E9" i="5"/>
  <c r="F8" i="5"/>
  <c r="E8" i="5"/>
  <c r="F7" i="5"/>
  <c r="E7" i="5"/>
  <c r="F6" i="5"/>
  <c r="E6" i="5"/>
  <c r="F5" i="5"/>
  <c r="E5" i="5"/>
  <c r="F4" i="5"/>
  <c r="E4" i="5"/>
  <c r="F3" i="5"/>
  <c r="E3" i="5"/>
  <c r="F2" i="5"/>
  <c r="E2" i="5"/>
</calcChain>
</file>

<file path=xl/sharedStrings.xml><?xml version="1.0" encoding="utf-8"?>
<sst xmlns="http://schemas.openxmlformats.org/spreadsheetml/2006/main" count="296" uniqueCount="290">
  <si>
    <t>Iraq</t>
  </si>
  <si>
    <t>Russian Federation</t>
  </si>
  <si>
    <t>Sri Lanka</t>
  </si>
  <si>
    <t>Haiti</t>
  </si>
  <si>
    <t>Zambia</t>
  </si>
  <si>
    <t>Netherlands</t>
  </si>
  <si>
    <t>Iceland</t>
  </si>
  <si>
    <t>Senegal</t>
  </si>
  <si>
    <t>Morocco</t>
  </si>
  <si>
    <t>Bangladesh</t>
  </si>
  <si>
    <t>United Arab Emirates</t>
  </si>
  <si>
    <t>Tajikistan</t>
  </si>
  <si>
    <t>Botswana</t>
  </si>
  <si>
    <t>Mauritius</t>
  </si>
  <si>
    <t>Hungary</t>
  </si>
  <si>
    <t>Finland</t>
  </si>
  <si>
    <t>Bolivia</t>
  </si>
  <si>
    <t>Austria</t>
  </si>
  <si>
    <t>Sweden</t>
  </si>
  <si>
    <t>Poland</t>
  </si>
  <si>
    <t>Spain</t>
  </si>
  <si>
    <t>Kazakhstan</t>
  </si>
  <si>
    <t>Armenia</t>
  </si>
  <si>
    <t>Ireland</t>
  </si>
  <si>
    <t>Turkiye</t>
  </si>
  <si>
    <t>North Macedonia</t>
  </si>
  <si>
    <t>Jamaica</t>
  </si>
  <si>
    <t>Namibia</t>
  </si>
  <si>
    <t>Ethiopia</t>
  </si>
  <si>
    <t>Chile</t>
  </si>
  <si>
    <t>Ghana</t>
  </si>
  <si>
    <t>Italy</t>
  </si>
  <si>
    <t>Syrian Arab Republic</t>
  </si>
  <si>
    <t>Niger</t>
  </si>
  <si>
    <t>Switzerland</t>
  </si>
  <si>
    <t>Korea, Rep.</t>
  </si>
  <si>
    <t>Canada</t>
  </si>
  <si>
    <t>Albania</t>
  </si>
  <si>
    <t>India</t>
  </si>
  <si>
    <t>Tunisia</t>
  </si>
  <si>
    <t>Nepal</t>
  </si>
  <si>
    <t>Sudan</t>
  </si>
  <si>
    <t>Mexico</t>
  </si>
  <si>
    <t>Ecuador</t>
  </si>
  <si>
    <t>Togo</t>
  </si>
  <si>
    <t>Egypt, Arab Rep.</t>
  </si>
  <si>
    <t>Guatemala</t>
  </si>
  <si>
    <t>Hong Kong SAR, China</t>
  </si>
  <si>
    <t>Latvia</t>
  </si>
  <si>
    <t>Philippines</t>
  </si>
  <si>
    <t>Luxembourg</t>
  </si>
  <si>
    <t>Nigeria</t>
  </si>
  <si>
    <t>Denmark</t>
  </si>
  <si>
    <t>Uzbekistan</t>
  </si>
  <si>
    <t>Argentina</t>
  </si>
  <si>
    <t>Serbia</t>
  </si>
  <si>
    <t>Angola</t>
  </si>
  <si>
    <t>Costa Rica</t>
  </si>
  <si>
    <t>Czechia</t>
  </si>
  <si>
    <t>Bahrain</t>
  </si>
  <si>
    <t>Curacao</t>
  </si>
  <si>
    <t>Slovenia</t>
  </si>
  <si>
    <t>France</t>
  </si>
  <si>
    <t>Slovak Republic</t>
  </si>
  <si>
    <t>Congo, Rep.</t>
  </si>
  <si>
    <t>Bosnia and Herzegovina</t>
  </si>
  <si>
    <t>Viet Nam</t>
  </si>
  <si>
    <t>Mongolia</t>
  </si>
  <si>
    <t>Malta</t>
  </si>
  <si>
    <t>United States</t>
  </si>
  <si>
    <t>Montenegro</t>
  </si>
  <si>
    <t>Iran, Islamic Rep.</t>
  </si>
  <si>
    <t>Dominican Republic</t>
  </si>
  <si>
    <t>Lithuania</t>
  </si>
  <si>
    <t>Myanmar</t>
  </si>
  <si>
    <t>Portugal</t>
  </si>
  <si>
    <t>Brunei Darussalam</t>
  </si>
  <si>
    <t>Australia</t>
  </si>
  <si>
    <t>Ukraine</t>
  </si>
  <si>
    <t>Kosovo</t>
  </si>
  <si>
    <t>Lebanon</t>
  </si>
  <si>
    <t>Cyprus</t>
  </si>
  <si>
    <t>Malaysia</t>
  </si>
  <si>
    <t>Kyrgyz Republic</t>
  </si>
  <si>
    <t>Indonesia</t>
  </si>
  <si>
    <t>Saudi Arabia</t>
  </si>
  <si>
    <t>Moldova</t>
  </si>
  <si>
    <t>Germany</t>
  </si>
  <si>
    <t>Israel</t>
  </si>
  <si>
    <t>South Africa</t>
  </si>
  <si>
    <t>Paraguay</t>
  </si>
  <si>
    <t>Peru</t>
  </si>
  <si>
    <t>Congo, Dem. Rep.</t>
  </si>
  <si>
    <t>Gabon</t>
  </si>
  <si>
    <t>China</t>
  </si>
  <si>
    <t>Singapore</t>
  </si>
  <si>
    <t>Suriname</t>
  </si>
  <si>
    <t>Estonia</t>
  </si>
  <si>
    <t>Croatia</t>
  </si>
  <si>
    <t>Turkmenistan</t>
  </si>
  <si>
    <t>Uruguay</t>
  </si>
  <si>
    <t>Azerbaijan</t>
  </si>
  <si>
    <t>Panama</t>
  </si>
  <si>
    <t>Honduras</t>
  </si>
  <si>
    <t>Romania</t>
  </si>
  <si>
    <t>Libya</t>
  </si>
  <si>
    <t>Thailand</t>
  </si>
  <si>
    <t>Colombia</t>
  </si>
  <si>
    <t>New Zealand</t>
  </si>
  <si>
    <t>Tanzania</t>
  </si>
  <si>
    <t>El Salvador</t>
  </si>
  <si>
    <t>Jordan</t>
  </si>
  <si>
    <t>Belarus</t>
  </si>
  <si>
    <t>Brazil</t>
  </si>
  <si>
    <t>Nicaragua</t>
  </si>
  <si>
    <t>Mozambique</t>
  </si>
  <si>
    <t>Bulgaria</t>
  </si>
  <si>
    <t>Qatar</t>
  </si>
  <si>
    <t>Georgia</t>
  </si>
  <si>
    <t>Benin</t>
  </si>
  <si>
    <t>Belgium</t>
  </si>
  <si>
    <t>Trinidad and Tobago</t>
  </si>
  <si>
    <t>United Kingdom</t>
  </si>
  <si>
    <t>Cambodia</t>
  </si>
  <si>
    <t>Norway</t>
  </si>
  <si>
    <t>Cote d'Ivoire</t>
  </si>
  <si>
    <t>Algeria</t>
  </si>
  <si>
    <t>Greece</t>
  </si>
  <si>
    <t>Oman</t>
  </si>
  <si>
    <t>Kuwait</t>
  </si>
  <si>
    <t>Japan</t>
  </si>
  <si>
    <t>Kenya</t>
  </si>
  <si>
    <t>Pakistan</t>
  </si>
  <si>
    <t>Zimbabwe</t>
  </si>
  <si>
    <t>Cameroon</t>
  </si>
  <si>
    <t>Country</t>
  </si>
  <si>
    <t>GDP_perCapita</t>
  </si>
  <si>
    <t>Elec_allSec_perCapita</t>
  </si>
  <si>
    <t>Elec_allSec_TWh</t>
  </si>
  <si>
    <t>Elec_Res_TWh</t>
  </si>
  <si>
    <t>Code</t>
  </si>
  <si>
    <t>ago</t>
  </si>
  <si>
    <t>alb</t>
  </si>
  <si>
    <t>are</t>
  </si>
  <si>
    <t>arg</t>
  </si>
  <si>
    <t>arm</t>
  </si>
  <si>
    <t>aus</t>
  </si>
  <si>
    <t>aut</t>
  </si>
  <si>
    <t>aze</t>
  </si>
  <si>
    <t>bel</t>
  </si>
  <si>
    <t>ben</t>
  </si>
  <si>
    <t>bgd</t>
  </si>
  <si>
    <t>bgr</t>
  </si>
  <si>
    <t>bhr</t>
  </si>
  <si>
    <t>bih</t>
  </si>
  <si>
    <t>blr</t>
  </si>
  <si>
    <t>bol</t>
  </si>
  <si>
    <t>bra</t>
  </si>
  <si>
    <t>brn</t>
  </si>
  <si>
    <t>bwa</t>
  </si>
  <si>
    <t>can</t>
  </si>
  <si>
    <t>che</t>
  </si>
  <si>
    <t>chl</t>
  </si>
  <si>
    <t>chn</t>
  </si>
  <si>
    <t>civ</t>
  </si>
  <si>
    <t>cmr</t>
  </si>
  <si>
    <t>cod</t>
  </si>
  <si>
    <t>cog</t>
  </si>
  <si>
    <t>col</t>
  </si>
  <si>
    <t>cri</t>
  </si>
  <si>
    <t>cuw</t>
  </si>
  <si>
    <t>cyp</t>
  </si>
  <si>
    <t>cze</t>
  </si>
  <si>
    <t>deu</t>
  </si>
  <si>
    <t>dnk</t>
  </si>
  <si>
    <t>dom</t>
  </si>
  <si>
    <t>dza</t>
  </si>
  <si>
    <t>ecu</t>
  </si>
  <si>
    <t>egy</t>
  </si>
  <si>
    <t>esp</t>
  </si>
  <si>
    <t>est</t>
  </si>
  <si>
    <t>eth</t>
  </si>
  <si>
    <t>fin</t>
  </si>
  <si>
    <t>fra</t>
  </si>
  <si>
    <t>gab</t>
  </si>
  <si>
    <t>gbr</t>
  </si>
  <si>
    <t>geo</t>
  </si>
  <si>
    <t>gha</t>
  </si>
  <si>
    <t>grc</t>
  </si>
  <si>
    <t>gtm</t>
  </si>
  <si>
    <t>hkg</t>
  </si>
  <si>
    <t>hnd</t>
  </si>
  <si>
    <t>hrv</t>
  </si>
  <si>
    <t>hti</t>
  </si>
  <si>
    <t>hun</t>
  </si>
  <si>
    <t>idn</t>
  </si>
  <si>
    <t>ind</t>
  </si>
  <si>
    <t>irl</t>
  </si>
  <si>
    <t>irn</t>
  </si>
  <si>
    <t>irq</t>
  </si>
  <si>
    <t>isl</t>
  </si>
  <si>
    <t>isr</t>
  </si>
  <si>
    <t>ita</t>
  </si>
  <si>
    <t>jam</t>
  </si>
  <si>
    <t>jor</t>
  </si>
  <si>
    <t>jpn</t>
  </si>
  <si>
    <t>kaz</t>
  </si>
  <si>
    <t>ken</t>
  </si>
  <si>
    <t>kgz</t>
  </si>
  <si>
    <t>khm</t>
  </si>
  <si>
    <t>kor</t>
  </si>
  <si>
    <t>kwt</t>
  </si>
  <si>
    <t>lbn</t>
  </si>
  <si>
    <t>lby</t>
  </si>
  <si>
    <t>lka</t>
  </si>
  <si>
    <t>ltu</t>
  </si>
  <si>
    <t>lux</t>
  </si>
  <si>
    <t>lva</t>
  </si>
  <si>
    <t>mar</t>
  </si>
  <si>
    <t>mda</t>
  </si>
  <si>
    <t>mex</t>
  </si>
  <si>
    <t>mkd</t>
  </si>
  <si>
    <t>mlt</t>
  </si>
  <si>
    <t>mmr</t>
  </si>
  <si>
    <t>mne</t>
  </si>
  <si>
    <t>mng</t>
  </si>
  <si>
    <t>moz</t>
  </si>
  <si>
    <t>mus</t>
  </si>
  <si>
    <t>mys</t>
  </si>
  <si>
    <t>nam</t>
  </si>
  <si>
    <t>ner</t>
  </si>
  <si>
    <t>nga</t>
  </si>
  <si>
    <t>nic</t>
  </si>
  <si>
    <t>nld</t>
  </si>
  <si>
    <t>nor</t>
  </si>
  <si>
    <t>npl</t>
  </si>
  <si>
    <t>nzl</t>
  </si>
  <si>
    <t>omn</t>
  </si>
  <si>
    <t>pak</t>
  </si>
  <si>
    <t>pan</t>
  </si>
  <si>
    <t>per</t>
  </si>
  <si>
    <t>phl</t>
  </si>
  <si>
    <t>pol</t>
  </si>
  <si>
    <t>prt</t>
  </si>
  <si>
    <t>pry</t>
  </si>
  <si>
    <t>qat</t>
  </si>
  <si>
    <t>rou</t>
  </si>
  <si>
    <t>rus</t>
  </si>
  <si>
    <t>sau</t>
  </si>
  <si>
    <t>sdn</t>
  </si>
  <si>
    <t>sen</t>
  </si>
  <si>
    <t>sgp</t>
  </si>
  <si>
    <t>slv</t>
  </si>
  <si>
    <t>srb</t>
  </si>
  <si>
    <t>sur</t>
  </si>
  <si>
    <t>svk</t>
  </si>
  <si>
    <t>svn</t>
  </si>
  <si>
    <t>swe</t>
  </si>
  <si>
    <t>syr</t>
  </si>
  <si>
    <t>tgo</t>
  </si>
  <si>
    <t>tha</t>
  </si>
  <si>
    <t>tjk</t>
  </si>
  <si>
    <t>tkm</t>
  </si>
  <si>
    <t>tto</t>
  </si>
  <si>
    <t>tun</t>
  </si>
  <si>
    <t>tur</t>
  </si>
  <si>
    <t>tza</t>
  </si>
  <si>
    <t>ukr</t>
  </si>
  <si>
    <t>ury</t>
  </si>
  <si>
    <t>usa</t>
  </si>
  <si>
    <t>uzb</t>
  </si>
  <si>
    <t>vnm</t>
  </si>
  <si>
    <t>xkx</t>
  </si>
  <si>
    <t>zaf</t>
  </si>
  <si>
    <t>zmb</t>
  </si>
  <si>
    <t>zwe</t>
  </si>
  <si>
    <t>Details</t>
  </si>
  <si>
    <t>Source</t>
  </si>
  <si>
    <t>GDP per capita based on purchase power parity (PPP) for the year 2014. Currency unit is constant 2021 international $.</t>
  </si>
  <si>
    <t>Indicator</t>
  </si>
  <si>
    <t>Electricity consumption per capita across all sectors for the year 2014. Consumption unit is in kWh per capita. The year 2014 is the latest year for which data is available for all countries, which dictates the base year used for the other indicators.</t>
  </si>
  <si>
    <t>Total electricity consumption across all sectors for the year 2014. Consumption unit is in TWh.</t>
  </si>
  <si>
    <t>Total electricity consumption in the residential sector for the year 2014. Consumption unit is in TJ, which is converted to TWh for compatibility with other consumption indicators.</t>
  </si>
  <si>
    <t>https://www.iea.org/data-and-statistics/data-tools/energy-statistics-data-browser?country=WORLD&amp;fuel=Energy%20consumption&amp;indicator=TotElecCons</t>
  </si>
  <si>
    <t>https://www.iea.org/data-and-statistics/data-tools/energy-statistics-data-browser?country=WORLD&amp;fuel=Energy%20consumption&amp;indicator=ElecConsBySector</t>
  </si>
  <si>
    <t>IEA - Energy Statistics Data Browser</t>
  </si>
  <si>
    <t>URL</t>
  </si>
  <si>
    <t>https://data.worldbank.org/indicator/NY.GDP.PCAP.PP.KD</t>
  </si>
  <si>
    <t>World Bank Data</t>
  </si>
  <si>
    <t>https://data.worldbank.org/indicator/EG.USE.ELEC.KH.PC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</si>
</sst>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
  </numFmts>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73" fontId="0" fillId="0" borderId="0" xfId="0" applyNumberFormat="1"/>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ata.worldbank.org/indicator/NY.GDP.PCAP.PP.KD" TargetMode="External"/><Relationship Id="rId2" Type="http://schemas.openxmlformats.org/officeDocument/2006/relationships/hyperlink" Target="https://www.iea.org/data-and-statistics/data-tools/energy-statistics-data-browser?country=WORLD&amp;fuel=Energy%20consumption&amp;indicator=ElecConsBySector" TargetMode="External"/><Relationship Id="rId1" Type="http://schemas.openxmlformats.org/officeDocument/2006/relationships/hyperlink" Target="https://www.iea.org/data-and-statistics/data-tools/energy-statistics-data-browser?country=WORLD&amp;fuel=Energy%20consumption&amp;indicator=TotElecCons" TargetMode="External"/><Relationship Id="rId4" Type="http://schemas.openxmlformats.org/officeDocument/2006/relationships/hyperlink" Target="https://data.worldbank.org/indicator/EG.USE.ELEC.KH.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C25F-B91C-42B9-B831-507930DA6990}">
  <dimension ref="A1:F136"/>
  <sheetViews>
    <sheetView tabSelected="1" workbookViewId="0">
      <selection activeCell="F9" sqref="F9"/>
    </sheetView>
  </sheetViews>
  <sheetFormatPr defaultRowHeight="14.5" x14ac:dyDescent="0.35"/>
  <cols>
    <col min="1" max="1" width="46.36328125" bestFit="1" customWidth="1"/>
    <col min="2" max="2" width="13.08984375" customWidth="1"/>
    <col min="6" max="6" width="13.453125" bestFit="1" customWidth="1"/>
  </cols>
  <sheetData>
    <row r="1" spans="1:6" x14ac:dyDescent="0.35">
      <c r="A1" t="s">
        <v>135</v>
      </c>
      <c r="B1" t="s">
        <v>140</v>
      </c>
      <c r="C1" t="s">
        <v>136</v>
      </c>
      <c r="D1" t="s">
        <v>137</v>
      </c>
      <c r="E1" t="s">
        <v>138</v>
      </c>
      <c r="F1" t="s">
        <v>139</v>
      </c>
    </row>
    <row r="2" spans="1:6" x14ac:dyDescent="0.35">
      <c r="A2" t="s">
        <v>56</v>
      </c>
      <c r="B2" t="s">
        <v>141</v>
      </c>
      <c r="C2">
        <v>10250.592404033281</v>
      </c>
      <c r="D2">
        <v>309.71140765565218</v>
      </c>
      <c r="E2">
        <f>8.4</f>
        <v>8.4</v>
      </c>
      <c r="F2" s="1">
        <f>19544/3600</f>
        <v>5.4288888888888893</v>
      </c>
    </row>
    <row r="3" spans="1:6" x14ac:dyDescent="0.35">
      <c r="A3" t="s">
        <v>37</v>
      </c>
      <c r="B3" t="s">
        <v>142</v>
      </c>
      <c r="C3">
        <v>12788.747230620991</v>
      </c>
      <c r="D3">
        <v>2309.3665025558098</v>
      </c>
      <c r="E3">
        <f>6.7</f>
        <v>6.7</v>
      </c>
      <c r="F3" s="1">
        <f>(12599)/3600</f>
        <v>3.4997222222222222</v>
      </c>
    </row>
    <row r="4" spans="1:6" x14ac:dyDescent="0.35">
      <c r="A4" t="s">
        <v>10</v>
      </c>
      <c r="B4" t="s">
        <v>143</v>
      </c>
      <c r="C4">
        <v>69409.037043360135</v>
      </c>
      <c r="D4">
        <v>12677.059448299138</v>
      </c>
      <c r="E4">
        <f>109.3</f>
        <v>109.3</v>
      </c>
      <c r="F4" s="1">
        <f>(117486)/3600</f>
        <v>32.634999999999998</v>
      </c>
    </row>
    <row r="5" spans="1:6" x14ac:dyDescent="0.35">
      <c r="A5" t="s">
        <v>54</v>
      </c>
      <c r="B5" t="s">
        <v>144</v>
      </c>
      <c r="C5">
        <v>28200.815257131831</v>
      </c>
      <c r="D5">
        <v>3049.3627625335594</v>
      </c>
      <c r="E5">
        <f>130.6</f>
        <v>130.6</v>
      </c>
      <c r="F5" s="1">
        <f>(157982)/3600</f>
        <v>43.88388888888889</v>
      </c>
    </row>
    <row r="6" spans="1:6" x14ac:dyDescent="0.35">
      <c r="A6" t="s">
        <v>22</v>
      </c>
      <c r="B6" t="s">
        <v>145</v>
      </c>
      <c r="C6">
        <v>12667.375733024917</v>
      </c>
      <c r="D6">
        <v>1895.6135111818967</v>
      </c>
      <c r="E6">
        <f>5.7</f>
        <v>5.7</v>
      </c>
      <c r="F6" s="1">
        <f>(6926)/3600</f>
        <v>1.923888888888889</v>
      </c>
    </row>
    <row r="7" spans="1:6" x14ac:dyDescent="0.35">
      <c r="A7" t="s">
        <v>77</v>
      </c>
      <c r="B7" t="s">
        <v>146</v>
      </c>
      <c r="C7">
        <v>55253.159615937977</v>
      </c>
      <c r="D7">
        <v>10071.398978500565</v>
      </c>
      <c r="E7">
        <f>238.2</f>
        <v>238.2</v>
      </c>
      <c r="F7" s="1">
        <f>(208911)/3600</f>
        <v>58.030833333333334</v>
      </c>
    </row>
    <row r="8" spans="1:6" x14ac:dyDescent="0.35">
      <c r="A8" t="s">
        <v>17</v>
      </c>
      <c r="B8" t="s">
        <v>147</v>
      </c>
      <c r="C8">
        <v>60864.919896313979</v>
      </c>
      <c r="D8">
        <v>8355.8419518213377</v>
      </c>
      <c r="E8">
        <f>71.3</f>
        <v>71.3</v>
      </c>
      <c r="F8" s="1">
        <f>(60535)/3600</f>
        <v>16.815277777777776</v>
      </c>
    </row>
    <row r="9" spans="1:6" x14ac:dyDescent="0.35">
      <c r="A9" t="s">
        <v>101</v>
      </c>
      <c r="B9" t="s">
        <v>148</v>
      </c>
      <c r="C9">
        <v>20716.141522926879</v>
      </c>
      <c r="D9">
        <v>2202.3939182884587</v>
      </c>
      <c r="E9">
        <f>21</f>
        <v>21</v>
      </c>
      <c r="F9" s="1">
        <f>(26251)/3600</f>
        <v>7.2919444444444448</v>
      </c>
    </row>
    <row r="10" spans="1:6" x14ac:dyDescent="0.35">
      <c r="A10" t="s">
        <v>120</v>
      </c>
      <c r="B10" t="s">
        <v>149</v>
      </c>
      <c r="C10">
        <v>56976.540294521947</v>
      </c>
      <c r="D10">
        <v>7709.1230778824656</v>
      </c>
      <c r="E10">
        <f>86.3</f>
        <v>86.3</v>
      </c>
      <c r="F10" s="1">
        <f>(68183)/3600</f>
        <v>18.939722222222223</v>
      </c>
    </row>
    <row r="11" spans="1:6" x14ac:dyDescent="0.35">
      <c r="A11" t="s">
        <v>119</v>
      </c>
      <c r="B11" t="s">
        <v>150</v>
      </c>
      <c r="C11">
        <v>2987.382363261529</v>
      </c>
      <c r="D11">
        <v>93.472314243947693</v>
      </c>
      <c r="E11">
        <f>1.2</f>
        <v>1.2</v>
      </c>
      <c r="F11" s="1">
        <f>(1375)/3600</f>
        <v>0.38194444444444442</v>
      </c>
    </row>
    <row r="12" spans="1:6" x14ac:dyDescent="0.35">
      <c r="A12" t="s">
        <v>9</v>
      </c>
      <c r="B12" t="s">
        <v>151</v>
      </c>
      <c r="C12">
        <v>5068.6396567274114</v>
      </c>
      <c r="D12">
        <v>313.22142397823001</v>
      </c>
      <c r="E12">
        <f>51.6</f>
        <v>51.6</v>
      </c>
      <c r="F12" s="1">
        <f>(59468)/3600</f>
        <v>16.518888888888888</v>
      </c>
    </row>
    <row r="13" spans="1:6" x14ac:dyDescent="0.35">
      <c r="A13" t="s">
        <v>116</v>
      </c>
      <c r="B13" t="s">
        <v>152</v>
      </c>
      <c r="C13">
        <v>22938.830288553676</v>
      </c>
      <c r="D13">
        <v>4708.9274575723102</v>
      </c>
      <c r="E13">
        <f>34</f>
        <v>34</v>
      </c>
      <c r="F13" s="1">
        <f>(38124)/3600</f>
        <v>10.59</v>
      </c>
    </row>
    <row r="14" spans="1:6" x14ac:dyDescent="0.35">
      <c r="A14" t="s">
        <v>59</v>
      </c>
      <c r="B14" t="s">
        <v>153</v>
      </c>
      <c r="C14">
        <v>55065.818947212945</v>
      </c>
      <c r="D14">
        <v>19917.660787395347</v>
      </c>
      <c r="E14">
        <f>26.2</f>
        <v>26.2</v>
      </c>
      <c r="F14" s="1">
        <f>(25146)/3600</f>
        <v>6.9850000000000003</v>
      </c>
    </row>
    <row r="15" spans="1:6" x14ac:dyDescent="0.35">
      <c r="A15" t="s">
        <v>65</v>
      </c>
      <c r="B15" t="s">
        <v>154</v>
      </c>
      <c r="C15">
        <v>13443.10008550418</v>
      </c>
      <c r="D15">
        <v>3366.7814080282674</v>
      </c>
      <c r="E15">
        <f>12</f>
        <v>12</v>
      </c>
      <c r="F15" s="1">
        <f>(16577)/3600</f>
        <v>4.6047222222222226</v>
      </c>
    </row>
    <row r="16" spans="1:6" x14ac:dyDescent="0.35">
      <c r="A16" t="s">
        <v>112</v>
      </c>
      <c r="B16" t="s">
        <v>155</v>
      </c>
      <c r="C16">
        <v>26564.434719113709</v>
      </c>
      <c r="D16">
        <v>3690.1036829597033</v>
      </c>
      <c r="E16">
        <f>34.9</f>
        <v>34.9</v>
      </c>
      <c r="F16" s="1">
        <f>(23029)/3600</f>
        <v>6.3969444444444443</v>
      </c>
    </row>
    <row r="17" spans="1:6" x14ac:dyDescent="0.35">
      <c r="A17" t="s">
        <v>16</v>
      </c>
      <c r="B17" t="s">
        <v>156</v>
      </c>
      <c r="C17">
        <v>8851.7116316990287</v>
      </c>
      <c r="D17">
        <v>732.79399695157701</v>
      </c>
      <c r="E17">
        <f>7.5</f>
        <v>7.5</v>
      </c>
      <c r="F17" s="1">
        <f>(10101)/3600</f>
        <v>2.8058333333333332</v>
      </c>
    </row>
    <row r="18" spans="1:6" x14ac:dyDescent="0.35">
      <c r="A18" t="s">
        <v>113</v>
      </c>
      <c r="B18" t="s">
        <v>157</v>
      </c>
      <c r="C18">
        <v>19183.172746126016</v>
      </c>
      <c r="D18">
        <v>2655.0349242100338</v>
      </c>
      <c r="E18">
        <f>538.3</f>
        <v>538.29999999999995</v>
      </c>
      <c r="F18" s="1">
        <f>(476287)/3600</f>
        <v>132.30194444444444</v>
      </c>
    </row>
    <row r="19" spans="1:6" x14ac:dyDescent="0.35">
      <c r="A19" t="s">
        <v>76</v>
      </c>
      <c r="B19" t="s">
        <v>158</v>
      </c>
      <c r="C19">
        <v>83310.615064198166</v>
      </c>
      <c r="D19">
        <v>10118.77624475105</v>
      </c>
      <c r="E19">
        <f>4.2</f>
        <v>4.2</v>
      </c>
      <c r="F19" s="1">
        <f>(4820)/3600</f>
        <v>1.3388888888888888</v>
      </c>
    </row>
    <row r="20" spans="1:6" x14ac:dyDescent="0.35">
      <c r="A20" t="s">
        <v>12</v>
      </c>
      <c r="B20" t="s">
        <v>159</v>
      </c>
      <c r="C20">
        <v>17052.229657378379</v>
      </c>
      <c r="D20">
        <v>1745.8209870518276</v>
      </c>
      <c r="E20">
        <f>3.7</f>
        <v>3.7</v>
      </c>
      <c r="F20" s="1">
        <f>(3337)/3600</f>
        <v>0.92694444444444446</v>
      </c>
    </row>
    <row r="21" spans="1:6" x14ac:dyDescent="0.35">
      <c r="A21" t="s">
        <v>36</v>
      </c>
      <c r="B21" t="s">
        <v>160</v>
      </c>
      <c r="C21">
        <v>55634.587657304182</v>
      </c>
      <c r="D21">
        <v>15589.969268556422</v>
      </c>
      <c r="E21">
        <f>583.8</f>
        <v>583.79999999999995</v>
      </c>
      <c r="F21" s="1">
        <f>(617234)/3600</f>
        <v>171.45388888888888</v>
      </c>
    </row>
    <row r="22" spans="1:6" x14ac:dyDescent="0.35">
      <c r="A22" t="s">
        <v>34</v>
      </c>
      <c r="B22" t="s">
        <v>161</v>
      </c>
      <c r="C22">
        <v>76064.229412611763</v>
      </c>
      <c r="D22">
        <v>7520.1660249450188</v>
      </c>
      <c r="E22">
        <f>61.6</f>
        <v>61.6</v>
      </c>
      <c r="F22" s="1">
        <f>(65800)/3600</f>
        <v>18.277777777777779</v>
      </c>
    </row>
    <row r="23" spans="1:6" x14ac:dyDescent="0.35">
      <c r="A23" t="s">
        <v>29</v>
      </c>
      <c r="B23" t="s">
        <v>162</v>
      </c>
      <c r="C23">
        <v>27541.023021393543</v>
      </c>
      <c r="D23">
        <v>3856.820864304269</v>
      </c>
      <c r="E23">
        <f>66.4</f>
        <v>66.400000000000006</v>
      </c>
      <c r="F23" s="1">
        <f>(40939)/3600</f>
        <v>11.371944444444445</v>
      </c>
    </row>
    <row r="24" spans="1:6" x14ac:dyDescent="0.35">
      <c r="A24" t="s">
        <v>94</v>
      </c>
      <c r="B24" t="s">
        <v>163</v>
      </c>
      <c r="C24">
        <v>13696.517494849211</v>
      </c>
      <c r="D24">
        <v>3905.3175980056276</v>
      </c>
      <c r="E24">
        <f>5495.9</f>
        <v>5495.9</v>
      </c>
      <c r="F24" s="1">
        <f>(2583396)/3600</f>
        <v>717.61</v>
      </c>
    </row>
    <row r="25" spans="1:6" x14ac:dyDescent="0.35">
      <c r="A25" t="s">
        <v>125</v>
      </c>
      <c r="B25" t="s">
        <v>164</v>
      </c>
      <c r="C25">
        <v>4907.5745029451627</v>
      </c>
      <c r="D25">
        <v>253.67553301114938</v>
      </c>
      <c r="E25">
        <f>6.2</f>
        <v>6.2</v>
      </c>
      <c r="F25" s="1">
        <f>(6296)/3600</f>
        <v>1.7488888888888889</v>
      </c>
    </row>
    <row r="26" spans="1:6" x14ac:dyDescent="0.35">
      <c r="A26" t="s">
        <v>134</v>
      </c>
      <c r="B26" t="s">
        <v>165</v>
      </c>
      <c r="C26">
        <v>4588.4864949902994</v>
      </c>
      <c r="D26">
        <v>282.95694815926805</v>
      </c>
      <c r="E26">
        <f>5.5</f>
        <v>5.5</v>
      </c>
      <c r="F26" s="1">
        <f>(4132)/3600</f>
        <v>1.1477777777777778</v>
      </c>
    </row>
    <row r="27" spans="1:6" x14ac:dyDescent="0.35">
      <c r="A27" t="s">
        <v>92</v>
      </c>
      <c r="B27" t="s">
        <v>166</v>
      </c>
      <c r="C27">
        <v>1225.7021871195946</v>
      </c>
      <c r="D27">
        <v>102.10036977807627</v>
      </c>
      <c r="E27">
        <f>9.2</f>
        <v>9.1999999999999993</v>
      </c>
      <c r="F27" s="1">
        <f>(9910)/3600</f>
        <v>2.7527777777777778</v>
      </c>
    </row>
    <row r="28" spans="1:6" x14ac:dyDescent="0.35">
      <c r="A28" t="s">
        <v>64</v>
      </c>
      <c r="B28" t="s">
        <v>167</v>
      </c>
      <c r="C28">
        <v>9159.2566441404542</v>
      </c>
      <c r="D28">
        <v>193.13166716239138</v>
      </c>
      <c r="E28">
        <f>1</f>
        <v>1</v>
      </c>
      <c r="F28" s="1">
        <f>(1576)/3600</f>
        <v>0.43777777777777777</v>
      </c>
    </row>
    <row r="29" spans="1:6" x14ac:dyDescent="0.35">
      <c r="A29" t="s">
        <v>107</v>
      </c>
      <c r="B29" t="s">
        <v>168</v>
      </c>
      <c r="C29">
        <v>16450.971781809883</v>
      </c>
      <c r="D29">
        <v>1323.5355353431835</v>
      </c>
      <c r="E29">
        <f>64.4</f>
        <v>64.400000000000006</v>
      </c>
      <c r="F29" s="1">
        <f>(78235)/3600</f>
        <v>21.731944444444444</v>
      </c>
    </row>
    <row r="30" spans="1:6" x14ac:dyDescent="0.35">
      <c r="A30" t="s">
        <v>57</v>
      </c>
      <c r="B30" t="s">
        <v>169</v>
      </c>
      <c r="C30">
        <v>20733.123461109139</v>
      </c>
      <c r="D30">
        <v>1954.010378176001</v>
      </c>
      <c r="E30">
        <f>9.3</f>
        <v>9.3000000000000007</v>
      </c>
      <c r="F30" s="1">
        <f>(12657)/3600</f>
        <v>3.5158333333333331</v>
      </c>
    </row>
    <row r="31" spans="1:6" x14ac:dyDescent="0.35">
      <c r="A31" t="s">
        <v>60</v>
      </c>
      <c r="B31" t="s">
        <v>170</v>
      </c>
      <c r="C31">
        <v>31128.803851993307</v>
      </c>
      <c r="D31">
        <v>4797.6704359594378</v>
      </c>
      <c r="E31">
        <f>0.8</f>
        <v>0.8</v>
      </c>
      <c r="F31" s="1">
        <f>(982)/3600</f>
        <v>0.27277777777777779</v>
      </c>
    </row>
    <row r="32" spans="1:6" x14ac:dyDescent="0.35">
      <c r="A32" t="s">
        <v>81</v>
      </c>
      <c r="B32" t="s">
        <v>171</v>
      </c>
      <c r="C32">
        <v>36411.5859375</v>
      </c>
      <c r="D32">
        <v>3475.6170114686211</v>
      </c>
      <c r="E32">
        <f>4.2</f>
        <v>4.2</v>
      </c>
      <c r="F32" s="1">
        <f>(5129)/3600</f>
        <v>1.4247222222222222</v>
      </c>
    </row>
    <row r="33" spans="1:6" x14ac:dyDescent="0.35">
      <c r="A33" t="s">
        <v>58</v>
      </c>
      <c r="B33" t="s">
        <v>172</v>
      </c>
      <c r="C33">
        <v>40121.758970646981</v>
      </c>
      <c r="D33">
        <v>6258.8910370365938</v>
      </c>
      <c r="E33">
        <f>66</f>
        <v>66</v>
      </c>
      <c r="F33" s="1">
        <f>(50850)/3600</f>
        <v>14.125</v>
      </c>
    </row>
    <row r="34" spans="1:6" x14ac:dyDescent="0.35">
      <c r="A34" t="s">
        <v>87</v>
      </c>
      <c r="B34" t="s">
        <v>173</v>
      </c>
      <c r="C34">
        <v>59185.907585225417</v>
      </c>
      <c r="D34">
        <v>7035.4829747167596</v>
      </c>
      <c r="E34">
        <f>569.8</f>
        <v>569.79999999999995</v>
      </c>
      <c r="F34" s="1">
        <f>(466560)/3600</f>
        <v>129.6</v>
      </c>
    </row>
    <row r="35" spans="1:6" x14ac:dyDescent="0.35">
      <c r="A35" t="s">
        <v>52</v>
      </c>
      <c r="B35" t="s">
        <v>174</v>
      </c>
      <c r="C35">
        <v>60992.212220474466</v>
      </c>
      <c r="D35">
        <v>5858.8015362874821</v>
      </c>
      <c r="E35">
        <f>33.1</f>
        <v>33.1</v>
      </c>
      <c r="F35" s="1">
        <f>(36374)/3600</f>
        <v>10.103888888888889</v>
      </c>
    </row>
    <row r="36" spans="1:6" x14ac:dyDescent="0.35">
      <c r="A36" t="s">
        <v>72</v>
      </c>
      <c r="B36" t="s">
        <v>175</v>
      </c>
      <c r="C36">
        <v>16817.64422686887</v>
      </c>
      <c r="D36">
        <v>1591.9689229673943</v>
      </c>
      <c r="E36">
        <f>15</f>
        <v>15</v>
      </c>
      <c r="F36" s="1">
        <f>(18982)/3600</f>
        <v>5.2727777777777778</v>
      </c>
    </row>
    <row r="37" spans="1:6" x14ac:dyDescent="0.35">
      <c r="A37" t="s">
        <v>126</v>
      </c>
      <c r="B37" t="s">
        <v>176</v>
      </c>
      <c r="C37">
        <v>15073.762940372411</v>
      </c>
      <c r="D37">
        <v>1353.0916478550928</v>
      </c>
      <c r="E37">
        <f>53</f>
        <v>53</v>
      </c>
      <c r="F37" s="1">
        <f>(63284)/3600</f>
        <v>17.578888888888891</v>
      </c>
    </row>
    <row r="38" spans="1:6" x14ac:dyDescent="0.35">
      <c r="A38" t="s">
        <v>43</v>
      </c>
      <c r="B38" t="s">
        <v>177</v>
      </c>
      <c r="C38">
        <v>14047.49137820844</v>
      </c>
      <c r="D38">
        <v>1369.2441667429575</v>
      </c>
      <c r="E38">
        <f>21.9</f>
        <v>21.9</v>
      </c>
      <c r="F38" s="1">
        <f>(22910)/3600</f>
        <v>6.3638888888888889</v>
      </c>
    </row>
    <row r="39" spans="1:6" x14ac:dyDescent="0.35">
      <c r="A39" t="s">
        <v>45</v>
      </c>
      <c r="B39" t="s">
        <v>178</v>
      </c>
      <c r="C39">
        <v>13136.365629826982</v>
      </c>
      <c r="D39">
        <v>1560.6080239762152</v>
      </c>
      <c r="E39">
        <f>153.7</f>
        <v>153.69999999999999</v>
      </c>
      <c r="F39" s="1">
        <f>(232365)/3600</f>
        <v>64.545833333333334</v>
      </c>
    </row>
    <row r="40" spans="1:6" x14ac:dyDescent="0.35">
      <c r="A40" t="s">
        <v>20</v>
      </c>
      <c r="B40" t="s">
        <v>179</v>
      </c>
      <c r="C40">
        <v>41284.168402453412</v>
      </c>
      <c r="D40">
        <v>5355.9870055822093</v>
      </c>
      <c r="E40">
        <f>249</f>
        <v>249</v>
      </c>
      <c r="F40" s="1">
        <f>(254556)/3600</f>
        <v>70.709999999999994</v>
      </c>
    </row>
    <row r="41" spans="1:6" x14ac:dyDescent="0.35">
      <c r="A41" t="s">
        <v>97</v>
      </c>
      <c r="B41" t="s">
        <v>180</v>
      </c>
      <c r="C41">
        <v>36057.885513675115</v>
      </c>
      <c r="D41">
        <v>6732.3674731561114</v>
      </c>
      <c r="E41">
        <f>8.9</f>
        <v>8.9</v>
      </c>
      <c r="F41" s="1">
        <f>(6260)/3600</f>
        <v>1.7388888888888889</v>
      </c>
    </row>
    <row r="42" spans="1:6" x14ac:dyDescent="0.35">
      <c r="A42" t="s">
        <v>28</v>
      </c>
      <c r="B42" t="s">
        <v>181</v>
      </c>
      <c r="C42">
        <v>1821.3915244668769</v>
      </c>
      <c r="D42">
        <v>67.131078969903854</v>
      </c>
      <c r="E42">
        <f>6.6</f>
        <v>6.6</v>
      </c>
      <c r="F42" s="1">
        <f>(9309)/3600</f>
        <v>2.5858333333333334</v>
      </c>
    </row>
    <row r="43" spans="1:6" x14ac:dyDescent="0.35">
      <c r="A43" t="s">
        <v>15</v>
      </c>
      <c r="B43" t="s">
        <v>182</v>
      </c>
      <c r="C43">
        <v>52633.249418054984</v>
      </c>
      <c r="D43">
        <v>15249.989380230236</v>
      </c>
      <c r="E43">
        <f>83.3</f>
        <v>83.3</v>
      </c>
      <c r="F43" s="1">
        <f>(76550)/3600</f>
        <v>21.263888888888889</v>
      </c>
    </row>
    <row r="44" spans="1:6" x14ac:dyDescent="0.35">
      <c r="A44" t="s">
        <v>62</v>
      </c>
      <c r="B44" t="s">
        <v>183</v>
      </c>
      <c r="C44">
        <v>50281.068512799277</v>
      </c>
      <c r="D44">
        <v>6939.9435249092749</v>
      </c>
      <c r="E44">
        <f>470.9</f>
        <v>470.9</v>
      </c>
      <c r="F44" s="1">
        <f>(542933)/3600</f>
        <v>150.81472222222223</v>
      </c>
    </row>
    <row r="45" spans="1:6" x14ac:dyDescent="0.35">
      <c r="A45" t="s">
        <v>93</v>
      </c>
      <c r="B45" t="s">
        <v>184</v>
      </c>
      <c r="C45">
        <v>20008.989977877889</v>
      </c>
      <c r="D45">
        <v>1112.0102668875186</v>
      </c>
      <c r="E45">
        <f>1.8</f>
        <v>1.8</v>
      </c>
      <c r="F45" s="1">
        <f>(3193)/3600</f>
        <v>0.88694444444444442</v>
      </c>
    </row>
    <row r="46" spans="1:6" x14ac:dyDescent="0.35">
      <c r="A46" t="s">
        <v>122</v>
      </c>
      <c r="B46" t="s">
        <v>185</v>
      </c>
      <c r="C46">
        <v>49270.537040863172</v>
      </c>
      <c r="D46">
        <v>5130.3902533002774</v>
      </c>
      <c r="E46">
        <f>330.8</f>
        <v>330.8</v>
      </c>
      <c r="F46" s="1">
        <f>(389073)/3600</f>
        <v>108.07583333333334</v>
      </c>
    </row>
    <row r="47" spans="1:6" x14ac:dyDescent="0.35">
      <c r="A47" t="s">
        <v>118</v>
      </c>
      <c r="B47" t="s">
        <v>186</v>
      </c>
      <c r="C47">
        <v>14475.313535603471</v>
      </c>
      <c r="D47">
        <v>2693.9727602251323</v>
      </c>
      <c r="E47">
        <f>10</f>
        <v>10</v>
      </c>
      <c r="F47" s="1">
        <f>(8873)/3600</f>
        <v>2.464722222222222</v>
      </c>
    </row>
    <row r="48" spans="1:6" x14ac:dyDescent="0.35">
      <c r="A48" t="s">
        <v>30</v>
      </c>
      <c r="B48" t="s">
        <v>187</v>
      </c>
      <c r="C48">
        <v>5619.072335115914</v>
      </c>
      <c r="D48">
        <v>341.06480117106048</v>
      </c>
      <c r="E48">
        <f>9.6</f>
        <v>9.6</v>
      </c>
      <c r="F48" s="1">
        <f>(9979)/3600</f>
        <v>2.7719444444444443</v>
      </c>
    </row>
    <row r="49" spans="1:6" x14ac:dyDescent="0.35">
      <c r="A49" t="s">
        <v>127</v>
      </c>
      <c r="B49" t="s">
        <v>188</v>
      </c>
      <c r="C49">
        <v>31185.233743883175</v>
      </c>
      <c r="D49">
        <v>5062.6064215523229</v>
      </c>
      <c r="E49">
        <f>55.1</f>
        <v>55.1</v>
      </c>
      <c r="F49" s="1">
        <f>(61743)/3600</f>
        <v>17.150833333333335</v>
      </c>
    </row>
    <row r="50" spans="1:6" x14ac:dyDescent="0.35">
      <c r="A50" t="s">
        <v>46</v>
      </c>
      <c r="B50" t="s">
        <v>189</v>
      </c>
      <c r="C50">
        <v>10557.234416553567</v>
      </c>
      <c r="D50">
        <v>586.79768966743131</v>
      </c>
      <c r="E50">
        <f>9.2</f>
        <v>9.1999999999999993</v>
      </c>
      <c r="F50" s="1">
        <f>(12002)/3600</f>
        <v>3.3338888888888887</v>
      </c>
    </row>
    <row r="51" spans="1:6" x14ac:dyDescent="0.35">
      <c r="A51" t="s">
        <v>47</v>
      </c>
      <c r="B51" t="s">
        <v>190</v>
      </c>
      <c r="C51">
        <v>61839.791428872813</v>
      </c>
      <c r="D51">
        <v>6083.2699356801995</v>
      </c>
      <c r="E51">
        <f>47</f>
        <v>47</v>
      </c>
      <c r="F51" s="1">
        <f>(43419)/3600</f>
        <v>12.060833333333333</v>
      </c>
    </row>
    <row r="52" spans="1:6" x14ac:dyDescent="0.35">
      <c r="A52" t="s">
        <v>103</v>
      </c>
      <c r="B52" t="s">
        <v>191</v>
      </c>
      <c r="C52">
        <v>5705.1624626548391</v>
      </c>
      <c r="D52">
        <v>612.4821005388651</v>
      </c>
      <c r="E52">
        <f>6</f>
        <v>6</v>
      </c>
      <c r="F52" s="1">
        <f>(8049)/3600</f>
        <v>2.2358333333333333</v>
      </c>
    </row>
    <row r="53" spans="1:6" x14ac:dyDescent="0.35">
      <c r="A53" t="s">
        <v>98</v>
      </c>
      <c r="B53" t="s">
        <v>192</v>
      </c>
      <c r="C53">
        <v>28436.627626544363</v>
      </c>
      <c r="D53">
        <v>3746.9077241563805</v>
      </c>
      <c r="E53">
        <f>15.7</f>
        <v>15.7</v>
      </c>
      <c r="F53" s="1">
        <f>(21718)/3600</f>
        <v>6.0327777777777776</v>
      </c>
    </row>
    <row r="54" spans="1:6" x14ac:dyDescent="0.35">
      <c r="A54" t="s">
        <v>3</v>
      </c>
      <c r="B54" t="s">
        <v>193</v>
      </c>
      <c r="C54">
        <v>3423.6531773452639</v>
      </c>
      <c r="D54">
        <v>39.71760015077264</v>
      </c>
      <c r="E54">
        <f>0.9</f>
        <v>0.9</v>
      </c>
      <c r="F54" s="1">
        <f>(2329)/3600</f>
        <v>0.64694444444444443</v>
      </c>
    </row>
    <row r="55" spans="1:6" x14ac:dyDescent="0.35">
      <c r="A55" t="s">
        <v>14</v>
      </c>
      <c r="B55" t="s">
        <v>194</v>
      </c>
      <c r="C55">
        <v>30178.234768610637</v>
      </c>
      <c r="D55">
        <v>3965.9582334833499</v>
      </c>
      <c r="E55">
        <f>39.2</f>
        <v>39.200000000000003</v>
      </c>
      <c r="F55" s="1">
        <f>(37522)/3600</f>
        <v>10.422777777777778</v>
      </c>
    </row>
    <row r="56" spans="1:6" x14ac:dyDescent="0.35">
      <c r="A56" t="s">
        <v>84</v>
      </c>
      <c r="B56" t="s">
        <v>195</v>
      </c>
      <c r="C56">
        <v>10504.386941108771</v>
      </c>
      <c r="D56">
        <v>800.15096257978087</v>
      </c>
      <c r="E56">
        <f>206.5</f>
        <v>206.5</v>
      </c>
      <c r="F56" s="1">
        <f>(294274)/3600</f>
        <v>81.742777777777775</v>
      </c>
    </row>
    <row r="57" spans="1:6" x14ac:dyDescent="0.35">
      <c r="A57" t="s">
        <v>38</v>
      </c>
      <c r="B57" t="s">
        <v>196</v>
      </c>
      <c r="C57">
        <v>6079.843935236946</v>
      </c>
      <c r="D57">
        <v>794.29255278429969</v>
      </c>
      <c r="E57">
        <f>1060.7</f>
        <v>1060.7</v>
      </c>
      <c r="F57" s="1">
        <f>(806914)/3600</f>
        <v>224.14277777777778</v>
      </c>
    </row>
    <row r="58" spans="1:6" x14ac:dyDescent="0.35">
      <c r="A58" t="s">
        <v>23</v>
      </c>
      <c r="B58" t="s">
        <v>197</v>
      </c>
      <c r="C58">
        <v>65600.941653458285</v>
      </c>
      <c r="D58">
        <v>5672.0641341079581</v>
      </c>
      <c r="E58">
        <f>26.2</f>
        <v>26.2</v>
      </c>
      <c r="F58" s="1">
        <f>(27733)/3600</f>
        <v>7.703611111111111</v>
      </c>
    </row>
    <row r="59" spans="1:6" x14ac:dyDescent="0.35">
      <c r="A59" t="s">
        <v>71</v>
      </c>
      <c r="B59" t="s">
        <v>198</v>
      </c>
      <c r="C59">
        <v>14299.571772980786</v>
      </c>
      <c r="D59">
        <v>2872.4555316372735</v>
      </c>
      <c r="E59">
        <f>234.1</f>
        <v>234.1</v>
      </c>
      <c r="F59" s="1">
        <f>(256186)/3600</f>
        <v>71.162777777777777</v>
      </c>
    </row>
    <row r="60" spans="1:6" x14ac:dyDescent="0.35">
      <c r="A60" t="s">
        <v>0</v>
      </c>
      <c r="B60" t="s">
        <v>199</v>
      </c>
      <c r="C60">
        <v>13536.822768139935</v>
      </c>
      <c r="D60">
        <v>1250.5314970900595</v>
      </c>
      <c r="E60">
        <f>45.8</f>
        <v>45.8</v>
      </c>
      <c r="F60" s="1">
        <f>(93380)/3600</f>
        <v>25.93888888888889</v>
      </c>
    </row>
    <row r="61" spans="1:6" x14ac:dyDescent="0.35">
      <c r="A61" t="s">
        <v>6</v>
      </c>
      <c r="B61" t="s">
        <v>200</v>
      </c>
      <c r="C61">
        <v>57981.199447882893</v>
      </c>
      <c r="D61">
        <v>53832.479091958725</v>
      </c>
      <c r="E61">
        <f>17.6</f>
        <v>17.600000000000001</v>
      </c>
      <c r="F61" s="1">
        <f>(3027)/3600</f>
        <v>0.84083333333333332</v>
      </c>
    </row>
    <row r="62" spans="1:6" x14ac:dyDescent="0.35">
      <c r="A62" t="s">
        <v>88</v>
      </c>
      <c r="B62" t="s">
        <v>201</v>
      </c>
      <c r="C62">
        <v>40638.863697517692</v>
      </c>
      <c r="D62">
        <v>6600.8982801222046</v>
      </c>
      <c r="E62">
        <f>54.2</f>
        <v>54.2</v>
      </c>
      <c r="F62" s="1">
        <f>(57531)/3600</f>
        <v>15.980833333333333</v>
      </c>
    </row>
    <row r="63" spans="1:6" x14ac:dyDescent="0.35">
      <c r="A63" t="s">
        <v>31</v>
      </c>
      <c r="B63" t="s">
        <v>202</v>
      </c>
      <c r="C63">
        <v>46422.802359271882</v>
      </c>
      <c r="D63">
        <v>5002.4066798773592</v>
      </c>
      <c r="E63">
        <f>304.1</f>
        <v>304.10000000000002</v>
      </c>
      <c r="F63" s="1">
        <f>(231318)/3600</f>
        <v>64.254999999999995</v>
      </c>
    </row>
    <row r="64" spans="1:6" x14ac:dyDescent="0.35">
      <c r="A64" t="s">
        <v>26</v>
      </c>
      <c r="B64" t="s">
        <v>203</v>
      </c>
      <c r="C64">
        <v>9719.3038984139293</v>
      </c>
      <c r="D64">
        <v>1081.3426689369733</v>
      </c>
      <c r="E64">
        <f>3</f>
        <v>3</v>
      </c>
      <c r="F64" s="1">
        <f>(3517)/3600</f>
        <v>0.97694444444444439</v>
      </c>
    </row>
    <row r="65" spans="1:6" x14ac:dyDescent="0.35">
      <c r="A65" t="s">
        <v>111</v>
      </c>
      <c r="B65" t="s">
        <v>204</v>
      </c>
      <c r="C65">
        <v>10148.998263219457</v>
      </c>
      <c r="D65">
        <v>1891.8958882856691</v>
      </c>
      <c r="E65">
        <f>16.7</f>
        <v>16.7</v>
      </c>
      <c r="F65" s="1">
        <f>(23698)/3600</f>
        <v>6.5827777777777774</v>
      </c>
    </row>
    <row r="66" spans="1:6" x14ac:dyDescent="0.35">
      <c r="A66" t="s">
        <v>130</v>
      </c>
      <c r="B66" t="s">
        <v>205</v>
      </c>
      <c r="C66">
        <v>42714.752607244969</v>
      </c>
      <c r="D66">
        <v>7819.7146359093622</v>
      </c>
      <c r="E66">
        <f>1032.6</f>
        <v>1032.5999999999999</v>
      </c>
      <c r="F66" s="1">
        <f>(974990)/3600</f>
        <v>270.83055555555558</v>
      </c>
    </row>
    <row r="67" spans="1:6" x14ac:dyDescent="0.35">
      <c r="A67" t="s">
        <v>21</v>
      </c>
      <c r="B67" t="s">
        <v>206</v>
      </c>
      <c r="C67">
        <v>30986.437916899453</v>
      </c>
      <c r="D67">
        <v>5434.2417625223216</v>
      </c>
      <c r="E67">
        <f>87.1</f>
        <v>87.1</v>
      </c>
      <c r="F67" s="1">
        <f>(41864)/3600</f>
        <v>11.628888888888889</v>
      </c>
    </row>
    <row r="68" spans="1:6" x14ac:dyDescent="0.35">
      <c r="A68" t="s">
        <v>131</v>
      </c>
      <c r="B68" t="s">
        <v>207</v>
      </c>
      <c r="C68">
        <v>4558.5515526637364</v>
      </c>
      <c r="D68">
        <v>166.6397402556793</v>
      </c>
      <c r="E68">
        <f>7.6</f>
        <v>7.6</v>
      </c>
      <c r="F68" s="1">
        <f>(8927)/3600</f>
        <v>2.4797222222222222</v>
      </c>
    </row>
    <row r="69" spans="1:6" x14ac:dyDescent="0.35">
      <c r="A69" t="s">
        <v>83</v>
      </c>
      <c r="B69" t="s">
        <v>208</v>
      </c>
      <c r="C69">
        <v>5513.7549363298795</v>
      </c>
      <c r="D69">
        <v>1918.0989688609468</v>
      </c>
      <c r="E69">
        <f>11.3</f>
        <v>11.3</v>
      </c>
      <c r="F69" s="1">
        <f>(27737)/3600</f>
        <v>7.7047222222222222</v>
      </c>
    </row>
    <row r="70" spans="1:6" x14ac:dyDescent="0.35">
      <c r="A70" t="s">
        <v>123</v>
      </c>
      <c r="B70" t="s">
        <v>209</v>
      </c>
      <c r="C70">
        <v>4702.7306182320663</v>
      </c>
      <c r="D70">
        <v>269.21227384545278</v>
      </c>
      <c r="E70">
        <f>4.3</f>
        <v>4.3</v>
      </c>
      <c r="F70" s="1">
        <f>(4773)/3600</f>
        <v>1.3258333333333334</v>
      </c>
    </row>
    <row r="71" spans="1:6" x14ac:dyDescent="0.35">
      <c r="A71" t="s">
        <v>35</v>
      </c>
      <c r="B71" t="s">
        <v>210</v>
      </c>
      <c r="C71">
        <v>41173.261247550989</v>
      </c>
      <c r="D71">
        <v>10496.5136719641</v>
      </c>
      <c r="E71">
        <f>521.3</f>
        <v>521.29999999999995</v>
      </c>
      <c r="F71" s="1">
        <f>(226540)/3600</f>
        <v>62.927777777777777</v>
      </c>
    </row>
    <row r="72" spans="1:6" x14ac:dyDescent="0.35">
      <c r="A72" t="s">
        <v>129</v>
      </c>
      <c r="B72" t="s">
        <v>211</v>
      </c>
      <c r="C72">
        <v>59763.676455255394</v>
      </c>
      <c r="D72">
        <v>15697.203069607374</v>
      </c>
      <c r="E72">
        <f>59.4</f>
        <v>59.4</v>
      </c>
      <c r="F72" s="1">
        <f>(83505)/3600</f>
        <v>23.195833333333333</v>
      </c>
    </row>
    <row r="73" spans="1:6" x14ac:dyDescent="0.35">
      <c r="A73" t="s">
        <v>80</v>
      </c>
      <c r="B73" t="s">
        <v>212</v>
      </c>
      <c r="C73">
        <v>15205.873265401997</v>
      </c>
      <c r="D73">
        <v>2553.8089708665052</v>
      </c>
      <c r="E73">
        <f>16.2</f>
        <v>16.2</v>
      </c>
      <c r="F73" s="1">
        <f>(22276)/3600</f>
        <v>6.1877777777777778</v>
      </c>
    </row>
    <row r="74" spans="1:6" x14ac:dyDescent="0.35">
      <c r="A74" t="s">
        <v>105</v>
      </c>
      <c r="B74" t="s">
        <v>213</v>
      </c>
      <c r="C74">
        <v>12495.792970176013</v>
      </c>
      <c r="D74">
        <v>1792.679048526493</v>
      </c>
      <c r="E74">
        <f>30.6</f>
        <v>30.6</v>
      </c>
      <c r="F74" s="1">
        <f>(24894)/3600</f>
        <v>6.915</v>
      </c>
    </row>
    <row r="75" spans="1:6" x14ac:dyDescent="0.35">
      <c r="A75" t="s">
        <v>2</v>
      </c>
      <c r="B75" t="s">
        <v>214</v>
      </c>
      <c r="C75">
        <v>12909.966306605511</v>
      </c>
      <c r="D75">
        <v>531.09057657137362</v>
      </c>
      <c r="E75">
        <f>11</f>
        <v>11</v>
      </c>
      <c r="F75" s="1">
        <f>(15692)/3600</f>
        <v>4.358888888888889</v>
      </c>
    </row>
    <row r="76" spans="1:6" x14ac:dyDescent="0.35">
      <c r="A76" t="s">
        <v>73</v>
      </c>
      <c r="B76" t="s">
        <v>215</v>
      </c>
      <c r="C76">
        <v>34001.013211007055</v>
      </c>
      <c r="D76">
        <v>3821.1451704373976</v>
      </c>
      <c r="E76">
        <f>11.2</f>
        <v>11.2</v>
      </c>
      <c r="F76" s="1">
        <f>(9561)/3600</f>
        <v>2.6558333333333333</v>
      </c>
    </row>
    <row r="77" spans="1:6" x14ac:dyDescent="0.35">
      <c r="A77" t="s">
        <v>50</v>
      </c>
      <c r="B77" t="s">
        <v>216</v>
      </c>
      <c r="C77">
        <v>129443.18364145432</v>
      </c>
      <c r="D77">
        <v>13914.678448875555</v>
      </c>
      <c r="E77">
        <f>7.7</f>
        <v>7.7</v>
      </c>
      <c r="F77" s="1">
        <f>(3639)/3600</f>
        <v>1.0108333333333333</v>
      </c>
    </row>
    <row r="78" spans="1:6" x14ac:dyDescent="0.35">
      <c r="A78" t="s">
        <v>48</v>
      </c>
      <c r="B78" t="s">
        <v>217</v>
      </c>
      <c r="C78">
        <v>29217.459341277998</v>
      </c>
      <c r="D78">
        <v>3507.4045206547157</v>
      </c>
      <c r="E78">
        <f>7</f>
        <v>7</v>
      </c>
      <c r="F78" s="1">
        <f>(6289)/3600</f>
        <v>1.7469444444444444</v>
      </c>
    </row>
    <row r="79" spans="1:6" x14ac:dyDescent="0.35">
      <c r="A79" t="s">
        <v>8</v>
      </c>
      <c r="B79" t="s">
        <v>218</v>
      </c>
      <c r="C79">
        <v>7951.79833984375</v>
      </c>
      <c r="D79">
        <v>904.11340169414916</v>
      </c>
      <c r="E79">
        <f>30.2</f>
        <v>30.2</v>
      </c>
      <c r="F79" s="1">
        <f>(35568)/3600</f>
        <v>9.8800000000000008</v>
      </c>
    </row>
    <row r="80" spans="1:6" x14ac:dyDescent="0.35">
      <c r="A80" t="s">
        <v>86</v>
      </c>
      <c r="B80" t="s">
        <v>219</v>
      </c>
      <c r="C80">
        <v>11641.120843657689</v>
      </c>
      <c r="D80">
        <v>1725.0941715961319</v>
      </c>
      <c r="E80">
        <f>5.5</f>
        <v>5.5</v>
      </c>
      <c r="F80" s="1">
        <f>(7282)/3600</f>
        <v>2.0227777777777778</v>
      </c>
    </row>
    <row r="81" spans="1:6" x14ac:dyDescent="0.35">
      <c r="A81" t="s">
        <v>42</v>
      </c>
      <c r="B81" t="s">
        <v>220</v>
      </c>
      <c r="C81">
        <v>21063.688367800718</v>
      </c>
      <c r="D81">
        <v>2167.6053083468119</v>
      </c>
      <c r="E81">
        <f>259.6</f>
        <v>259.60000000000002</v>
      </c>
      <c r="F81" s="1">
        <f>(194090)/3600</f>
        <v>53.913888888888891</v>
      </c>
    </row>
    <row r="82" spans="1:6" x14ac:dyDescent="0.35">
      <c r="A82" t="s">
        <v>25</v>
      </c>
      <c r="B82" t="s">
        <v>221</v>
      </c>
      <c r="C82">
        <v>18435.58235571871</v>
      </c>
      <c r="D82">
        <v>3788.6748607733693</v>
      </c>
      <c r="E82">
        <f>7.3</f>
        <v>7.3</v>
      </c>
      <c r="F82" s="1">
        <f>(10965)/3600</f>
        <v>3.0458333333333334</v>
      </c>
    </row>
    <row r="83" spans="1:6" x14ac:dyDescent="0.35">
      <c r="A83" t="s">
        <v>68</v>
      </c>
      <c r="B83" t="s">
        <v>222</v>
      </c>
      <c r="C83">
        <v>42958.355317094378</v>
      </c>
      <c r="D83">
        <v>4924.5440194404428</v>
      </c>
      <c r="E83">
        <f>2.1</f>
        <v>2.1</v>
      </c>
      <c r="F83" s="1">
        <f>(2214)/3600</f>
        <v>0.61499999999999999</v>
      </c>
    </row>
    <row r="84" spans="1:6" x14ac:dyDescent="0.35">
      <c r="A84" t="s">
        <v>74</v>
      </c>
      <c r="B84" t="s">
        <v>223</v>
      </c>
      <c r="C84">
        <v>5006.5066714983668</v>
      </c>
      <c r="D84">
        <v>222.09228692192522</v>
      </c>
      <c r="E84">
        <f>11.3</f>
        <v>11.3</v>
      </c>
      <c r="F84" s="1">
        <f>(14806)/3600</f>
        <v>4.1127777777777776</v>
      </c>
    </row>
    <row r="85" spans="1:6" x14ac:dyDescent="0.35">
      <c r="A85" t="s">
        <v>70</v>
      </c>
      <c r="B85" t="s">
        <v>224</v>
      </c>
      <c r="C85">
        <v>20521.80709056892</v>
      </c>
      <c r="D85">
        <v>4612.3413904568915</v>
      </c>
      <c r="E85">
        <f>2.7</f>
        <v>2.7</v>
      </c>
      <c r="F85" s="1">
        <f>(4255)/3600</f>
        <v>1.1819444444444445</v>
      </c>
    </row>
    <row r="86" spans="1:6" x14ac:dyDescent="0.35">
      <c r="A86" t="s">
        <v>67</v>
      </c>
      <c r="B86" t="s">
        <v>225</v>
      </c>
      <c r="C86">
        <v>13943.427714865251</v>
      </c>
      <c r="D86">
        <v>1990.8116902730337</v>
      </c>
      <c r="E86">
        <f>5.9</f>
        <v>5.9</v>
      </c>
      <c r="F86" s="1">
        <f>(4503)/3600</f>
        <v>1.2508333333333332</v>
      </c>
    </row>
    <row r="87" spans="1:6" x14ac:dyDescent="0.35">
      <c r="A87" t="s">
        <v>115</v>
      </c>
      <c r="B87" t="s">
        <v>226</v>
      </c>
      <c r="C87">
        <v>1449.929266327224</v>
      </c>
      <c r="D87">
        <v>488.16380185334725</v>
      </c>
      <c r="E87">
        <f>12</f>
        <v>12</v>
      </c>
      <c r="F87" s="1">
        <f>(5544)/3600</f>
        <v>1.54</v>
      </c>
    </row>
    <row r="88" spans="1:6" x14ac:dyDescent="0.35">
      <c r="A88" t="s">
        <v>13</v>
      </c>
      <c r="B88" t="s">
        <v>227</v>
      </c>
      <c r="C88">
        <v>21568.864854943346</v>
      </c>
      <c r="D88">
        <v>2182.0350013637717</v>
      </c>
      <c r="E88">
        <f>2.8</f>
        <v>2.8</v>
      </c>
      <c r="F88" s="1">
        <f>(2901)/3600</f>
        <v>0.80583333333333329</v>
      </c>
    </row>
    <row r="89" spans="1:6" x14ac:dyDescent="0.35">
      <c r="A89" t="s">
        <v>82</v>
      </c>
      <c r="B89" t="s">
        <v>228</v>
      </c>
      <c r="C89">
        <v>26818.431728165877</v>
      </c>
      <c r="D89">
        <v>4526.2372916826635</v>
      </c>
      <c r="E89">
        <f>134.7</f>
        <v>134.69999999999999</v>
      </c>
      <c r="F89" s="1">
        <f>(98222)/3600</f>
        <v>27.283888888888889</v>
      </c>
    </row>
    <row r="90" spans="1:6" x14ac:dyDescent="0.35">
      <c r="A90" t="s">
        <v>27</v>
      </c>
      <c r="B90" t="s">
        <v>229</v>
      </c>
      <c r="C90">
        <v>11982.696364834797</v>
      </c>
      <c r="D90">
        <v>1624.9023090739786</v>
      </c>
      <c r="E90">
        <f>3.8</f>
        <v>3.8</v>
      </c>
      <c r="F90" s="1">
        <f>(3164)/3600</f>
        <v>0.87888888888888894</v>
      </c>
    </row>
    <row r="91" spans="1:6" x14ac:dyDescent="0.35">
      <c r="A91" t="s">
        <v>33</v>
      </c>
      <c r="B91" t="s">
        <v>230</v>
      </c>
      <c r="C91">
        <v>1462.8212299849095</v>
      </c>
      <c r="D91">
        <v>51.259609940908859</v>
      </c>
      <c r="E91">
        <f>1</f>
        <v>1</v>
      </c>
      <c r="F91" s="1">
        <f>(1929)/3600</f>
        <v>0.53583333333333338</v>
      </c>
    </row>
    <row r="92" spans="1:6" x14ac:dyDescent="0.35">
      <c r="A92" t="s">
        <v>51</v>
      </c>
      <c r="B92" t="s">
        <v>231</v>
      </c>
      <c r="C92">
        <v>5980.1918164830022</v>
      </c>
      <c r="D92">
        <v>137.14590153365376</v>
      </c>
      <c r="E92">
        <f>34.9</f>
        <v>34.9</v>
      </c>
      <c r="F92" s="1">
        <f>(50410)/3600</f>
        <v>14.002777777777778</v>
      </c>
    </row>
    <row r="93" spans="1:6" x14ac:dyDescent="0.35">
      <c r="A93" t="s">
        <v>114</v>
      </c>
      <c r="B93" t="s">
        <v>232</v>
      </c>
      <c r="C93">
        <v>6657.1959184542256</v>
      </c>
      <c r="D93">
        <v>575.45612851710678</v>
      </c>
      <c r="E93">
        <f>3.4</f>
        <v>3.4</v>
      </c>
      <c r="F93" s="1">
        <f>(3851)/3600</f>
        <v>1.0697222222222222</v>
      </c>
    </row>
    <row r="94" spans="1:6" x14ac:dyDescent="0.35">
      <c r="A94" t="s">
        <v>5</v>
      </c>
      <c r="B94" t="s">
        <v>233</v>
      </c>
      <c r="C94">
        <v>61989.846640759046</v>
      </c>
      <c r="D94">
        <v>6712.7747582450002</v>
      </c>
      <c r="E94">
        <f>113.2</f>
        <v>113.2</v>
      </c>
      <c r="F94" s="1">
        <f>(82185)/3600</f>
        <v>22.829166666666666</v>
      </c>
    </row>
    <row r="95" spans="1:6" x14ac:dyDescent="0.35">
      <c r="A95" t="s">
        <v>124</v>
      </c>
      <c r="B95" t="s">
        <v>234</v>
      </c>
      <c r="C95">
        <v>84753.668395331813</v>
      </c>
      <c r="D95">
        <v>22999.93459512827</v>
      </c>
      <c r="E95">
        <f>118.8</f>
        <v>118.8</v>
      </c>
      <c r="F95" s="1">
        <f>(132736)/3600</f>
        <v>36.871111111111112</v>
      </c>
    </row>
    <row r="96" spans="1:6" x14ac:dyDescent="0.35">
      <c r="A96" t="s">
        <v>40</v>
      </c>
      <c r="B96" t="s">
        <v>235</v>
      </c>
      <c r="C96">
        <v>3621.7316893711227</v>
      </c>
      <c r="D96">
        <v>142.41642475870336</v>
      </c>
      <c r="E96">
        <f>3.9</f>
        <v>3.9</v>
      </c>
      <c r="F96" s="1">
        <f>(6598)/3600</f>
        <v>1.8327777777777778</v>
      </c>
    </row>
    <row r="97" spans="1:6" x14ac:dyDescent="0.35">
      <c r="A97" t="s">
        <v>108</v>
      </c>
      <c r="B97" t="s">
        <v>236</v>
      </c>
      <c r="C97">
        <v>44215.877577832565</v>
      </c>
      <c r="D97">
        <v>9012.7310970884537</v>
      </c>
      <c r="E97">
        <f>41.1</f>
        <v>41.1</v>
      </c>
      <c r="F97" s="1">
        <f>(44787)/3600</f>
        <v>12.440833333333334</v>
      </c>
    </row>
    <row r="98" spans="1:6" x14ac:dyDescent="0.35">
      <c r="A98" t="s">
        <v>128</v>
      </c>
      <c r="B98" t="s">
        <v>237</v>
      </c>
      <c r="C98">
        <v>39639.987051480224</v>
      </c>
      <c r="D98">
        <v>6485.5454386687716</v>
      </c>
      <c r="E98">
        <f>26</f>
        <v>26</v>
      </c>
      <c r="F98" s="1">
        <f>(43052)/3600</f>
        <v>11.95888888888889</v>
      </c>
    </row>
    <row r="99" spans="1:6" x14ac:dyDescent="0.35">
      <c r="A99" t="s">
        <v>132</v>
      </c>
      <c r="B99" t="s">
        <v>238</v>
      </c>
      <c r="C99">
        <v>4520.234633992859</v>
      </c>
      <c r="D99">
        <v>407.9067696128144</v>
      </c>
      <c r="E99">
        <f>89.8</f>
        <v>89.8</v>
      </c>
      <c r="F99" s="1">
        <f>(149544)/3600</f>
        <v>41.54</v>
      </c>
    </row>
    <row r="100" spans="1:6" x14ac:dyDescent="0.35">
      <c r="A100" t="s">
        <v>102</v>
      </c>
      <c r="B100" t="s">
        <v>239</v>
      </c>
      <c r="C100">
        <v>28931.804446955375</v>
      </c>
      <c r="D100">
        <v>2069.0624421103153</v>
      </c>
      <c r="E100">
        <f>8.1</f>
        <v>8.1</v>
      </c>
      <c r="F100" s="1">
        <f>(9100)/3600</f>
        <v>2.5277777777777777</v>
      </c>
    </row>
    <row r="101" spans="1:6" x14ac:dyDescent="0.35">
      <c r="A101" t="s">
        <v>91</v>
      </c>
      <c r="B101" t="s">
        <v>240</v>
      </c>
      <c r="C101">
        <v>14247.101001948931</v>
      </c>
      <c r="D101">
        <v>1344.7414658326156</v>
      </c>
      <c r="E101">
        <f>40.7</f>
        <v>40.700000000000003</v>
      </c>
      <c r="F101" s="1">
        <f>(32108)/3600</f>
        <v>8.9188888888888886</v>
      </c>
    </row>
    <row r="102" spans="1:6" x14ac:dyDescent="0.35">
      <c r="A102" t="s">
        <v>49</v>
      </c>
      <c r="B102" t="s">
        <v>241</v>
      </c>
      <c r="C102">
        <v>7340.3615858078474</v>
      </c>
      <c r="D102">
        <v>674.51031940461303</v>
      </c>
      <c r="E102">
        <f>69.8</f>
        <v>69.8</v>
      </c>
      <c r="F102" s="1">
        <f>(75488)/3600</f>
        <v>20.968888888888888</v>
      </c>
    </row>
    <row r="103" spans="1:6" x14ac:dyDescent="0.35">
      <c r="A103" t="s">
        <v>19</v>
      </c>
      <c r="B103" t="s">
        <v>242</v>
      </c>
      <c r="C103">
        <v>30307.489699315651</v>
      </c>
      <c r="D103">
        <v>3971.7997613105531</v>
      </c>
      <c r="E103">
        <f>151</f>
        <v>151</v>
      </c>
      <c r="F103" s="1">
        <f>(101098)/3600</f>
        <v>28.082777777777778</v>
      </c>
    </row>
    <row r="104" spans="1:6" x14ac:dyDescent="0.35">
      <c r="A104" t="s">
        <v>75</v>
      </c>
      <c r="B104" t="s">
        <v>243</v>
      </c>
      <c r="C104">
        <v>35065.748325619221</v>
      </c>
      <c r="D104">
        <v>4662.6007998029436</v>
      </c>
      <c r="E104">
        <f>48.5</f>
        <v>48.5</v>
      </c>
      <c r="F104" s="1">
        <f>(42894)/3600</f>
        <v>11.914999999999999</v>
      </c>
    </row>
    <row r="105" spans="1:6" x14ac:dyDescent="0.35">
      <c r="A105" t="s">
        <v>90</v>
      </c>
      <c r="B105" t="s">
        <v>244</v>
      </c>
      <c r="C105">
        <v>14219.354423732955</v>
      </c>
      <c r="D105">
        <v>1687.8614507107388</v>
      </c>
      <c r="E105">
        <f>10.5</f>
        <v>10.5</v>
      </c>
      <c r="F105" s="1">
        <f>(15562)/3600</f>
        <v>4.3227777777777776</v>
      </c>
    </row>
    <row r="106" spans="1:6" x14ac:dyDescent="0.35">
      <c r="A106" t="s">
        <v>117</v>
      </c>
      <c r="B106" t="s">
        <v>245</v>
      </c>
      <c r="C106">
        <v>128013.98704614093</v>
      </c>
      <c r="D106">
        <v>16893.730437389189</v>
      </c>
      <c r="E106">
        <f>36.4</f>
        <v>36.4</v>
      </c>
      <c r="F106" s="1">
        <f>(49431)/3600</f>
        <v>13.730833333333333</v>
      </c>
    </row>
    <row r="107" spans="1:6" x14ac:dyDescent="0.35">
      <c r="A107" t="s">
        <v>104</v>
      </c>
      <c r="B107" t="s">
        <v>246</v>
      </c>
      <c r="C107">
        <v>28129.220476455324</v>
      </c>
      <c r="D107">
        <v>2584.4117872644297</v>
      </c>
      <c r="E107">
        <f>51.5</f>
        <v>51.5</v>
      </c>
      <c r="F107" s="1">
        <f>(42876)/3600</f>
        <v>11.91</v>
      </c>
    </row>
    <row r="108" spans="1:6" x14ac:dyDescent="0.35">
      <c r="A108" t="s">
        <v>1</v>
      </c>
      <c r="B108" t="s">
        <v>247</v>
      </c>
      <c r="C108">
        <v>36217.96484375</v>
      </c>
      <c r="D108">
        <v>6583.5432785613184</v>
      </c>
      <c r="E108">
        <f>949.6</f>
        <v>949.6</v>
      </c>
      <c r="F108" s="1">
        <f>(525308)/3600</f>
        <v>145.91888888888889</v>
      </c>
    </row>
    <row r="109" spans="1:6" x14ac:dyDescent="0.35">
      <c r="A109" t="s">
        <v>85</v>
      </c>
      <c r="B109" t="s">
        <v>248</v>
      </c>
      <c r="C109">
        <v>53396.152427741283</v>
      </c>
      <c r="D109">
        <v>10267.377759930465</v>
      </c>
      <c r="E109">
        <f>315.9</f>
        <v>315.89999999999998</v>
      </c>
      <c r="F109" s="1">
        <f>(489268)/3600</f>
        <v>135.90777777777777</v>
      </c>
    </row>
    <row r="110" spans="1:6" x14ac:dyDescent="0.35">
      <c r="A110" t="s">
        <v>41</v>
      </c>
      <c r="B110" t="s">
        <v>249</v>
      </c>
      <c r="C110">
        <v>4207.50048828125</v>
      </c>
      <c r="D110">
        <v>251.16348891148357</v>
      </c>
      <c r="E110">
        <f>9.2</f>
        <v>9.1999999999999993</v>
      </c>
      <c r="F110" s="1">
        <f>(19090)/3600</f>
        <v>5.302777777777778</v>
      </c>
    </row>
    <row r="111" spans="1:6" x14ac:dyDescent="0.35">
      <c r="A111" t="s">
        <v>7</v>
      </c>
      <c r="B111" t="s">
        <v>250</v>
      </c>
      <c r="C111">
        <v>3484.0121974979747</v>
      </c>
      <c r="D111">
        <v>229.71852520565497</v>
      </c>
      <c r="E111">
        <f>3.6</f>
        <v>3.6</v>
      </c>
      <c r="F111" s="1">
        <f>(3816)/3600</f>
        <v>1.06</v>
      </c>
    </row>
    <row r="112" spans="1:6" x14ac:dyDescent="0.35">
      <c r="A112" t="s">
        <v>95</v>
      </c>
      <c r="B112" t="s">
        <v>251</v>
      </c>
      <c r="C112">
        <v>106604.49277128151</v>
      </c>
      <c r="D112">
        <v>8844.6875930120059</v>
      </c>
      <c r="E112">
        <f>48.4</f>
        <v>48.4</v>
      </c>
      <c r="F112" s="1">
        <f>(24926)/3600</f>
        <v>6.9238888888888885</v>
      </c>
    </row>
    <row r="113" spans="1:6" x14ac:dyDescent="0.35">
      <c r="A113" t="s">
        <v>110</v>
      </c>
      <c r="B113" t="s">
        <v>252</v>
      </c>
      <c r="C113">
        <v>9451.744607867</v>
      </c>
      <c r="D113">
        <v>957.1707078828257</v>
      </c>
      <c r="E113">
        <f>6</f>
        <v>6</v>
      </c>
      <c r="F113" s="1">
        <f>(6274)/3600</f>
        <v>1.7427777777777778</v>
      </c>
    </row>
    <row r="114" spans="1:6" x14ac:dyDescent="0.35">
      <c r="A114" t="s">
        <v>55</v>
      </c>
      <c r="B114" t="s">
        <v>253</v>
      </c>
      <c r="C114">
        <v>17906.275965457375</v>
      </c>
      <c r="D114">
        <v>4271.0193111488043</v>
      </c>
      <c r="E114">
        <f>30.5</f>
        <v>30.5</v>
      </c>
      <c r="F114" s="1">
        <f>(49687)/3600</f>
        <v>13.801944444444445</v>
      </c>
    </row>
    <row r="115" spans="1:6" x14ac:dyDescent="0.35">
      <c r="A115" t="s">
        <v>96</v>
      </c>
      <c r="B115" t="s">
        <v>254</v>
      </c>
      <c r="C115">
        <v>24414.355475973389</v>
      </c>
      <c r="D115">
        <v>3458.6259695884237</v>
      </c>
      <c r="E115">
        <f>1.8</f>
        <v>1.8</v>
      </c>
      <c r="F115" s="1">
        <f>(2314)/3600</f>
        <v>0.64277777777777778</v>
      </c>
    </row>
    <row r="116" spans="1:6" x14ac:dyDescent="0.35">
      <c r="A116" t="s">
        <v>63</v>
      </c>
      <c r="B116" t="s">
        <v>255</v>
      </c>
      <c r="C116">
        <v>31859.965942538791</v>
      </c>
      <c r="D116">
        <v>5137.0738351939754</v>
      </c>
      <c r="E116">
        <f>27.8</f>
        <v>27.8</v>
      </c>
      <c r="F116" s="1">
        <f>(17701)/3600</f>
        <v>4.9169444444444448</v>
      </c>
    </row>
    <row r="117" spans="1:6" x14ac:dyDescent="0.35">
      <c r="A117" t="s">
        <v>61</v>
      </c>
      <c r="B117" t="s">
        <v>256</v>
      </c>
      <c r="C117">
        <v>37630.694484775413</v>
      </c>
      <c r="D117">
        <v>6727.9993016421113</v>
      </c>
      <c r="E117">
        <f>13.9</f>
        <v>13.9</v>
      </c>
      <c r="F117" s="1">
        <f>(11249)/3600</f>
        <v>3.1247222222222222</v>
      </c>
    </row>
    <row r="118" spans="1:6" x14ac:dyDescent="0.35">
      <c r="A118" t="s">
        <v>18</v>
      </c>
      <c r="B118" t="s">
        <v>257</v>
      </c>
      <c r="C118">
        <v>57033.845962204905</v>
      </c>
      <c r="D118">
        <v>13480.14822439102</v>
      </c>
      <c r="E118">
        <f>130.7</f>
        <v>130.69999999999999</v>
      </c>
      <c r="F118" s="1">
        <f>(148680)/3600</f>
        <v>41.3</v>
      </c>
    </row>
    <row r="119" spans="1:6" x14ac:dyDescent="0.35">
      <c r="A119" t="s">
        <v>32</v>
      </c>
      <c r="B119" t="s">
        <v>258</v>
      </c>
      <c r="C119">
        <v>5301.6253525794073</v>
      </c>
      <c r="D119">
        <v>899.44296685664881</v>
      </c>
      <c r="E119">
        <f>18.9</f>
        <v>18.899999999999999</v>
      </c>
      <c r="F119" s="1">
        <f>(28976)/3600</f>
        <v>8.0488888888888894</v>
      </c>
    </row>
    <row r="120" spans="1:6" x14ac:dyDescent="0.35">
      <c r="A120" t="s">
        <v>44</v>
      </c>
      <c r="B120" t="s">
        <v>259</v>
      </c>
      <c r="C120">
        <v>2253.4852621831428</v>
      </c>
      <c r="D120">
        <v>147.74270821484251</v>
      </c>
      <c r="E120">
        <f>1.3</f>
        <v>1.3</v>
      </c>
      <c r="F120" s="1">
        <f>(2235)/3600</f>
        <v>0.62083333333333335</v>
      </c>
    </row>
    <row r="121" spans="1:6" x14ac:dyDescent="0.35">
      <c r="A121" t="s">
        <v>106</v>
      </c>
      <c r="B121" t="s">
        <v>260</v>
      </c>
      <c r="C121">
        <v>18323.96274366666</v>
      </c>
      <c r="D121">
        <v>2474.5227846949133</v>
      </c>
      <c r="E121">
        <f>171.9</f>
        <v>171.9</v>
      </c>
      <c r="F121" s="1">
        <f>(140374)/3600</f>
        <v>38.992777777777775</v>
      </c>
    </row>
    <row r="122" spans="1:6" x14ac:dyDescent="0.35">
      <c r="A122" t="s">
        <v>11</v>
      </c>
      <c r="B122" t="s">
        <v>261</v>
      </c>
      <c r="C122">
        <v>2943.0886791731673</v>
      </c>
      <c r="D122">
        <v>1468.7464987457201</v>
      </c>
      <c r="E122">
        <f>12.1</f>
        <v>12.1</v>
      </c>
      <c r="F122" s="1">
        <f>(10645)/3600</f>
        <v>2.9569444444444444</v>
      </c>
    </row>
    <row r="123" spans="1:6" x14ac:dyDescent="0.35">
      <c r="A123" t="s">
        <v>99</v>
      </c>
      <c r="B123" t="s">
        <v>262</v>
      </c>
      <c r="C123">
        <v>12544.398346406131</v>
      </c>
      <c r="D123">
        <v>2410.2580900346534</v>
      </c>
      <c r="E123">
        <f>14.6</f>
        <v>14.6</v>
      </c>
      <c r="F123" s="1">
        <f>(8391)/3600</f>
        <v>2.3308333333333335</v>
      </c>
    </row>
    <row r="124" spans="1:6" x14ac:dyDescent="0.35">
      <c r="A124" t="s">
        <v>121</v>
      </c>
      <c r="B124" t="s">
        <v>263</v>
      </c>
      <c r="C124">
        <v>39966.186588545832</v>
      </c>
      <c r="D124">
        <v>7182.5549320879509</v>
      </c>
      <c r="E124">
        <f>9.2</f>
        <v>9.1999999999999993</v>
      </c>
      <c r="F124" s="1">
        <f>(9111)/3600</f>
        <v>2.5308333333333333</v>
      </c>
    </row>
    <row r="125" spans="1:6" x14ac:dyDescent="0.35">
      <c r="A125" t="s">
        <v>39</v>
      </c>
      <c r="B125" t="s">
        <v>264</v>
      </c>
      <c r="C125">
        <v>12752.900730364106</v>
      </c>
      <c r="D125">
        <v>1427.4072118789231</v>
      </c>
      <c r="E125">
        <f>16.3</f>
        <v>16.3</v>
      </c>
      <c r="F125" s="1">
        <f>(16251)/3600</f>
        <v>4.5141666666666671</v>
      </c>
    </row>
    <row r="126" spans="1:6" x14ac:dyDescent="0.35">
      <c r="A126" t="s">
        <v>24</v>
      </c>
      <c r="B126" t="s">
        <v>265</v>
      </c>
      <c r="C126">
        <v>24573.488877816992</v>
      </c>
      <c r="D126">
        <v>2848.9716576496112</v>
      </c>
      <c r="E126">
        <f>219.9</f>
        <v>219.9</v>
      </c>
      <c r="F126" s="1">
        <f>(166284)/3600</f>
        <v>46.19</v>
      </c>
    </row>
    <row r="127" spans="1:6" x14ac:dyDescent="0.35">
      <c r="A127" t="s">
        <v>109</v>
      </c>
      <c r="B127" t="s">
        <v>266</v>
      </c>
      <c r="C127">
        <v>3027.56909179688</v>
      </c>
      <c r="D127">
        <v>102.87675174481355</v>
      </c>
      <c r="E127">
        <f>5.2</f>
        <v>5.2</v>
      </c>
      <c r="F127" s="1">
        <f>(8017)/3600</f>
        <v>2.2269444444444444</v>
      </c>
    </row>
    <row r="128" spans="1:6" x14ac:dyDescent="0.35">
      <c r="A128" t="s">
        <v>78</v>
      </c>
      <c r="B128" t="s">
        <v>267</v>
      </c>
      <c r="C128">
        <v>16978.8125</v>
      </c>
      <c r="D128">
        <v>3366.4996243396577</v>
      </c>
      <c r="E128">
        <f>154.8</f>
        <v>154.80000000000001</v>
      </c>
      <c r="F128" s="1">
        <f>(140299)/3600</f>
        <v>38.971944444444446</v>
      </c>
    </row>
    <row r="129" spans="1:6" x14ac:dyDescent="0.35">
      <c r="A129" t="s">
        <v>100</v>
      </c>
      <c r="B129" t="s">
        <v>268</v>
      </c>
      <c r="C129">
        <v>29029.10415329376</v>
      </c>
      <c r="D129">
        <v>3125.7318252593454</v>
      </c>
      <c r="E129">
        <f>10.5</f>
        <v>10.5</v>
      </c>
      <c r="F129" s="1">
        <f>(14497)/3600</f>
        <v>4.0269444444444442</v>
      </c>
    </row>
    <row r="130" spans="1:6" x14ac:dyDescent="0.35">
      <c r="A130" t="s">
        <v>69</v>
      </c>
      <c r="B130" t="s">
        <v>269</v>
      </c>
      <c r="C130">
        <v>63191.247780592726</v>
      </c>
      <c r="D130">
        <v>12993.965579470594</v>
      </c>
      <c r="E130">
        <f>4138.3</f>
        <v>4138.3</v>
      </c>
      <c r="F130" s="1">
        <f>(5101117)/3600</f>
        <v>1416.9769444444444</v>
      </c>
    </row>
    <row r="131" spans="1:6" x14ac:dyDescent="0.35">
      <c r="A131" t="s">
        <v>53</v>
      </c>
      <c r="B131" t="s">
        <v>270</v>
      </c>
      <c r="C131">
        <v>7145.1098066411578</v>
      </c>
      <c r="D131">
        <v>1674.5528255738</v>
      </c>
      <c r="E131">
        <f>45.8</f>
        <v>45.8</v>
      </c>
      <c r="F131" s="1">
        <f>(43999)/3600</f>
        <v>12.221944444444444</v>
      </c>
    </row>
    <row r="132" spans="1:6" x14ac:dyDescent="0.35">
      <c r="A132" t="s">
        <v>66</v>
      </c>
      <c r="B132" t="s">
        <v>271</v>
      </c>
      <c r="C132">
        <v>8751.8828063437486</v>
      </c>
      <c r="D132">
        <v>1424.2321228834626</v>
      </c>
      <c r="E132">
        <f>126.9</f>
        <v>126.9</v>
      </c>
      <c r="F132" s="1">
        <f>(164530)/3600</f>
        <v>45.702777777777776</v>
      </c>
    </row>
    <row r="133" spans="1:6" x14ac:dyDescent="0.35">
      <c r="A133" t="s">
        <v>79</v>
      </c>
      <c r="B133" t="s">
        <v>272</v>
      </c>
      <c r="C133">
        <v>9150.7499729388255</v>
      </c>
      <c r="D133">
        <v>2818.3108008217177</v>
      </c>
      <c r="E133">
        <f>5.1</f>
        <v>5.0999999999999996</v>
      </c>
      <c r="F133" s="1">
        <f>(9198)/3600</f>
        <v>2.5550000000000002</v>
      </c>
    </row>
    <row r="134" spans="1:6" x14ac:dyDescent="0.35">
      <c r="A134" t="s">
        <v>89</v>
      </c>
      <c r="B134" t="s">
        <v>273</v>
      </c>
      <c r="C134">
        <v>14661.262434825121</v>
      </c>
      <c r="D134">
        <v>4118.7097262519228</v>
      </c>
      <c r="E134">
        <f>229</f>
        <v>229</v>
      </c>
      <c r="F134" s="1">
        <f>(139921)/3600</f>
        <v>38.866944444444442</v>
      </c>
    </row>
    <row r="135" spans="1:6" x14ac:dyDescent="0.35">
      <c r="A135" t="s">
        <v>4</v>
      </c>
      <c r="B135" t="s">
        <v>274</v>
      </c>
      <c r="C135">
        <v>3585.5774850713128</v>
      </c>
      <c r="D135">
        <v>694.98465428335328</v>
      </c>
      <c r="E135">
        <f>11.1</f>
        <v>11.1</v>
      </c>
      <c r="F135" s="1">
        <f>(11703)/3600</f>
        <v>3.2508333333333335</v>
      </c>
    </row>
    <row r="136" spans="1:6" x14ac:dyDescent="0.35">
      <c r="A136" t="s">
        <v>133</v>
      </c>
      <c r="B136" t="s">
        <v>275</v>
      </c>
      <c r="C136">
        <v>3360.5521728331246</v>
      </c>
      <c r="D136">
        <v>582.51501915310223</v>
      </c>
      <c r="E136">
        <f>8.3</f>
        <v>8.3000000000000007</v>
      </c>
      <c r="F136" s="1">
        <f>(9871)/3600</f>
        <v>2.7419444444444445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E1A7D-34AE-47C8-B0E5-9D577187032E}">
  <dimension ref="A1:D5"/>
  <sheetViews>
    <sheetView workbookViewId="0">
      <selection activeCell="A8" sqref="A8"/>
    </sheetView>
  </sheetViews>
  <sheetFormatPr defaultRowHeight="14.5" x14ac:dyDescent="0.35"/>
  <cols>
    <col min="1" max="1" width="19.453125" bestFit="1" customWidth="1"/>
    <col min="2" max="2" width="25.90625" customWidth="1"/>
    <col min="3" max="3" width="30.81640625" bestFit="1" customWidth="1"/>
  </cols>
  <sheetData>
    <row r="1" spans="1:4" x14ac:dyDescent="0.35">
      <c r="A1" s="3" t="s">
        <v>279</v>
      </c>
      <c r="B1" s="3" t="s">
        <v>276</v>
      </c>
      <c r="C1" s="3" t="s">
        <v>277</v>
      </c>
      <c r="D1" s="3" t="s">
        <v>286</v>
      </c>
    </row>
    <row r="2" spans="1:4" x14ac:dyDescent="0.35">
      <c r="A2" t="s">
        <v>136</v>
      </c>
      <c r="B2" t="s">
        <v>278</v>
      </c>
      <c r="C2" t="s">
        <v>288</v>
      </c>
      <c r="D2" s="2" t="s">
        <v>287</v>
      </c>
    </row>
    <row r="3" spans="1:4" x14ac:dyDescent="0.35">
      <c r="A3" t="s">
        <v>137</v>
      </c>
      <c r="B3" t="s">
        <v>280</v>
      </c>
      <c r="C3" t="s">
        <v>288</v>
      </c>
      <c r="D3" s="2" t="s">
        <v>289</v>
      </c>
    </row>
    <row r="4" spans="1:4" x14ac:dyDescent="0.35">
      <c r="A4" t="s">
        <v>138</v>
      </c>
      <c r="B4" t="s">
        <v>281</v>
      </c>
      <c r="C4" t="s">
        <v>285</v>
      </c>
      <c r="D4" s="2" t="s">
        <v>283</v>
      </c>
    </row>
    <row r="5" spans="1:4" x14ac:dyDescent="0.35">
      <c r="A5" t="s">
        <v>139</v>
      </c>
      <c r="B5" t="s">
        <v>282</v>
      </c>
      <c r="C5" t="s">
        <v>285</v>
      </c>
      <c r="D5" s="2" t="s">
        <v>284</v>
      </c>
    </row>
  </sheetData>
  <hyperlinks>
    <hyperlink ref="D4" r:id="rId1" xr:uid="{F706FA88-6942-425A-95EF-292AE04C7FB2}"/>
    <hyperlink ref="D5" r:id="rId2" xr:uid="{610DE36A-6C3A-4E00-883F-C7E29DC60FC9}"/>
    <hyperlink ref="D2" r:id="rId3" xr:uid="{31FB729F-00CB-438A-91E2-84353A9D1A08}"/>
    <hyperlink ref="D3" r:id="rId4" xr:uid="{A711F617-2340-48CA-9981-9F1450245662}"/>
  </hyperlinks>
  <pageMargins left="0.7" right="0.7" top="0.75" bottom="0.75" header="0.3" footer="0.3"/>
</worksheet>
</file>

<file path=docMetadata/LabelInfo.xml><?xml version="1.0" encoding="utf-8"?>
<clbl:labelList xmlns:clbl="http://schemas.microsoft.com/office/2020/mipLabelMetadata">
  <clbl:label id="{9d97530e-8f27-4137-a2a9-5cb4dcf26f2e}" enabled="0" method="" siteId="{9d97530e-8f27-4137-a2a9-5cb4dcf26f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 ElSayed</cp:lastModifiedBy>
  <dcterms:created xsi:type="dcterms:W3CDTF">2025-02-13T11:36:01Z</dcterms:created>
  <dcterms:modified xsi:type="dcterms:W3CDTF">2025-03-31T08:02:00Z</dcterms:modified>
</cp:coreProperties>
</file>