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sus\Desktop\Курсы_SPSS\"/>
    </mc:Choice>
  </mc:AlternateContent>
  <xr:revisionPtr revIDLastSave="0" documentId="13_ncr:1_{C56622A7-7BAE-43D5-ABEC-C7481CDCBB54}" xr6:coauthVersionLast="47" xr6:coauthVersionMax="47" xr10:uidLastSave="{00000000-0000-0000-0000-000000000000}"/>
  <bookViews>
    <workbookView minimized="1" xWindow="2232" yWindow="2232" windowWidth="17280" windowHeight="8880" firstSheet="3" activeTab="18" xr2:uid="{00000000-000D-0000-FFFF-FFFF00000000}"/>
  </bookViews>
  <sheets>
    <sheet name="Оглавление" sheetId="3" r:id="rId1"/>
    <sheet name="Тех_огл" sheetId="4" r:id="rId2"/>
    <sheet name="1" sheetId="5" r:id="rId3"/>
    <sheet name="2" sheetId="6" r:id="rId4"/>
    <sheet name="T.1" sheetId="7" r:id="rId5"/>
    <sheet name="3" sheetId="8" r:id="rId6"/>
    <sheet name="Т.2" sheetId="9" r:id="rId7"/>
    <sheet name="4" sheetId="10" r:id="rId8"/>
    <sheet name="Д4" sheetId="11" r:id="rId9"/>
    <sheet name="Т.3" sheetId="12" r:id="rId10"/>
    <sheet name="Т.Д.3" sheetId="13" r:id="rId11"/>
    <sheet name="Т.4" sheetId="14" r:id="rId12"/>
    <sheet name="5" sheetId="15" r:id="rId13"/>
    <sheet name="Т.5" sheetId="16" r:id="rId14"/>
    <sheet name="6" sheetId="17" r:id="rId15"/>
    <sheet name="7" sheetId="18" r:id="rId16"/>
    <sheet name="Т.6" sheetId="19" r:id="rId17"/>
    <sheet name="Т.7" sheetId="20" r:id="rId18"/>
    <sheet name="Т.Д.7" sheetId="21" r:id="rId19"/>
    <sheet name="8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0" l="1"/>
  <c r="N16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2" i="20"/>
  <c r="B31" i="20"/>
  <c r="M16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2" i="20"/>
  <c r="B30" i="20"/>
  <c r="L16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2" i="20"/>
  <c r="D3" i="22"/>
  <c r="D5" i="22"/>
  <c r="D6" i="22"/>
  <c r="D8" i="22"/>
  <c r="D9" i="22"/>
  <c r="C9" i="22"/>
  <c r="B9" i="22"/>
  <c r="C8" i="22"/>
  <c r="B8" i="22"/>
  <c r="D2" i="22"/>
  <c r="D7" i="22"/>
  <c r="C7" i="22"/>
  <c r="B7" i="22"/>
  <c r="C6" i="22"/>
  <c r="B6" i="22"/>
  <c r="C5" i="22"/>
  <c r="B5" i="22"/>
  <c r="D4" i="22"/>
  <c r="B29" i="20"/>
  <c r="B28" i="20"/>
  <c r="B27" i="20"/>
  <c r="B26" i="20"/>
  <c r="B25" i="20"/>
  <c r="K1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2" i="20"/>
  <c r="B24" i="20"/>
  <c r="J16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2" i="20"/>
  <c r="B23" i="20"/>
  <c r="I16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2" i="20"/>
  <c r="H16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2" i="20"/>
  <c r="B22" i="20"/>
  <c r="G16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2" i="20"/>
  <c r="B21" i="20"/>
  <c r="F16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2" i="20"/>
  <c r="B20" i="20"/>
  <c r="B19" i="20"/>
  <c r="E1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2" i="20"/>
  <c r="D16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2" i="20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3" i="20"/>
  <c r="C2" i="20"/>
  <c r="G6" i="19"/>
  <c r="G7" i="19"/>
  <c r="G8" i="19"/>
  <c r="G5" i="19"/>
  <c r="B11" i="18"/>
  <c r="B10" i="18"/>
  <c r="M4" i="18"/>
  <c r="N4" i="18"/>
  <c r="O4" i="18"/>
  <c r="M5" i="18"/>
  <c r="N5" i="18"/>
  <c r="O5" i="18"/>
  <c r="M6" i="18"/>
  <c r="N6" i="18"/>
  <c r="O6" i="18"/>
  <c r="N3" i="18"/>
  <c r="O3" i="18"/>
  <c r="M3" i="18"/>
  <c r="N2" i="18"/>
  <c r="O2" i="18"/>
  <c r="M2" i="18"/>
  <c r="J4" i="18"/>
  <c r="K4" i="18"/>
  <c r="L4" i="18"/>
  <c r="J5" i="18"/>
  <c r="K5" i="18"/>
  <c r="L5" i="18"/>
  <c r="J6" i="18"/>
  <c r="K6" i="18"/>
  <c r="L6" i="18"/>
  <c r="K3" i="18"/>
  <c r="L3" i="18"/>
  <c r="J3" i="18"/>
  <c r="K2" i="18"/>
  <c r="L2" i="18"/>
  <c r="J2" i="18"/>
  <c r="F4" i="18"/>
  <c r="G4" i="18"/>
  <c r="H4" i="18"/>
  <c r="I4" i="18"/>
  <c r="F5" i="18"/>
  <c r="G5" i="18"/>
  <c r="H5" i="18"/>
  <c r="I5" i="18"/>
  <c r="F6" i="18"/>
  <c r="G6" i="18"/>
  <c r="H6" i="18"/>
  <c r="I6" i="18"/>
  <c r="G3" i="18"/>
  <c r="H3" i="18"/>
  <c r="I3" i="18"/>
  <c r="F3" i="18"/>
  <c r="I2" i="18"/>
  <c r="G2" i="18"/>
  <c r="H2" i="18"/>
  <c r="F2" i="18"/>
  <c r="E4" i="18"/>
  <c r="E5" i="18"/>
  <c r="E6" i="18"/>
  <c r="E7" i="18"/>
  <c r="E3" i="18"/>
  <c r="D7" i="18"/>
  <c r="C7" i="18"/>
  <c r="B7" i="18"/>
  <c r="B6" i="17"/>
  <c r="F4" i="17"/>
  <c r="F3" i="17"/>
  <c r="F2" i="17"/>
  <c r="E3" i="17"/>
  <c r="E2" i="17"/>
  <c r="D3" i="17"/>
  <c r="D2" i="17"/>
  <c r="B4" i="17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5" i="16"/>
  <c r="K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5" i="16"/>
  <c r="A5" i="15"/>
  <c r="A4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" i="14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" i="12"/>
  <c r="H4" i="12"/>
  <c r="J4" i="12"/>
  <c r="I4" i="12"/>
  <c r="I9" i="12"/>
  <c r="J9" i="12" s="1"/>
  <c r="I10" i="12"/>
  <c r="J10" i="12" s="1"/>
  <c r="I11" i="12"/>
  <c r="J11" i="12" s="1"/>
  <c r="I17" i="12"/>
  <c r="J17" i="12" s="1"/>
  <c r="I18" i="12"/>
  <c r="J18" i="12" s="1"/>
  <c r="I19" i="12"/>
  <c r="J19" i="12" s="1"/>
  <c r="I25" i="12"/>
  <c r="J25" i="12" s="1"/>
  <c r="I26" i="12"/>
  <c r="J26" i="12" s="1"/>
  <c r="I27" i="12"/>
  <c r="J27" i="12" s="1"/>
  <c r="I33" i="12"/>
  <c r="J33" i="12" s="1"/>
  <c r="I34" i="12"/>
  <c r="J34" i="12" s="1"/>
  <c r="I35" i="12"/>
  <c r="J35" i="12" s="1"/>
  <c r="I41" i="12"/>
  <c r="J41" i="12" s="1"/>
  <c r="I42" i="12"/>
  <c r="J42" i="12" s="1"/>
  <c r="I3" i="12"/>
  <c r="H5" i="12"/>
  <c r="I5" i="12" s="1"/>
  <c r="J5" i="12" s="1"/>
  <c r="H6" i="12"/>
  <c r="I6" i="12" s="1"/>
  <c r="J6" i="12" s="1"/>
  <c r="H7" i="12"/>
  <c r="I7" i="12" s="1"/>
  <c r="J7" i="12" s="1"/>
  <c r="H8" i="12"/>
  <c r="I8" i="12" s="1"/>
  <c r="J8" i="12" s="1"/>
  <c r="H9" i="12"/>
  <c r="H10" i="12"/>
  <c r="H11" i="12"/>
  <c r="H12" i="12"/>
  <c r="I12" i="12" s="1"/>
  <c r="J12" i="12" s="1"/>
  <c r="H13" i="12"/>
  <c r="I13" i="12" s="1"/>
  <c r="J13" i="12" s="1"/>
  <c r="H14" i="12"/>
  <c r="I14" i="12" s="1"/>
  <c r="J14" i="12" s="1"/>
  <c r="H15" i="12"/>
  <c r="I15" i="12" s="1"/>
  <c r="J15" i="12" s="1"/>
  <c r="H16" i="12"/>
  <c r="I16" i="12" s="1"/>
  <c r="J16" i="12" s="1"/>
  <c r="H17" i="12"/>
  <c r="H18" i="12"/>
  <c r="H19" i="12"/>
  <c r="H20" i="12"/>
  <c r="I20" i="12" s="1"/>
  <c r="J20" i="12" s="1"/>
  <c r="H21" i="12"/>
  <c r="I21" i="12" s="1"/>
  <c r="J21" i="12" s="1"/>
  <c r="H22" i="12"/>
  <c r="I22" i="12" s="1"/>
  <c r="J22" i="12" s="1"/>
  <c r="H23" i="12"/>
  <c r="I23" i="12" s="1"/>
  <c r="J23" i="12" s="1"/>
  <c r="H24" i="12"/>
  <c r="I24" i="12" s="1"/>
  <c r="J24" i="12" s="1"/>
  <c r="H25" i="12"/>
  <c r="H26" i="12"/>
  <c r="H27" i="12"/>
  <c r="H28" i="12"/>
  <c r="I28" i="12" s="1"/>
  <c r="J28" i="12" s="1"/>
  <c r="H29" i="12"/>
  <c r="I29" i="12" s="1"/>
  <c r="J29" i="12" s="1"/>
  <c r="H30" i="12"/>
  <c r="I30" i="12" s="1"/>
  <c r="J30" i="12" s="1"/>
  <c r="H31" i="12"/>
  <c r="I31" i="12" s="1"/>
  <c r="J31" i="12" s="1"/>
  <c r="H32" i="12"/>
  <c r="I32" i="12" s="1"/>
  <c r="J32" i="12" s="1"/>
  <c r="H33" i="12"/>
  <c r="H34" i="12"/>
  <c r="H35" i="12"/>
  <c r="H36" i="12"/>
  <c r="I36" i="12" s="1"/>
  <c r="J36" i="12" s="1"/>
  <c r="H37" i="12"/>
  <c r="I37" i="12" s="1"/>
  <c r="J37" i="12" s="1"/>
  <c r="H38" i="12"/>
  <c r="I38" i="12" s="1"/>
  <c r="J38" i="12" s="1"/>
  <c r="H39" i="12"/>
  <c r="I39" i="12" s="1"/>
  <c r="J39" i="12" s="1"/>
  <c r="H40" i="12"/>
  <c r="I40" i="12" s="1"/>
  <c r="J40" i="12" s="1"/>
  <c r="H41" i="12"/>
  <c r="H42" i="12"/>
  <c r="H3" i="12"/>
  <c r="I3" i="10"/>
  <c r="I2" i="10"/>
  <c r="C5" i="10"/>
  <c r="C6" i="10" s="1"/>
  <c r="D5" i="10"/>
  <c r="D4" i="10"/>
  <c r="C4" i="10"/>
  <c r="D3" i="10"/>
  <c r="F4" i="10" s="1"/>
  <c r="A7" i="9"/>
  <c r="A6" i="9"/>
  <c r="A5" i="9"/>
  <c r="A4" i="9"/>
  <c r="A3" i="9"/>
  <c r="A2" i="9"/>
  <c r="B14" i="8"/>
  <c r="B13" i="8"/>
  <c r="B12" i="8"/>
  <c r="B11" i="8"/>
  <c r="B10" i="8"/>
  <c r="B9" i="8"/>
  <c r="B8" i="8"/>
  <c r="B7" i="8"/>
  <c r="B6" i="8"/>
  <c r="B5" i="8"/>
  <c r="B4" i="8"/>
  <c r="A11" i="7"/>
  <c r="A12" i="7"/>
  <c r="A10" i="7"/>
  <c r="A9" i="7"/>
  <c r="A8" i="7"/>
  <c r="A7" i="7"/>
  <c r="A6" i="7"/>
  <c r="A5" i="7"/>
  <c r="B19" i="6"/>
  <c r="B17" i="6"/>
  <c r="B15" i="6"/>
  <c r="C5" i="6"/>
  <c r="B5" i="6"/>
  <c r="D4" i="6"/>
  <c r="B18" i="6" s="1"/>
  <c r="D3" i="6"/>
  <c r="A3" i="5"/>
  <c r="I27" i="16" l="1"/>
  <c r="Q4" i="16" s="1"/>
  <c r="K27" i="16"/>
  <c r="J27" i="16"/>
  <c r="P4" i="16"/>
  <c r="P3" i="16"/>
  <c r="F5" i="10"/>
  <c r="F6" i="10" s="1"/>
  <c r="E3" i="10"/>
  <c r="E4" i="10" s="1"/>
  <c r="E5" i="10" s="1"/>
  <c r="C7" i="10"/>
  <c r="D6" i="10"/>
  <c r="B16" i="6"/>
  <c r="D5" i="6"/>
  <c r="B13" i="6" s="1"/>
  <c r="B14" i="6" s="1"/>
  <c r="Q3" i="16" l="1"/>
  <c r="Q5" i="16"/>
  <c r="P8" i="16" s="1"/>
  <c r="P7" i="16"/>
  <c r="P5" i="16"/>
  <c r="E6" i="10"/>
  <c r="C8" i="10"/>
  <c r="D7" i="10"/>
  <c r="E7" i="10" s="1"/>
  <c r="F7" i="10"/>
  <c r="B8" i="6"/>
  <c r="B9" i="6" s="1"/>
  <c r="B10" i="6"/>
  <c r="F8" i="10" l="1"/>
  <c r="D8" i="10"/>
  <c r="E8" i="10" s="1"/>
  <c r="C9" i="10"/>
  <c r="B11" i="6"/>
  <c r="B12" i="6"/>
  <c r="F9" i="10" l="1"/>
  <c r="C10" i="10"/>
  <c r="D9" i="10"/>
  <c r="E9" i="10" s="1"/>
  <c r="D10" i="10" l="1"/>
  <c r="E10" i="10" s="1"/>
  <c r="C11" i="10"/>
  <c r="F10" i="10"/>
  <c r="F11" i="10" l="1"/>
  <c r="D11" i="10"/>
  <c r="E11" i="10" s="1"/>
  <c r="C12" i="10"/>
  <c r="F12" i="10" l="1"/>
  <c r="D12" i="10"/>
  <c r="E12" i="10" s="1"/>
  <c r="C13" i="10"/>
  <c r="F13" i="10" l="1"/>
  <c r="C14" i="10"/>
  <c r="D13" i="10"/>
  <c r="E13" i="10" s="1"/>
  <c r="F14" i="10" l="1"/>
  <c r="C15" i="10"/>
  <c r="D14" i="10"/>
  <c r="E14" i="10" s="1"/>
  <c r="C16" i="10" l="1"/>
  <c r="D15" i="10"/>
  <c r="E15" i="10" s="1"/>
  <c r="F15" i="10"/>
  <c r="F16" i="10" l="1"/>
  <c r="D16" i="10"/>
  <c r="E16" i="10" s="1"/>
  <c r="C17" i="10"/>
  <c r="C18" i="10" l="1"/>
  <c r="D17" i="10"/>
  <c r="E17" i="10" s="1"/>
  <c r="F17" i="10"/>
  <c r="F18" i="10" l="1"/>
  <c r="C19" i="10"/>
  <c r="D18" i="10"/>
  <c r="E18" i="10" s="1"/>
  <c r="C20" i="10" l="1"/>
  <c r="D19" i="10"/>
  <c r="E19" i="10" s="1"/>
  <c r="F19" i="10"/>
  <c r="F20" i="10" l="1"/>
  <c r="D20" i="10"/>
  <c r="E20" i="10" s="1"/>
  <c r="C21" i="10"/>
  <c r="C22" i="10" l="1"/>
  <c r="D21" i="10"/>
  <c r="E21" i="10" s="1"/>
  <c r="F21" i="10"/>
  <c r="F22" i="10" l="1"/>
  <c r="D22" i="10"/>
  <c r="E22" i="10" s="1"/>
  <c r="C23" i="10"/>
  <c r="D23" i="10" l="1"/>
  <c r="E23" i="10" s="1"/>
  <c r="C24" i="10"/>
  <c r="F23" i="10"/>
  <c r="F24" i="10" l="1"/>
  <c r="C25" i="10"/>
  <c r="D24" i="10"/>
  <c r="E24" i="10" s="1"/>
  <c r="C26" i="10" l="1"/>
  <c r="D25" i="10"/>
  <c r="E25" i="10" s="1"/>
  <c r="F25" i="10"/>
  <c r="F26" i="10" l="1"/>
  <c r="C27" i="10"/>
  <c r="D26" i="10"/>
  <c r="E26" i="10" s="1"/>
  <c r="C28" i="10" l="1"/>
  <c r="D27" i="10"/>
  <c r="E27" i="10" s="1"/>
  <c r="F27" i="10"/>
  <c r="F28" i="10" l="1"/>
  <c r="D28" i="10"/>
  <c r="E28" i="10" s="1"/>
  <c r="C29" i="10"/>
  <c r="C30" i="10" l="1"/>
  <c r="D29" i="10"/>
  <c r="E29" i="10" s="1"/>
  <c r="F29" i="10"/>
  <c r="F30" i="10" l="1"/>
  <c r="D30" i="10"/>
  <c r="E30" i="10" s="1"/>
  <c r="C31" i="10"/>
  <c r="D31" i="10" l="1"/>
  <c r="E31" i="10" s="1"/>
  <c r="C32" i="10"/>
  <c r="F31" i="10"/>
  <c r="F32" i="10" l="1"/>
  <c r="C33" i="10"/>
  <c r="D32" i="10"/>
  <c r="E32" i="10" s="1"/>
  <c r="C34" i="10" l="1"/>
  <c r="D33" i="10"/>
  <c r="E33" i="10" s="1"/>
  <c r="F33" i="10"/>
  <c r="F34" i="10" l="1"/>
  <c r="D34" i="10"/>
  <c r="E34" i="10" s="1"/>
  <c r="C35" i="10"/>
  <c r="C36" i="10" l="1"/>
  <c r="D35" i="10"/>
  <c r="E35" i="10" s="1"/>
  <c r="F35" i="10"/>
  <c r="F36" i="10" l="1"/>
  <c r="C37" i="10"/>
  <c r="D36" i="10"/>
  <c r="E36" i="10" s="1"/>
  <c r="D37" i="10" l="1"/>
  <c r="E37" i="10" s="1"/>
  <c r="C38" i="10"/>
  <c r="F37" i="10"/>
  <c r="F38" i="10" l="1"/>
  <c r="C39" i="10"/>
  <c r="D38" i="10"/>
  <c r="E38" i="10" s="1"/>
  <c r="C40" i="10" l="1"/>
  <c r="D39" i="10"/>
  <c r="E39" i="10" s="1"/>
  <c r="F39" i="10"/>
  <c r="F40" i="10" l="1"/>
  <c r="D40" i="10"/>
  <c r="E40" i="10" s="1"/>
  <c r="C41" i="10"/>
  <c r="C42" i="10" l="1"/>
  <c r="D41" i="10"/>
  <c r="E41" i="10" s="1"/>
  <c r="F41" i="10"/>
  <c r="F42" i="10" l="1"/>
  <c r="D42" i="10"/>
  <c r="E42" i="10" s="1"/>
  <c r="C43" i="10"/>
  <c r="D43" i="10" l="1"/>
  <c r="E43" i="10" s="1"/>
  <c r="C44" i="10"/>
  <c r="F43" i="10"/>
  <c r="F44" i="10" l="1"/>
  <c r="C45" i="10"/>
  <c r="D45" i="10" s="1"/>
  <c r="D44" i="10"/>
  <c r="E44" i="10" s="1"/>
  <c r="E45" i="10" l="1"/>
  <c r="F45" i="10"/>
</calcChain>
</file>

<file path=xl/sharedStrings.xml><?xml version="1.0" encoding="utf-8"?>
<sst xmlns="http://schemas.openxmlformats.org/spreadsheetml/2006/main" count="360" uniqueCount="242">
  <si>
    <t>Исходные данные</t>
  </si>
  <si>
    <t xml:space="preserve">Результаты расчетов </t>
  </si>
  <si>
    <t>Таблица SPSS</t>
  </si>
  <si>
    <t>Число наблюдений</t>
  </si>
  <si>
    <t>Число успехов</t>
  </si>
  <si>
    <t>Частота</t>
  </si>
  <si>
    <t>Расчет частоты</t>
  </si>
  <si>
    <t>Диагноз</t>
  </si>
  <si>
    <t>Болен</t>
  </si>
  <si>
    <t>Здоров</t>
  </si>
  <si>
    <t>Всего</t>
  </si>
  <si>
    <t>Болезнь</t>
  </si>
  <si>
    <t>Есть</t>
  </si>
  <si>
    <t>Нет</t>
  </si>
  <si>
    <t>Доля:</t>
  </si>
  <si>
    <t>Больных</t>
  </si>
  <si>
    <t>Здоровых</t>
  </si>
  <si>
    <t>Положительных диагнозов</t>
  </si>
  <si>
    <t>Отрицательных диагнозов</t>
  </si>
  <si>
    <t>Доля правильных диагнозов</t>
  </si>
  <si>
    <t>Гипердиагностика</t>
  </si>
  <si>
    <t>Чувствительность</t>
  </si>
  <si>
    <t>Специфичность</t>
  </si>
  <si>
    <t>Доля неправильных диагнозов диагнозов</t>
  </si>
  <si>
    <t>Вероятность заболевания при положительном диагнозе (прогностическая сила положительного заключения\диагноза)</t>
  </si>
  <si>
    <t>Вероятность заболевания при отрицательном диагнозе</t>
  </si>
  <si>
    <t>Относительный риск</t>
  </si>
  <si>
    <t>Расчет чувствительности и специфичности</t>
  </si>
  <si>
    <t>Примеры расчета условной вероятности</t>
  </si>
  <si>
    <t>Число пациентов</t>
  </si>
  <si>
    <t>Старше 70</t>
  </si>
  <si>
    <t>Число умерших</t>
  </si>
  <si>
    <t>Умерших стариков</t>
  </si>
  <si>
    <t>Больной молодежи</t>
  </si>
  <si>
    <t>Умершей молодежи</t>
  </si>
  <si>
    <t>Доля умерших стариков</t>
  </si>
  <si>
    <t>Доля умерших молодых</t>
  </si>
  <si>
    <t>Доля стариков</t>
  </si>
  <si>
    <t>Доля молодежи</t>
  </si>
  <si>
    <t>Летальность у стариков</t>
  </si>
  <si>
    <t>Летальность у молодых</t>
  </si>
  <si>
    <t>P(R+)</t>
  </si>
  <si>
    <t>Частота заболевания</t>
  </si>
  <si>
    <t>P(A+/R+)</t>
  </si>
  <si>
    <t>Частота наличия фактора риска у больных</t>
  </si>
  <si>
    <t>P(A+/R-)</t>
  </si>
  <si>
    <t>Частота наличия фактора риска у здоровых</t>
  </si>
  <si>
    <t>P(R-)</t>
  </si>
  <si>
    <t>P(A-/R+)</t>
  </si>
  <si>
    <t>P(A-/R-)</t>
  </si>
  <si>
    <t>P(A+,R+)</t>
  </si>
  <si>
    <t>P(A+,R-)</t>
  </si>
  <si>
    <t>P(A-,R+)</t>
  </si>
  <si>
    <t>P(A-,R-)</t>
  </si>
  <si>
    <t>Распространенность фактора риска в популяции</t>
  </si>
  <si>
    <t>P(A+)</t>
  </si>
  <si>
    <t>P(A-)</t>
  </si>
  <si>
    <t>P(R+/A+)</t>
  </si>
  <si>
    <t>P(R+/A-)</t>
  </si>
  <si>
    <t>Частота заболевания при факторе риска</t>
  </si>
  <si>
    <t>Частота заболевания без фактора риска</t>
  </si>
  <si>
    <t>Расчет частоты заболевания при наличии фактора риска по частоте наличия фактора риска при заболевании</t>
  </si>
  <si>
    <t>Неявно используется формула Байеса</t>
  </si>
  <si>
    <t>Название</t>
  </si>
  <si>
    <t>Комментарий</t>
  </si>
  <si>
    <t>Номер листа</t>
  </si>
  <si>
    <t>Расчет вероятностиразбиться для четырехмотрного самолета</t>
  </si>
  <si>
    <t>Вероятность отказа мотора</t>
  </si>
  <si>
    <t>Вероятность, что мотор не откажет</t>
  </si>
  <si>
    <t>Вероятность, что не откажет ни один из четырех моторов</t>
  </si>
  <si>
    <t>Вероятность, что первый мотор откажет, остальные - нет</t>
  </si>
  <si>
    <t>Вероятность, что один мотор откажет, остальные нет</t>
  </si>
  <si>
    <t>Откажет не больше одного мотора</t>
  </si>
  <si>
    <t>Мы разобьемся (отказ 2 и более)</t>
  </si>
  <si>
    <t>Расчет биноминального распределения</t>
  </si>
  <si>
    <t>Численность группы</t>
  </si>
  <si>
    <t>Летальность</t>
  </si>
  <si>
    <t>Число покойников</t>
  </si>
  <si>
    <t>Вероятность, что покойников будет:</t>
  </si>
  <si>
    <t>Столько</t>
  </si>
  <si>
    <t>Столько или меньше</t>
  </si>
  <si>
    <t>Столько или больше</t>
  </si>
  <si>
    <t>p</t>
  </si>
  <si>
    <t>Ожидаемое значение</t>
  </si>
  <si>
    <t>От</t>
  </si>
  <si>
    <t>До</t>
  </si>
  <si>
    <t>Описательные статистики</t>
  </si>
  <si>
    <t>N</t>
  </si>
  <si>
    <t>Минимум</t>
  </si>
  <si>
    <t>Максимум</t>
  </si>
  <si>
    <t>Среднее</t>
  </si>
  <si>
    <t>Стандартная отклонения</t>
  </si>
  <si>
    <t>year of the study</t>
  </si>
  <si>
    <t>sex of patient</t>
  </si>
  <si>
    <t>cancer</t>
  </si>
  <si>
    <t>cirros of liver</t>
  </si>
  <si>
    <t>chronical heart failure 2-3</t>
  </si>
  <si>
    <t>cerebro-vascula disease</t>
  </si>
  <si>
    <t>chronical renal failure 2-3</t>
  </si>
  <si>
    <t>chronical obstructive pulmonary disease</t>
  </si>
  <si>
    <t>diabites mellitus</t>
  </si>
  <si>
    <t>decreased lever of consciousness</t>
  </si>
  <si>
    <t>bilateral pneumonia</t>
  </si>
  <si>
    <t>multilober pneumonia (2 and more)</t>
  </si>
  <si>
    <t>ecsudat plevritis</t>
  </si>
  <si>
    <t>plevritis of lungs (сухой)</t>
  </si>
  <si>
    <t>abscess of lungs</t>
  </si>
  <si>
    <t>empiema of lungs</t>
  </si>
  <si>
    <t>miocarditis or pericarditis</t>
  </si>
  <si>
    <t>haemorrage</t>
  </si>
  <si>
    <t>meningitis</t>
  </si>
  <si>
    <t>acute renal failure</t>
  </si>
  <si>
    <t>reactive artritis</t>
  </si>
  <si>
    <t>polyorgan failure (septic shock)</t>
  </si>
  <si>
    <t>Streptococcus pneumoniae</t>
  </si>
  <si>
    <t>Haemophilus influenzae</t>
  </si>
  <si>
    <t>Staphylococcus aureus</t>
  </si>
  <si>
    <t>Klebsiella pneumoniae spp.</t>
  </si>
  <si>
    <t>Staphylococcus pyogenes</t>
  </si>
  <si>
    <t>Gramm negative bacteriae</t>
  </si>
  <si>
    <t>not effective Aminopenicilline groop</t>
  </si>
  <si>
    <t>not effective Amoksiclave groop</t>
  </si>
  <si>
    <t>not effective macrolide groop</t>
  </si>
  <si>
    <t>not effective first-cephalosporine groop (Cefazoline, Cefalexine)</t>
  </si>
  <si>
    <t>not effective hospital second-cephalosporine groop (Cefuroxime, Cefandole)</t>
  </si>
  <si>
    <t>not effectivel third-cephalosporine-A groop (Cefotaxime, Ceftriaxone)</t>
  </si>
  <si>
    <t>not effective third-cephalosporine-B groop (Ceftazidime, Cefaperazone)</t>
  </si>
  <si>
    <t>not effective fluoroquinolones (Ciprofloxacine, Pefloxacine)</t>
  </si>
  <si>
    <t>not effective aminoglicoside groop (Gentamicine)</t>
  </si>
  <si>
    <t>not effective lincosamide groop (Lincomycine)</t>
  </si>
  <si>
    <t>not effective tetracicline groop</t>
  </si>
  <si>
    <t>not effective Biseptole</t>
  </si>
  <si>
    <t>N валидных (по списку)</t>
  </si>
  <si>
    <t/>
  </si>
  <si>
    <t>Количество единиц</t>
  </si>
  <si>
    <t xml:space="preserve">Доля </t>
  </si>
  <si>
    <t xml:space="preserve"> Нижняя доверит.граница </t>
  </si>
  <si>
    <t xml:space="preserve"> Верхняя доверит. граница </t>
  </si>
  <si>
    <t xml:space="preserve"> Погр - </t>
  </si>
  <si>
    <t xml:space="preserve"> Погр +</t>
  </si>
  <si>
    <t>Корреляции</t>
  </si>
  <si>
    <t>умер2</t>
  </si>
  <si>
    <t>hystory ID number</t>
  </si>
  <si>
    <t>date of hospitalization</t>
  </si>
  <si>
    <t>age of patient</t>
  </si>
  <si>
    <t>pulse of the patient in minuite</t>
  </si>
  <si>
    <t>respiratory rate</t>
  </si>
  <si>
    <t>temperature of the patient</t>
  </si>
  <si>
    <t>systolic blood pressure</t>
  </si>
  <si>
    <t>diastolic blood pressure</t>
  </si>
  <si>
    <t>Корреляция Пирсона</t>
  </si>
  <si>
    <t>Знач. (двухсторонняя)</t>
  </si>
  <si>
    <t>Проверка достоверности корреляционной связи при помощи поправки Бонферрони на множественном сравнении</t>
  </si>
  <si>
    <t>Описательная статистика, доверительные границы и погрешности</t>
  </si>
  <si>
    <t>С использованием поправки Бонферрони</t>
  </si>
  <si>
    <t>Ожидаемая вероятность</t>
  </si>
  <si>
    <t xml:space="preserve">Число наблюдений </t>
  </si>
  <si>
    <t>t</t>
  </si>
  <si>
    <t>Полуширина доверительного интервала</t>
  </si>
  <si>
    <t>Расчет полуширины доверительного интервала к частоте</t>
  </si>
  <si>
    <t>Используются приближенные формулы для большого количества наблюдений. Желательно, чтобы число успешных и неуспешных событий было от 30 и для меньшего количество нужно считать точные доверительные границы на биномиальном распределении</t>
  </si>
  <si>
    <t>Комбинационная таблица respiratory rate * умер2</t>
  </si>
  <si>
    <t xml:space="preserve">Количество </t>
  </si>
  <si>
    <t>Верхняя граница для благоприятных прогнозов</t>
  </si>
  <si>
    <t>Прогноз</t>
  </si>
  <si>
    <t>Благоприятный</t>
  </si>
  <si>
    <t>Неблагоприятный</t>
  </si>
  <si>
    <t>Исход</t>
  </si>
  <si>
    <t>Умер</t>
  </si>
  <si>
    <t>Жив</t>
  </si>
  <si>
    <t>Определение достоверности отличиий набора частот от набора вероятностей при помощи критерия Хи-квадрат</t>
  </si>
  <si>
    <t>Группа</t>
  </si>
  <si>
    <t>М</t>
  </si>
  <si>
    <t>Ж</t>
  </si>
  <si>
    <t>Фактическое количество</t>
  </si>
  <si>
    <t>Ожидаемая частота</t>
  </si>
  <si>
    <t>Фактическая частота</t>
  </si>
  <si>
    <t>Ожидаемое количество</t>
  </si>
  <si>
    <t>Различия</t>
  </si>
  <si>
    <t>Используется приближенное решение, практически можно пользоваться, если общее число наблюдений не меньше 50 и число наблюдений каждого варианта не меньше 5-7.</t>
  </si>
  <si>
    <t>Определение достоверности различий нескольких наборов частот критерием Хи-квадрат</t>
  </si>
  <si>
    <t>Вид гепатита</t>
  </si>
  <si>
    <t>A</t>
  </si>
  <si>
    <t>B</t>
  </si>
  <si>
    <t>C</t>
  </si>
  <si>
    <t>D</t>
  </si>
  <si>
    <t xml:space="preserve">Средней </t>
  </si>
  <si>
    <t>Легкой</t>
  </si>
  <si>
    <t>Тяжелой</t>
  </si>
  <si>
    <t>Суммарное различие</t>
  </si>
  <si>
    <t>Комбинационная таблица white blood cell count * умер2</t>
  </si>
  <si>
    <t>white blood cell count</t>
  </si>
  <si>
    <t>&lt;4</t>
  </si>
  <si>
    <t>&gt;25</t>
  </si>
  <si>
    <t xml:space="preserve"> Источник </t>
  </si>
  <si>
    <t xml:space="preserve"> p</t>
  </si>
  <si>
    <t xml:space="preserve">&lt;4 </t>
  </si>
  <si>
    <t xml:space="preserve"> &gt;25 </t>
  </si>
  <si>
    <t>4-9</t>
  </si>
  <si>
    <t>9-25</t>
  </si>
  <si>
    <t xml:space="preserve"> 4-9 </t>
  </si>
  <si>
    <t xml:space="preserve"> 9-25 </t>
  </si>
  <si>
    <t xml:space="preserve">4-9 </t>
  </si>
  <si>
    <t xml:space="preserve">9-25 </t>
  </si>
  <si>
    <t>x</t>
  </si>
  <si>
    <t>P</t>
  </si>
  <si>
    <t>F(x)</t>
  </si>
  <si>
    <t>xP</t>
  </si>
  <si>
    <t>Математическое ожидание</t>
  </si>
  <si>
    <t>xxP</t>
  </si>
  <si>
    <t>Средний квадрат</t>
  </si>
  <si>
    <t>xxxP</t>
  </si>
  <si>
    <t>Средний куб</t>
  </si>
  <si>
    <t>xxxxP</t>
  </si>
  <si>
    <t>y=x-M</t>
  </si>
  <si>
    <t>yyP</t>
  </si>
  <si>
    <t>Дисперсия</t>
  </si>
  <si>
    <t>yyyP</t>
  </si>
  <si>
    <t>3-ий центральный момент</t>
  </si>
  <si>
    <t>Средний 4-ый момент</t>
  </si>
  <si>
    <t>yyyyP</t>
  </si>
  <si>
    <t>4-ый центральный момент</t>
  </si>
  <si>
    <t>Среднеквадратичное отклонение</t>
  </si>
  <si>
    <t>Коэффициент вариации</t>
  </si>
  <si>
    <t>Коэффициент ассиметрии</t>
  </si>
  <si>
    <t>Коэффициент эксцесса</t>
  </si>
  <si>
    <t>Расчет чувствительности и специфичности при произвольном выборе границы</t>
  </si>
  <si>
    <t>Пример сравнения наборов частот, построение графика, определение попарных достоверностей различий с использованием программы с сайта</t>
  </si>
  <si>
    <t>Расчет моментов и основанных на них параметров</t>
  </si>
  <si>
    <t>Сумма</t>
  </si>
  <si>
    <t>M</t>
  </si>
  <si>
    <t>m</t>
  </si>
  <si>
    <t>s</t>
  </si>
  <si>
    <t>2-й момент</t>
  </si>
  <si>
    <t>Сумма квадратов</t>
  </si>
  <si>
    <t>Расчет среднего и стат. Погрешности среднего после объединения групп</t>
  </si>
  <si>
    <t>U(x)=x^2</t>
  </si>
  <si>
    <t>Среднее квадратичное</t>
  </si>
  <si>
    <t>U(x)=ln(x)</t>
  </si>
  <si>
    <t>Среднее геометрическое</t>
  </si>
  <si>
    <t>U(x)=1/x</t>
  </si>
  <si>
    <t>Среднее гармоническое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</si>
</sst>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Symbol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10" fontId="1" fillId="2" borderId="0" xfId="0" applyNumberFormat="1" applyFont="1" applyFill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4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4" borderId="0" xfId="0" applyFont="1" applyFill="1"/>
    <xf numFmtId="0" fontId="3" fillId="2" borderId="1" xfId="0" applyFont="1" applyFill="1" applyBorder="1"/>
    <xf numFmtId="49" fontId="0" fillId="0" borderId="0" xfId="0" applyNumberFormat="1"/>
    <xf numFmtId="49" fontId="0" fillId="0" borderId="1" xfId="0" applyNumberFormat="1" applyBorder="1"/>
    <xf numFmtId="1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'4'!$C$3:$C$45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'4'!$D$3:$D$45</c:f>
              <c:numCache>
                <c:formatCode>General</c:formatCode>
                <c:ptCount val="43"/>
                <c:pt idx="0">
                  <c:v>0.1800494452733831</c:v>
                </c:pt>
                <c:pt idx="1">
                  <c:v>0.3150865292284204</c:v>
                </c:pt>
                <c:pt idx="2">
                  <c:v>0.26913641038260916</c:v>
                </c:pt>
                <c:pt idx="3">
                  <c:v>0.14952022799033837</c:v>
                </c:pt>
                <c:pt idx="4">
                  <c:v>6.0742592621074981E-2</c:v>
                </c:pt>
                <c:pt idx="5">
                  <c:v>1.9235154330007075E-2</c:v>
                </c:pt>
                <c:pt idx="6">
                  <c:v>4.9423660431268173E-3</c:v>
                </c:pt>
                <c:pt idx="7">
                  <c:v>1.0590784378128894E-3</c:v>
                </c:pt>
                <c:pt idx="8">
                  <c:v>1.9306117355964136E-4</c:v>
                </c:pt>
                <c:pt idx="9">
                  <c:v>3.0389258801054656E-5</c:v>
                </c:pt>
                <c:pt idx="10">
                  <c:v>4.1785230851450134E-6</c:v>
                </c:pt>
                <c:pt idx="11">
                  <c:v>5.0648764668424562E-7</c:v>
                </c:pt>
                <c:pt idx="12">
                  <c:v>5.4517767525040288E-8</c:v>
                </c:pt>
                <c:pt idx="13">
                  <c:v>5.242093031253843E-9</c:v>
                </c:pt>
                <c:pt idx="14">
                  <c:v>4.5244255329274492E-10</c:v>
                </c:pt>
                <c:pt idx="15">
                  <c:v>3.5189976367213155E-11</c:v>
                </c:pt>
                <c:pt idx="16">
                  <c:v>2.4742952133196848E-12</c:v>
                </c:pt>
                <c:pt idx="17">
                  <c:v>1.5767567535860831E-13</c:v>
                </c:pt>
                <c:pt idx="18">
                  <c:v>9.124749731400889E-15</c:v>
                </c:pt>
                <c:pt idx="19">
                  <c:v>4.8024998586320766E-16</c:v>
                </c:pt>
                <c:pt idx="20">
                  <c:v>2.3011978489278659E-17</c:v>
                </c:pt>
                <c:pt idx="21">
                  <c:v>1.0044911245319965E-18</c:v>
                </c:pt>
                <c:pt idx="22">
                  <c:v>3.9951351543886584E-20</c:v>
                </c:pt>
                <c:pt idx="23">
                  <c:v>1.4475127370973332E-21</c:v>
                </c:pt>
                <c:pt idx="24">
                  <c:v>4.7747815980641623E-23</c:v>
                </c:pt>
                <c:pt idx="25">
                  <c:v>1.4324344794192479E-24</c:v>
                </c:pt>
                <c:pt idx="26">
                  <c:v>3.9024657291870604E-26</c:v>
                </c:pt>
                <c:pt idx="27">
                  <c:v>9.6357178498445936E-28</c:v>
                </c:pt>
                <c:pt idx="28">
                  <c:v>2.1508298771974226E-29</c:v>
                </c:pt>
                <c:pt idx="29">
                  <c:v>4.3263819368913922E-31</c:v>
                </c:pt>
                <c:pt idx="30">
                  <c:v>7.8115229416093978E-33</c:v>
                </c:pt>
                <c:pt idx="31">
                  <c:v>1.2599230550982982E-34</c:v>
                </c:pt>
                <c:pt idx="32">
                  <c:v>1.8045772924585085E-36</c:v>
                </c:pt>
                <c:pt idx="33">
                  <c:v>2.2785066823970811E-38</c:v>
                </c:pt>
                <c:pt idx="34">
                  <c:v>2.5130588408791301E-40</c:v>
                </c:pt>
                <c:pt idx="35">
                  <c:v>2.3933893722659138E-42</c:v>
                </c:pt>
                <c:pt idx="36">
                  <c:v>1.9390886117894634E-44</c:v>
                </c:pt>
                <c:pt idx="37">
                  <c:v>1.3101950079658415E-46</c:v>
                </c:pt>
                <c:pt idx="38">
                  <c:v>7.1830866664794029E-49</c:v>
                </c:pt>
                <c:pt idx="39">
                  <c:v>3.0696951566152081E-51</c:v>
                </c:pt>
                <c:pt idx="40">
                  <c:v>9.5927973644224313E-54</c:v>
                </c:pt>
                <c:pt idx="41">
                  <c:v>1.9497555618744569E-56</c:v>
                </c:pt>
                <c:pt idx="42">
                  <c:v>1.9342813113834474E-59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C-4A0E-9CCB-5A92BF22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98943"/>
        <c:axId val="118799423"/>
      </c:barChart>
      <c:catAx>
        <c:axId val="1187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99423"/>
        <c:crosses val="autoZero"/>
        <c:auto val="1"/>
        <c:lblAlgn val="ctr"/>
        <c:lblOffset val="100"/>
        <c:noMultiLvlLbl val="0"/>
      </c:catAx>
      <c:valAx>
        <c:axId val="1187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Т.3!$Q$4:$Q$11</c:f>
                <c:numCache>
                  <c:formatCode>General</c:formatCode>
                  <c:ptCount val="8"/>
                  <c:pt idx="0">
                    <c:v>2.96976914259971E-2</c:v>
                  </c:pt>
                  <c:pt idx="1">
                    <c:v>1.0706650457785301E-2</c:v>
                  </c:pt>
                  <c:pt idx="2">
                    <c:v>7.3636394957903497E-3</c:v>
                  </c:pt>
                  <c:pt idx="3">
                    <c:v>1.66988737895623E-2</c:v>
                  </c:pt>
                  <c:pt idx="4">
                    <c:v>1.05351720893279E-2</c:v>
                  </c:pt>
                  <c:pt idx="5">
                    <c:v>5.8283430737147302E-3</c:v>
                  </c:pt>
                  <c:pt idx="6">
                    <c:v>3.03193704352577E-2</c:v>
                  </c:pt>
                  <c:pt idx="7">
                    <c:v>6.8003118142861002E-3</c:v>
                  </c:pt>
                </c:numCache>
              </c:numRef>
            </c:plus>
            <c:minus>
              <c:numRef>
                <c:f>Т.3!$P$4:$P$11</c:f>
                <c:numCache>
                  <c:formatCode>General</c:formatCode>
                  <c:ptCount val="8"/>
                  <c:pt idx="0">
                    <c:v>2.96976914259971E-2</c:v>
                  </c:pt>
                  <c:pt idx="1">
                    <c:v>8.2332360171965598E-3</c:v>
                  </c:pt>
                  <c:pt idx="2">
                    <c:v>4.9040049049180303E-3</c:v>
                  </c:pt>
                  <c:pt idx="3">
                    <c:v>1.44130110726222E-2</c:v>
                  </c:pt>
                  <c:pt idx="4">
                    <c:v>8.0598684536769705E-3</c:v>
                  </c:pt>
                  <c:pt idx="5">
                    <c:v>3.43044087256471E-3</c:v>
                  </c:pt>
                  <c:pt idx="6">
                    <c:v>3.03193704352577E-2</c:v>
                  </c:pt>
                  <c:pt idx="7">
                    <c:v>4.3573576037396599E-3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Т.3!$A$4:$A$11</c:f>
              <c:strCache>
                <c:ptCount val="8"/>
                <c:pt idx="0">
                  <c:v>sex of patient</c:v>
                </c:pt>
                <c:pt idx="1">
                  <c:v>cancer</c:v>
                </c:pt>
                <c:pt idx="2">
                  <c:v>cirros of liver</c:v>
                </c:pt>
                <c:pt idx="3">
                  <c:v>chronical heart failure 2-3</c:v>
                </c:pt>
                <c:pt idx="4">
                  <c:v>cerebro-vascula disease</c:v>
                </c:pt>
                <c:pt idx="5">
                  <c:v>chronical renal failure 2-3</c:v>
                </c:pt>
                <c:pt idx="6">
                  <c:v>chronical obstructive pulmonary disease</c:v>
                </c:pt>
                <c:pt idx="7">
                  <c:v>diabites mellitus</c:v>
                </c:pt>
              </c:strCache>
            </c:strRef>
          </c:cat>
          <c:val>
            <c:numRef>
              <c:f>Т.3!$M$4:$M$11</c:f>
              <c:numCache>
                <c:formatCode>General</c:formatCode>
                <c:ptCount val="8"/>
                <c:pt idx="0">
                  <c:v>0.61434108527131803</c:v>
                </c:pt>
                <c:pt idx="1">
                  <c:v>2.7131782945736399E-2</c:v>
                </c:pt>
                <c:pt idx="2">
                  <c:v>1.16279069767442E-2</c:v>
                </c:pt>
                <c:pt idx="3">
                  <c:v>7.4612403100775201E-2</c:v>
                </c:pt>
                <c:pt idx="4">
                  <c:v>2.6162790697674399E-2</c:v>
                </c:pt>
                <c:pt idx="5">
                  <c:v>6.7829457364341102E-3</c:v>
                </c:pt>
                <c:pt idx="6">
                  <c:v>0.44476744186046502</c:v>
                </c:pt>
                <c:pt idx="7">
                  <c:v>9.6899224806201497E-3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506-AA60-E0490D77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86111"/>
        <c:axId val="818888031"/>
      </c:barChart>
      <c:catAx>
        <c:axId val="81888611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888031"/>
        <c:crosses val="autoZero"/>
        <c:auto val="1"/>
        <c:lblAlgn val="ctr"/>
        <c:lblOffset val="100"/>
        <c:noMultiLvlLbl val="0"/>
      </c:catAx>
      <c:valAx>
        <c:axId val="8188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88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Т.7!$A$2:$A$15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</c:numCache>
            </c:numRef>
          </c:cat>
          <c:val>
            <c:numRef>
              <c:f>Т.7!$B$2:$B$15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0.08</c:v>
                </c:pt>
                <c:pt idx="7">
                  <c:v>0.06</c:v>
                </c:pt>
                <c:pt idx="8">
                  <c:v>0.03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C-4FC9-B730-34144C8B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54416"/>
        <c:axId val="165159216"/>
      </c:barChart>
      <c:catAx>
        <c:axId val="1651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5159216"/>
        <c:crosses val="autoZero"/>
        <c:auto val="1"/>
        <c:lblAlgn val="ctr"/>
        <c:lblOffset val="100"/>
        <c:noMultiLvlLbl val="0"/>
      </c:catAx>
      <c:valAx>
        <c:axId val="165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51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89E23-A096-4EDB-8990-E7E24A540447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CE5757-00C3-4D8F-8F04-B691C752B477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06379-E925-4CD7-AC0A-4B263F5C5B07}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CDE72C-1FFA-2999-8265-5B52D632AD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90CA6E-FAAD-2D0B-76F8-85195AA52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C57D7C-6BA6-5B6D-8F68-DD3FFA3E71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BDA3-5F40-45EF-9EE1-38379C250C80}">
  <sheetPr>
    <tabColor theme="5"/>
  </sheetPr>
  <dimension ref="A1:C12"/>
  <sheetViews>
    <sheetView topLeftCell="A4" zoomScale="135" workbookViewId="0">
      <selection activeCell="B15" sqref="B15"/>
    </sheetView>
  </sheetViews>
  <sheetFormatPr defaultRowHeight="13.8" x14ac:dyDescent="0.25"/>
  <cols>
    <col min="1" max="1" width="21.6640625" style="40" customWidth="1"/>
    <col min="2" max="2" width="65.21875" style="5" customWidth="1"/>
    <col min="3" max="3" width="61" style="5" customWidth="1"/>
    <col min="4" max="16384" width="8.88671875" style="1"/>
  </cols>
  <sheetData>
    <row r="1" spans="1:3" x14ac:dyDescent="0.25">
      <c r="A1" s="35" t="s">
        <v>0</v>
      </c>
    </row>
    <row r="2" spans="1:3" x14ac:dyDescent="0.25">
      <c r="A2" s="36" t="s">
        <v>1</v>
      </c>
    </row>
    <row r="3" spans="1:3" x14ac:dyDescent="0.25">
      <c r="A3" s="37" t="s">
        <v>2</v>
      </c>
    </row>
    <row r="4" spans="1:3" x14ac:dyDescent="0.25">
      <c r="A4" s="38" t="s">
        <v>65</v>
      </c>
      <c r="B4" s="15" t="s">
        <v>63</v>
      </c>
      <c r="C4" s="15" t="s">
        <v>64</v>
      </c>
    </row>
    <row r="5" spans="1:3" x14ac:dyDescent="0.25">
      <c r="A5" s="39">
        <v>1</v>
      </c>
      <c r="B5" s="6" t="s">
        <v>6</v>
      </c>
      <c r="C5" s="6"/>
    </row>
    <row r="6" spans="1:3" x14ac:dyDescent="0.25">
      <c r="A6" s="39">
        <v>2</v>
      </c>
      <c r="B6" s="6" t="s">
        <v>27</v>
      </c>
      <c r="C6" s="6"/>
    </row>
    <row r="7" spans="1:3" ht="28.2" customHeight="1" x14ac:dyDescent="0.25">
      <c r="A7" s="39">
        <v>3</v>
      </c>
      <c r="B7" s="6" t="s">
        <v>61</v>
      </c>
      <c r="C7" s="6" t="s">
        <v>62</v>
      </c>
    </row>
    <row r="8" spans="1:3" x14ac:dyDescent="0.25">
      <c r="A8" s="39">
        <v>4</v>
      </c>
      <c r="B8" s="6" t="s">
        <v>74</v>
      </c>
      <c r="C8" s="6"/>
    </row>
    <row r="9" spans="1:3" ht="55.2" x14ac:dyDescent="0.25">
      <c r="A9" s="39">
        <v>5</v>
      </c>
      <c r="B9" s="6" t="s">
        <v>159</v>
      </c>
      <c r="C9" s="6" t="s">
        <v>160</v>
      </c>
    </row>
    <row r="10" spans="1:3" ht="41.4" x14ac:dyDescent="0.25">
      <c r="A10" s="39">
        <v>6</v>
      </c>
      <c r="B10" s="6" t="s">
        <v>170</v>
      </c>
      <c r="C10" s="6" t="s">
        <v>179</v>
      </c>
    </row>
    <row r="11" spans="1:3" ht="27.6" x14ac:dyDescent="0.25">
      <c r="A11" s="39">
        <v>7</v>
      </c>
      <c r="B11" s="6" t="s">
        <v>180</v>
      </c>
      <c r="C11" s="6"/>
    </row>
    <row r="12" spans="1:3" ht="27.6" x14ac:dyDescent="0.25">
      <c r="A12" s="39">
        <v>8</v>
      </c>
      <c r="B12" s="6" t="s">
        <v>235</v>
      </c>
      <c r="C12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5286-942C-4983-A7F3-8DE6048D933F}">
  <sheetPr>
    <tabColor theme="7" tint="0.59999389629810485"/>
  </sheetPr>
  <dimension ref="A1:Z59"/>
  <sheetViews>
    <sheetView topLeftCell="A9" workbookViewId="0">
      <selection activeCell="C31" sqref="A1:XFD1048576"/>
    </sheetView>
  </sheetViews>
  <sheetFormatPr defaultRowHeight="13.8" x14ac:dyDescent="0.25"/>
  <cols>
    <col min="1" max="1" width="8.88671875" style="1"/>
    <col min="2" max="2" width="18.109375" style="1" customWidth="1"/>
    <col min="3" max="5" width="8.88671875" style="1"/>
    <col min="6" max="6" width="34.21875" style="1" bestFit="1" customWidth="1"/>
    <col min="7" max="7" width="20.33203125" style="1" bestFit="1" customWidth="1"/>
    <col min="8" max="8" width="6.6640625" style="1" bestFit="1" customWidth="1"/>
    <col min="9" max="9" width="16" style="1" bestFit="1" customWidth="1"/>
    <col min="10" max="10" width="19.44140625" style="1" bestFit="1" customWidth="1"/>
    <col min="11" max="11" width="14.77734375" style="1" bestFit="1" customWidth="1"/>
    <col min="12" max="12" width="12.109375" style="1" bestFit="1" customWidth="1"/>
    <col min="13" max="13" width="12.33203125" style="1" bestFit="1" customWidth="1"/>
    <col min="14" max="14" width="6.6640625" style="1" bestFit="1" customWidth="1"/>
    <col min="15" max="15" width="11.6640625" style="1" bestFit="1" customWidth="1"/>
    <col min="16" max="16" width="22.33203125" style="1" bestFit="1" customWidth="1"/>
    <col min="17" max="17" width="20.6640625" style="1" bestFit="1" customWidth="1"/>
    <col min="18" max="18" width="22.109375" style="1" bestFit="1" customWidth="1"/>
    <col min="19" max="19" width="34.21875" style="1" bestFit="1" customWidth="1"/>
    <col min="20" max="20" width="14.21875" style="1" bestFit="1" customWidth="1"/>
    <col min="21" max="21" width="28.44140625" style="1" bestFit="1" customWidth="1"/>
    <col min="22" max="22" width="25.6640625" style="1" bestFit="1" customWidth="1"/>
    <col min="23" max="23" width="13.77734375" style="1" bestFit="1" customWidth="1"/>
    <col min="24" max="24" width="23.109375" style="1" bestFit="1" customWidth="1"/>
    <col min="25" max="25" width="19.6640625" style="1" bestFit="1" customWidth="1"/>
    <col min="26" max="26" width="20.44140625" style="1" bestFit="1" customWidth="1"/>
    <col min="27" max="16384" width="8.88671875" style="1"/>
  </cols>
  <sheetData>
    <row r="1" spans="1:26" x14ac:dyDescent="0.25">
      <c r="A1" s="7">
        <v>0.36199999999999999</v>
      </c>
      <c r="B1" s="7" t="str">
        <f>IF(A1&lt;0.05/18,"Достоверно","Не Достоверно")</f>
        <v>Не Достоверно</v>
      </c>
      <c r="F1" s="7" t="s">
        <v>140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>
        <v>0.36099999999999999</v>
      </c>
      <c r="B2" s="7" t="str">
        <f t="shared" ref="B2:B18" si="0">IF(A2&lt;0.05/18,"Достоверно","Не Достоверно")</f>
        <v>Не Достоверно</v>
      </c>
      <c r="F2" s="7"/>
      <c r="G2" s="7"/>
      <c r="H2" s="7" t="s">
        <v>141</v>
      </c>
      <c r="I2" s="7" t="s">
        <v>142</v>
      </c>
      <c r="J2" s="7" t="s">
        <v>143</v>
      </c>
      <c r="K2" s="7" t="s">
        <v>92</v>
      </c>
      <c r="L2" s="7" t="s">
        <v>93</v>
      </c>
      <c r="M2" s="7" t="s">
        <v>144</v>
      </c>
      <c r="N2" s="7" t="s">
        <v>94</v>
      </c>
      <c r="O2" s="7" t="s">
        <v>95</v>
      </c>
      <c r="P2" s="7" t="s">
        <v>96</v>
      </c>
      <c r="Q2" s="7" t="s">
        <v>97</v>
      </c>
      <c r="R2" s="7" t="s">
        <v>98</v>
      </c>
      <c r="S2" s="7" t="s">
        <v>99</v>
      </c>
      <c r="T2" s="7" t="s">
        <v>100</v>
      </c>
      <c r="U2" s="7" t="s">
        <v>101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</row>
    <row r="3" spans="1:26" x14ac:dyDescent="0.25">
      <c r="A3" s="7">
        <v>0.67500000000000004</v>
      </c>
      <c r="B3" s="7" t="str">
        <f t="shared" si="0"/>
        <v>Не Достоверно</v>
      </c>
      <c r="F3" s="7" t="s">
        <v>141</v>
      </c>
      <c r="G3" s="7" t="s">
        <v>150</v>
      </c>
      <c r="H3" s="7">
        <v>1</v>
      </c>
      <c r="I3" s="7">
        <v>-2.8000000000000001E-2</v>
      </c>
      <c r="J3" s="7">
        <v>-2.8000000000000001E-2</v>
      </c>
      <c r="K3" s="7">
        <v>1.2999999999999999E-2</v>
      </c>
      <c r="L3" s="7">
        <v>-5.6000000000000001E-2</v>
      </c>
      <c r="M3" s="7">
        <v>0.112</v>
      </c>
      <c r="N3" s="7">
        <v>-1E-3</v>
      </c>
      <c r="O3" s="7">
        <v>-0.17</v>
      </c>
      <c r="P3" s="7">
        <v>-0.108</v>
      </c>
      <c r="Q3" s="7">
        <v>-0.182</v>
      </c>
      <c r="R3" s="7">
        <v>-0.01</v>
      </c>
      <c r="S3" s="7">
        <v>-0.152</v>
      </c>
      <c r="T3" s="7">
        <v>-0.16</v>
      </c>
      <c r="U3" s="7">
        <v>-0.73599999999999999</v>
      </c>
      <c r="V3" s="7">
        <v>0.28499999999999998</v>
      </c>
      <c r="W3" s="7">
        <v>0.44600000000000001</v>
      </c>
      <c r="X3" s="7">
        <v>2.4E-2</v>
      </c>
      <c r="Y3" s="7">
        <v>-0.34</v>
      </c>
      <c r="Z3" s="7">
        <v>-0.39900000000000002</v>
      </c>
    </row>
    <row r="4" spans="1:26" x14ac:dyDescent="0.25">
      <c r="A4" s="7">
        <v>7.2999999999999995E-2</v>
      </c>
      <c r="B4" s="7" t="str">
        <f t="shared" si="0"/>
        <v>Не Достоверно</v>
      </c>
      <c r="F4" s="7"/>
      <c r="G4" s="7" t="s">
        <v>151</v>
      </c>
      <c r="H4" s="7"/>
      <c r="I4" s="7">
        <v>0.36199999999999999</v>
      </c>
      <c r="J4" s="7">
        <v>0.36099999999999999</v>
      </c>
      <c r="K4" s="7">
        <v>0.67500000000000004</v>
      </c>
      <c r="L4" s="7">
        <v>7.2999999999999995E-2</v>
      </c>
      <c r="M4" s="7">
        <v>0</v>
      </c>
      <c r="N4" s="7">
        <v>0.96699999999999997</v>
      </c>
      <c r="O4" s="7">
        <v>0</v>
      </c>
      <c r="P4" s="7">
        <v>1E-3</v>
      </c>
      <c r="Q4" s="7">
        <v>0</v>
      </c>
      <c r="R4" s="7">
        <v>0.74099999999999999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0.45100000000000001</v>
      </c>
      <c r="Y4" s="7">
        <v>0</v>
      </c>
      <c r="Z4" s="7">
        <v>0</v>
      </c>
    </row>
    <row r="5" spans="1:26" x14ac:dyDescent="0.25">
      <c r="A5" s="7">
        <v>0</v>
      </c>
      <c r="B5" s="7" t="str">
        <f t="shared" si="0"/>
        <v>Достоверно</v>
      </c>
      <c r="F5" s="7"/>
      <c r="G5" s="7" t="s">
        <v>87</v>
      </c>
      <c r="H5" s="7">
        <v>1031</v>
      </c>
      <c r="I5" s="7">
        <v>1031</v>
      </c>
      <c r="J5" s="7">
        <v>1031</v>
      </c>
      <c r="K5" s="7">
        <v>1031</v>
      </c>
      <c r="L5" s="7">
        <v>1031</v>
      </c>
      <c r="M5" s="7">
        <v>1031</v>
      </c>
      <c r="N5" s="7">
        <v>1031</v>
      </c>
      <c r="O5" s="7">
        <v>1031</v>
      </c>
      <c r="P5" s="7">
        <v>1031</v>
      </c>
      <c r="Q5" s="7">
        <v>1031</v>
      </c>
      <c r="R5" s="7">
        <v>1031</v>
      </c>
      <c r="S5" s="7">
        <v>1031</v>
      </c>
      <c r="T5" s="7">
        <v>1031</v>
      </c>
      <c r="U5" s="7">
        <v>1031</v>
      </c>
      <c r="V5" s="7">
        <v>1031</v>
      </c>
      <c r="W5" s="7">
        <v>1031</v>
      </c>
      <c r="X5" s="7">
        <v>1031</v>
      </c>
      <c r="Y5" s="7">
        <v>1031</v>
      </c>
      <c r="Z5" s="7">
        <v>1031</v>
      </c>
    </row>
    <row r="6" spans="1:26" x14ac:dyDescent="0.25">
      <c r="A6" s="7">
        <v>0.96699999999999997</v>
      </c>
      <c r="B6" s="7" t="str">
        <f t="shared" si="0"/>
        <v>Не Достоверно</v>
      </c>
      <c r="F6" s="7" t="s">
        <v>142</v>
      </c>
      <c r="G6" s="7" t="s">
        <v>150</v>
      </c>
      <c r="H6" s="7">
        <v>-2.8000000000000001E-2</v>
      </c>
      <c r="I6" s="7">
        <v>1</v>
      </c>
      <c r="J6" s="7">
        <v>0.995</v>
      </c>
      <c r="K6" s="7">
        <v>6.6000000000000003E-2</v>
      </c>
      <c r="L6" s="7">
        <v>-7.2999999999999995E-2</v>
      </c>
      <c r="M6" s="7">
        <v>-5.7000000000000002E-2</v>
      </c>
      <c r="N6" s="7">
        <v>-1.2E-2</v>
      </c>
      <c r="O6" s="7">
        <v>2.3E-2</v>
      </c>
      <c r="P6" s="7">
        <v>7.8E-2</v>
      </c>
      <c r="Q6" s="7">
        <v>-2.9000000000000001E-2</v>
      </c>
      <c r="R6" s="7">
        <v>4.7E-2</v>
      </c>
      <c r="S6" s="7">
        <v>6.6000000000000003E-2</v>
      </c>
      <c r="T6" s="7">
        <v>5.8000000000000003E-2</v>
      </c>
      <c r="U6" s="7">
        <v>-4.0000000000000001E-3</v>
      </c>
      <c r="V6" s="7">
        <v>-3.4000000000000002E-2</v>
      </c>
      <c r="W6" s="7">
        <v>-2.7E-2</v>
      </c>
      <c r="X6" s="7">
        <v>2.4E-2</v>
      </c>
      <c r="Y6" s="7">
        <v>-8.0000000000000002E-3</v>
      </c>
      <c r="Z6" s="7">
        <v>-4.2999999999999997E-2</v>
      </c>
    </row>
    <row r="7" spans="1:26" x14ac:dyDescent="0.25">
      <c r="A7" s="7">
        <v>0</v>
      </c>
      <c r="B7" s="7" t="str">
        <f t="shared" si="0"/>
        <v>Достоверно</v>
      </c>
      <c r="F7" s="7"/>
      <c r="G7" s="7" t="s">
        <v>151</v>
      </c>
      <c r="H7" s="7">
        <v>0.36199999999999999</v>
      </c>
      <c r="I7" s="7"/>
      <c r="J7" s="7">
        <v>0</v>
      </c>
      <c r="K7" s="7">
        <v>3.5000000000000003E-2</v>
      </c>
      <c r="L7" s="7">
        <v>1.9E-2</v>
      </c>
      <c r="M7" s="7">
        <v>6.7000000000000004E-2</v>
      </c>
      <c r="N7" s="7">
        <v>0.69799999999999995</v>
      </c>
      <c r="O7" s="7">
        <v>0.45700000000000002</v>
      </c>
      <c r="P7" s="7">
        <v>1.2E-2</v>
      </c>
      <c r="Q7" s="7">
        <v>0.34499999999999997</v>
      </c>
      <c r="R7" s="7">
        <v>0.129</v>
      </c>
      <c r="S7" s="7">
        <v>3.3000000000000002E-2</v>
      </c>
      <c r="T7" s="7">
        <v>6.4000000000000001E-2</v>
      </c>
      <c r="U7" s="7">
        <v>0.90300000000000002</v>
      </c>
      <c r="V7" s="7">
        <v>0.28199999999999997</v>
      </c>
      <c r="W7" s="7">
        <v>0.38300000000000001</v>
      </c>
      <c r="X7" s="7">
        <v>0.436</v>
      </c>
      <c r="Y7" s="7">
        <v>0.80300000000000005</v>
      </c>
      <c r="Z7" s="7">
        <v>0.16500000000000001</v>
      </c>
    </row>
    <row r="8" spans="1:26" x14ac:dyDescent="0.25">
      <c r="A8" s="7">
        <v>1E-3</v>
      </c>
      <c r="B8" s="7" t="str">
        <f t="shared" si="0"/>
        <v>Достоверно</v>
      </c>
      <c r="F8" s="7"/>
      <c r="G8" s="7" t="s">
        <v>87</v>
      </c>
      <c r="H8" s="7">
        <v>1031</v>
      </c>
      <c r="I8" s="7">
        <v>1032</v>
      </c>
      <c r="J8" s="7">
        <v>1032</v>
      </c>
      <c r="K8" s="7">
        <v>1032</v>
      </c>
      <c r="L8" s="7">
        <v>1032</v>
      </c>
      <c r="M8" s="7">
        <v>1032</v>
      </c>
      <c r="N8" s="7">
        <v>1032</v>
      </c>
      <c r="O8" s="7">
        <v>1032</v>
      </c>
      <c r="P8" s="7">
        <v>1032</v>
      </c>
      <c r="Q8" s="7">
        <v>1032</v>
      </c>
      <c r="R8" s="7">
        <v>1032</v>
      </c>
      <c r="S8" s="7">
        <v>1032</v>
      </c>
      <c r="T8" s="7">
        <v>1032</v>
      </c>
      <c r="U8" s="7">
        <v>1032</v>
      </c>
      <c r="V8" s="7">
        <v>1032</v>
      </c>
      <c r="W8" s="7">
        <v>1032</v>
      </c>
      <c r="X8" s="7">
        <v>1032</v>
      </c>
      <c r="Y8" s="7">
        <v>1032</v>
      </c>
      <c r="Z8" s="7">
        <v>1032</v>
      </c>
    </row>
    <row r="9" spans="1:26" x14ac:dyDescent="0.25">
      <c r="A9" s="7">
        <v>0</v>
      </c>
      <c r="B9" s="7" t="str">
        <f t="shared" si="0"/>
        <v>Достоверно</v>
      </c>
      <c r="F9" s="7" t="s">
        <v>143</v>
      </c>
      <c r="G9" s="7" t="s">
        <v>150</v>
      </c>
      <c r="H9" s="7">
        <v>-2.8000000000000001E-2</v>
      </c>
      <c r="I9" s="7">
        <v>0.995</v>
      </c>
      <c r="J9" s="7">
        <v>1</v>
      </c>
      <c r="K9" s="7">
        <v>3.5999999999999997E-2</v>
      </c>
      <c r="L9" s="7">
        <v>-7.0000000000000007E-2</v>
      </c>
      <c r="M9" s="7">
        <v>-5.7000000000000002E-2</v>
      </c>
      <c r="N9" s="7">
        <v>-1.2999999999999999E-2</v>
      </c>
      <c r="O9" s="7">
        <v>2.3E-2</v>
      </c>
      <c r="P9" s="7">
        <v>6.8000000000000005E-2</v>
      </c>
      <c r="Q9" s="7">
        <v>-2.8000000000000001E-2</v>
      </c>
      <c r="R9" s="7">
        <v>4.8000000000000001E-2</v>
      </c>
      <c r="S9" s="7">
        <v>6.2E-2</v>
      </c>
      <c r="T9" s="7">
        <v>5.6000000000000001E-2</v>
      </c>
      <c r="U9" s="7">
        <v>-1E-3</v>
      </c>
      <c r="V9" s="7">
        <v>-2.7E-2</v>
      </c>
      <c r="W9" s="7">
        <v>-2.4E-2</v>
      </c>
      <c r="X9" s="7">
        <v>2.5000000000000001E-2</v>
      </c>
      <c r="Y9" s="7">
        <v>-5.0000000000000001E-3</v>
      </c>
      <c r="Z9" s="7">
        <v>-3.6999999999999998E-2</v>
      </c>
    </row>
    <row r="10" spans="1:26" x14ac:dyDescent="0.25">
      <c r="A10" s="7">
        <v>0.74099999999999999</v>
      </c>
      <c r="B10" s="7" t="str">
        <f t="shared" si="0"/>
        <v>Не Достоверно</v>
      </c>
      <c r="F10" s="7"/>
      <c r="G10" s="7" t="s">
        <v>151</v>
      </c>
      <c r="H10" s="7">
        <v>0.36099999999999999</v>
      </c>
      <c r="I10" s="7">
        <v>0</v>
      </c>
      <c r="J10" s="7"/>
      <c r="K10" s="7">
        <v>0.25</v>
      </c>
      <c r="L10" s="7">
        <v>2.4E-2</v>
      </c>
      <c r="M10" s="7">
        <v>6.9000000000000006E-2</v>
      </c>
      <c r="N10" s="7">
        <v>0.68799999999999994</v>
      </c>
      <c r="O10" s="7">
        <v>0.45100000000000001</v>
      </c>
      <c r="P10" s="7">
        <v>2.9000000000000001E-2</v>
      </c>
      <c r="Q10" s="7">
        <v>0.36699999999999999</v>
      </c>
      <c r="R10" s="7">
        <v>0.12</v>
      </c>
      <c r="S10" s="7">
        <v>4.7E-2</v>
      </c>
      <c r="T10" s="7">
        <v>7.0000000000000007E-2</v>
      </c>
      <c r="U10" s="7">
        <v>0.98</v>
      </c>
      <c r="V10" s="7">
        <v>0.38900000000000001</v>
      </c>
      <c r="W10" s="7">
        <v>0.44500000000000001</v>
      </c>
      <c r="X10" s="7">
        <v>0.42099999999999999</v>
      </c>
      <c r="Y10" s="7">
        <v>0.86799999999999999</v>
      </c>
      <c r="Z10" s="7">
        <v>0.23400000000000001</v>
      </c>
    </row>
    <row r="11" spans="1:26" x14ac:dyDescent="0.25">
      <c r="A11" s="7">
        <v>0</v>
      </c>
      <c r="B11" s="7" t="str">
        <f t="shared" si="0"/>
        <v>Достоверно</v>
      </c>
      <c r="F11" s="7"/>
      <c r="G11" s="7" t="s">
        <v>87</v>
      </c>
      <c r="H11" s="7">
        <v>1031</v>
      </c>
      <c r="I11" s="7">
        <v>1032</v>
      </c>
      <c r="J11" s="7">
        <v>1032</v>
      </c>
      <c r="K11" s="7">
        <v>1032</v>
      </c>
      <c r="L11" s="7">
        <v>1032</v>
      </c>
      <c r="M11" s="7">
        <v>1032</v>
      </c>
      <c r="N11" s="7">
        <v>1032</v>
      </c>
      <c r="O11" s="7">
        <v>1032</v>
      </c>
      <c r="P11" s="7">
        <v>1032</v>
      </c>
      <c r="Q11" s="7">
        <v>1032</v>
      </c>
      <c r="R11" s="7">
        <v>1032</v>
      </c>
      <c r="S11" s="7">
        <v>1032</v>
      </c>
      <c r="T11" s="7">
        <v>1032</v>
      </c>
      <c r="U11" s="7">
        <v>1032</v>
      </c>
      <c r="V11" s="7">
        <v>1032</v>
      </c>
      <c r="W11" s="7">
        <v>1032</v>
      </c>
      <c r="X11" s="7">
        <v>1032</v>
      </c>
      <c r="Y11" s="7">
        <v>1032</v>
      </c>
      <c r="Z11" s="7">
        <v>1032</v>
      </c>
    </row>
    <row r="12" spans="1:26" x14ac:dyDescent="0.25">
      <c r="A12" s="7">
        <v>0</v>
      </c>
      <c r="B12" s="7" t="str">
        <f t="shared" si="0"/>
        <v>Достоверно</v>
      </c>
      <c r="F12" s="7" t="s">
        <v>92</v>
      </c>
      <c r="G12" s="7" t="s">
        <v>150</v>
      </c>
      <c r="H12" s="7">
        <v>1.2999999999999999E-2</v>
      </c>
      <c r="I12" s="7">
        <v>6.6000000000000003E-2</v>
      </c>
      <c r="J12" s="7">
        <v>3.5999999999999997E-2</v>
      </c>
      <c r="K12" s="7">
        <v>1</v>
      </c>
      <c r="L12" s="7">
        <v>4.7E-2</v>
      </c>
      <c r="M12" s="7">
        <v>-2.1999999999999999E-2</v>
      </c>
      <c r="N12" s="7">
        <v>1.7999999999999999E-2</v>
      </c>
      <c r="O12" s="7">
        <v>2.1999999999999999E-2</v>
      </c>
      <c r="P12" s="7">
        <v>5.0999999999999997E-2</v>
      </c>
      <c r="Q12" s="7">
        <v>-4.9000000000000002E-2</v>
      </c>
      <c r="R12" s="7">
        <v>1.4999999999999999E-2</v>
      </c>
      <c r="S12" s="7">
        <v>-2.8000000000000001E-2</v>
      </c>
      <c r="T12" s="7">
        <v>-1.6E-2</v>
      </c>
      <c r="U12" s="7">
        <v>-2.5000000000000001E-2</v>
      </c>
      <c r="V12" s="7">
        <v>-0.246</v>
      </c>
      <c r="W12" s="7">
        <v>-0.16500000000000001</v>
      </c>
      <c r="X12" s="7">
        <v>-1.4999999999999999E-2</v>
      </c>
      <c r="Y12" s="7">
        <v>1.6E-2</v>
      </c>
      <c r="Z12" s="7">
        <v>-3.5000000000000003E-2</v>
      </c>
    </row>
    <row r="13" spans="1:26" x14ac:dyDescent="0.25">
      <c r="A13" s="7">
        <v>0</v>
      </c>
      <c r="B13" s="7" t="str">
        <f t="shared" si="0"/>
        <v>Достоверно</v>
      </c>
      <c r="F13" s="7"/>
      <c r="G13" s="7" t="s">
        <v>151</v>
      </c>
      <c r="H13" s="7">
        <v>0.67500000000000004</v>
      </c>
      <c r="I13" s="7">
        <v>3.5000000000000003E-2</v>
      </c>
      <c r="J13" s="7">
        <v>0.25</v>
      </c>
      <c r="K13" s="7"/>
      <c r="L13" s="7">
        <v>0.13500000000000001</v>
      </c>
      <c r="M13" s="7">
        <v>0.47299999999999998</v>
      </c>
      <c r="N13" s="7">
        <v>0.56200000000000006</v>
      </c>
      <c r="O13" s="7">
        <v>0.47799999999999998</v>
      </c>
      <c r="P13" s="7">
        <v>0.10100000000000001</v>
      </c>
      <c r="Q13" s="7">
        <v>0.11799999999999999</v>
      </c>
      <c r="R13" s="7">
        <v>0.63400000000000001</v>
      </c>
      <c r="S13" s="7">
        <v>0.377</v>
      </c>
      <c r="T13" s="7">
        <v>0.60399999999999998</v>
      </c>
      <c r="U13" s="7">
        <v>0.43099999999999999</v>
      </c>
      <c r="V13" s="7">
        <v>0</v>
      </c>
      <c r="W13" s="7">
        <v>0</v>
      </c>
      <c r="X13" s="7">
        <v>0.63900000000000001</v>
      </c>
      <c r="Y13" s="7">
        <v>0.60199999999999998</v>
      </c>
      <c r="Z13" s="7">
        <v>0.26200000000000001</v>
      </c>
    </row>
    <row r="14" spans="1:26" x14ac:dyDescent="0.25">
      <c r="A14" s="7">
        <v>0</v>
      </c>
      <c r="B14" s="7" t="str">
        <f t="shared" si="0"/>
        <v>Достоверно</v>
      </c>
      <c r="F14" s="7"/>
      <c r="G14" s="7" t="s">
        <v>87</v>
      </c>
      <c r="H14" s="7">
        <v>1031</v>
      </c>
      <c r="I14" s="7">
        <v>1032</v>
      </c>
      <c r="J14" s="7">
        <v>1032</v>
      </c>
      <c r="K14" s="7">
        <v>1032</v>
      </c>
      <c r="L14" s="7">
        <v>1032</v>
      </c>
      <c r="M14" s="7">
        <v>1032</v>
      </c>
      <c r="N14" s="7">
        <v>1032</v>
      </c>
      <c r="O14" s="7">
        <v>1032</v>
      </c>
      <c r="P14" s="7">
        <v>1032</v>
      </c>
      <c r="Q14" s="7">
        <v>1032</v>
      </c>
      <c r="R14" s="7">
        <v>1032</v>
      </c>
      <c r="S14" s="7">
        <v>1032</v>
      </c>
      <c r="T14" s="7">
        <v>1032</v>
      </c>
      <c r="U14" s="7">
        <v>1032</v>
      </c>
      <c r="V14" s="7">
        <v>1032</v>
      </c>
      <c r="W14" s="7">
        <v>1032</v>
      </c>
      <c r="X14" s="7">
        <v>1032</v>
      </c>
      <c r="Y14" s="7">
        <v>1032</v>
      </c>
      <c r="Z14" s="7">
        <v>1032</v>
      </c>
    </row>
    <row r="15" spans="1:26" x14ac:dyDescent="0.25">
      <c r="A15" s="7">
        <v>0</v>
      </c>
      <c r="B15" s="7" t="str">
        <f t="shared" si="0"/>
        <v>Достоверно</v>
      </c>
      <c r="F15" s="7" t="s">
        <v>93</v>
      </c>
      <c r="G15" s="7" t="s">
        <v>150</v>
      </c>
      <c r="H15" s="7">
        <v>-5.6000000000000001E-2</v>
      </c>
      <c r="I15" s="7">
        <v>-7.2999999999999995E-2</v>
      </c>
      <c r="J15" s="7">
        <v>-7.0000000000000007E-2</v>
      </c>
      <c r="K15" s="7">
        <v>4.7E-2</v>
      </c>
      <c r="L15" s="7">
        <v>1</v>
      </c>
      <c r="M15" s="7">
        <v>0.153</v>
      </c>
      <c r="N15" s="7">
        <v>0.01</v>
      </c>
      <c r="O15" s="7">
        <v>1.2E-2</v>
      </c>
      <c r="P15" s="7">
        <v>-9.2999999999999999E-2</v>
      </c>
      <c r="Q15" s="7">
        <v>0.03</v>
      </c>
      <c r="R15" s="7">
        <v>-7.0000000000000001E-3</v>
      </c>
      <c r="S15" s="7">
        <v>3.2000000000000001E-2</v>
      </c>
      <c r="T15" s="7">
        <v>-4.3999999999999997E-2</v>
      </c>
      <c r="U15" s="7">
        <v>5.1999999999999998E-2</v>
      </c>
      <c r="V15" s="7">
        <v>-0.08</v>
      </c>
      <c r="W15" s="7">
        <v>-5.6000000000000001E-2</v>
      </c>
      <c r="X15" s="7">
        <v>-6.5000000000000002E-2</v>
      </c>
      <c r="Y15" s="7">
        <v>4.2000000000000003E-2</v>
      </c>
      <c r="Z15" s="7">
        <v>0</v>
      </c>
    </row>
    <row r="16" spans="1:26" x14ac:dyDescent="0.25">
      <c r="A16" s="7">
        <v>0.45100000000000001</v>
      </c>
      <c r="B16" s="7" t="str">
        <f t="shared" si="0"/>
        <v>Не Достоверно</v>
      </c>
      <c r="F16" s="7"/>
      <c r="G16" s="7" t="s">
        <v>151</v>
      </c>
      <c r="H16" s="7">
        <v>7.2999999999999995E-2</v>
      </c>
      <c r="I16" s="7">
        <v>1.9E-2</v>
      </c>
      <c r="J16" s="7">
        <v>2.4E-2</v>
      </c>
      <c r="K16" s="7">
        <v>0.13500000000000001</v>
      </c>
      <c r="L16" s="7"/>
      <c r="M16" s="7">
        <v>0</v>
      </c>
      <c r="N16" s="7">
        <v>0.754</v>
      </c>
      <c r="O16" s="7">
        <v>0.70799999999999996</v>
      </c>
      <c r="P16" s="7">
        <v>3.0000000000000001E-3</v>
      </c>
      <c r="Q16" s="7">
        <v>0.33400000000000002</v>
      </c>
      <c r="R16" s="7">
        <v>0.81499999999999995</v>
      </c>
      <c r="S16" s="7">
        <v>0.30299999999999999</v>
      </c>
      <c r="T16" s="7">
        <v>0.16200000000000001</v>
      </c>
      <c r="U16" s="7">
        <v>9.1999999999999998E-2</v>
      </c>
      <c r="V16" s="7">
        <v>0.01</v>
      </c>
      <c r="W16" s="7">
        <v>7.3999999999999996E-2</v>
      </c>
      <c r="X16" s="7">
        <v>3.5000000000000003E-2</v>
      </c>
      <c r="Y16" s="7">
        <v>0.17799999999999999</v>
      </c>
      <c r="Z16" s="7">
        <v>0.995</v>
      </c>
    </row>
    <row r="17" spans="1:26" x14ac:dyDescent="0.25">
      <c r="A17" s="7">
        <v>0</v>
      </c>
      <c r="B17" s="7" t="str">
        <f t="shared" si="0"/>
        <v>Достоверно</v>
      </c>
      <c r="F17" s="7"/>
      <c r="G17" s="7" t="s">
        <v>87</v>
      </c>
      <c r="H17" s="7">
        <v>1031</v>
      </c>
      <c r="I17" s="7">
        <v>1032</v>
      </c>
      <c r="J17" s="7">
        <v>1032</v>
      </c>
      <c r="K17" s="7">
        <v>1032</v>
      </c>
      <c r="L17" s="7">
        <v>1032</v>
      </c>
      <c r="M17" s="7">
        <v>1032</v>
      </c>
      <c r="N17" s="7">
        <v>1032</v>
      </c>
      <c r="O17" s="7">
        <v>1032</v>
      </c>
      <c r="P17" s="7">
        <v>1032</v>
      </c>
      <c r="Q17" s="7">
        <v>1032</v>
      </c>
      <c r="R17" s="7">
        <v>1032</v>
      </c>
      <c r="S17" s="7">
        <v>1032</v>
      </c>
      <c r="T17" s="7">
        <v>1032</v>
      </c>
      <c r="U17" s="7">
        <v>1032</v>
      </c>
      <c r="V17" s="7">
        <v>1032</v>
      </c>
      <c r="W17" s="7">
        <v>1032</v>
      </c>
      <c r="X17" s="7">
        <v>1032</v>
      </c>
      <c r="Y17" s="7">
        <v>1032</v>
      </c>
      <c r="Z17" s="7">
        <v>1032</v>
      </c>
    </row>
    <row r="18" spans="1:26" x14ac:dyDescent="0.25">
      <c r="A18" s="7">
        <v>0</v>
      </c>
      <c r="B18" s="7" t="str">
        <f t="shared" si="0"/>
        <v>Достоверно</v>
      </c>
      <c r="F18" s="7" t="s">
        <v>144</v>
      </c>
      <c r="G18" s="7" t="s">
        <v>150</v>
      </c>
      <c r="H18" s="7">
        <v>0.112</v>
      </c>
      <c r="I18" s="7">
        <v>-5.7000000000000002E-2</v>
      </c>
      <c r="J18" s="7">
        <v>-5.7000000000000002E-2</v>
      </c>
      <c r="K18" s="7">
        <v>-2.1999999999999999E-2</v>
      </c>
      <c r="L18" s="7">
        <v>0.153</v>
      </c>
      <c r="M18" s="7">
        <v>1</v>
      </c>
      <c r="N18" s="7">
        <v>-7.0999999999999994E-2</v>
      </c>
      <c r="O18" s="7">
        <v>2E-3</v>
      </c>
      <c r="P18" s="7">
        <v>-0.28799999999999998</v>
      </c>
      <c r="Q18" s="7">
        <v>-0.154</v>
      </c>
      <c r="R18" s="7">
        <v>-1.0999999999999999E-2</v>
      </c>
      <c r="S18" s="7">
        <v>-0.16900000000000001</v>
      </c>
      <c r="T18" s="7">
        <v>-5.5E-2</v>
      </c>
      <c r="U18" s="7">
        <v>-6.3E-2</v>
      </c>
      <c r="V18" s="7">
        <v>-7.3999999999999996E-2</v>
      </c>
      <c r="W18" s="7">
        <v>4.2999999999999997E-2</v>
      </c>
      <c r="X18" s="7">
        <v>-0.30399999999999999</v>
      </c>
      <c r="Y18" s="7">
        <v>0.161</v>
      </c>
      <c r="Z18" s="7">
        <v>9.9000000000000005E-2</v>
      </c>
    </row>
    <row r="19" spans="1:26" x14ac:dyDescent="0.25">
      <c r="F19" s="7"/>
      <c r="G19" s="7" t="s">
        <v>151</v>
      </c>
      <c r="H19" s="7">
        <v>0</v>
      </c>
      <c r="I19" s="7">
        <v>6.7000000000000004E-2</v>
      </c>
      <c r="J19" s="7">
        <v>6.9000000000000006E-2</v>
      </c>
      <c r="K19" s="7">
        <v>0.47299999999999998</v>
      </c>
      <c r="L19" s="7">
        <v>0</v>
      </c>
      <c r="M19" s="7"/>
      <c r="N19" s="7">
        <v>2.3E-2</v>
      </c>
      <c r="O19" s="7">
        <v>0.94499999999999995</v>
      </c>
      <c r="P19" s="7">
        <v>0</v>
      </c>
      <c r="Q19" s="7">
        <v>0</v>
      </c>
      <c r="R19" s="7">
        <v>0.72499999999999998</v>
      </c>
      <c r="S19" s="7">
        <v>0</v>
      </c>
      <c r="T19" s="7">
        <v>7.5999999999999998E-2</v>
      </c>
      <c r="U19" s="7">
        <v>4.3999999999999997E-2</v>
      </c>
      <c r="V19" s="7">
        <v>1.7999999999999999E-2</v>
      </c>
      <c r="W19" s="7">
        <v>0.16600000000000001</v>
      </c>
      <c r="X19" s="7">
        <v>0</v>
      </c>
      <c r="Y19" s="7">
        <v>0</v>
      </c>
      <c r="Z19" s="7">
        <v>1E-3</v>
      </c>
    </row>
    <row r="20" spans="1:26" x14ac:dyDescent="0.25">
      <c r="A20" s="1" t="s">
        <v>154</v>
      </c>
      <c r="F20" s="7"/>
      <c r="G20" s="7" t="s">
        <v>87</v>
      </c>
      <c r="H20" s="7">
        <v>1031</v>
      </c>
      <c r="I20" s="7">
        <v>1032</v>
      </c>
      <c r="J20" s="7">
        <v>1032</v>
      </c>
      <c r="K20" s="7">
        <v>1032</v>
      </c>
      <c r="L20" s="7">
        <v>1032</v>
      </c>
      <c r="M20" s="7">
        <v>1032</v>
      </c>
      <c r="N20" s="7">
        <v>1032</v>
      </c>
      <c r="O20" s="7">
        <v>1032</v>
      </c>
      <c r="P20" s="7">
        <v>1032</v>
      </c>
      <c r="Q20" s="7">
        <v>1032</v>
      </c>
      <c r="R20" s="7">
        <v>1032</v>
      </c>
      <c r="S20" s="7">
        <v>1032</v>
      </c>
      <c r="T20" s="7">
        <v>1032</v>
      </c>
      <c r="U20" s="7">
        <v>1032</v>
      </c>
      <c r="V20" s="7">
        <v>1032</v>
      </c>
      <c r="W20" s="7">
        <v>1032</v>
      </c>
      <c r="X20" s="7">
        <v>1032</v>
      </c>
      <c r="Y20" s="7">
        <v>1032</v>
      </c>
      <c r="Z20" s="7">
        <v>1032</v>
      </c>
    </row>
    <row r="21" spans="1:26" x14ac:dyDescent="0.25">
      <c r="A21" s="7">
        <v>1E-3</v>
      </c>
      <c r="F21" s="7" t="s">
        <v>94</v>
      </c>
      <c r="G21" s="7" t="s">
        <v>150</v>
      </c>
      <c r="H21" s="7">
        <v>-1E-3</v>
      </c>
      <c r="I21" s="7">
        <v>-1.2E-2</v>
      </c>
      <c r="J21" s="7">
        <v>-1.2999999999999999E-2</v>
      </c>
      <c r="K21" s="7">
        <v>1.7999999999999999E-2</v>
      </c>
      <c r="L21" s="7">
        <v>0.01</v>
      </c>
      <c r="M21" s="7">
        <v>-7.0999999999999994E-2</v>
      </c>
      <c r="N21" s="7">
        <v>1</v>
      </c>
      <c r="O21" s="7">
        <v>-1.7999999999999999E-2</v>
      </c>
      <c r="P21" s="7">
        <v>-2E-3</v>
      </c>
      <c r="Q21" s="7">
        <v>0.01</v>
      </c>
      <c r="R21" s="7">
        <v>-1.4E-2</v>
      </c>
      <c r="S21" s="7">
        <v>7.0000000000000001E-3</v>
      </c>
      <c r="T21" s="7">
        <v>-1.7000000000000001E-2</v>
      </c>
      <c r="U21" s="7">
        <v>-1E-3</v>
      </c>
      <c r="V21" s="7">
        <v>-4.4999999999999998E-2</v>
      </c>
      <c r="W21" s="7">
        <v>-2.9000000000000001E-2</v>
      </c>
      <c r="X21" s="7">
        <v>-1.0999999999999999E-2</v>
      </c>
      <c r="Y21" s="7">
        <v>4.4999999999999998E-2</v>
      </c>
      <c r="Z21" s="7">
        <v>0.05</v>
      </c>
    </row>
    <row r="22" spans="1:26" x14ac:dyDescent="0.25">
      <c r="A22" s="7">
        <v>1E-3</v>
      </c>
      <c r="F22" s="7"/>
      <c r="G22" s="7" t="s">
        <v>151</v>
      </c>
      <c r="H22" s="7">
        <v>0.96699999999999997</v>
      </c>
      <c r="I22" s="7">
        <v>0.69799999999999995</v>
      </c>
      <c r="J22" s="7">
        <v>0.68799999999999994</v>
      </c>
      <c r="K22" s="7">
        <v>0.56200000000000006</v>
      </c>
      <c r="L22" s="7">
        <v>0.754</v>
      </c>
      <c r="M22" s="7">
        <v>2.3E-2</v>
      </c>
      <c r="N22" s="7"/>
      <c r="O22" s="7">
        <v>0.56100000000000005</v>
      </c>
      <c r="P22" s="7">
        <v>0.94799999999999995</v>
      </c>
      <c r="Q22" s="7">
        <v>0.748</v>
      </c>
      <c r="R22" s="7">
        <v>0.65800000000000003</v>
      </c>
      <c r="S22" s="7">
        <v>0.83299999999999996</v>
      </c>
      <c r="T22" s="7">
        <v>0.59599999999999997</v>
      </c>
      <c r="U22" s="7">
        <v>0.98099999999999998</v>
      </c>
      <c r="V22" s="7">
        <v>0.151</v>
      </c>
      <c r="W22" s="7">
        <v>0.35699999999999998</v>
      </c>
      <c r="X22" s="7">
        <v>0.72199999999999998</v>
      </c>
      <c r="Y22" s="7">
        <v>0.14599999999999999</v>
      </c>
      <c r="Z22" s="7">
        <v>0.107</v>
      </c>
    </row>
    <row r="23" spans="1:26" x14ac:dyDescent="0.25">
      <c r="A23" s="7">
        <v>1E-3</v>
      </c>
      <c r="F23" s="7"/>
      <c r="G23" s="7" t="s">
        <v>87</v>
      </c>
      <c r="H23" s="7">
        <v>1031</v>
      </c>
      <c r="I23" s="7">
        <v>1032</v>
      </c>
      <c r="J23" s="7">
        <v>1032</v>
      </c>
      <c r="K23" s="7">
        <v>1032</v>
      </c>
      <c r="L23" s="7">
        <v>1032</v>
      </c>
      <c r="M23" s="7">
        <v>1032</v>
      </c>
      <c r="N23" s="7">
        <v>1032</v>
      </c>
      <c r="O23" s="7">
        <v>1032</v>
      </c>
      <c r="P23" s="7">
        <v>1032</v>
      </c>
      <c r="Q23" s="7">
        <v>1032</v>
      </c>
      <c r="R23" s="7">
        <v>1032</v>
      </c>
      <c r="S23" s="7">
        <v>1032</v>
      </c>
      <c r="T23" s="7">
        <v>1032</v>
      </c>
      <c r="U23" s="7">
        <v>1032</v>
      </c>
      <c r="V23" s="7">
        <v>1032</v>
      </c>
      <c r="W23" s="7">
        <v>1032</v>
      </c>
      <c r="X23" s="7">
        <v>1032</v>
      </c>
      <c r="Y23" s="7">
        <v>1032</v>
      </c>
      <c r="Z23" s="7">
        <v>1032</v>
      </c>
    </row>
    <row r="24" spans="1:26" x14ac:dyDescent="0.25">
      <c r="A24" s="7">
        <v>1E-3</v>
      </c>
      <c r="F24" s="7" t="s">
        <v>95</v>
      </c>
      <c r="G24" s="7" t="s">
        <v>150</v>
      </c>
      <c r="H24" s="7">
        <v>-0.17</v>
      </c>
      <c r="I24" s="7">
        <v>2.3E-2</v>
      </c>
      <c r="J24" s="7">
        <v>2.3E-2</v>
      </c>
      <c r="K24" s="7">
        <v>2.1999999999999999E-2</v>
      </c>
      <c r="L24" s="7">
        <v>1.2E-2</v>
      </c>
      <c r="M24" s="7">
        <v>2E-3</v>
      </c>
      <c r="N24" s="7">
        <v>-1.7999999999999999E-2</v>
      </c>
      <c r="O24" s="7">
        <v>1</v>
      </c>
      <c r="P24" s="7">
        <v>3.7999999999999999E-2</v>
      </c>
      <c r="Q24" s="7">
        <v>-1.7999999999999999E-2</v>
      </c>
      <c r="R24" s="7">
        <v>-8.9999999999999993E-3</v>
      </c>
      <c r="S24" s="7">
        <v>-6.0000000000000001E-3</v>
      </c>
      <c r="T24" s="7">
        <v>-1.0999999999999999E-2</v>
      </c>
      <c r="U24" s="7">
        <v>0.13700000000000001</v>
      </c>
      <c r="V24" s="7">
        <v>-0.16</v>
      </c>
      <c r="W24" s="7">
        <v>-0.129</v>
      </c>
      <c r="X24" s="7">
        <v>7.0000000000000001E-3</v>
      </c>
      <c r="Y24" s="7">
        <v>7.1999999999999995E-2</v>
      </c>
      <c r="Z24" s="7">
        <v>0.10199999999999999</v>
      </c>
    </row>
    <row r="25" spans="1:26" x14ac:dyDescent="0.25">
      <c r="A25" s="7">
        <v>1E-3</v>
      </c>
      <c r="F25" s="7"/>
      <c r="G25" s="7" t="s">
        <v>151</v>
      </c>
      <c r="H25" s="7">
        <v>0</v>
      </c>
      <c r="I25" s="7">
        <v>0.45700000000000002</v>
      </c>
      <c r="J25" s="7">
        <v>0.45100000000000001</v>
      </c>
      <c r="K25" s="7">
        <v>0.47799999999999998</v>
      </c>
      <c r="L25" s="7">
        <v>0.70799999999999996</v>
      </c>
      <c r="M25" s="7">
        <v>0.94499999999999995</v>
      </c>
      <c r="N25" s="7">
        <v>0.56100000000000005</v>
      </c>
      <c r="O25" s="7"/>
      <c r="P25" s="7">
        <v>0.223</v>
      </c>
      <c r="Q25" s="7">
        <v>0.56799999999999995</v>
      </c>
      <c r="R25" s="7">
        <v>0.77400000000000002</v>
      </c>
      <c r="S25" s="7">
        <v>0.84399999999999997</v>
      </c>
      <c r="T25" s="7">
        <v>0.73099999999999998</v>
      </c>
      <c r="U25" s="7">
        <v>0</v>
      </c>
      <c r="V25" s="7">
        <v>0</v>
      </c>
      <c r="W25" s="7">
        <v>0</v>
      </c>
      <c r="X25" s="7">
        <v>0.81299999999999994</v>
      </c>
      <c r="Y25" s="7">
        <v>0.02</v>
      </c>
      <c r="Z25" s="7">
        <v>1E-3</v>
      </c>
    </row>
    <row r="26" spans="1:26" x14ac:dyDescent="0.25">
      <c r="A26" s="7">
        <v>1E-3</v>
      </c>
      <c r="F26" s="7"/>
      <c r="G26" s="7" t="s">
        <v>87</v>
      </c>
      <c r="H26" s="7">
        <v>1031</v>
      </c>
      <c r="I26" s="7">
        <v>1032</v>
      </c>
      <c r="J26" s="7">
        <v>1032</v>
      </c>
      <c r="K26" s="7">
        <v>1032</v>
      </c>
      <c r="L26" s="7">
        <v>1032</v>
      </c>
      <c r="M26" s="7">
        <v>1032</v>
      </c>
      <c r="N26" s="7">
        <v>1032</v>
      </c>
      <c r="O26" s="7">
        <v>1032</v>
      </c>
      <c r="P26" s="7">
        <v>1032</v>
      </c>
      <c r="Q26" s="7">
        <v>1032</v>
      </c>
      <c r="R26" s="7">
        <v>1032</v>
      </c>
      <c r="S26" s="7">
        <v>1032</v>
      </c>
      <c r="T26" s="7">
        <v>1032</v>
      </c>
      <c r="U26" s="7">
        <v>1032</v>
      </c>
      <c r="V26" s="7">
        <v>1032</v>
      </c>
      <c r="W26" s="7">
        <v>1032</v>
      </c>
      <c r="X26" s="7">
        <v>1032</v>
      </c>
      <c r="Y26" s="7">
        <v>1032</v>
      </c>
      <c r="Z26" s="7">
        <v>1032</v>
      </c>
    </row>
    <row r="27" spans="1:26" x14ac:dyDescent="0.25">
      <c r="A27" s="7">
        <v>1E-3</v>
      </c>
      <c r="F27" s="7" t="s">
        <v>96</v>
      </c>
      <c r="G27" s="7" t="s">
        <v>150</v>
      </c>
      <c r="H27" s="7">
        <v>-0.108</v>
      </c>
      <c r="I27" s="7">
        <v>7.8E-2</v>
      </c>
      <c r="J27" s="7">
        <v>6.8000000000000005E-2</v>
      </c>
      <c r="K27" s="7">
        <v>5.0999999999999997E-2</v>
      </c>
      <c r="L27" s="7">
        <v>-9.2999999999999999E-2</v>
      </c>
      <c r="M27" s="7">
        <v>-0.28799999999999998</v>
      </c>
      <c r="N27" s="7">
        <v>-2E-3</v>
      </c>
      <c r="O27" s="7">
        <v>3.7999999999999999E-2</v>
      </c>
      <c r="P27" s="7">
        <v>1</v>
      </c>
      <c r="Q27" s="7">
        <v>6.9000000000000006E-2</v>
      </c>
      <c r="R27" s="7">
        <v>-2.3E-2</v>
      </c>
      <c r="S27" s="7">
        <v>3.5000000000000003E-2</v>
      </c>
      <c r="T27" s="7">
        <v>8.5000000000000006E-2</v>
      </c>
      <c r="U27" s="7">
        <v>4.2999999999999997E-2</v>
      </c>
      <c r="V27" s="7">
        <v>-7.0999999999999994E-2</v>
      </c>
      <c r="W27" s="7">
        <v>-0.107</v>
      </c>
      <c r="X27" s="7">
        <v>0.13100000000000001</v>
      </c>
      <c r="Y27" s="7">
        <v>-5.7000000000000002E-2</v>
      </c>
      <c r="Z27" s="7">
        <v>-4.8000000000000001E-2</v>
      </c>
    </row>
    <row r="28" spans="1:26" x14ac:dyDescent="0.25">
      <c r="A28" s="7">
        <v>1E-3</v>
      </c>
      <c r="F28" s="7"/>
      <c r="G28" s="7" t="s">
        <v>151</v>
      </c>
      <c r="H28" s="7">
        <v>1E-3</v>
      </c>
      <c r="I28" s="7">
        <v>1.2E-2</v>
      </c>
      <c r="J28" s="7">
        <v>2.9000000000000001E-2</v>
      </c>
      <c r="K28" s="7">
        <v>0.10100000000000001</v>
      </c>
      <c r="L28" s="7">
        <v>3.0000000000000001E-3</v>
      </c>
      <c r="M28" s="7">
        <v>0</v>
      </c>
      <c r="N28" s="7">
        <v>0.94799999999999995</v>
      </c>
      <c r="O28" s="7">
        <v>0.223</v>
      </c>
      <c r="P28" s="7"/>
      <c r="Q28" s="7">
        <v>2.7E-2</v>
      </c>
      <c r="R28" s="7">
        <v>0.45100000000000001</v>
      </c>
      <c r="S28" s="7">
        <v>0.25800000000000001</v>
      </c>
      <c r="T28" s="7">
        <v>6.0000000000000001E-3</v>
      </c>
      <c r="U28" s="7">
        <v>0.16600000000000001</v>
      </c>
      <c r="V28" s="7">
        <v>2.3E-2</v>
      </c>
      <c r="W28" s="7">
        <v>1E-3</v>
      </c>
      <c r="X28" s="7">
        <v>0</v>
      </c>
      <c r="Y28" s="7">
        <v>6.5000000000000002E-2</v>
      </c>
      <c r="Z28" s="7">
        <v>0.122</v>
      </c>
    </row>
    <row r="29" spans="1:26" x14ac:dyDescent="0.25">
      <c r="A29" s="7">
        <v>1E-3</v>
      </c>
      <c r="F29" s="7"/>
      <c r="G29" s="7" t="s">
        <v>87</v>
      </c>
      <c r="H29" s="7">
        <v>1031</v>
      </c>
      <c r="I29" s="7">
        <v>1032</v>
      </c>
      <c r="J29" s="7">
        <v>1032</v>
      </c>
      <c r="K29" s="7">
        <v>1032</v>
      </c>
      <c r="L29" s="7">
        <v>1032</v>
      </c>
      <c r="M29" s="7">
        <v>1032</v>
      </c>
      <c r="N29" s="7">
        <v>1032</v>
      </c>
      <c r="O29" s="7">
        <v>1032</v>
      </c>
      <c r="P29" s="7">
        <v>1032</v>
      </c>
      <c r="Q29" s="7">
        <v>1032</v>
      </c>
      <c r="R29" s="7">
        <v>1032</v>
      </c>
      <c r="S29" s="7">
        <v>1032</v>
      </c>
      <c r="T29" s="7">
        <v>1032</v>
      </c>
      <c r="U29" s="7">
        <v>1032</v>
      </c>
      <c r="V29" s="7">
        <v>1032</v>
      </c>
      <c r="W29" s="7">
        <v>1032</v>
      </c>
      <c r="X29" s="7">
        <v>1032</v>
      </c>
      <c r="Y29" s="7">
        <v>1032</v>
      </c>
      <c r="Z29" s="7">
        <v>1032</v>
      </c>
    </row>
    <row r="30" spans="1:26" x14ac:dyDescent="0.25">
      <c r="A30" s="7">
        <v>1E-3</v>
      </c>
      <c r="F30" s="7" t="s">
        <v>97</v>
      </c>
      <c r="G30" s="7" t="s">
        <v>150</v>
      </c>
      <c r="H30" s="7">
        <v>-0.182</v>
      </c>
      <c r="I30" s="7">
        <v>-2.9000000000000001E-2</v>
      </c>
      <c r="J30" s="7">
        <v>-2.8000000000000001E-2</v>
      </c>
      <c r="K30" s="7">
        <v>-4.9000000000000002E-2</v>
      </c>
      <c r="L30" s="7">
        <v>0.03</v>
      </c>
      <c r="M30" s="7">
        <v>-0.154</v>
      </c>
      <c r="N30" s="7">
        <v>0.01</v>
      </c>
      <c r="O30" s="7">
        <v>-1.7999999999999999E-2</v>
      </c>
      <c r="P30" s="7">
        <v>6.9000000000000006E-2</v>
      </c>
      <c r="Q30" s="7">
        <v>1</v>
      </c>
      <c r="R30" s="7">
        <v>-1.4E-2</v>
      </c>
      <c r="S30" s="7">
        <v>1.2E-2</v>
      </c>
      <c r="T30" s="7">
        <v>4.5999999999999999E-2</v>
      </c>
      <c r="U30" s="7">
        <v>0.13800000000000001</v>
      </c>
      <c r="V30" s="7">
        <v>-1.2E-2</v>
      </c>
      <c r="W30" s="7">
        <v>-8.7999999999999995E-2</v>
      </c>
      <c r="X30" s="7">
        <v>2.4E-2</v>
      </c>
      <c r="Y30" s="7">
        <v>3.5000000000000003E-2</v>
      </c>
      <c r="Z30" s="7">
        <v>5.1999999999999998E-2</v>
      </c>
    </row>
    <row r="31" spans="1:26" x14ac:dyDescent="0.25">
      <c r="A31" s="7">
        <v>1E-3</v>
      </c>
      <c r="F31" s="7"/>
      <c r="G31" s="7" t="s">
        <v>151</v>
      </c>
      <c r="H31" s="7">
        <v>0</v>
      </c>
      <c r="I31" s="7">
        <v>0.34499999999999997</v>
      </c>
      <c r="J31" s="7">
        <v>0.36699999999999999</v>
      </c>
      <c r="K31" s="7">
        <v>0.11799999999999999</v>
      </c>
      <c r="L31" s="7">
        <v>0.33400000000000002</v>
      </c>
      <c r="M31" s="7">
        <v>0</v>
      </c>
      <c r="N31" s="7">
        <v>0.748</v>
      </c>
      <c r="O31" s="7">
        <v>0.56799999999999995</v>
      </c>
      <c r="P31" s="7">
        <v>2.7E-2</v>
      </c>
      <c r="Q31" s="7"/>
      <c r="R31" s="7">
        <v>0.66400000000000003</v>
      </c>
      <c r="S31" s="7">
        <v>0.69799999999999995</v>
      </c>
      <c r="T31" s="7">
        <v>0.14199999999999999</v>
      </c>
      <c r="U31" s="7">
        <v>0</v>
      </c>
      <c r="V31" s="7">
        <v>0.69199999999999995</v>
      </c>
      <c r="W31" s="7">
        <v>5.0000000000000001E-3</v>
      </c>
      <c r="X31" s="7">
        <v>0.45</v>
      </c>
      <c r="Y31" s="7">
        <v>0.26400000000000001</v>
      </c>
      <c r="Z31" s="7">
        <v>9.2999999999999999E-2</v>
      </c>
    </row>
    <row r="32" spans="1:26" x14ac:dyDescent="0.25">
      <c r="F32" s="7"/>
      <c r="G32" s="7" t="s">
        <v>87</v>
      </c>
      <c r="H32" s="7">
        <v>1031</v>
      </c>
      <c r="I32" s="7">
        <v>1032</v>
      </c>
      <c r="J32" s="7">
        <v>1032</v>
      </c>
      <c r="K32" s="7">
        <v>1032</v>
      </c>
      <c r="L32" s="7">
        <v>1032</v>
      </c>
      <c r="M32" s="7">
        <v>1032</v>
      </c>
      <c r="N32" s="7">
        <v>1032</v>
      </c>
      <c r="O32" s="7">
        <v>1032</v>
      </c>
      <c r="P32" s="7">
        <v>1032</v>
      </c>
      <c r="Q32" s="7">
        <v>1032</v>
      </c>
      <c r="R32" s="7">
        <v>1032</v>
      </c>
      <c r="S32" s="7">
        <v>1032</v>
      </c>
      <c r="T32" s="7">
        <v>1032</v>
      </c>
      <c r="U32" s="7">
        <v>1032</v>
      </c>
      <c r="V32" s="7">
        <v>1032</v>
      </c>
      <c r="W32" s="7">
        <v>1032</v>
      </c>
      <c r="X32" s="7">
        <v>1032</v>
      </c>
      <c r="Y32" s="7">
        <v>1032</v>
      </c>
      <c r="Z32" s="7">
        <v>1032</v>
      </c>
    </row>
    <row r="33" spans="6:26" x14ac:dyDescent="0.25">
      <c r="F33" s="7" t="s">
        <v>98</v>
      </c>
      <c r="G33" s="7" t="s">
        <v>150</v>
      </c>
      <c r="H33" s="7">
        <v>-0.01</v>
      </c>
      <c r="I33" s="7">
        <v>4.7E-2</v>
      </c>
      <c r="J33" s="7">
        <v>4.8000000000000001E-2</v>
      </c>
      <c r="K33" s="7">
        <v>1.4999999999999999E-2</v>
      </c>
      <c r="L33" s="7">
        <v>-7.0000000000000001E-3</v>
      </c>
      <c r="M33" s="7">
        <v>-1.0999999999999999E-2</v>
      </c>
      <c r="N33" s="7">
        <v>-1.4E-2</v>
      </c>
      <c r="O33" s="7">
        <v>-8.9999999999999993E-3</v>
      </c>
      <c r="P33" s="7">
        <v>-2.3E-2</v>
      </c>
      <c r="Q33" s="7">
        <v>-1.4E-2</v>
      </c>
      <c r="R33" s="7">
        <v>1</v>
      </c>
      <c r="S33" s="7">
        <v>-2.5999999999999999E-2</v>
      </c>
      <c r="T33" s="7">
        <v>0.112</v>
      </c>
      <c r="U33" s="7">
        <v>8.9999999999999993E-3</v>
      </c>
      <c r="V33" s="7">
        <v>-8.9999999999999993E-3</v>
      </c>
      <c r="W33" s="7">
        <v>1.7999999999999999E-2</v>
      </c>
      <c r="X33" s="7">
        <v>-6.0999999999999999E-2</v>
      </c>
      <c r="Y33" s="7">
        <v>-1.6E-2</v>
      </c>
      <c r="Z33" s="7">
        <v>-3.5999999999999997E-2</v>
      </c>
    </row>
    <row r="34" spans="6:26" x14ac:dyDescent="0.25">
      <c r="F34" s="7"/>
      <c r="G34" s="7" t="s">
        <v>151</v>
      </c>
      <c r="H34" s="7">
        <v>0.74099999999999999</v>
      </c>
      <c r="I34" s="7">
        <v>0.129</v>
      </c>
      <c r="J34" s="7">
        <v>0.12</v>
      </c>
      <c r="K34" s="7">
        <v>0.63400000000000001</v>
      </c>
      <c r="L34" s="7">
        <v>0.81499999999999995</v>
      </c>
      <c r="M34" s="7">
        <v>0.72499999999999998</v>
      </c>
      <c r="N34" s="7">
        <v>0.65800000000000003</v>
      </c>
      <c r="O34" s="7">
        <v>0.77400000000000002</v>
      </c>
      <c r="P34" s="7">
        <v>0.45100000000000001</v>
      </c>
      <c r="Q34" s="7">
        <v>0.66400000000000003</v>
      </c>
      <c r="R34" s="7"/>
      <c r="S34" s="7">
        <v>0.39600000000000002</v>
      </c>
      <c r="T34" s="7">
        <v>0</v>
      </c>
      <c r="U34" s="7">
        <v>0.77</v>
      </c>
      <c r="V34" s="7">
        <v>0.78500000000000003</v>
      </c>
      <c r="W34" s="7">
        <v>0.57299999999999995</v>
      </c>
      <c r="X34" s="7">
        <v>4.9000000000000002E-2</v>
      </c>
      <c r="Y34" s="7">
        <v>0.61499999999999999</v>
      </c>
      <c r="Z34" s="7">
        <v>0.245</v>
      </c>
    </row>
    <row r="35" spans="6:26" x14ac:dyDescent="0.25">
      <c r="F35" s="7"/>
      <c r="G35" s="7" t="s">
        <v>87</v>
      </c>
      <c r="H35" s="7">
        <v>1031</v>
      </c>
      <c r="I35" s="7">
        <v>1032</v>
      </c>
      <c r="J35" s="7">
        <v>1032</v>
      </c>
      <c r="K35" s="7">
        <v>1032</v>
      </c>
      <c r="L35" s="7">
        <v>1032</v>
      </c>
      <c r="M35" s="7">
        <v>1032</v>
      </c>
      <c r="N35" s="7">
        <v>1032</v>
      </c>
      <c r="O35" s="7">
        <v>1032</v>
      </c>
      <c r="P35" s="7">
        <v>1032</v>
      </c>
      <c r="Q35" s="7">
        <v>1032</v>
      </c>
      <c r="R35" s="7">
        <v>1032</v>
      </c>
      <c r="S35" s="7">
        <v>1032</v>
      </c>
      <c r="T35" s="7">
        <v>1032</v>
      </c>
      <c r="U35" s="7">
        <v>1032</v>
      </c>
      <c r="V35" s="7">
        <v>1032</v>
      </c>
      <c r="W35" s="7">
        <v>1032</v>
      </c>
      <c r="X35" s="7">
        <v>1032</v>
      </c>
      <c r="Y35" s="7">
        <v>1032</v>
      </c>
      <c r="Z35" s="7">
        <v>1032</v>
      </c>
    </row>
    <row r="36" spans="6:26" x14ac:dyDescent="0.25">
      <c r="F36" s="7" t="s">
        <v>99</v>
      </c>
      <c r="G36" s="7" t="s">
        <v>150</v>
      </c>
      <c r="H36" s="7">
        <v>-0.152</v>
      </c>
      <c r="I36" s="7">
        <v>6.6000000000000003E-2</v>
      </c>
      <c r="J36" s="7">
        <v>6.2E-2</v>
      </c>
      <c r="K36" s="7">
        <v>-2.8000000000000001E-2</v>
      </c>
      <c r="L36" s="7">
        <v>3.2000000000000001E-2</v>
      </c>
      <c r="M36" s="7">
        <v>-0.16900000000000001</v>
      </c>
      <c r="N36" s="7">
        <v>7.0000000000000001E-3</v>
      </c>
      <c r="O36" s="7">
        <v>-6.0000000000000001E-3</v>
      </c>
      <c r="P36" s="7">
        <v>3.5000000000000003E-2</v>
      </c>
      <c r="Q36" s="7">
        <v>1.2E-2</v>
      </c>
      <c r="R36" s="7">
        <v>-2.5999999999999999E-2</v>
      </c>
      <c r="S36" s="7">
        <v>1</v>
      </c>
      <c r="T36" s="7">
        <v>-8.9999999999999993E-3</v>
      </c>
      <c r="U36" s="7">
        <v>9.5000000000000001E-2</v>
      </c>
      <c r="V36" s="7">
        <v>-7.0000000000000001E-3</v>
      </c>
      <c r="W36" s="7">
        <v>-9.0999999999999998E-2</v>
      </c>
      <c r="X36" s="7">
        <v>1.9E-2</v>
      </c>
      <c r="Y36" s="7">
        <v>0.03</v>
      </c>
      <c r="Z36" s="7">
        <v>3.9E-2</v>
      </c>
    </row>
    <row r="37" spans="6:26" x14ac:dyDescent="0.25">
      <c r="F37" s="7"/>
      <c r="G37" s="7" t="s">
        <v>151</v>
      </c>
      <c r="H37" s="7">
        <v>0</v>
      </c>
      <c r="I37" s="7">
        <v>3.3000000000000002E-2</v>
      </c>
      <c r="J37" s="7">
        <v>4.7E-2</v>
      </c>
      <c r="K37" s="7">
        <v>0.377</v>
      </c>
      <c r="L37" s="7">
        <v>0.30299999999999999</v>
      </c>
      <c r="M37" s="7">
        <v>0</v>
      </c>
      <c r="N37" s="7">
        <v>0.83299999999999996</v>
      </c>
      <c r="O37" s="7">
        <v>0.84399999999999997</v>
      </c>
      <c r="P37" s="7">
        <v>0.25800000000000001</v>
      </c>
      <c r="Q37" s="7">
        <v>0.69799999999999995</v>
      </c>
      <c r="R37" s="7">
        <v>0.39600000000000002</v>
      </c>
      <c r="S37" s="7"/>
      <c r="T37" s="7">
        <v>0.77500000000000002</v>
      </c>
      <c r="U37" s="7">
        <v>2E-3</v>
      </c>
      <c r="V37" s="7">
        <v>0.82099999999999995</v>
      </c>
      <c r="W37" s="7">
        <v>4.0000000000000001E-3</v>
      </c>
      <c r="X37" s="7">
        <v>0.54400000000000004</v>
      </c>
      <c r="Y37" s="7">
        <v>0.33</v>
      </c>
      <c r="Z37" s="7">
        <v>0.20499999999999999</v>
      </c>
    </row>
    <row r="38" spans="6:26" x14ac:dyDescent="0.25">
      <c r="F38" s="7"/>
      <c r="G38" s="7" t="s">
        <v>87</v>
      </c>
      <c r="H38" s="7">
        <v>1031</v>
      </c>
      <c r="I38" s="7">
        <v>1032</v>
      </c>
      <c r="J38" s="7">
        <v>1032</v>
      </c>
      <c r="K38" s="7">
        <v>1032</v>
      </c>
      <c r="L38" s="7">
        <v>1032</v>
      </c>
      <c r="M38" s="7">
        <v>1032</v>
      </c>
      <c r="N38" s="7">
        <v>1032</v>
      </c>
      <c r="O38" s="7">
        <v>1032</v>
      </c>
      <c r="P38" s="7">
        <v>1032</v>
      </c>
      <c r="Q38" s="7">
        <v>1032</v>
      </c>
      <c r="R38" s="7">
        <v>1032</v>
      </c>
      <c r="S38" s="7">
        <v>1032</v>
      </c>
      <c r="T38" s="7">
        <v>1032</v>
      </c>
      <c r="U38" s="7">
        <v>1032</v>
      </c>
      <c r="V38" s="7">
        <v>1032</v>
      </c>
      <c r="W38" s="7">
        <v>1032</v>
      </c>
      <c r="X38" s="7">
        <v>1032</v>
      </c>
      <c r="Y38" s="7">
        <v>1032</v>
      </c>
      <c r="Z38" s="7">
        <v>1032</v>
      </c>
    </row>
    <row r="39" spans="6:26" x14ac:dyDescent="0.25">
      <c r="F39" s="7" t="s">
        <v>100</v>
      </c>
      <c r="G39" s="7" t="s">
        <v>150</v>
      </c>
      <c r="H39" s="7">
        <v>-0.16</v>
      </c>
      <c r="I39" s="7">
        <v>5.8000000000000003E-2</v>
      </c>
      <c r="J39" s="7">
        <v>5.6000000000000001E-2</v>
      </c>
      <c r="K39" s="7">
        <v>-1.6E-2</v>
      </c>
      <c r="L39" s="7">
        <v>-4.3999999999999997E-2</v>
      </c>
      <c r="M39" s="7">
        <v>-5.5E-2</v>
      </c>
      <c r="N39" s="7">
        <v>-1.7000000000000001E-2</v>
      </c>
      <c r="O39" s="7">
        <v>-1.0999999999999999E-2</v>
      </c>
      <c r="P39" s="7">
        <v>8.5000000000000006E-2</v>
      </c>
      <c r="Q39" s="7">
        <v>4.5999999999999999E-2</v>
      </c>
      <c r="R39" s="7">
        <v>0.112</v>
      </c>
      <c r="S39" s="7">
        <v>-8.9999999999999993E-3</v>
      </c>
      <c r="T39" s="7">
        <v>1</v>
      </c>
      <c r="U39" s="7">
        <v>9.2999999999999999E-2</v>
      </c>
      <c r="V39" s="7">
        <v>-8.6999999999999994E-2</v>
      </c>
      <c r="W39" s="7">
        <v>-7.5999999999999998E-2</v>
      </c>
      <c r="X39" s="7">
        <v>-2.1999999999999999E-2</v>
      </c>
      <c r="Y39" s="7">
        <v>-1E-3</v>
      </c>
      <c r="Z39" s="7">
        <v>0.02</v>
      </c>
    </row>
    <row r="40" spans="6:26" x14ac:dyDescent="0.25">
      <c r="F40" s="7"/>
      <c r="G40" s="7" t="s">
        <v>151</v>
      </c>
      <c r="H40" s="7">
        <v>0</v>
      </c>
      <c r="I40" s="7">
        <v>6.4000000000000001E-2</v>
      </c>
      <c r="J40" s="7">
        <v>7.0000000000000007E-2</v>
      </c>
      <c r="K40" s="7">
        <v>0.60399999999999998</v>
      </c>
      <c r="L40" s="7">
        <v>0.16200000000000001</v>
      </c>
      <c r="M40" s="7">
        <v>7.5999999999999998E-2</v>
      </c>
      <c r="N40" s="7">
        <v>0.59599999999999997</v>
      </c>
      <c r="O40" s="7">
        <v>0.73099999999999998</v>
      </c>
      <c r="P40" s="7">
        <v>6.0000000000000001E-3</v>
      </c>
      <c r="Q40" s="7">
        <v>0.14199999999999999</v>
      </c>
      <c r="R40" s="7">
        <v>0</v>
      </c>
      <c r="S40" s="7">
        <v>0.77500000000000002</v>
      </c>
      <c r="T40" s="7"/>
      <c r="U40" s="7">
        <v>3.0000000000000001E-3</v>
      </c>
      <c r="V40" s="7">
        <v>5.0000000000000001E-3</v>
      </c>
      <c r="W40" s="7">
        <v>1.4999999999999999E-2</v>
      </c>
      <c r="X40" s="7">
        <v>0.48199999999999998</v>
      </c>
      <c r="Y40" s="7">
        <v>0.96899999999999997</v>
      </c>
      <c r="Z40" s="7">
        <v>0.52800000000000002</v>
      </c>
    </row>
    <row r="41" spans="6:26" x14ac:dyDescent="0.25">
      <c r="F41" s="7"/>
      <c r="G41" s="7" t="s">
        <v>87</v>
      </c>
      <c r="H41" s="7">
        <v>1031</v>
      </c>
      <c r="I41" s="7">
        <v>1032</v>
      </c>
      <c r="J41" s="7">
        <v>1032</v>
      </c>
      <c r="K41" s="7">
        <v>1032</v>
      </c>
      <c r="L41" s="7">
        <v>1032</v>
      </c>
      <c r="M41" s="7">
        <v>1032</v>
      </c>
      <c r="N41" s="7">
        <v>1032</v>
      </c>
      <c r="O41" s="7">
        <v>1032</v>
      </c>
      <c r="P41" s="7">
        <v>1032</v>
      </c>
      <c r="Q41" s="7">
        <v>1032</v>
      </c>
      <c r="R41" s="7">
        <v>1032</v>
      </c>
      <c r="S41" s="7">
        <v>1032</v>
      </c>
      <c r="T41" s="7">
        <v>1032</v>
      </c>
      <c r="U41" s="7">
        <v>1032</v>
      </c>
      <c r="V41" s="7">
        <v>1032</v>
      </c>
      <c r="W41" s="7">
        <v>1032</v>
      </c>
      <c r="X41" s="7">
        <v>1032</v>
      </c>
      <c r="Y41" s="7">
        <v>1032</v>
      </c>
      <c r="Z41" s="7">
        <v>1032</v>
      </c>
    </row>
    <row r="42" spans="6:26" x14ac:dyDescent="0.25">
      <c r="F42" s="7" t="s">
        <v>101</v>
      </c>
      <c r="G42" s="7" t="s">
        <v>150</v>
      </c>
      <c r="H42" s="7">
        <v>-0.73599999999999999</v>
      </c>
      <c r="I42" s="7">
        <v>-4.0000000000000001E-3</v>
      </c>
      <c r="J42" s="7">
        <v>-1E-3</v>
      </c>
      <c r="K42" s="7">
        <v>-2.5000000000000001E-2</v>
      </c>
      <c r="L42" s="7">
        <v>5.1999999999999998E-2</v>
      </c>
      <c r="M42" s="7">
        <v>-6.3E-2</v>
      </c>
      <c r="N42" s="7">
        <v>-1E-3</v>
      </c>
      <c r="O42" s="7">
        <v>0.13700000000000001</v>
      </c>
      <c r="P42" s="7">
        <v>4.2999999999999997E-2</v>
      </c>
      <c r="Q42" s="7">
        <v>0.13800000000000001</v>
      </c>
      <c r="R42" s="7">
        <v>8.9999999999999993E-3</v>
      </c>
      <c r="S42" s="7">
        <v>9.5000000000000001E-2</v>
      </c>
      <c r="T42" s="7">
        <v>9.2999999999999999E-2</v>
      </c>
      <c r="U42" s="7">
        <v>1</v>
      </c>
      <c r="V42" s="7">
        <v>-0.26</v>
      </c>
      <c r="W42" s="7">
        <v>-0.40899999999999997</v>
      </c>
      <c r="X42" s="7">
        <v>-6.5000000000000002E-2</v>
      </c>
      <c r="Y42" s="7">
        <v>0.34499999999999997</v>
      </c>
      <c r="Z42" s="7">
        <v>0.38200000000000001</v>
      </c>
    </row>
    <row r="43" spans="6:26" x14ac:dyDescent="0.25">
      <c r="F43" s="7"/>
      <c r="G43" s="7" t="s">
        <v>151</v>
      </c>
      <c r="H43" s="7">
        <v>0</v>
      </c>
      <c r="I43" s="7">
        <v>0.90300000000000002</v>
      </c>
      <c r="J43" s="7">
        <v>0.98</v>
      </c>
      <c r="K43" s="7">
        <v>0.43099999999999999</v>
      </c>
      <c r="L43" s="7">
        <v>9.1999999999999998E-2</v>
      </c>
      <c r="M43" s="7">
        <v>4.3999999999999997E-2</v>
      </c>
      <c r="N43" s="7">
        <v>0.98099999999999998</v>
      </c>
      <c r="O43" s="7">
        <v>0</v>
      </c>
      <c r="P43" s="7">
        <v>0.16600000000000001</v>
      </c>
      <c r="Q43" s="7">
        <v>0</v>
      </c>
      <c r="R43" s="7">
        <v>0.77</v>
      </c>
      <c r="S43" s="7">
        <v>2E-3</v>
      </c>
      <c r="T43" s="7">
        <v>3.0000000000000001E-3</v>
      </c>
      <c r="U43" s="7"/>
      <c r="V43" s="7">
        <v>0</v>
      </c>
      <c r="W43" s="7">
        <v>0</v>
      </c>
      <c r="X43" s="7">
        <v>3.6999999999999998E-2</v>
      </c>
      <c r="Y43" s="7">
        <v>0</v>
      </c>
      <c r="Z43" s="7">
        <v>0</v>
      </c>
    </row>
    <row r="44" spans="6:26" x14ac:dyDescent="0.25">
      <c r="F44" s="7"/>
      <c r="G44" s="7" t="s">
        <v>87</v>
      </c>
      <c r="H44" s="7">
        <v>1031</v>
      </c>
      <c r="I44" s="7">
        <v>1032</v>
      </c>
      <c r="J44" s="7">
        <v>1032</v>
      </c>
      <c r="K44" s="7">
        <v>1032</v>
      </c>
      <c r="L44" s="7">
        <v>1032</v>
      </c>
      <c r="M44" s="7">
        <v>1032</v>
      </c>
      <c r="N44" s="7">
        <v>1032</v>
      </c>
      <c r="O44" s="7">
        <v>1032</v>
      </c>
      <c r="P44" s="7">
        <v>1032</v>
      </c>
      <c r="Q44" s="7">
        <v>1032</v>
      </c>
      <c r="R44" s="7">
        <v>1032</v>
      </c>
      <c r="S44" s="7">
        <v>1032</v>
      </c>
      <c r="T44" s="7">
        <v>1032</v>
      </c>
      <c r="U44" s="7">
        <v>1032</v>
      </c>
      <c r="V44" s="7">
        <v>1032</v>
      </c>
      <c r="W44" s="7">
        <v>1032</v>
      </c>
      <c r="X44" s="7">
        <v>1032</v>
      </c>
      <c r="Y44" s="7">
        <v>1032</v>
      </c>
      <c r="Z44" s="7">
        <v>1032</v>
      </c>
    </row>
    <row r="45" spans="6:26" x14ac:dyDescent="0.25">
      <c r="F45" s="7" t="s">
        <v>145</v>
      </c>
      <c r="G45" s="7" t="s">
        <v>150</v>
      </c>
      <c r="H45" s="7">
        <v>0.28499999999999998</v>
      </c>
      <c r="I45" s="7">
        <v>-3.4000000000000002E-2</v>
      </c>
      <c r="J45" s="7">
        <v>-2.7E-2</v>
      </c>
      <c r="K45" s="7">
        <v>-0.246</v>
      </c>
      <c r="L45" s="7">
        <v>-0.08</v>
      </c>
      <c r="M45" s="7">
        <v>-7.3999999999999996E-2</v>
      </c>
      <c r="N45" s="7">
        <v>-4.4999999999999998E-2</v>
      </c>
      <c r="O45" s="7">
        <v>-0.16</v>
      </c>
      <c r="P45" s="7">
        <v>-7.0999999999999994E-2</v>
      </c>
      <c r="Q45" s="7">
        <v>-1.2E-2</v>
      </c>
      <c r="R45" s="7">
        <v>-8.9999999999999993E-3</v>
      </c>
      <c r="S45" s="7">
        <v>-7.0000000000000001E-3</v>
      </c>
      <c r="T45" s="7">
        <v>-8.6999999999999994E-2</v>
      </c>
      <c r="U45" s="7">
        <v>-0.26</v>
      </c>
      <c r="V45" s="7">
        <v>1</v>
      </c>
      <c r="W45" s="7">
        <v>0.51600000000000001</v>
      </c>
      <c r="X45" s="7">
        <v>0.31</v>
      </c>
      <c r="Y45" s="7">
        <v>-0.254</v>
      </c>
      <c r="Z45" s="7">
        <v>-0.22900000000000001</v>
      </c>
    </row>
    <row r="46" spans="6:26" x14ac:dyDescent="0.25">
      <c r="F46" s="7"/>
      <c r="G46" s="7" t="s">
        <v>151</v>
      </c>
      <c r="H46" s="7">
        <v>0</v>
      </c>
      <c r="I46" s="7">
        <v>0.28199999999999997</v>
      </c>
      <c r="J46" s="7">
        <v>0.38900000000000001</v>
      </c>
      <c r="K46" s="7">
        <v>0</v>
      </c>
      <c r="L46" s="7">
        <v>0.01</v>
      </c>
      <c r="M46" s="7">
        <v>1.7999999999999999E-2</v>
      </c>
      <c r="N46" s="7">
        <v>0.151</v>
      </c>
      <c r="O46" s="7">
        <v>0</v>
      </c>
      <c r="P46" s="7">
        <v>2.3E-2</v>
      </c>
      <c r="Q46" s="7">
        <v>0.69199999999999995</v>
      </c>
      <c r="R46" s="7">
        <v>0.78500000000000003</v>
      </c>
      <c r="S46" s="7">
        <v>0.82099999999999995</v>
      </c>
      <c r="T46" s="7">
        <v>5.0000000000000001E-3</v>
      </c>
      <c r="U46" s="7">
        <v>0</v>
      </c>
      <c r="V46" s="7"/>
      <c r="W46" s="7">
        <v>0</v>
      </c>
      <c r="X46" s="7">
        <v>0</v>
      </c>
      <c r="Y46" s="7">
        <v>0</v>
      </c>
      <c r="Z46" s="7">
        <v>0</v>
      </c>
    </row>
    <row r="47" spans="6:26" x14ac:dyDescent="0.25">
      <c r="F47" s="7"/>
      <c r="G47" s="7" t="s">
        <v>87</v>
      </c>
      <c r="H47" s="7">
        <v>1031</v>
      </c>
      <c r="I47" s="7">
        <v>1032</v>
      </c>
      <c r="J47" s="7">
        <v>1032</v>
      </c>
      <c r="K47" s="7">
        <v>1032</v>
      </c>
      <c r="L47" s="7">
        <v>1032</v>
      </c>
      <c r="M47" s="7">
        <v>1032</v>
      </c>
      <c r="N47" s="7">
        <v>1032</v>
      </c>
      <c r="O47" s="7">
        <v>1032</v>
      </c>
      <c r="P47" s="7">
        <v>1032</v>
      </c>
      <c r="Q47" s="7">
        <v>1032</v>
      </c>
      <c r="R47" s="7">
        <v>1032</v>
      </c>
      <c r="S47" s="7">
        <v>1032</v>
      </c>
      <c r="T47" s="7">
        <v>1032</v>
      </c>
      <c r="U47" s="7">
        <v>1032</v>
      </c>
      <c r="V47" s="7">
        <v>1032</v>
      </c>
      <c r="W47" s="7">
        <v>1032</v>
      </c>
      <c r="X47" s="7">
        <v>1032</v>
      </c>
      <c r="Y47" s="7">
        <v>1032</v>
      </c>
      <c r="Z47" s="7">
        <v>1032</v>
      </c>
    </row>
    <row r="48" spans="6:26" x14ac:dyDescent="0.25">
      <c r="F48" s="7" t="s">
        <v>146</v>
      </c>
      <c r="G48" s="7" t="s">
        <v>150</v>
      </c>
      <c r="H48" s="7">
        <v>0.44600000000000001</v>
      </c>
      <c r="I48" s="7">
        <v>-2.7E-2</v>
      </c>
      <c r="J48" s="7">
        <v>-2.4E-2</v>
      </c>
      <c r="K48" s="7">
        <v>-0.16500000000000001</v>
      </c>
      <c r="L48" s="7">
        <v>-5.6000000000000001E-2</v>
      </c>
      <c r="M48" s="7">
        <v>4.2999999999999997E-2</v>
      </c>
      <c r="N48" s="7">
        <v>-2.9000000000000001E-2</v>
      </c>
      <c r="O48" s="7">
        <v>-0.129</v>
      </c>
      <c r="P48" s="7">
        <v>-0.107</v>
      </c>
      <c r="Q48" s="7">
        <v>-8.7999999999999995E-2</v>
      </c>
      <c r="R48" s="7">
        <v>1.7999999999999999E-2</v>
      </c>
      <c r="S48" s="7">
        <v>-9.0999999999999998E-2</v>
      </c>
      <c r="T48" s="7">
        <v>-7.5999999999999998E-2</v>
      </c>
      <c r="U48" s="7">
        <v>-0.40899999999999997</v>
      </c>
      <c r="V48" s="7">
        <v>0.51600000000000001</v>
      </c>
      <c r="W48" s="7">
        <v>1</v>
      </c>
      <c r="X48" s="7">
        <v>0.26</v>
      </c>
      <c r="Y48" s="7">
        <v>-0.28499999999999998</v>
      </c>
      <c r="Z48" s="7">
        <v>-0.29499999999999998</v>
      </c>
    </row>
    <row r="49" spans="6:26" x14ac:dyDescent="0.25">
      <c r="F49" s="7"/>
      <c r="G49" s="7" t="s">
        <v>151</v>
      </c>
      <c r="H49" s="7">
        <v>0</v>
      </c>
      <c r="I49" s="7">
        <v>0.38300000000000001</v>
      </c>
      <c r="J49" s="7">
        <v>0.44500000000000001</v>
      </c>
      <c r="K49" s="7">
        <v>0</v>
      </c>
      <c r="L49" s="7">
        <v>7.3999999999999996E-2</v>
      </c>
      <c r="M49" s="7">
        <v>0.16600000000000001</v>
      </c>
      <c r="N49" s="7">
        <v>0.35699999999999998</v>
      </c>
      <c r="O49" s="7">
        <v>0</v>
      </c>
      <c r="P49" s="7">
        <v>1E-3</v>
      </c>
      <c r="Q49" s="7">
        <v>5.0000000000000001E-3</v>
      </c>
      <c r="R49" s="7">
        <v>0.57299999999999995</v>
      </c>
      <c r="S49" s="7">
        <v>4.0000000000000001E-3</v>
      </c>
      <c r="T49" s="7">
        <v>1.4999999999999999E-2</v>
      </c>
      <c r="U49" s="7">
        <v>0</v>
      </c>
      <c r="V49" s="7">
        <v>0</v>
      </c>
      <c r="W49" s="7"/>
      <c r="X49" s="7">
        <v>0</v>
      </c>
      <c r="Y49" s="7">
        <v>0</v>
      </c>
      <c r="Z49" s="7">
        <v>0</v>
      </c>
    </row>
    <row r="50" spans="6:26" x14ac:dyDescent="0.25">
      <c r="F50" s="7"/>
      <c r="G50" s="7" t="s">
        <v>87</v>
      </c>
      <c r="H50" s="7">
        <v>1031</v>
      </c>
      <c r="I50" s="7">
        <v>1032</v>
      </c>
      <c r="J50" s="7">
        <v>1032</v>
      </c>
      <c r="K50" s="7">
        <v>1032</v>
      </c>
      <c r="L50" s="7">
        <v>1032</v>
      </c>
      <c r="M50" s="7">
        <v>1032</v>
      </c>
      <c r="N50" s="7">
        <v>1032</v>
      </c>
      <c r="O50" s="7">
        <v>1032</v>
      </c>
      <c r="P50" s="7">
        <v>1032</v>
      </c>
      <c r="Q50" s="7">
        <v>1032</v>
      </c>
      <c r="R50" s="7">
        <v>1032</v>
      </c>
      <c r="S50" s="7">
        <v>1032</v>
      </c>
      <c r="T50" s="7">
        <v>1032</v>
      </c>
      <c r="U50" s="7">
        <v>1032</v>
      </c>
      <c r="V50" s="7">
        <v>1032</v>
      </c>
      <c r="W50" s="7">
        <v>1032</v>
      </c>
      <c r="X50" s="7">
        <v>1032</v>
      </c>
      <c r="Y50" s="7">
        <v>1032</v>
      </c>
      <c r="Z50" s="7">
        <v>1032</v>
      </c>
    </row>
    <row r="51" spans="6:26" x14ac:dyDescent="0.25">
      <c r="F51" s="7" t="s">
        <v>147</v>
      </c>
      <c r="G51" s="7" t="s">
        <v>150</v>
      </c>
      <c r="H51" s="7">
        <v>2.4E-2</v>
      </c>
      <c r="I51" s="7">
        <v>2.4E-2</v>
      </c>
      <c r="J51" s="7">
        <v>2.5000000000000001E-2</v>
      </c>
      <c r="K51" s="7">
        <v>-1.4999999999999999E-2</v>
      </c>
      <c r="L51" s="7">
        <v>-6.5000000000000002E-2</v>
      </c>
      <c r="M51" s="7">
        <v>-0.30399999999999999</v>
      </c>
      <c r="N51" s="7">
        <v>-1.0999999999999999E-2</v>
      </c>
      <c r="O51" s="7">
        <v>7.0000000000000001E-3</v>
      </c>
      <c r="P51" s="7">
        <v>0.13100000000000001</v>
      </c>
      <c r="Q51" s="7">
        <v>2.4E-2</v>
      </c>
      <c r="R51" s="7">
        <v>-6.0999999999999999E-2</v>
      </c>
      <c r="S51" s="7">
        <v>1.9E-2</v>
      </c>
      <c r="T51" s="7">
        <v>-2.1999999999999999E-2</v>
      </c>
      <c r="U51" s="7">
        <v>-6.5000000000000002E-2</v>
      </c>
      <c r="V51" s="7">
        <v>0.31</v>
      </c>
      <c r="W51" s="7">
        <v>0.26</v>
      </c>
      <c r="X51" s="7">
        <v>1</v>
      </c>
      <c r="Y51" s="7">
        <v>-0.112</v>
      </c>
      <c r="Z51" s="7">
        <v>-9.7000000000000003E-2</v>
      </c>
    </row>
    <row r="52" spans="6:26" x14ac:dyDescent="0.25">
      <c r="F52" s="7"/>
      <c r="G52" s="7" t="s">
        <v>151</v>
      </c>
      <c r="H52" s="7">
        <v>0.45100000000000001</v>
      </c>
      <c r="I52" s="7">
        <v>0.436</v>
      </c>
      <c r="J52" s="7">
        <v>0.42099999999999999</v>
      </c>
      <c r="K52" s="7">
        <v>0.63900000000000001</v>
      </c>
      <c r="L52" s="7">
        <v>3.5000000000000003E-2</v>
      </c>
      <c r="M52" s="7">
        <v>0</v>
      </c>
      <c r="N52" s="7">
        <v>0.72199999999999998</v>
      </c>
      <c r="O52" s="7">
        <v>0.81299999999999994</v>
      </c>
      <c r="P52" s="7">
        <v>0</v>
      </c>
      <c r="Q52" s="7">
        <v>0.45</v>
      </c>
      <c r="R52" s="7">
        <v>4.9000000000000002E-2</v>
      </c>
      <c r="S52" s="7">
        <v>0.54400000000000004</v>
      </c>
      <c r="T52" s="7">
        <v>0.48199999999999998</v>
      </c>
      <c r="U52" s="7">
        <v>3.6999999999999998E-2</v>
      </c>
      <c r="V52" s="7">
        <v>0</v>
      </c>
      <c r="W52" s="7">
        <v>0</v>
      </c>
      <c r="X52" s="7"/>
      <c r="Y52" s="7">
        <v>0</v>
      </c>
      <c r="Z52" s="7">
        <v>2E-3</v>
      </c>
    </row>
    <row r="53" spans="6:26" x14ac:dyDescent="0.25">
      <c r="F53" s="7"/>
      <c r="G53" s="7" t="s">
        <v>87</v>
      </c>
      <c r="H53" s="7">
        <v>1031</v>
      </c>
      <c r="I53" s="7">
        <v>1032</v>
      </c>
      <c r="J53" s="7">
        <v>1032</v>
      </c>
      <c r="K53" s="7">
        <v>1032</v>
      </c>
      <c r="L53" s="7">
        <v>1032</v>
      </c>
      <c r="M53" s="7">
        <v>1032</v>
      </c>
      <c r="N53" s="7">
        <v>1032</v>
      </c>
      <c r="O53" s="7">
        <v>1032</v>
      </c>
      <c r="P53" s="7">
        <v>1032</v>
      </c>
      <c r="Q53" s="7">
        <v>1032</v>
      </c>
      <c r="R53" s="7">
        <v>1032</v>
      </c>
      <c r="S53" s="7">
        <v>1032</v>
      </c>
      <c r="T53" s="7">
        <v>1032</v>
      </c>
      <c r="U53" s="7">
        <v>1032</v>
      </c>
      <c r="V53" s="7">
        <v>1032</v>
      </c>
      <c r="W53" s="7">
        <v>1032</v>
      </c>
      <c r="X53" s="7">
        <v>1032</v>
      </c>
      <c r="Y53" s="7">
        <v>1032</v>
      </c>
      <c r="Z53" s="7">
        <v>1032</v>
      </c>
    </row>
    <row r="54" spans="6:26" x14ac:dyDescent="0.25">
      <c r="F54" s="7" t="s">
        <v>148</v>
      </c>
      <c r="G54" s="7" t="s">
        <v>150</v>
      </c>
      <c r="H54" s="7">
        <v>-0.34</v>
      </c>
      <c r="I54" s="7">
        <v>-8.0000000000000002E-3</v>
      </c>
      <c r="J54" s="7">
        <v>-5.0000000000000001E-3</v>
      </c>
      <c r="K54" s="7">
        <v>1.6E-2</v>
      </c>
      <c r="L54" s="7">
        <v>4.2000000000000003E-2</v>
      </c>
      <c r="M54" s="7">
        <v>0.161</v>
      </c>
      <c r="N54" s="7">
        <v>4.4999999999999998E-2</v>
      </c>
      <c r="O54" s="7">
        <v>7.1999999999999995E-2</v>
      </c>
      <c r="P54" s="7">
        <v>-5.7000000000000002E-2</v>
      </c>
      <c r="Q54" s="7">
        <v>3.5000000000000003E-2</v>
      </c>
      <c r="R54" s="7">
        <v>-1.6E-2</v>
      </c>
      <c r="S54" s="7">
        <v>0.03</v>
      </c>
      <c r="T54" s="7">
        <v>-1E-3</v>
      </c>
      <c r="U54" s="7">
        <v>0.34499999999999997</v>
      </c>
      <c r="V54" s="7">
        <v>-0.254</v>
      </c>
      <c r="W54" s="7">
        <v>-0.28499999999999998</v>
      </c>
      <c r="X54" s="7">
        <v>-0.112</v>
      </c>
      <c r="Y54" s="7">
        <v>1</v>
      </c>
      <c r="Z54" s="7">
        <v>0.88100000000000001</v>
      </c>
    </row>
    <row r="55" spans="6:26" x14ac:dyDescent="0.25">
      <c r="F55" s="7"/>
      <c r="G55" s="7" t="s">
        <v>151</v>
      </c>
      <c r="H55" s="7">
        <v>0</v>
      </c>
      <c r="I55" s="7">
        <v>0.80300000000000005</v>
      </c>
      <c r="J55" s="7">
        <v>0.86799999999999999</v>
      </c>
      <c r="K55" s="7">
        <v>0.60199999999999998</v>
      </c>
      <c r="L55" s="7">
        <v>0.17799999999999999</v>
      </c>
      <c r="M55" s="7">
        <v>0</v>
      </c>
      <c r="N55" s="7">
        <v>0.14599999999999999</v>
      </c>
      <c r="O55" s="7">
        <v>0.02</v>
      </c>
      <c r="P55" s="7">
        <v>6.5000000000000002E-2</v>
      </c>
      <c r="Q55" s="7">
        <v>0.26400000000000001</v>
      </c>
      <c r="R55" s="7">
        <v>0.61499999999999999</v>
      </c>
      <c r="S55" s="7">
        <v>0.33</v>
      </c>
      <c r="T55" s="7">
        <v>0.96899999999999997</v>
      </c>
      <c r="U55" s="7">
        <v>0</v>
      </c>
      <c r="V55" s="7">
        <v>0</v>
      </c>
      <c r="W55" s="7">
        <v>0</v>
      </c>
      <c r="X55" s="7">
        <v>0</v>
      </c>
      <c r="Y55" s="7"/>
      <c r="Z55" s="7">
        <v>0</v>
      </c>
    </row>
    <row r="56" spans="6:26" x14ac:dyDescent="0.25">
      <c r="F56" s="7"/>
      <c r="G56" s="7" t="s">
        <v>87</v>
      </c>
      <c r="H56" s="7">
        <v>1031</v>
      </c>
      <c r="I56" s="7">
        <v>1032</v>
      </c>
      <c r="J56" s="7">
        <v>1032</v>
      </c>
      <c r="K56" s="7">
        <v>1032</v>
      </c>
      <c r="L56" s="7">
        <v>1032</v>
      </c>
      <c r="M56" s="7">
        <v>1032</v>
      </c>
      <c r="N56" s="7">
        <v>1032</v>
      </c>
      <c r="O56" s="7">
        <v>1032</v>
      </c>
      <c r="P56" s="7">
        <v>1032</v>
      </c>
      <c r="Q56" s="7">
        <v>1032</v>
      </c>
      <c r="R56" s="7">
        <v>1032</v>
      </c>
      <c r="S56" s="7">
        <v>1032</v>
      </c>
      <c r="T56" s="7">
        <v>1032</v>
      </c>
      <c r="U56" s="7">
        <v>1032</v>
      </c>
      <c r="V56" s="7">
        <v>1032</v>
      </c>
      <c r="W56" s="7">
        <v>1032</v>
      </c>
      <c r="X56" s="7">
        <v>1032</v>
      </c>
      <c r="Y56" s="7">
        <v>1032</v>
      </c>
      <c r="Z56" s="7">
        <v>1032</v>
      </c>
    </row>
    <row r="57" spans="6:26" x14ac:dyDescent="0.25">
      <c r="F57" s="7" t="s">
        <v>149</v>
      </c>
      <c r="G57" s="7" t="s">
        <v>150</v>
      </c>
      <c r="H57" s="7">
        <v>-0.39900000000000002</v>
      </c>
      <c r="I57" s="7">
        <v>-4.2999999999999997E-2</v>
      </c>
      <c r="J57" s="7">
        <v>-3.6999999999999998E-2</v>
      </c>
      <c r="K57" s="7">
        <v>-3.5000000000000003E-2</v>
      </c>
      <c r="L57" s="7">
        <v>0</v>
      </c>
      <c r="M57" s="7">
        <v>9.9000000000000005E-2</v>
      </c>
      <c r="N57" s="7">
        <v>0.05</v>
      </c>
      <c r="O57" s="7">
        <v>0.10199999999999999</v>
      </c>
      <c r="P57" s="7">
        <v>-4.8000000000000001E-2</v>
      </c>
      <c r="Q57" s="7">
        <v>5.1999999999999998E-2</v>
      </c>
      <c r="R57" s="7">
        <v>-3.5999999999999997E-2</v>
      </c>
      <c r="S57" s="7">
        <v>3.9E-2</v>
      </c>
      <c r="T57" s="7">
        <v>0.02</v>
      </c>
      <c r="U57" s="7">
        <v>0.38200000000000001</v>
      </c>
      <c r="V57" s="7">
        <v>-0.22900000000000001</v>
      </c>
      <c r="W57" s="7">
        <v>-0.29499999999999998</v>
      </c>
      <c r="X57" s="7">
        <v>-9.7000000000000003E-2</v>
      </c>
      <c r="Y57" s="7">
        <v>0.88100000000000001</v>
      </c>
      <c r="Z57" s="7">
        <v>1</v>
      </c>
    </row>
    <row r="58" spans="6:26" x14ac:dyDescent="0.25">
      <c r="F58" s="7"/>
      <c r="G58" s="7" t="s">
        <v>151</v>
      </c>
      <c r="H58" s="7">
        <v>0</v>
      </c>
      <c r="I58" s="7">
        <v>0.16500000000000001</v>
      </c>
      <c r="J58" s="7">
        <v>0.23400000000000001</v>
      </c>
      <c r="K58" s="7">
        <v>0.26200000000000001</v>
      </c>
      <c r="L58" s="7">
        <v>0.995</v>
      </c>
      <c r="M58" s="7">
        <v>1E-3</v>
      </c>
      <c r="N58" s="7">
        <v>0.107</v>
      </c>
      <c r="O58" s="7">
        <v>1E-3</v>
      </c>
      <c r="P58" s="7">
        <v>0.122</v>
      </c>
      <c r="Q58" s="7">
        <v>9.2999999999999999E-2</v>
      </c>
      <c r="R58" s="7">
        <v>0.245</v>
      </c>
      <c r="S58" s="7">
        <v>0.20499999999999999</v>
      </c>
      <c r="T58" s="7">
        <v>0.52800000000000002</v>
      </c>
      <c r="U58" s="7">
        <v>0</v>
      </c>
      <c r="V58" s="7">
        <v>0</v>
      </c>
      <c r="W58" s="7">
        <v>0</v>
      </c>
      <c r="X58" s="7">
        <v>2E-3</v>
      </c>
      <c r="Y58" s="7">
        <v>0</v>
      </c>
      <c r="Z58" s="7"/>
    </row>
    <row r="59" spans="6:26" x14ac:dyDescent="0.25">
      <c r="F59" s="7"/>
      <c r="G59" s="7" t="s">
        <v>87</v>
      </c>
      <c r="H59" s="7">
        <v>1031</v>
      </c>
      <c r="I59" s="7">
        <v>1032</v>
      </c>
      <c r="J59" s="7">
        <v>1032</v>
      </c>
      <c r="K59" s="7">
        <v>1032</v>
      </c>
      <c r="L59" s="7">
        <v>1032</v>
      </c>
      <c r="M59" s="7">
        <v>1032</v>
      </c>
      <c r="N59" s="7">
        <v>1032</v>
      </c>
      <c r="O59" s="7">
        <v>1032</v>
      </c>
      <c r="P59" s="7">
        <v>1032</v>
      </c>
      <c r="Q59" s="7">
        <v>1032</v>
      </c>
      <c r="R59" s="7">
        <v>1032</v>
      </c>
      <c r="S59" s="7">
        <v>1032</v>
      </c>
      <c r="T59" s="7">
        <v>1032</v>
      </c>
      <c r="U59" s="7">
        <v>1032</v>
      </c>
      <c r="V59" s="7">
        <v>1032</v>
      </c>
      <c r="W59" s="7">
        <v>1032</v>
      </c>
      <c r="X59" s="7">
        <v>1032</v>
      </c>
      <c r="Y59" s="7">
        <v>1032</v>
      </c>
      <c r="Z59" s="7">
        <v>1032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383F-F3BC-4BAA-93E9-DA4484EC2C64}">
  <sheetPr>
    <tabColor theme="5" tint="0.59999389629810485"/>
  </sheetPr>
  <dimension ref="A1:B5"/>
  <sheetViews>
    <sheetView workbookViewId="0">
      <selection sqref="A1:A4"/>
    </sheetView>
  </sheetViews>
  <sheetFormatPr defaultRowHeight="13.8" x14ac:dyDescent="0.25"/>
  <cols>
    <col min="1" max="1" width="12.21875" style="1" customWidth="1"/>
    <col min="2" max="2" width="36.6640625" style="1" customWidth="1"/>
    <col min="3" max="16384" width="8.88671875" style="1"/>
  </cols>
  <sheetData>
    <row r="1" spans="1:2" x14ac:dyDescent="0.25">
      <c r="A1" s="10">
        <v>0.05</v>
      </c>
      <c r="B1" s="7" t="s">
        <v>82</v>
      </c>
    </row>
    <row r="2" spans="1:2" x14ac:dyDescent="0.25">
      <c r="A2" s="10">
        <v>0.35</v>
      </c>
      <c r="B2" s="7" t="s">
        <v>155</v>
      </c>
    </row>
    <row r="3" spans="1:2" x14ac:dyDescent="0.25">
      <c r="A3" s="10">
        <v>300</v>
      </c>
      <c r="B3" s="7" t="s">
        <v>156</v>
      </c>
    </row>
    <row r="4" spans="1:2" x14ac:dyDescent="0.25">
      <c r="A4" s="10">
        <f>-_xlfn.NORM.S.INV(A1/2)</f>
        <v>1.9599639845400538</v>
      </c>
      <c r="B4" s="7" t="s">
        <v>157</v>
      </c>
    </row>
    <row r="5" spans="1:2" x14ac:dyDescent="0.25">
      <c r="A5" s="13">
        <f>A4*SQRT(A2*(1-A2)/A3)</f>
        <v>5.3973199574971563E-2</v>
      </c>
      <c r="B5" s="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AE58-675E-4404-8A07-FD75ADDF8872}">
  <sheetPr>
    <tabColor theme="7" tint="0.59999389629810485"/>
  </sheetPr>
  <dimension ref="A1:Q27"/>
  <sheetViews>
    <sheetView zoomScale="117" workbookViewId="0">
      <selection activeCell="G2" sqref="G2"/>
    </sheetView>
  </sheetViews>
  <sheetFormatPr defaultRowHeight="15.6" x14ac:dyDescent="0.3"/>
  <cols>
    <col min="1" max="1" width="45.44140625" style="18" customWidth="1"/>
    <col min="2" max="14" width="8.88671875" style="18"/>
    <col min="15" max="15" width="20.6640625" style="18" customWidth="1"/>
    <col min="16" max="16384" width="8.88671875" style="18"/>
  </cols>
  <sheetData>
    <row r="1" spans="1:17" ht="18.600000000000001" customHeight="1" x14ac:dyDescent="0.3">
      <c r="A1" s="22" t="s">
        <v>161</v>
      </c>
      <c r="B1" s="20"/>
      <c r="C1" s="20"/>
      <c r="D1" s="20"/>
      <c r="E1" s="20"/>
      <c r="G1" s="24">
        <v>22</v>
      </c>
      <c r="H1" s="18" t="s">
        <v>163</v>
      </c>
      <c r="O1" s="20"/>
      <c r="P1" s="20" t="s">
        <v>167</v>
      </c>
      <c r="Q1" s="20"/>
    </row>
    <row r="2" spans="1:17" x14ac:dyDescent="0.3">
      <c r="A2" s="20" t="s">
        <v>162</v>
      </c>
      <c r="B2" s="20"/>
      <c r="C2" s="20"/>
      <c r="D2" s="20"/>
      <c r="E2" s="20"/>
      <c r="O2" s="20" t="s">
        <v>164</v>
      </c>
      <c r="P2" s="20" t="s">
        <v>168</v>
      </c>
      <c r="Q2" s="20" t="s">
        <v>169</v>
      </c>
    </row>
    <row r="3" spans="1:17" x14ac:dyDescent="0.3">
      <c r="A3" s="20"/>
      <c r="B3" s="20"/>
      <c r="C3" s="20" t="s">
        <v>141</v>
      </c>
      <c r="D3" s="20"/>
      <c r="E3" s="20" t="s">
        <v>10</v>
      </c>
      <c r="O3" s="20" t="s">
        <v>165</v>
      </c>
      <c r="P3" s="20">
        <f>(D27-J27)</f>
        <v>17</v>
      </c>
      <c r="Q3" s="20">
        <f>C27-I27</f>
        <v>567</v>
      </c>
    </row>
    <row r="4" spans="1:17" x14ac:dyDescent="0.3">
      <c r="A4" s="20"/>
      <c r="B4" s="20"/>
      <c r="C4" s="20">
        <v>0</v>
      </c>
      <c r="D4" s="20">
        <v>1</v>
      </c>
      <c r="E4" s="20"/>
      <c r="O4" s="20" t="s">
        <v>166</v>
      </c>
      <c r="P4" s="20">
        <f>J27</f>
        <v>91</v>
      </c>
      <c r="Q4" s="20">
        <f>I27</f>
        <v>356</v>
      </c>
    </row>
    <row r="5" spans="1:17" x14ac:dyDescent="0.3">
      <c r="A5" s="20" t="s">
        <v>146</v>
      </c>
      <c r="B5" s="20">
        <v>16</v>
      </c>
      <c r="C5" s="20">
        <v>1</v>
      </c>
      <c r="D5" s="20">
        <v>0</v>
      </c>
      <c r="E5" s="20">
        <v>1</v>
      </c>
      <c r="H5" s="18">
        <f>B5</f>
        <v>16</v>
      </c>
      <c r="I5" s="18">
        <f>C5*($H5&gt;$G$1)</f>
        <v>0</v>
      </c>
      <c r="J5" s="18">
        <f t="shared" ref="J5:K5" si="0">D5*($H5&gt;$G$1)</f>
        <v>0</v>
      </c>
      <c r="K5" s="18">
        <f t="shared" si="0"/>
        <v>0</v>
      </c>
      <c r="O5" s="20" t="s">
        <v>10</v>
      </c>
      <c r="P5" s="20">
        <f>SUM(P3:P4)</f>
        <v>108</v>
      </c>
      <c r="Q5" s="20">
        <f>SUM(Q3:Q4)</f>
        <v>923</v>
      </c>
    </row>
    <row r="6" spans="1:17" x14ac:dyDescent="0.3">
      <c r="A6" s="20"/>
      <c r="B6" s="20">
        <v>17</v>
      </c>
      <c r="C6" s="20">
        <v>1</v>
      </c>
      <c r="D6" s="20">
        <v>0</v>
      </c>
      <c r="E6" s="20">
        <v>1</v>
      </c>
      <c r="H6" s="18">
        <f t="shared" ref="H6:H26" si="1">B6</f>
        <v>17</v>
      </c>
      <c r="I6" s="18">
        <f t="shared" ref="I6:I26" si="2">C6*($H6&gt;$G$1)</f>
        <v>0</v>
      </c>
      <c r="J6" s="18">
        <f t="shared" ref="J6:J26" si="3">D6*($H6&gt;$G$1)</f>
        <v>0</v>
      </c>
      <c r="K6" s="18">
        <f t="shared" ref="K6:K26" si="4">E6*($H6&gt;$G$1)</f>
        <v>0</v>
      </c>
    </row>
    <row r="7" spans="1:17" x14ac:dyDescent="0.3">
      <c r="A7" s="20"/>
      <c r="B7" s="20">
        <v>18</v>
      </c>
      <c r="C7" s="20">
        <v>39</v>
      </c>
      <c r="D7" s="20">
        <v>4</v>
      </c>
      <c r="E7" s="20">
        <v>43</v>
      </c>
      <c r="H7" s="18">
        <f t="shared" si="1"/>
        <v>18</v>
      </c>
      <c r="I7" s="18">
        <f t="shared" si="2"/>
        <v>0</v>
      </c>
      <c r="J7" s="18">
        <f t="shared" si="3"/>
        <v>0</v>
      </c>
      <c r="K7" s="18">
        <f t="shared" si="4"/>
        <v>0</v>
      </c>
      <c r="O7" s="20" t="s">
        <v>21</v>
      </c>
      <c r="P7" s="25">
        <f>P4/P5</f>
        <v>0.84259259259259256</v>
      </c>
    </row>
    <row r="8" spans="1:17" x14ac:dyDescent="0.3">
      <c r="A8" s="20"/>
      <c r="B8" s="20">
        <v>19</v>
      </c>
      <c r="C8" s="20">
        <v>2</v>
      </c>
      <c r="D8" s="20">
        <v>0</v>
      </c>
      <c r="E8" s="20">
        <v>2</v>
      </c>
      <c r="H8" s="18">
        <f t="shared" si="1"/>
        <v>19</v>
      </c>
      <c r="I8" s="18">
        <f t="shared" si="2"/>
        <v>0</v>
      </c>
      <c r="J8" s="18">
        <f t="shared" si="3"/>
        <v>0</v>
      </c>
      <c r="K8" s="18">
        <f t="shared" si="4"/>
        <v>0</v>
      </c>
      <c r="O8" s="20" t="s">
        <v>22</v>
      </c>
      <c r="P8" s="25">
        <f>Q3/Q5</f>
        <v>0.61430119176598053</v>
      </c>
    </row>
    <row r="9" spans="1:17" x14ac:dyDescent="0.3">
      <c r="A9" s="20"/>
      <c r="B9" s="20">
        <v>20</v>
      </c>
      <c r="C9" s="20">
        <v>216</v>
      </c>
      <c r="D9" s="20">
        <v>9</v>
      </c>
      <c r="E9" s="20">
        <v>225</v>
      </c>
      <c r="H9" s="18">
        <f t="shared" si="1"/>
        <v>20</v>
      </c>
      <c r="I9" s="18">
        <f t="shared" si="2"/>
        <v>0</v>
      </c>
      <c r="J9" s="18">
        <f t="shared" si="3"/>
        <v>0</v>
      </c>
      <c r="K9" s="18">
        <f t="shared" si="4"/>
        <v>0</v>
      </c>
    </row>
    <row r="10" spans="1:17" x14ac:dyDescent="0.3">
      <c r="A10" s="20"/>
      <c r="B10" s="20">
        <v>21</v>
      </c>
      <c r="C10" s="20">
        <v>4</v>
      </c>
      <c r="D10" s="20">
        <v>0</v>
      </c>
      <c r="E10" s="20">
        <v>4</v>
      </c>
      <c r="H10" s="18">
        <f t="shared" si="1"/>
        <v>21</v>
      </c>
      <c r="I10" s="18">
        <f t="shared" si="2"/>
        <v>0</v>
      </c>
      <c r="J10" s="18">
        <f t="shared" si="3"/>
        <v>0</v>
      </c>
      <c r="K10" s="18">
        <f t="shared" si="4"/>
        <v>0</v>
      </c>
    </row>
    <row r="11" spans="1:17" x14ac:dyDescent="0.3">
      <c r="A11" s="20"/>
      <c r="B11" s="20">
        <v>22</v>
      </c>
      <c r="C11" s="20">
        <v>304</v>
      </c>
      <c r="D11" s="20">
        <v>4</v>
      </c>
      <c r="E11" s="20">
        <v>308</v>
      </c>
      <c r="H11" s="18">
        <f t="shared" si="1"/>
        <v>22</v>
      </c>
      <c r="I11" s="18">
        <f t="shared" si="2"/>
        <v>0</v>
      </c>
      <c r="J11" s="18">
        <f t="shared" si="3"/>
        <v>0</v>
      </c>
      <c r="K11" s="18">
        <f t="shared" si="4"/>
        <v>0</v>
      </c>
    </row>
    <row r="12" spans="1:17" x14ac:dyDescent="0.3">
      <c r="A12" s="20"/>
      <c r="B12" s="20">
        <v>23</v>
      </c>
      <c r="C12" s="20">
        <v>2</v>
      </c>
      <c r="D12" s="20">
        <v>0</v>
      </c>
      <c r="E12" s="20">
        <v>2</v>
      </c>
      <c r="H12" s="18">
        <f t="shared" si="1"/>
        <v>23</v>
      </c>
      <c r="I12" s="18">
        <f t="shared" si="2"/>
        <v>2</v>
      </c>
      <c r="J12" s="18">
        <f t="shared" si="3"/>
        <v>0</v>
      </c>
      <c r="K12" s="18">
        <f t="shared" si="4"/>
        <v>2</v>
      </c>
    </row>
    <row r="13" spans="1:17" x14ac:dyDescent="0.3">
      <c r="A13" s="20"/>
      <c r="B13" s="20">
        <v>24</v>
      </c>
      <c r="C13" s="20">
        <v>181</v>
      </c>
      <c r="D13" s="20">
        <v>24</v>
      </c>
      <c r="E13" s="20">
        <v>205</v>
      </c>
      <c r="H13" s="18">
        <f t="shared" si="1"/>
        <v>24</v>
      </c>
      <c r="I13" s="18">
        <f t="shared" si="2"/>
        <v>181</v>
      </c>
      <c r="J13" s="18">
        <f t="shared" si="3"/>
        <v>24</v>
      </c>
      <c r="K13" s="18">
        <f t="shared" si="4"/>
        <v>205</v>
      </c>
    </row>
    <row r="14" spans="1:17" x14ac:dyDescent="0.3">
      <c r="A14" s="20"/>
      <c r="B14" s="20">
        <v>25</v>
      </c>
      <c r="C14" s="20">
        <v>8</v>
      </c>
      <c r="D14" s="20">
        <v>3</v>
      </c>
      <c r="E14" s="20">
        <v>11</v>
      </c>
      <c r="H14" s="18">
        <f t="shared" si="1"/>
        <v>25</v>
      </c>
      <c r="I14" s="18">
        <f t="shared" si="2"/>
        <v>8</v>
      </c>
      <c r="J14" s="18">
        <f t="shared" si="3"/>
        <v>3</v>
      </c>
      <c r="K14" s="18">
        <f t="shared" si="4"/>
        <v>11</v>
      </c>
    </row>
    <row r="15" spans="1:17" x14ac:dyDescent="0.3">
      <c r="A15" s="20"/>
      <c r="B15" s="20">
        <v>26</v>
      </c>
      <c r="C15" s="20">
        <v>127</v>
      </c>
      <c r="D15" s="20">
        <v>10</v>
      </c>
      <c r="E15" s="20">
        <v>137</v>
      </c>
      <c r="H15" s="18">
        <f t="shared" si="1"/>
        <v>26</v>
      </c>
      <c r="I15" s="18">
        <f t="shared" si="2"/>
        <v>127</v>
      </c>
      <c r="J15" s="18">
        <f t="shared" si="3"/>
        <v>10</v>
      </c>
      <c r="K15" s="18">
        <f t="shared" si="4"/>
        <v>137</v>
      </c>
    </row>
    <row r="16" spans="1:17" x14ac:dyDescent="0.3">
      <c r="A16" s="20"/>
      <c r="B16" s="20">
        <v>27</v>
      </c>
      <c r="C16" s="20">
        <v>0</v>
      </c>
      <c r="D16" s="20">
        <v>2</v>
      </c>
      <c r="E16" s="20">
        <v>2</v>
      </c>
      <c r="H16" s="18">
        <f t="shared" si="1"/>
        <v>27</v>
      </c>
      <c r="I16" s="18">
        <f t="shared" si="2"/>
        <v>0</v>
      </c>
      <c r="J16" s="18">
        <f t="shared" si="3"/>
        <v>2</v>
      </c>
      <c r="K16" s="18">
        <f t="shared" si="4"/>
        <v>2</v>
      </c>
    </row>
    <row r="17" spans="1:11" x14ac:dyDescent="0.3">
      <c r="A17" s="20"/>
      <c r="B17" s="20">
        <v>28</v>
      </c>
      <c r="C17" s="20">
        <v>19</v>
      </c>
      <c r="D17" s="20">
        <v>7</v>
      </c>
      <c r="E17" s="20">
        <v>26</v>
      </c>
      <c r="H17" s="18">
        <f t="shared" si="1"/>
        <v>28</v>
      </c>
      <c r="I17" s="18">
        <f t="shared" si="2"/>
        <v>19</v>
      </c>
      <c r="J17" s="18">
        <f t="shared" si="3"/>
        <v>7</v>
      </c>
      <c r="K17" s="18">
        <f t="shared" si="4"/>
        <v>26</v>
      </c>
    </row>
    <row r="18" spans="1:11" x14ac:dyDescent="0.3">
      <c r="A18" s="20"/>
      <c r="B18" s="20">
        <v>30</v>
      </c>
      <c r="C18" s="20">
        <v>13</v>
      </c>
      <c r="D18" s="20">
        <v>15</v>
      </c>
      <c r="E18" s="20">
        <v>28</v>
      </c>
      <c r="H18" s="18">
        <f t="shared" si="1"/>
        <v>30</v>
      </c>
      <c r="I18" s="18">
        <f t="shared" si="2"/>
        <v>13</v>
      </c>
      <c r="J18" s="18">
        <f t="shared" si="3"/>
        <v>15</v>
      </c>
      <c r="K18" s="18">
        <f t="shared" si="4"/>
        <v>28</v>
      </c>
    </row>
    <row r="19" spans="1:11" x14ac:dyDescent="0.3">
      <c r="A19" s="20"/>
      <c r="B19" s="20">
        <v>31</v>
      </c>
      <c r="C19" s="20">
        <v>0</v>
      </c>
      <c r="D19" s="20">
        <v>1</v>
      </c>
      <c r="E19" s="20">
        <v>1</v>
      </c>
      <c r="H19" s="18">
        <f t="shared" si="1"/>
        <v>31</v>
      </c>
      <c r="I19" s="18">
        <f t="shared" si="2"/>
        <v>0</v>
      </c>
      <c r="J19" s="18">
        <f t="shared" si="3"/>
        <v>1</v>
      </c>
      <c r="K19" s="18">
        <f t="shared" si="4"/>
        <v>1</v>
      </c>
    </row>
    <row r="20" spans="1:11" x14ac:dyDescent="0.3">
      <c r="A20" s="20"/>
      <c r="B20" s="20">
        <v>32</v>
      </c>
      <c r="C20" s="20">
        <v>1</v>
      </c>
      <c r="D20" s="20">
        <v>11</v>
      </c>
      <c r="E20" s="20">
        <v>12</v>
      </c>
      <c r="H20" s="18">
        <f t="shared" si="1"/>
        <v>32</v>
      </c>
      <c r="I20" s="18">
        <f t="shared" si="2"/>
        <v>1</v>
      </c>
      <c r="J20" s="18">
        <f t="shared" si="3"/>
        <v>11</v>
      </c>
      <c r="K20" s="18">
        <f t="shared" si="4"/>
        <v>12</v>
      </c>
    </row>
    <row r="21" spans="1:11" x14ac:dyDescent="0.3">
      <c r="A21" s="20"/>
      <c r="B21" s="20">
        <v>33</v>
      </c>
      <c r="C21" s="20">
        <v>0</v>
      </c>
      <c r="D21" s="20">
        <v>1</v>
      </c>
      <c r="E21" s="20">
        <v>1</v>
      </c>
      <c r="H21" s="18">
        <f t="shared" si="1"/>
        <v>33</v>
      </c>
      <c r="I21" s="18">
        <f t="shared" si="2"/>
        <v>0</v>
      </c>
      <c r="J21" s="18">
        <f t="shared" si="3"/>
        <v>1</v>
      </c>
      <c r="K21" s="18">
        <f t="shared" si="4"/>
        <v>1</v>
      </c>
    </row>
    <row r="22" spans="1:11" x14ac:dyDescent="0.3">
      <c r="A22" s="20"/>
      <c r="B22" s="20">
        <v>34</v>
      </c>
      <c r="C22" s="20">
        <v>0</v>
      </c>
      <c r="D22" s="20">
        <v>4</v>
      </c>
      <c r="E22" s="20">
        <v>4</v>
      </c>
      <c r="H22" s="18">
        <f t="shared" si="1"/>
        <v>34</v>
      </c>
      <c r="I22" s="18">
        <f t="shared" si="2"/>
        <v>0</v>
      </c>
      <c r="J22" s="18">
        <f t="shared" si="3"/>
        <v>4</v>
      </c>
      <c r="K22" s="18">
        <f t="shared" si="4"/>
        <v>4</v>
      </c>
    </row>
    <row r="23" spans="1:11" x14ac:dyDescent="0.3">
      <c r="A23" s="20"/>
      <c r="B23" s="20">
        <v>35</v>
      </c>
      <c r="C23" s="20">
        <v>1</v>
      </c>
      <c r="D23" s="20">
        <v>1</v>
      </c>
      <c r="E23" s="20">
        <v>2</v>
      </c>
      <c r="H23" s="18">
        <f t="shared" si="1"/>
        <v>35</v>
      </c>
      <c r="I23" s="18">
        <f t="shared" si="2"/>
        <v>1</v>
      </c>
      <c r="J23" s="18">
        <f t="shared" si="3"/>
        <v>1</v>
      </c>
      <c r="K23" s="18">
        <f t="shared" si="4"/>
        <v>2</v>
      </c>
    </row>
    <row r="24" spans="1:11" x14ac:dyDescent="0.3">
      <c r="A24" s="20"/>
      <c r="B24" s="20">
        <v>36</v>
      </c>
      <c r="C24" s="20">
        <v>3</v>
      </c>
      <c r="D24" s="20">
        <v>8</v>
      </c>
      <c r="E24" s="20">
        <v>11</v>
      </c>
      <c r="H24" s="18">
        <f t="shared" si="1"/>
        <v>36</v>
      </c>
      <c r="I24" s="18">
        <f t="shared" si="2"/>
        <v>3</v>
      </c>
      <c r="J24" s="18">
        <f t="shared" si="3"/>
        <v>8</v>
      </c>
      <c r="K24" s="18">
        <f t="shared" si="4"/>
        <v>11</v>
      </c>
    </row>
    <row r="25" spans="1:11" x14ac:dyDescent="0.3">
      <c r="A25" s="20"/>
      <c r="B25" s="20">
        <v>38</v>
      </c>
      <c r="C25" s="20">
        <v>1</v>
      </c>
      <c r="D25" s="20">
        <v>0</v>
      </c>
      <c r="E25" s="20">
        <v>1</v>
      </c>
      <c r="H25" s="18">
        <f t="shared" si="1"/>
        <v>38</v>
      </c>
      <c r="I25" s="18">
        <f t="shared" si="2"/>
        <v>1</v>
      </c>
      <c r="J25" s="18">
        <f t="shared" si="3"/>
        <v>0</v>
      </c>
      <c r="K25" s="18">
        <f t="shared" si="4"/>
        <v>1</v>
      </c>
    </row>
    <row r="26" spans="1:11" x14ac:dyDescent="0.3">
      <c r="A26" s="20"/>
      <c r="B26" s="20">
        <v>40</v>
      </c>
      <c r="C26" s="20">
        <v>0</v>
      </c>
      <c r="D26" s="20">
        <v>4</v>
      </c>
      <c r="E26" s="20">
        <v>4</v>
      </c>
      <c r="H26" s="18">
        <f t="shared" si="1"/>
        <v>40</v>
      </c>
      <c r="I26" s="18">
        <f t="shared" si="2"/>
        <v>0</v>
      </c>
      <c r="J26" s="18">
        <f t="shared" si="3"/>
        <v>4</v>
      </c>
      <c r="K26" s="18">
        <f t="shared" si="4"/>
        <v>4</v>
      </c>
    </row>
    <row r="27" spans="1:11" x14ac:dyDescent="0.3">
      <c r="A27" s="23" t="s">
        <v>10</v>
      </c>
      <c r="B27" s="23"/>
      <c r="C27" s="23">
        <v>923</v>
      </c>
      <c r="D27" s="23">
        <v>108</v>
      </c>
      <c r="E27" s="23">
        <v>1031</v>
      </c>
      <c r="I27" s="18">
        <f>SUM(I5:I26)</f>
        <v>356</v>
      </c>
      <c r="J27" s="18">
        <f t="shared" ref="J27:K27" si="5">SUM(J5:J26)</f>
        <v>91</v>
      </c>
      <c r="K27" s="18">
        <f t="shared" si="5"/>
        <v>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6081-13E4-44AF-ABDD-E21F50FD92B4}">
  <sheetPr>
    <tabColor theme="5" tint="0.59999389629810485"/>
  </sheetPr>
  <dimension ref="A1:F6"/>
  <sheetViews>
    <sheetView zoomScale="157" workbookViewId="0">
      <selection activeCell="B6" sqref="B6"/>
    </sheetView>
  </sheetViews>
  <sheetFormatPr defaultRowHeight="13.8" x14ac:dyDescent="0.25"/>
  <cols>
    <col min="1" max="1" width="8.88671875" style="1"/>
    <col min="2" max="2" width="12.44140625" style="1" customWidth="1"/>
    <col min="3" max="3" width="11.44140625" style="1" customWidth="1"/>
    <col min="4" max="4" width="15" style="1" customWidth="1"/>
    <col min="5" max="5" width="13.21875" style="5" customWidth="1"/>
    <col min="6" max="6" width="11.109375" style="1" customWidth="1"/>
    <col min="7" max="16384" width="8.88671875" style="1"/>
  </cols>
  <sheetData>
    <row r="1" spans="1:6" ht="31.8" customHeight="1" x14ac:dyDescent="0.25">
      <c r="A1" s="7" t="s">
        <v>171</v>
      </c>
      <c r="B1" s="6" t="s">
        <v>174</v>
      </c>
      <c r="C1" s="6" t="s">
        <v>175</v>
      </c>
      <c r="D1" s="6" t="s">
        <v>176</v>
      </c>
      <c r="E1" s="6" t="s">
        <v>177</v>
      </c>
      <c r="F1" s="7" t="s">
        <v>178</v>
      </c>
    </row>
    <row r="2" spans="1:6" x14ac:dyDescent="0.25">
      <c r="A2" s="7" t="s">
        <v>172</v>
      </c>
      <c r="B2" s="10">
        <v>38</v>
      </c>
      <c r="C2" s="10">
        <v>0.5</v>
      </c>
      <c r="D2" s="7">
        <f>B2/$B$4</f>
        <v>0.44705882352941179</v>
      </c>
      <c r="E2" s="6">
        <f>C2*$B$4</f>
        <v>42.5</v>
      </c>
      <c r="F2" s="7">
        <f>POWER(B2-E2,2)/E2</f>
        <v>0.47647058823529409</v>
      </c>
    </row>
    <row r="3" spans="1:6" x14ac:dyDescent="0.25">
      <c r="A3" s="7" t="s">
        <v>173</v>
      </c>
      <c r="B3" s="10">
        <v>47</v>
      </c>
      <c r="C3" s="10">
        <v>0.5</v>
      </c>
      <c r="D3" s="7">
        <f>B3/$B$4</f>
        <v>0.55294117647058827</v>
      </c>
      <c r="E3" s="6">
        <f>C3*$B$4</f>
        <v>42.5</v>
      </c>
      <c r="F3" s="7">
        <f>POWER(B3-E3,2)/E3</f>
        <v>0.47647058823529409</v>
      </c>
    </row>
    <row r="4" spans="1:6" x14ac:dyDescent="0.25">
      <c r="A4" s="7" t="s">
        <v>10</v>
      </c>
      <c r="B4" s="7">
        <f>B2+B3</f>
        <v>85</v>
      </c>
      <c r="C4" s="7"/>
      <c r="D4" s="7"/>
      <c r="E4" s="6"/>
      <c r="F4" s="7">
        <f>F2+F3</f>
        <v>0.95294117647058818</v>
      </c>
    </row>
    <row r="6" spans="1:6" x14ac:dyDescent="0.25">
      <c r="A6" s="7" t="s">
        <v>82</v>
      </c>
      <c r="B6" s="13">
        <f>_xlfn.CHISQ.DIST.RT(F4,1)</f>
        <v>0.32897177441062458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1F33-7A9E-4248-8216-B13BCC28AA6C}">
  <sheetPr>
    <tabColor theme="5" tint="0.59999389629810485"/>
  </sheetPr>
  <dimension ref="A1:O11"/>
  <sheetViews>
    <sheetView zoomScale="133" workbookViewId="0">
      <selection activeCell="F14" sqref="F14"/>
    </sheetView>
  </sheetViews>
  <sheetFormatPr defaultRowHeight="13.8" x14ac:dyDescent="0.25"/>
  <cols>
    <col min="1" max="1" width="15.21875" style="1" customWidth="1"/>
    <col min="2" max="2" width="8.88671875" style="1" customWidth="1"/>
    <col min="3" max="9" width="8.88671875" style="1"/>
    <col min="10" max="11" width="8.88671875" style="1" customWidth="1"/>
    <col min="12" max="16384" width="8.88671875" style="1"/>
  </cols>
  <sheetData>
    <row r="1" spans="1:15" x14ac:dyDescent="0.25">
      <c r="A1" s="7" t="s">
        <v>181</v>
      </c>
      <c r="B1" s="29" t="s">
        <v>174</v>
      </c>
      <c r="C1" s="30"/>
      <c r="D1" s="30"/>
      <c r="E1" s="31"/>
      <c r="F1" s="29" t="s">
        <v>176</v>
      </c>
      <c r="G1" s="30"/>
      <c r="H1" s="30"/>
      <c r="I1" s="31"/>
      <c r="J1" s="29" t="s">
        <v>177</v>
      </c>
      <c r="K1" s="30"/>
      <c r="L1" s="31"/>
      <c r="M1" s="29" t="s">
        <v>178</v>
      </c>
      <c r="N1" s="30"/>
      <c r="O1" s="31"/>
    </row>
    <row r="2" spans="1:15" x14ac:dyDescent="0.25">
      <c r="A2" s="7"/>
      <c r="B2" s="7" t="s">
        <v>187</v>
      </c>
      <c r="C2" s="7" t="s">
        <v>186</v>
      </c>
      <c r="D2" s="7" t="s">
        <v>188</v>
      </c>
      <c r="E2" s="7" t="s">
        <v>10</v>
      </c>
      <c r="F2" s="7" t="str">
        <f>B2</f>
        <v>Легкой</v>
      </c>
      <c r="G2" s="7" t="str">
        <f t="shared" ref="G2:H2" si="0">C2</f>
        <v xml:space="preserve">Средней </v>
      </c>
      <c r="H2" s="7" t="str">
        <f t="shared" si="0"/>
        <v>Тяжелой</v>
      </c>
      <c r="I2" s="7" t="str">
        <f>E2</f>
        <v>Всего</v>
      </c>
      <c r="J2" s="7" t="str">
        <f>B2</f>
        <v>Легкой</v>
      </c>
      <c r="K2" s="7" t="str">
        <f t="shared" ref="K2:L2" si="1">C2</f>
        <v xml:space="preserve">Средней </v>
      </c>
      <c r="L2" s="7" t="str">
        <f t="shared" si="1"/>
        <v>Тяжелой</v>
      </c>
      <c r="M2" s="7" t="str">
        <f>B2</f>
        <v>Легкой</v>
      </c>
      <c r="N2" s="7" t="str">
        <f t="shared" ref="N2:O2" si="2">C2</f>
        <v xml:space="preserve">Средней </v>
      </c>
      <c r="O2" s="7" t="str">
        <f t="shared" si="2"/>
        <v>Тяжелой</v>
      </c>
    </row>
    <row r="3" spans="1:15" x14ac:dyDescent="0.25">
      <c r="A3" s="7" t="s">
        <v>182</v>
      </c>
      <c r="B3" s="10">
        <v>128</v>
      </c>
      <c r="C3" s="10">
        <v>38</v>
      </c>
      <c r="D3" s="10">
        <v>9</v>
      </c>
      <c r="E3" s="10">
        <f>SUM(B3:D3)</f>
        <v>175</v>
      </c>
      <c r="F3" s="7">
        <f>B3/B$7</f>
        <v>0.41157556270096463</v>
      </c>
      <c r="G3" s="7">
        <f t="shared" ref="G3:I3" si="3">C3/C$7</f>
        <v>0.31666666666666665</v>
      </c>
      <c r="H3" s="7">
        <f t="shared" si="3"/>
        <v>7.9646017699115043E-2</v>
      </c>
      <c r="I3" s="7">
        <f t="shared" si="3"/>
        <v>0.32169117647058826</v>
      </c>
      <c r="J3" s="7">
        <f>B$7*$I3</f>
        <v>100.04595588235294</v>
      </c>
      <c r="K3" s="7">
        <f t="shared" ref="K3:L3" si="4">C$7*$I3</f>
        <v>38.602941176470594</v>
      </c>
      <c r="L3" s="7">
        <f t="shared" si="4"/>
        <v>36.351102941176471</v>
      </c>
      <c r="M3" s="7">
        <f>POWER(B3-J3,2)/J3</f>
        <v>7.8106963508876213</v>
      </c>
      <c r="N3" s="7">
        <f t="shared" ref="N3:O3" si="5">POWER(C3-K3,2)/K3</f>
        <v>9.4173669467788931E-3</v>
      </c>
      <c r="O3" s="7">
        <f t="shared" si="5"/>
        <v>20.579370956347141</v>
      </c>
    </row>
    <row r="4" spans="1:15" x14ac:dyDescent="0.25">
      <c r="A4" s="7" t="s">
        <v>183</v>
      </c>
      <c r="B4" s="10">
        <v>94</v>
      </c>
      <c r="C4" s="10">
        <v>24</v>
      </c>
      <c r="D4" s="10">
        <v>37</v>
      </c>
      <c r="E4" s="10">
        <f t="shared" ref="E4:E7" si="6">SUM(B4:D4)</f>
        <v>155</v>
      </c>
      <c r="F4" s="7">
        <f t="shared" ref="F4:F6" si="7">B4/B$7</f>
        <v>0.30225080385852088</v>
      </c>
      <c r="G4" s="7">
        <f t="shared" ref="G4:G6" si="8">C4/C$7</f>
        <v>0.2</v>
      </c>
      <c r="H4" s="7">
        <f t="shared" ref="H4:H6" si="9">D4/D$7</f>
        <v>0.32743362831858408</v>
      </c>
      <c r="I4" s="7">
        <f t="shared" ref="I4:I6" si="10">E4/E$7</f>
        <v>0.28492647058823528</v>
      </c>
      <c r="J4" s="7">
        <f t="shared" ref="J4:J6" si="11">B$7*$I4</f>
        <v>88.612132352941174</v>
      </c>
      <c r="K4" s="7">
        <f t="shared" ref="K4:K6" si="12">C$7*$I4</f>
        <v>34.191176470588232</v>
      </c>
      <c r="L4" s="7">
        <f t="shared" ref="L4:L6" si="13">D$7*$I4</f>
        <v>32.196691176470587</v>
      </c>
      <c r="M4" s="7">
        <f t="shared" ref="M4:M6" si="14">POWER(B4-J4,2)/J4</f>
        <v>0.32759755364649779</v>
      </c>
      <c r="N4" s="7">
        <f t="shared" ref="N4:N6" si="15">POWER(C4-K4,2)/K4</f>
        <v>3.0376280834914597</v>
      </c>
      <c r="O4" s="7">
        <f t="shared" ref="O4:O6" si="16">POWER(D4-L4,2)/L4</f>
        <v>0.71658840741549301</v>
      </c>
    </row>
    <row r="5" spans="1:15" x14ac:dyDescent="0.25">
      <c r="A5" s="7" t="s">
        <v>184</v>
      </c>
      <c r="B5" s="10">
        <v>77</v>
      </c>
      <c r="C5" s="10">
        <v>43</v>
      </c>
      <c r="D5" s="10">
        <v>55</v>
      </c>
      <c r="E5" s="10">
        <f t="shared" si="6"/>
        <v>175</v>
      </c>
      <c r="F5" s="7">
        <f t="shared" si="7"/>
        <v>0.24758842443729903</v>
      </c>
      <c r="G5" s="7">
        <f t="shared" si="8"/>
        <v>0.35833333333333334</v>
      </c>
      <c r="H5" s="7">
        <f t="shared" si="9"/>
        <v>0.48672566371681414</v>
      </c>
      <c r="I5" s="7">
        <f t="shared" si="10"/>
        <v>0.32169117647058826</v>
      </c>
      <c r="J5" s="7">
        <f t="shared" si="11"/>
        <v>100.04595588235294</v>
      </c>
      <c r="K5" s="7">
        <f t="shared" si="12"/>
        <v>38.602941176470594</v>
      </c>
      <c r="L5" s="7">
        <f t="shared" si="13"/>
        <v>36.351102941176471</v>
      </c>
      <c r="M5" s="7">
        <f t="shared" si="14"/>
        <v>5.3087211556648386</v>
      </c>
      <c r="N5" s="7">
        <f t="shared" si="15"/>
        <v>0.50084593837534874</v>
      </c>
      <c r="O5" s="7">
        <f t="shared" si="16"/>
        <v>9.5672849892169243</v>
      </c>
    </row>
    <row r="6" spans="1:15" x14ac:dyDescent="0.25">
      <c r="A6" s="7" t="s">
        <v>185</v>
      </c>
      <c r="B6" s="10">
        <v>12</v>
      </c>
      <c r="C6" s="10">
        <v>15</v>
      </c>
      <c r="D6" s="10">
        <v>12</v>
      </c>
      <c r="E6" s="10">
        <f t="shared" si="6"/>
        <v>39</v>
      </c>
      <c r="F6" s="7">
        <f t="shared" si="7"/>
        <v>3.8585209003215437E-2</v>
      </c>
      <c r="G6" s="7">
        <f t="shared" si="8"/>
        <v>0.125</v>
      </c>
      <c r="H6" s="7">
        <f t="shared" si="9"/>
        <v>0.10619469026548672</v>
      </c>
      <c r="I6" s="7">
        <f t="shared" si="10"/>
        <v>7.169117647058823E-2</v>
      </c>
      <c r="J6" s="7">
        <f t="shared" si="11"/>
        <v>22.295955882352938</v>
      </c>
      <c r="K6" s="7">
        <f t="shared" si="12"/>
        <v>8.602941176470587</v>
      </c>
      <c r="L6" s="7">
        <f t="shared" si="13"/>
        <v>8.1011029411764692</v>
      </c>
      <c r="M6" s="7">
        <f t="shared" si="14"/>
        <v>4.7545262508911534</v>
      </c>
      <c r="N6" s="7">
        <f t="shared" si="15"/>
        <v>4.7567873303167447</v>
      </c>
      <c r="O6" s="7">
        <f t="shared" si="16"/>
        <v>1.8764603271533273</v>
      </c>
    </row>
    <row r="7" spans="1:15" x14ac:dyDescent="0.25">
      <c r="A7" s="7" t="s">
        <v>10</v>
      </c>
      <c r="B7" s="7">
        <f>SUM(B3:B6)</f>
        <v>311</v>
      </c>
      <c r="C7" s="7">
        <f>SUM(C3:C6)</f>
        <v>120</v>
      </c>
      <c r="D7" s="7">
        <f>SUM(D3:D6)</f>
        <v>113</v>
      </c>
      <c r="E7" s="7">
        <f t="shared" si="6"/>
        <v>544</v>
      </c>
      <c r="F7" s="7"/>
      <c r="G7" s="7"/>
      <c r="H7" s="7"/>
      <c r="I7" s="7"/>
      <c r="J7" s="7"/>
      <c r="K7" s="7"/>
      <c r="L7" s="7"/>
      <c r="M7" s="7"/>
      <c r="N7" s="7"/>
      <c r="O7" s="7"/>
    </row>
    <row r="10" spans="1:15" ht="27.6" x14ac:dyDescent="0.25">
      <c r="A10" s="6" t="s">
        <v>189</v>
      </c>
      <c r="B10" s="7">
        <f>SUM(M3:O6)</f>
        <v>59.245924710353329</v>
      </c>
    </row>
    <row r="11" spans="1:15" x14ac:dyDescent="0.25">
      <c r="A11" s="7" t="s">
        <v>82</v>
      </c>
      <c r="B11" s="13">
        <f>_xlfn.CHISQ.DIST.RT(B10,6)</f>
        <v>6.4038062872170797E-11</v>
      </c>
    </row>
  </sheetData>
  <mergeCells count="4">
    <mergeCell ref="M1:O1"/>
    <mergeCell ref="B1:E1"/>
    <mergeCell ref="F1:I1"/>
    <mergeCell ref="J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EB67-B825-4CC6-A3BF-7CAF8F96BF8A}">
  <sheetPr>
    <tabColor theme="7" tint="0.59999389629810485"/>
  </sheetPr>
  <dimension ref="A1:G20"/>
  <sheetViews>
    <sheetView zoomScale="105" workbookViewId="0">
      <selection activeCell="E17" sqref="E17"/>
    </sheetView>
  </sheetViews>
  <sheetFormatPr defaultRowHeight="14.4" x14ac:dyDescent="0.3"/>
  <cols>
    <col min="1" max="1" width="23.6640625" customWidth="1"/>
    <col min="7" max="7" width="20.44140625" customWidth="1"/>
  </cols>
  <sheetData>
    <row r="1" spans="1:7" x14ac:dyDescent="0.3">
      <c r="A1" s="21" t="s">
        <v>190</v>
      </c>
      <c r="B1" s="21"/>
      <c r="C1" s="21"/>
      <c r="D1" s="21"/>
      <c r="E1" s="21"/>
    </row>
    <row r="2" spans="1:7" x14ac:dyDescent="0.3">
      <c r="A2" s="21" t="s">
        <v>162</v>
      </c>
      <c r="B2" s="21"/>
      <c r="C2" s="21"/>
      <c r="D2" s="21"/>
      <c r="E2" s="21"/>
    </row>
    <row r="3" spans="1:7" x14ac:dyDescent="0.3">
      <c r="A3" s="21"/>
      <c r="B3" s="21"/>
      <c r="C3" s="21" t="s">
        <v>141</v>
      </c>
      <c r="D3" s="21"/>
      <c r="E3" s="21" t="s">
        <v>10</v>
      </c>
    </row>
    <row r="4" spans="1:7" x14ac:dyDescent="0.3">
      <c r="A4" s="21"/>
      <c r="B4" s="21"/>
      <c r="C4" s="21">
        <v>0</v>
      </c>
      <c r="D4" s="21">
        <v>1</v>
      </c>
      <c r="E4" s="21"/>
    </row>
    <row r="5" spans="1:7" x14ac:dyDescent="0.3">
      <c r="A5" s="21" t="s">
        <v>191</v>
      </c>
      <c r="B5" s="27" t="s">
        <v>192</v>
      </c>
      <c r="C5" s="21">
        <v>30</v>
      </c>
      <c r="D5" s="21">
        <v>27</v>
      </c>
      <c r="E5" s="21">
        <v>57</v>
      </c>
      <c r="G5" t="str">
        <f>B5&amp;";"&amp;E5&amp;";"&amp;D5</f>
        <v>&lt;4;57;27</v>
      </c>
    </row>
    <row r="6" spans="1:7" x14ac:dyDescent="0.3">
      <c r="A6" s="21"/>
      <c r="B6" s="27" t="s">
        <v>198</v>
      </c>
      <c r="C6" s="21">
        <v>302</v>
      </c>
      <c r="D6" s="21">
        <v>6</v>
      </c>
      <c r="E6" s="21">
        <v>308</v>
      </c>
      <c r="G6" t="str">
        <f t="shared" ref="G6:G8" si="0">B6&amp;";"&amp;E6&amp;";"&amp;D6</f>
        <v>4-9;308;6</v>
      </c>
    </row>
    <row r="7" spans="1:7" x14ac:dyDescent="0.3">
      <c r="A7" s="21"/>
      <c r="B7" s="27" t="s">
        <v>199</v>
      </c>
      <c r="C7" s="21">
        <v>554</v>
      </c>
      <c r="D7" s="21">
        <v>38</v>
      </c>
      <c r="E7" s="21">
        <v>592</v>
      </c>
      <c r="G7" t="str">
        <f t="shared" si="0"/>
        <v>9-25;592;38</v>
      </c>
    </row>
    <row r="8" spans="1:7" x14ac:dyDescent="0.3">
      <c r="A8" s="21"/>
      <c r="B8" s="27" t="s">
        <v>193</v>
      </c>
      <c r="C8" s="21">
        <v>37</v>
      </c>
      <c r="D8" s="21">
        <v>37</v>
      </c>
      <c r="E8" s="21">
        <v>74</v>
      </c>
      <c r="G8" t="str">
        <f t="shared" si="0"/>
        <v>&gt;25;74;37</v>
      </c>
    </row>
    <row r="9" spans="1:7" x14ac:dyDescent="0.3">
      <c r="A9" s="21" t="s">
        <v>10</v>
      </c>
      <c r="B9" s="21"/>
      <c r="C9" s="21">
        <v>923</v>
      </c>
      <c r="D9" s="21">
        <v>108</v>
      </c>
      <c r="E9" s="21">
        <v>1031</v>
      </c>
    </row>
    <row r="13" spans="1:7" x14ac:dyDescent="0.3">
      <c r="A13" s="27" t="s">
        <v>194</v>
      </c>
      <c r="B13" s="21" t="s">
        <v>194</v>
      </c>
      <c r="C13" s="28" t="s">
        <v>195</v>
      </c>
    </row>
    <row r="14" spans="1:7" x14ac:dyDescent="0.3">
      <c r="A14" s="27" t="s">
        <v>196</v>
      </c>
      <c r="B14" s="21" t="s">
        <v>200</v>
      </c>
      <c r="C14" s="28">
        <v>1.7371891561329999E-19</v>
      </c>
    </row>
    <row r="15" spans="1:7" x14ac:dyDescent="0.3">
      <c r="A15" s="27" t="s">
        <v>196</v>
      </c>
      <c r="B15" s="21" t="s">
        <v>201</v>
      </c>
      <c r="C15" s="28">
        <v>6.9747717236213701E-15</v>
      </c>
    </row>
    <row r="16" spans="1:7" x14ac:dyDescent="0.3">
      <c r="A16" s="27" t="s">
        <v>196</v>
      </c>
      <c r="B16" s="21" t="s">
        <v>197</v>
      </c>
      <c r="C16" s="21">
        <v>0.45137385562459098</v>
      </c>
    </row>
    <row r="17" spans="1:3" x14ac:dyDescent="0.3">
      <c r="A17" s="27" t="s">
        <v>202</v>
      </c>
      <c r="B17" s="21" t="s">
        <v>201</v>
      </c>
      <c r="C17" s="28">
        <v>1.54996939347338E-3</v>
      </c>
    </row>
    <row r="18" spans="1:3" x14ac:dyDescent="0.3">
      <c r="A18" s="27" t="s">
        <v>202</v>
      </c>
      <c r="B18" s="21" t="s">
        <v>197</v>
      </c>
      <c r="C18" s="28">
        <v>1.32609137022529E-24</v>
      </c>
    </row>
    <row r="19" spans="1:3" x14ac:dyDescent="0.3">
      <c r="A19" s="27" t="s">
        <v>203</v>
      </c>
      <c r="B19" s="21" t="s">
        <v>197</v>
      </c>
      <c r="C19" s="28">
        <v>7.7575812866868698E-20</v>
      </c>
    </row>
    <row r="20" spans="1:3" x14ac:dyDescent="0.3">
      <c r="A20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72B7-C21E-40B9-A214-AF2A814409C0}">
  <sheetPr>
    <tabColor theme="7" tint="0.59999389629810485"/>
  </sheetPr>
  <dimension ref="A1:N32"/>
  <sheetViews>
    <sheetView zoomScale="133" workbookViewId="0">
      <selection activeCell="A33" sqref="A33"/>
    </sheetView>
  </sheetViews>
  <sheetFormatPr defaultRowHeight="13.8" x14ac:dyDescent="0.25"/>
  <cols>
    <col min="1" max="1" width="21.88671875" style="5" customWidth="1"/>
    <col min="2" max="12" width="8.88671875" style="1"/>
    <col min="13" max="13" width="10.109375" style="1" customWidth="1"/>
    <col min="14" max="16384" width="8.88671875" style="1"/>
  </cols>
  <sheetData>
    <row r="1" spans="1:14" s="32" customFormat="1" x14ac:dyDescent="0.25">
      <c r="A1" s="8" t="s">
        <v>204</v>
      </c>
      <c r="B1" s="9" t="s">
        <v>205</v>
      </c>
      <c r="C1" s="9" t="s">
        <v>206</v>
      </c>
      <c r="D1" s="9" t="s">
        <v>207</v>
      </c>
      <c r="E1" s="9" t="s">
        <v>209</v>
      </c>
      <c r="F1" s="9" t="s">
        <v>211</v>
      </c>
      <c r="G1" s="9" t="s">
        <v>213</v>
      </c>
      <c r="H1" s="9" t="s">
        <v>214</v>
      </c>
      <c r="I1" s="9" t="s">
        <v>215</v>
      </c>
      <c r="J1" s="9" t="s">
        <v>217</v>
      </c>
      <c r="K1" s="9" t="s">
        <v>220</v>
      </c>
      <c r="L1" s="9" t="s">
        <v>236</v>
      </c>
      <c r="M1" s="9" t="s">
        <v>238</v>
      </c>
      <c r="N1" s="9" t="s">
        <v>240</v>
      </c>
    </row>
    <row r="2" spans="1:14" x14ac:dyDescent="0.25">
      <c r="A2" s="6">
        <v>0.5</v>
      </c>
      <c r="B2" s="7">
        <v>0.01</v>
      </c>
      <c r="C2" s="7">
        <f>B2</f>
        <v>0.01</v>
      </c>
      <c r="D2" s="7">
        <f>A2*B2</f>
        <v>5.0000000000000001E-3</v>
      </c>
      <c r="E2" s="7">
        <f>A2*D2</f>
        <v>2.5000000000000001E-3</v>
      </c>
      <c r="F2" s="7">
        <f>A2*E2</f>
        <v>1.25E-3</v>
      </c>
      <c r="G2" s="7">
        <f>A2*F2</f>
        <v>6.2500000000000001E-4</v>
      </c>
      <c r="H2" s="7">
        <f>A2-$B$19</f>
        <v>-2.0849999999999995</v>
      </c>
      <c r="I2" s="7">
        <f>H2*H2*B2</f>
        <v>4.3472249999999983E-2</v>
      </c>
      <c r="J2" s="7">
        <f>H2*I2</f>
        <v>-9.0639641249999944E-2</v>
      </c>
      <c r="K2" s="7">
        <f>J2*H2</f>
        <v>0.18898365200624984</v>
      </c>
      <c r="L2" s="7">
        <f>A2*A2*B2</f>
        <v>2.5000000000000001E-3</v>
      </c>
      <c r="M2" s="7">
        <f>B2*LN(A2)</f>
        <v>-6.9314718055994533E-3</v>
      </c>
      <c r="N2" s="7">
        <f>B2/A2</f>
        <v>0.02</v>
      </c>
    </row>
    <row r="3" spans="1:14" x14ac:dyDescent="0.25">
      <c r="A3" s="6">
        <v>1</v>
      </c>
      <c r="B3" s="7">
        <v>0.1</v>
      </c>
      <c r="C3" s="7">
        <f>B3+C2</f>
        <v>0.11</v>
      </c>
      <c r="D3" s="7">
        <f t="shared" ref="D3:D15" si="0">A3*B3</f>
        <v>0.1</v>
      </c>
      <c r="E3" s="7">
        <f t="shared" ref="E3:E15" si="1">A3*D3</f>
        <v>0.1</v>
      </c>
      <c r="F3" s="7">
        <f t="shared" ref="F3:F15" si="2">A3*E3</f>
        <v>0.1</v>
      </c>
      <c r="G3" s="7">
        <f t="shared" ref="G3:G15" si="3">A3*F3</f>
        <v>0.1</v>
      </c>
      <c r="H3" s="7">
        <f t="shared" ref="H3:H15" si="4">A3-$B$19</f>
        <v>-1.5849999999999995</v>
      </c>
      <c r="I3" s="7">
        <f t="shared" ref="I3:I15" si="5">H3*H3*B3</f>
        <v>0.25122249999999985</v>
      </c>
      <c r="J3" s="7">
        <f t="shared" ref="J3:J15" si="6">H3*I3</f>
        <v>-0.39818766249999965</v>
      </c>
      <c r="K3" s="7">
        <f t="shared" ref="K3:K15" si="7">J3*H3</f>
        <v>0.63112744506249929</v>
      </c>
      <c r="L3" s="7">
        <f t="shared" ref="L3:L15" si="8">A3*A3*B3</f>
        <v>0.1</v>
      </c>
      <c r="M3" s="7">
        <f t="shared" ref="M3:M15" si="9">B3*LN(A3)</f>
        <v>0</v>
      </c>
      <c r="N3" s="7">
        <f t="shared" ref="N3:N15" si="10">B3/A3</f>
        <v>0.1</v>
      </c>
    </row>
    <row r="4" spans="1:14" x14ac:dyDescent="0.25">
      <c r="A4" s="6">
        <v>1.5</v>
      </c>
      <c r="B4" s="7">
        <v>0.15</v>
      </c>
      <c r="C4" s="7">
        <f t="shared" ref="C4:C15" si="11">B4+C3</f>
        <v>0.26</v>
      </c>
      <c r="D4" s="7">
        <f t="shared" si="0"/>
        <v>0.22499999999999998</v>
      </c>
      <c r="E4" s="7">
        <f t="shared" si="1"/>
        <v>0.33749999999999997</v>
      </c>
      <c r="F4" s="7">
        <f t="shared" si="2"/>
        <v>0.50624999999999998</v>
      </c>
      <c r="G4" s="7">
        <f t="shared" si="3"/>
        <v>0.75937499999999991</v>
      </c>
      <c r="H4" s="7">
        <f t="shared" si="4"/>
        <v>-1.0849999999999995</v>
      </c>
      <c r="I4" s="7">
        <f t="shared" si="5"/>
        <v>0.17658374999999982</v>
      </c>
      <c r="J4" s="7">
        <f t="shared" si="6"/>
        <v>-0.19159336874999972</v>
      </c>
      <c r="K4" s="7">
        <f t="shared" si="7"/>
        <v>0.20787880509374959</v>
      </c>
      <c r="L4" s="7">
        <f t="shared" si="8"/>
        <v>0.33749999999999997</v>
      </c>
      <c r="M4" s="7">
        <f t="shared" si="9"/>
        <v>6.0819766216224654E-2</v>
      </c>
      <c r="N4" s="7">
        <f t="shared" si="10"/>
        <v>9.9999999999999992E-2</v>
      </c>
    </row>
    <row r="5" spans="1:14" x14ac:dyDescent="0.25">
      <c r="A5" s="6">
        <v>2</v>
      </c>
      <c r="B5" s="7">
        <v>0.2</v>
      </c>
      <c r="C5" s="7">
        <f t="shared" si="11"/>
        <v>0.46</v>
      </c>
      <c r="D5" s="7">
        <f t="shared" si="0"/>
        <v>0.4</v>
      </c>
      <c r="E5" s="7">
        <f t="shared" si="1"/>
        <v>0.8</v>
      </c>
      <c r="F5" s="7">
        <f t="shared" si="2"/>
        <v>1.6</v>
      </c>
      <c r="G5" s="7">
        <f t="shared" si="3"/>
        <v>3.2</v>
      </c>
      <c r="H5" s="7">
        <f t="shared" si="4"/>
        <v>-0.58499999999999952</v>
      </c>
      <c r="I5" s="7">
        <f t="shared" si="5"/>
        <v>6.8444999999999895E-2</v>
      </c>
      <c r="J5" s="7">
        <f t="shared" si="6"/>
        <v>-4.0040324999999904E-2</v>
      </c>
      <c r="K5" s="7">
        <f t="shared" si="7"/>
        <v>2.3423590124999925E-2</v>
      </c>
      <c r="L5" s="7">
        <f t="shared" si="8"/>
        <v>0.8</v>
      </c>
      <c r="M5" s="7">
        <f t="shared" si="9"/>
        <v>0.13862943611198905</v>
      </c>
      <c r="N5" s="7">
        <f t="shared" si="10"/>
        <v>0.1</v>
      </c>
    </row>
    <row r="6" spans="1:14" x14ac:dyDescent="0.25">
      <c r="A6" s="6">
        <v>2.5</v>
      </c>
      <c r="B6" s="7">
        <v>0.2</v>
      </c>
      <c r="C6" s="7">
        <f t="shared" si="11"/>
        <v>0.66</v>
      </c>
      <c r="D6" s="7">
        <f t="shared" si="0"/>
        <v>0.5</v>
      </c>
      <c r="E6" s="7">
        <f t="shared" si="1"/>
        <v>1.25</v>
      </c>
      <c r="F6" s="7">
        <f t="shared" si="2"/>
        <v>3.125</v>
      </c>
      <c r="G6" s="7">
        <f t="shared" si="3"/>
        <v>7.8125</v>
      </c>
      <c r="H6" s="7">
        <f t="shared" si="4"/>
        <v>-8.499999999999952E-2</v>
      </c>
      <c r="I6" s="7">
        <f t="shared" si="5"/>
        <v>1.4449999999999836E-3</v>
      </c>
      <c r="J6" s="7">
        <f t="shared" si="6"/>
        <v>-1.228249999999979E-4</v>
      </c>
      <c r="K6" s="7">
        <f t="shared" si="7"/>
        <v>1.0440124999999763E-5</v>
      </c>
      <c r="L6" s="7">
        <f t="shared" si="8"/>
        <v>1.25</v>
      </c>
      <c r="M6" s="7">
        <f t="shared" si="9"/>
        <v>0.18325814637483104</v>
      </c>
      <c r="N6" s="7">
        <f t="shared" si="10"/>
        <v>0.08</v>
      </c>
    </row>
    <row r="7" spans="1:14" x14ac:dyDescent="0.25">
      <c r="A7" s="6">
        <v>3</v>
      </c>
      <c r="B7" s="7">
        <v>0.1</v>
      </c>
      <c r="C7" s="7">
        <f t="shared" si="11"/>
        <v>0.76</v>
      </c>
      <c r="D7" s="7">
        <f t="shared" si="0"/>
        <v>0.30000000000000004</v>
      </c>
      <c r="E7" s="7">
        <f t="shared" si="1"/>
        <v>0.90000000000000013</v>
      </c>
      <c r="F7" s="7">
        <f t="shared" si="2"/>
        <v>2.7</v>
      </c>
      <c r="G7" s="7">
        <f t="shared" si="3"/>
        <v>8.1000000000000014</v>
      </c>
      <c r="H7" s="7">
        <f t="shared" si="4"/>
        <v>0.41500000000000048</v>
      </c>
      <c r="I7" s="7">
        <f t="shared" si="5"/>
        <v>1.722250000000004E-2</v>
      </c>
      <c r="J7" s="7">
        <f t="shared" si="6"/>
        <v>7.147337500000025E-3</v>
      </c>
      <c r="K7" s="7">
        <f t="shared" si="7"/>
        <v>2.9661450625000137E-3</v>
      </c>
      <c r="L7" s="7">
        <f t="shared" si="8"/>
        <v>0.9</v>
      </c>
      <c r="M7" s="7">
        <f t="shared" si="9"/>
        <v>0.10986122886681099</v>
      </c>
      <c r="N7" s="7">
        <f t="shared" si="10"/>
        <v>3.3333333333333333E-2</v>
      </c>
    </row>
    <row r="8" spans="1:14" x14ac:dyDescent="0.25">
      <c r="A8" s="6">
        <v>3.5</v>
      </c>
      <c r="B8" s="7">
        <v>0.08</v>
      </c>
      <c r="C8" s="7">
        <f t="shared" si="11"/>
        <v>0.84</v>
      </c>
      <c r="D8" s="7">
        <f t="shared" si="0"/>
        <v>0.28000000000000003</v>
      </c>
      <c r="E8" s="7">
        <f t="shared" si="1"/>
        <v>0.98000000000000009</v>
      </c>
      <c r="F8" s="7">
        <f t="shared" si="2"/>
        <v>3.43</v>
      </c>
      <c r="G8" s="7">
        <f t="shared" si="3"/>
        <v>12.005000000000001</v>
      </c>
      <c r="H8" s="7">
        <f t="shared" si="4"/>
        <v>0.91500000000000048</v>
      </c>
      <c r="I8" s="7">
        <f t="shared" si="5"/>
        <v>6.6978000000000079E-2</v>
      </c>
      <c r="J8" s="7">
        <f t="shared" si="6"/>
        <v>6.1284870000000102E-2</v>
      </c>
      <c r="K8" s="7">
        <f t="shared" si="7"/>
        <v>5.6075656050000124E-2</v>
      </c>
      <c r="L8" s="7">
        <f t="shared" si="8"/>
        <v>0.98</v>
      </c>
      <c r="M8" s="7">
        <f t="shared" si="9"/>
        <v>0.10022103747962945</v>
      </c>
      <c r="N8" s="7">
        <f t="shared" si="10"/>
        <v>2.2857142857142857E-2</v>
      </c>
    </row>
    <row r="9" spans="1:14" x14ac:dyDescent="0.25">
      <c r="A9" s="6">
        <v>4</v>
      </c>
      <c r="B9" s="7">
        <v>0.06</v>
      </c>
      <c r="C9" s="7">
        <f t="shared" si="11"/>
        <v>0.89999999999999991</v>
      </c>
      <c r="D9" s="7">
        <f t="shared" si="0"/>
        <v>0.24</v>
      </c>
      <c r="E9" s="7">
        <f t="shared" si="1"/>
        <v>0.96</v>
      </c>
      <c r="F9" s="7">
        <f t="shared" si="2"/>
        <v>3.84</v>
      </c>
      <c r="G9" s="7">
        <f t="shared" si="3"/>
        <v>15.36</v>
      </c>
      <c r="H9" s="7">
        <f t="shared" si="4"/>
        <v>1.4150000000000005</v>
      </c>
      <c r="I9" s="7">
        <f t="shared" si="5"/>
        <v>0.12013350000000009</v>
      </c>
      <c r="J9" s="7">
        <f t="shared" si="6"/>
        <v>0.16998890250000018</v>
      </c>
      <c r="K9" s="7">
        <f t="shared" si="7"/>
        <v>0.24053429703750034</v>
      </c>
      <c r="L9" s="7">
        <f t="shared" si="8"/>
        <v>0.96</v>
      </c>
      <c r="M9" s="7">
        <f t="shared" si="9"/>
        <v>8.3177661667193425E-2</v>
      </c>
      <c r="N9" s="7">
        <f t="shared" si="10"/>
        <v>1.4999999999999999E-2</v>
      </c>
    </row>
    <row r="10" spans="1:14" x14ac:dyDescent="0.25">
      <c r="A10" s="6">
        <v>4.5</v>
      </c>
      <c r="B10" s="7">
        <v>0.03</v>
      </c>
      <c r="C10" s="7">
        <f t="shared" si="11"/>
        <v>0.92999999999999994</v>
      </c>
      <c r="D10" s="7">
        <f t="shared" si="0"/>
        <v>0.13500000000000001</v>
      </c>
      <c r="E10" s="7">
        <f t="shared" si="1"/>
        <v>0.60750000000000004</v>
      </c>
      <c r="F10" s="7">
        <f t="shared" si="2"/>
        <v>2.7337500000000001</v>
      </c>
      <c r="G10" s="7">
        <f t="shared" si="3"/>
        <v>12.301875000000001</v>
      </c>
      <c r="H10" s="7">
        <f t="shared" si="4"/>
        <v>1.9150000000000005</v>
      </c>
      <c r="I10" s="7">
        <f t="shared" si="5"/>
        <v>0.11001675000000005</v>
      </c>
      <c r="J10" s="7">
        <f t="shared" si="6"/>
        <v>0.21068207625000016</v>
      </c>
      <c r="K10" s="7">
        <f t="shared" si="7"/>
        <v>0.40345617601875039</v>
      </c>
      <c r="L10" s="7">
        <f t="shared" si="8"/>
        <v>0.60749999999999993</v>
      </c>
      <c r="M10" s="7">
        <f t="shared" si="9"/>
        <v>4.5122321903288222E-2</v>
      </c>
      <c r="N10" s="7">
        <f t="shared" si="10"/>
        <v>6.6666666666666662E-3</v>
      </c>
    </row>
    <row r="11" spans="1:14" x14ac:dyDescent="0.25">
      <c r="A11" s="6">
        <v>5</v>
      </c>
      <c r="B11" s="7">
        <v>0.03</v>
      </c>
      <c r="C11" s="7">
        <f t="shared" si="11"/>
        <v>0.96</v>
      </c>
      <c r="D11" s="7">
        <f t="shared" si="0"/>
        <v>0.15</v>
      </c>
      <c r="E11" s="7">
        <f t="shared" si="1"/>
        <v>0.75</v>
      </c>
      <c r="F11" s="7">
        <f t="shared" si="2"/>
        <v>3.75</v>
      </c>
      <c r="G11" s="7">
        <f t="shared" si="3"/>
        <v>18.75</v>
      </c>
      <c r="H11" s="7">
        <f t="shared" si="4"/>
        <v>2.4150000000000005</v>
      </c>
      <c r="I11" s="7">
        <f t="shared" si="5"/>
        <v>0.17496675000000006</v>
      </c>
      <c r="J11" s="7">
        <f t="shared" si="6"/>
        <v>0.42254470125000021</v>
      </c>
      <c r="K11" s="7">
        <f t="shared" si="7"/>
        <v>1.0204454535187506</v>
      </c>
      <c r="L11" s="7">
        <f t="shared" si="8"/>
        <v>0.75</v>
      </c>
      <c r="M11" s="7">
        <f t="shared" si="9"/>
        <v>4.8283137373023005E-2</v>
      </c>
      <c r="N11" s="7">
        <f t="shared" si="10"/>
        <v>6.0000000000000001E-3</v>
      </c>
    </row>
    <row r="12" spans="1:14" x14ac:dyDescent="0.25">
      <c r="A12" s="6">
        <v>5.5</v>
      </c>
      <c r="B12" s="7">
        <v>0.01</v>
      </c>
      <c r="C12" s="7">
        <f t="shared" si="11"/>
        <v>0.97</v>
      </c>
      <c r="D12" s="7">
        <f t="shared" si="0"/>
        <v>5.5E-2</v>
      </c>
      <c r="E12" s="7">
        <f t="shared" si="1"/>
        <v>0.30249999999999999</v>
      </c>
      <c r="F12" s="7">
        <f t="shared" si="2"/>
        <v>1.6637499999999998</v>
      </c>
      <c r="G12" s="7">
        <f t="shared" si="3"/>
        <v>9.1506249999999998</v>
      </c>
      <c r="H12" s="7">
        <f t="shared" si="4"/>
        <v>2.9150000000000005</v>
      </c>
      <c r="I12" s="7">
        <f t="shared" si="5"/>
        <v>8.4972250000000027E-2</v>
      </c>
      <c r="J12" s="7">
        <f t="shared" si="6"/>
        <v>0.24769410875000011</v>
      </c>
      <c r="K12" s="7">
        <f t="shared" si="7"/>
        <v>0.72202832700625041</v>
      </c>
      <c r="L12" s="7">
        <f t="shared" si="8"/>
        <v>0.30249999999999999</v>
      </c>
      <c r="M12" s="7">
        <f t="shared" si="9"/>
        <v>1.7047480922384253E-2</v>
      </c>
      <c r="N12" s="7">
        <f t="shared" si="10"/>
        <v>1.8181818181818182E-3</v>
      </c>
    </row>
    <row r="13" spans="1:14" x14ac:dyDescent="0.25">
      <c r="A13" s="6">
        <v>6</v>
      </c>
      <c r="B13" s="7">
        <v>0.01</v>
      </c>
      <c r="C13" s="7">
        <f t="shared" si="11"/>
        <v>0.98</v>
      </c>
      <c r="D13" s="7">
        <f t="shared" si="0"/>
        <v>0.06</v>
      </c>
      <c r="E13" s="7">
        <f t="shared" si="1"/>
        <v>0.36</v>
      </c>
      <c r="F13" s="7">
        <f t="shared" si="2"/>
        <v>2.16</v>
      </c>
      <c r="G13" s="7">
        <f t="shared" si="3"/>
        <v>12.96</v>
      </c>
      <c r="H13" s="7">
        <f t="shared" si="4"/>
        <v>3.4150000000000005</v>
      </c>
      <c r="I13" s="7">
        <f t="shared" si="5"/>
        <v>0.11662225000000004</v>
      </c>
      <c r="J13" s="7">
        <f t="shared" si="6"/>
        <v>0.39826498375000019</v>
      </c>
      <c r="K13" s="7">
        <f t="shared" si="7"/>
        <v>1.3600749195062509</v>
      </c>
      <c r="L13" s="7">
        <f t="shared" si="8"/>
        <v>0.36</v>
      </c>
      <c r="M13" s="7">
        <f t="shared" si="9"/>
        <v>1.7917594692280551E-2</v>
      </c>
      <c r="N13" s="7">
        <f t="shared" si="10"/>
        <v>1.6666666666666668E-3</v>
      </c>
    </row>
    <row r="14" spans="1:14" x14ac:dyDescent="0.25">
      <c r="A14" s="6">
        <v>6.5</v>
      </c>
      <c r="B14" s="7">
        <v>0.01</v>
      </c>
      <c r="C14" s="7">
        <f t="shared" si="11"/>
        <v>0.99</v>
      </c>
      <c r="D14" s="7">
        <f t="shared" si="0"/>
        <v>6.5000000000000002E-2</v>
      </c>
      <c r="E14" s="7">
        <f t="shared" si="1"/>
        <v>0.42249999999999999</v>
      </c>
      <c r="F14" s="7">
        <f t="shared" si="2"/>
        <v>2.7462499999999999</v>
      </c>
      <c r="G14" s="7">
        <f t="shared" si="3"/>
        <v>17.850625000000001</v>
      </c>
      <c r="H14" s="7">
        <f t="shared" si="4"/>
        <v>3.9150000000000005</v>
      </c>
      <c r="I14" s="7">
        <f t="shared" si="5"/>
        <v>0.15327225000000005</v>
      </c>
      <c r="J14" s="7">
        <f t="shared" si="6"/>
        <v>0.60006085875000026</v>
      </c>
      <c r="K14" s="7">
        <f t="shared" si="7"/>
        <v>2.3492382620062515</v>
      </c>
      <c r="L14" s="7">
        <f t="shared" si="8"/>
        <v>0.42249999999999999</v>
      </c>
      <c r="M14" s="7">
        <f t="shared" si="9"/>
        <v>1.8718021769015915E-2</v>
      </c>
      <c r="N14" s="7">
        <f t="shared" si="10"/>
        <v>1.5384615384615385E-3</v>
      </c>
    </row>
    <row r="15" spans="1:14" x14ac:dyDescent="0.25">
      <c r="A15" s="6">
        <v>7</v>
      </c>
      <c r="B15" s="7">
        <v>0.01</v>
      </c>
      <c r="C15" s="7">
        <f t="shared" si="11"/>
        <v>1</v>
      </c>
      <c r="D15" s="7">
        <f t="shared" si="0"/>
        <v>7.0000000000000007E-2</v>
      </c>
      <c r="E15" s="7">
        <f t="shared" si="1"/>
        <v>0.49000000000000005</v>
      </c>
      <c r="F15" s="7">
        <f t="shared" si="2"/>
        <v>3.43</v>
      </c>
      <c r="G15" s="7">
        <f t="shared" si="3"/>
        <v>24.01</v>
      </c>
      <c r="H15" s="7">
        <f t="shared" si="4"/>
        <v>4.4150000000000009</v>
      </c>
      <c r="I15" s="7">
        <f t="shared" si="5"/>
        <v>0.19492225000000007</v>
      </c>
      <c r="J15" s="7">
        <f t="shared" si="6"/>
        <v>0.86058173375000047</v>
      </c>
      <c r="K15" s="7">
        <f t="shared" si="7"/>
        <v>3.7994683545062529</v>
      </c>
      <c r="L15" s="7">
        <f t="shared" si="8"/>
        <v>0.49</v>
      </c>
      <c r="M15" s="7">
        <f t="shared" si="9"/>
        <v>1.9459101490553132E-2</v>
      </c>
      <c r="N15" s="7">
        <f t="shared" si="10"/>
        <v>1.4285714285714286E-3</v>
      </c>
    </row>
    <row r="16" spans="1:14" x14ac:dyDescent="0.25">
      <c r="A16" s="8" t="s">
        <v>10</v>
      </c>
      <c r="B16" s="9"/>
      <c r="C16" s="9"/>
      <c r="D16" s="9">
        <f t="shared" ref="D16:N16" si="12">SUM(D2:D15)</f>
        <v>2.5849999999999995</v>
      </c>
      <c r="E16" s="9">
        <f t="shared" si="12"/>
        <v>8.2625000000000011</v>
      </c>
      <c r="F16" s="9">
        <f t="shared" si="12"/>
        <v>31.786249999999999</v>
      </c>
      <c r="G16" s="9">
        <f t="shared" si="12"/>
        <v>142.360625</v>
      </c>
      <c r="H16" s="9">
        <f t="shared" si="12"/>
        <v>16.310000000000009</v>
      </c>
      <c r="I16" s="9">
        <f t="shared" si="12"/>
        <v>1.5802750000000003</v>
      </c>
      <c r="J16" s="9">
        <f t="shared" si="12"/>
        <v>2.2576657500000024</v>
      </c>
      <c r="K16" s="9">
        <f t="shared" si="12"/>
        <v>11.005711523125006</v>
      </c>
      <c r="L16" s="9">
        <f t="shared" si="12"/>
        <v>8.2625000000000011</v>
      </c>
      <c r="M16" s="9">
        <f t="shared" si="12"/>
        <v>0.83558346306162434</v>
      </c>
      <c r="N16" s="9">
        <f t="shared" si="12"/>
        <v>0.49030902430902434</v>
      </c>
    </row>
    <row r="19" spans="1:2" ht="32.4" customHeight="1" x14ac:dyDescent="0.25">
      <c r="A19" s="6" t="s">
        <v>208</v>
      </c>
      <c r="B19" s="7">
        <f>D16</f>
        <v>2.5849999999999995</v>
      </c>
    </row>
    <row r="20" spans="1:2" x14ac:dyDescent="0.25">
      <c r="A20" s="6" t="s">
        <v>210</v>
      </c>
      <c r="B20" s="7">
        <f>E16</f>
        <v>8.2625000000000011</v>
      </c>
    </row>
    <row r="21" spans="1:2" x14ac:dyDescent="0.25">
      <c r="A21" s="6" t="s">
        <v>212</v>
      </c>
      <c r="B21" s="7">
        <f>F16</f>
        <v>31.786249999999999</v>
      </c>
    </row>
    <row r="22" spans="1:2" x14ac:dyDescent="0.25">
      <c r="A22" s="6" t="s">
        <v>219</v>
      </c>
      <c r="B22" s="7">
        <f>G16</f>
        <v>142.360625</v>
      </c>
    </row>
    <row r="23" spans="1:2" x14ac:dyDescent="0.25">
      <c r="A23" s="6" t="s">
        <v>216</v>
      </c>
      <c r="B23" s="7">
        <f>I16</f>
        <v>1.5802750000000003</v>
      </c>
    </row>
    <row r="24" spans="1:2" ht="27.6" x14ac:dyDescent="0.25">
      <c r="A24" s="6" t="s">
        <v>218</v>
      </c>
      <c r="B24" s="7">
        <f>J16</f>
        <v>2.2576657500000024</v>
      </c>
    </row>
    <row r="25" spans="1:2" ht="27.6" x14ac:dyDescent="0.25">
      <c r="A25" s="6" t="s">
        <v>221</v>
      </c>
      <c r="B25" s="7">
        <f>K16</f>
        <v>11.005711523125006</v>
      </c>
    </row>
    <row r="26" spans="1:2" ht="27.6" x14ac:dyDescent="0.25">
      <c r="A26" s="6" t="s">
        <v>222</v>
      </c>
      <c r="B26" s="7">
        <f>SQRT(B23)</f>
        <v>1.2570898933648302</v>
      </c>
    </row>
    <row r="27" spans="1:2" ht="27.6" x14ac:dyDescent="0.25">
      <c r="A27" s="6" t="s">
        <v>223</v>
      </c>
      <c r="B27" s="7">
        <f>B26/B19</f>
        <v>0.48630169956086283</v>
      </c>
    </row>
    <row r="28" spans="1:2" ht="27.6" x14ac:dyDescent="0.25">
      <c r="A28" s="6" t="s">
        <v>224</v>
      </c>
      <c r="B28" s="7">
        <f>B24/POWER(B26,3)</f>
        <v>1.1364769718339756</v>
      </c>
    </row>
    <row r="29" spans="1:2" x14ac:dyDescent="0.25">
      <c r="A29" s="6" t="s">
        <v>225</v>
      </c>
      <c r="B29" s="7">
        <f>B25/POWER(B23,2) - 3</f>
        <v>1.4070987906541728</v>
      </c>
    </row>
    <row r="30" spans="1:2" x14ac:dyDescent="0.25">
      <c r="A30" s="6" t="s">
        <v>237</v>
      </c>
      <c r="B30" s="7">
        <f>SQRT(L16)</f>
        <v>2.8744564703609621</v>
      </c>
    </row>
    <row r="31" spans="1:2" ht="27.6" x14ac:dyDescent="0.25">
      <c r="A31" s="6" t="s">
        <v>239</v>
      </c>
      <c r="B31" s="7">
        <f>EXP(M16)</f>
        <v>2.3061592145373493</v>
      </c>
    </row>
    <row r="32" spans="1:2" x14ac:dyDescent="0.25">
      <c r="A32" s="6" t="s">
        <v>241</v>
      </c>
      <c r="B32" s="7">
        <f>1/N16</f>
        <v>2.0395300727113184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C3D8-81D0-4F78-9DAA-796C7C89E725}">
  <sheetPr>
    <tabColor theme="5" tint="0.59999389629810485"/>
  </sheetPr>
  <dimension ref="A1:D9"/>
  <sheetViews>
    <sheetView zoomScale="166" workbookViewId="0">
      <selection activeCell="E5" sqref="E5"/>
    </sheetView>
  </sheetViews>
  <sheetFormatPr defaultRowHeight="13.8" x14ac:dyDescent="0.25"/>
  <cols>
    <col min="1" max="1" width="17.21875" style="34" customWidth="1"/>
    <col min="2" max="16384" width="8.88671875" style="1"/>
  </cols>
  <sheetData>
    <row r="1" spans="1:4" x14ac:dyDescent="0.25">
      <c r="A1" s="8" t="s">
        <v>171</v>
      </c>
      <c r="B1" s="9">
        <v>1</v>
      </c>
      <c r="C1" s="9">
        <v>2</v>
      </c>
      <c r="D1" s="9" t="s">
        <v>229</v>
      </c>
    </row>
    <row r="2" spans="1:4" x14ac:dyDescent="0.25">
      <c r="A2" s="8" t="s">
        <v>230</v>
      </c>
      <c r="B2" s="10">
        <v>162.80000000000001</v>
      </c>
      <c r="C2" s="10">
        <v>171.4</v>
      </c>
      <c r="D2" s="13">
        <f>D7/D4</f>
        <v>165.11773049645393</v>
      </c>
    </row>
    <row r="3" spans="1:4" x14ac:dyDescent="0.25">
      <c r="A3" s="8" t="s">
        <v>231</v>
      </c>
      <c r="B3" s="10">
        <v>0.39</v>
      </c>
      <c r="C3" s="10">
        <v>0.74</v>
      </c>
      <c r="D3" s="13">
        <f>D5/SQRT(D4)</f>
        <v>0.47350233922987672</v>
      </c>
    </row>
    <row r="4" spans="1:4" x14ac:dyDescent="0.25">
      <c r="A4" s="8" t="s">
        <v>87</v>
      </c>
      <c r="B4" s="10">
        <v>103</v>
      </c>
      <c r="C4" s="10">
        <v>38</v>
      </c>
      <c r="D4" s="13">
        <f>SUM(B4:C4)</f>
        <v>141</v>
      </c>
    </row>
    <row r="5" spans="1:4" x14ac:dyDescent="0.25">
      <c r="A5" s="33" t="s">
        <v>232</v>
      </c>
      <c r="B5" s="7">
        <f>B3*SQRT(B4)</f>
        <v>3.9580677103859654</v>
      </c>
      <c r="C5" s="7">
        <f>C3*SQRT(C4)</f>
        <v>4.5616663621970419</v>
      </c>
      <c r="D5" s="7">
        <f>SQRT(D6)</f>
        <v>5.6225287550282301</v>
      </c>
    </row>
    <row r="6" spans="1:4" x14ac:dyDescent="0.25">
      <c r="A6" s="8" t="s">
        <v>185</v>
      </c>
      <c r="B6" s="7">
        <f>POWER(B5,2)</f>
        <v>15.666299999999998</v>
      </c>
      <c r="C6" s="7">
        <f>POWER(C5,2)</f>
        <v>20.808799999999994</v>
      </c>
      <c r="D6" s="7">
        <f>D8-D2*D2</f>
        <v>31.612829601119302</v>
      </c>
    </row>
    <row r="7" spans="1:4" x14ac:dyDescent="0.25">
      <c r="A7" s="8" t="s">
        <v>229</v>
      </c>
      <c r="B7" s="7">
        <f>B2*B4</f>
        <v>16768.400000000001</v>
      </c>
      <c r="C7" s="7">
        <f>C2*C4</f>
        <v>6513.2</v>
      </c>
      <c r="D7" s="7">
        <f>SUM(B7:C7)</f>
        <v>23281.600000000002</v>
      </c>
    </row>
    <row r="8" spans="1:4" x14ac:dyDescent="0.25">
      <c r="A8" s="8" t="s">
        <v>233</v>
      </c>
      <c r="B8" s="7">
        <f>B6+B2*B2</f>
        <v>26519.506300000005</v>
      </c>
      <c r="C8" s="7">
        <f>C6+C2*C2</f>
        <v>29398.768800000002</v>
      </c>
      <c r="D8" s="7">
        <f>D9/D4</f>
        <v>27295.477753900712</v>
      </c>
    </row>
    <row r="9" spans="1:4" x14ac:dyDescent="0.25">
      <c r="A9" s="8" t="s">
        <v>234</v>
      </c>
      <c r="B9" s="7">
        <f>B4*B8</f>
        <v>2731509.1489000004</v>
      </c>
      <c r="C9" s="7">
        <f>C4*C8</f>
        <v>1117153.2144000002</v>
      </c>
      <c r="D9" s="7">
        <f>SUM(B9:C9)</f>
        <v>3848662.3633000003</v>
      </c>
    </row>
  </sheetData>
  <pageMargins left="0.7" right="0.7" top="0.75" bottom="0.75" header="0.3" footer="0.3"/>
  <ignoredErrors>
    <ignoredError sqref="D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4909-C3C3-45A8-8B00-41380300A4C0}">
  <sheetPr>
    <tabColor rgb="FFFFC000"/>
  </sheetPr>
  <dimension ref="A1:B7"/>
  <sheetViews>
    <sheetView zoomScale="130" workbookViewId="0">
      <selection activeCell="B7" sqref="B7"/>
    </sheetView>
  </sheetViews>
  <sheetFormatPr defaultRowHeight="13.8" x14ac:dyDescent="0.25"/>
  <cols>
    <col min="1" max="1" width="8.88671875" style="1"/>
    <col min="2" max="2" width="69.6640625" style="5" customWidth="1"/>
    <col min="3" max="16384" width="8.88671875" style="1"/>
  </cols>
  <sheetData>
    <row r="1" spans="1:2" x14ac:dyDescent="0.25">
      <c r="A1" s="7">
        <v>1</v>
      </c>
      <c r="B1" s="6" t="s">
        <v>28</v>
      </c>
    </row>
    <row r="2" spans="1:2" x14ac:dyDescent="0.25">
      <c r="A2" s="7">
        <v>2</v>
      </c>
      <c r="B2" s="6" t="s">
        <v>66</v>
      </c>
    </row>
    <row r="3" spans="1:2" x14ac:dyDescent="0.25">
      <c r="A3" s="7">
        <v>3</v>
      </c>
      <c r="B3" s="6" t="s">
        <v>153</v>
      </c>
    </row>
    <row r="4" spans="1:2" ht="27.6" x14ac:dyDescent="0.25">
      <c r="A4" s="7">
        <v>4</v>
      </c>
      <c r="B4" s="6" t="s">
        <v>152</v>
      </c>
    </row>
    <row r="5" spans="1:2" ht="27.6" x14ac:dyDescent="0.25">
      <c r="A5" s="7">
        <v>5</v>
      </c>
      <c r="B5" s="6" t="s">
        <v>226</v>
      </c>
    </row>
    <row r="6" spans="1:2" ht="27.6" x14ac:dyDescent="0.25">
      <c r="A6" s="7">
        <v>6</v>
      </c>
      <c r="B6" s="6" t="s">
        <v>227</v>
      </c>
    </row>
    <row r="7" spans="1:2" x14ac:dyDescent="0.25">
      <c r="A7" s="7">
        <v>7</v>
      </c>
      <c r="B7" s="6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792-69E0-47D9-9275-0F5CCD651439}">
  <sheetPr>
    <tabColor theme="5" tint="0.59999389629810485"/>
  </sheetPr>
  <dimension ref="A1:B3"/>
  <sheetViews>
    <sheetView zoomScale="124" workbookViewId="0">
      <selection activeCell="D8" sqref="D8"/>
    </sheetView>
  </sheetViews>
  <sheetFormatPr defaultRowHeight="13.8" x14ac:dyDescent="0.25"/>
  <cols>
    <col min="1" max="1" width="7.21875" style="1" bestFit="1" customWidth="1"/>
    <col min="2" max="2" width="17.77734375" style="1" bestFit="1" customWidth="1"/>
    <col min="3" max="16384" width="8.88671875" style="1"/>
  </cols>
  <sheetData>
    <row r="1" spans="1:2" x14ac:dyDescent="0.25">
      <c r="A1" s="3">
        <v>300</v>
      </c>
      <c r="B1" s="1" t="s">
        <v>3</v>
      </c>
    </row>
    <row r="2" spans="1:2" x14ac:dyDescent="0.25">
      <c r="A2" s="3">
        <v>55</v>
      </c>
      <c r="B2" s="1" t="s">
        <v>4</v>
      </c>
    </row>
    <row r="3" spans="1:2" x14ac:dyDescent="0.25">
      <c r="A3" s="4">
        <f>A2/A1</f>
        <v>0.18333333333333332</v>
      </c>
      <c r="B3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DB9-FF79-4AB0-9635-D1AE6149C43C}">
  <sheetPr>
    <tabColor theme="5" tint="0.59999389629810485"/>
  </sheetPr>
  <dimension ref="A1:D19"/>
  <sheetViews>
    <sheetView zoomScale="121" workbookViewId="0">
      <selection activeCell="D14" sqref="D14"/>
    </sheetView>
  </sheetViews>
  <sheetFormatPr defaultRowHeight="13.8" x14ac:dyDescent="0.25"/>
  <cols>
    <col min="1" max="1" width="28.109375" style="5" customWidth="1"/>
    <col min="2" max="2" width="17.109375" style="1" customWidth="1"/>
    <col min="3" max="3" width="10.5546875" style="1" customWidth="1"/>
    <col min="4" max="4" width="11.44140625" style="1" customWidth="1"/>
    <col min="5" max="16384" width="8.88671875" style="1"/>
  </cols>
  <sheetData>
    <row r="1" spans="1:4" x14ac:dyDescent="0.25">
      <c r="A1" s="6" t="s">
        <v>7</v>
      </c>
      <c r="B1" s="7" t="s">
        <v>11</v>
      </c>
      <c r="C1" s="7"/>
      <c r="D1" s="7"/>
    </row>
    <row r="2" spans="1:4" x14ac:dyDescent="0.25">
      <c r="A2" s="6"/>
      <c r="B2" s="7" t="s">
        <v>12</v>
      </c>
      <c r="C2" s="7" t="s">
        <v>13</v>
      </c>
      <c r="D2" s="9" t="s">
        <v>10</v>
      </c>
    </row>
    <row r="3" spans="1:4" x14ac:dyDescent="0.25">
      <c r="A3" s="6" t="s">
        <v>8</v>
      </c>
      <c r="B3" s="10">
        <v>166</v>
      </c>
      <c r="C3" s="10">
        <v>11</v>
      </c>
      <c r="D3" s="9">
        <f>B3+C3</f>
        <v>177</v>
      </c>
    </row>
    <row r="4" spans="1:4" x14ac:dyDescent="0.25">
      <c r="A4" s="6" t="s">
        <v>9</v>
      </c>
      <c r="B4" s="10">
        <v>18</v>
      </c>
      <c r="C4" s="10">
        <v>999</v>
      </c>
      <c r="D4" s="9">
        <f>B4+C4</f>
        <v>1017</v>
      </c>
    </row>
    <row r="5" spans="1:4" x14ac:dyDescent="0.25">
      <c r="A5" s="8" t="s">
        <v>10</v>
      </c>
      <c r="B5" s="9">
        <f>B3+B4</f>
        <v>184</v>
      </c>
      <c r="C5" s="9">
        <f>C3+C4</f>
        <v>1010</v>
      </c>
      <c r="D5" s="9">
        <f>B5+C5</f>
        <v>1194</v>
      </c>
    </row>
    <row r="7" spans="1:4" x14ac:dyDescent="0.25">
      <c r="A7" s="6" t="s">
        <v>14</v>
      </c>
      <c r="B7" s="7"/>
    </row>
    <row r="8" spans="1:4" x14ac:dyDescent="0.25">
      <c r="A8" s="6" t="s">
        <v>15</v>
      </c>
      <c r="B8" s="11">
        <f>B5/D5</f>
        <v>0.1541038525963149</v>
      </c>
    </row>
    <row r="9" spans="1:4" x14ac:dyDescent="0.25">
      <c r="A9" s="6" t="s">
        <v>16</v>
      </c>
      <c r="B9" s="11">
        <f>1-B8</f>
        <v>0.84589614740368513</v>
      </c>
    </row>
    <row r="10" spans="1:4" x14ac:dyDescent="0.25">
      <c r="A10" s="6" t="s">
        <v>17</v>
      </c>
      <c r="B10" s="11">
        <f>D3/D5</f>
        <v>0.14824120603015076</v>
      </c>
    </row>
    <row r="11" spans="1:4" x14ac:dyDescent="0.25">
      <c r="A11" s="6" t="s">
        <v>18</v>
      </c>
      <c r="B11" s="11">
        <f>1-B10</f>
        <v>0.85175879396984921</v>
      </c>
    </row>
    <row r="12" spans="1:4" x14ac:dyDescent="0.25">
      <c r="A12" s="6" t="s">
        <v>20</v>
      </c>
      <c r="B12" s="12" t="str">
        <f>IF(B10&gt;B8, "Да", "Нет")</f>
        <v>Нет</v>
      </c>
    </row>
    <row r="13" spans="1:4" x14ac:dyDescent="0.25">
      <c r="A13" s="6" t="s">
        <v>19</v>
      </c>
      <c r="B13" s="11">
        <f>(B3+C4)/D5</f>
        <v>0.97571189279731996</v>
      </c>
    </row>
    <row r="14" spans="1:4" ht="27.6" x14ac:dyDescent="0.25">
      <c r="A14" s="6" t="s">
        <v>23</v>
      </c>
      <c r="B14" s="11">
        <f>1-B13</f>
        <v>2.4288107202680043E-2</v>
      </c>
    </row>
    <row r="15" spans="1:4" x14ac:dyDescent="0.25">
      <c r="A15" s="6" t="s">
        <v>21</v>
      </c>
      <c r="B15" s="11">
        <f>B3/B5</f>
        <v>0.90217391304347827</v>
      </c>
    </row>
    <row r="16" spans="1:4" x14ac:dyDescent="0.25">
      <c r="A16" s="6" t="s">
        <v>22</v>
      </c>
      <c r="B16" s="11">
        <f>C4/D4</f>
        <v>0.98230088495575218</v>
      </c>
    </row>
    <row r="17" spans="1:2" ht="69" x14ac:dyDescent="0.25">
      <c r="A17" s="6" t="s">
        <v>24</v>
      </c>
      <c r="B17" s="13">
        <f>B3/C5</f>
        <v>0.16435643564356436</v>
      </c>
    </row>
    <row r="18" spans="1:2" ht="27.6" x14ac:dyDescent="0.25">
      <c r="A18" s="6" t="s">
        <v>25</v>
      </c>
      <c r="B18" s="13">
        <f>B4/D4</f>
        <v>1.7699115044247787E-2</v>
      </c>
    </row>
    <row r="19" spans="1:2" x14ac:dyDescent="0.25">
      <c r="A19" s="6" t="s">
        <v>26</v>
      </c>
      <c r="B19" s="13">
        <f>B17/B18</f>
        <v>9.2861386138613859</v>
      </c>
    </row>
  </sheetData>
  <pageMargins left="0.7" right="0.7" top="0.75" bottom="0.75" header="0.3" footer="0.3"/>
  <ignoredErrors>
    <ignoredError sqref="B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477D-F05F-4F1C-9C40-C272C9EE4BF1}">
  <sheetPr>
    <tabColor theme="7" tint="0.59999389629810485"/>
  </sheetPr>
  <dimension ref="A1:B12"/>
  <sheetViews>
    <sheetView zoomScale="159" workbookViewId="0">
      <selection activeCell="D5" sqref="D5"/>
    </sheetView>
  </sheetViews>
  <sheetFormatPr defaultRowHeight="14.4" x14ac:dyDescent="0.3"/>
  <cols>
    <col min="1" max="1" width="7.77734375" customWidth="1"/>
    <col min="2" max="2" width="22.109375" customWidth="1"/>
  </cols>
  <sheetData>
    <row r="1" spans="1:2" x14ac:dyDescent="0.3">
      <c r="A1" s="3">
        <v>500</v>
      </c>
      <c r="B1" s="1" t="s">
        <v>29</v>
      </c>
    </row>
    <row r="2" spans="1:2" x14ac:dyDescent="0.3">
      <c r="A2" s="3">
        <v>140</v>
      </c>
      <c r="B2" s="1" t="s">
        <v>30</v>
      </c>
    </row>
    <row r="3" spans="1:2" x14ac:dyDescent="0.3">
      <c r="A3" s="3">
        <v>35</v>
      </c>
      <c r="B3" s="1" t="s">
        <v>31</v>
      </c>
    </row>
    <row r="4" spans="1:2" x14ac:dyDescent="0.3">
      <c r="A4" s="3">
        <v>13</v>
      </c>
      <c r="B4" s="1" t="s">
        <v>32</v>
      </c>
    </row>
    <row r="5" spans="1:2" x14ac:dyDescent="0.3">
      <c r="A5" s="2">
        <f>A1-A2</f>
        <v>360</v>
      </c>
      <c r="B5" s="1" t="s">
        <v>33</v>
      </c>
    </row>
    <row r="6" spans="1:2" x14ac:dyDescent="0.3">
      <c r="A6" s="2">
        <f>A3-A4</f>
        <v>22</v>
      </c>
      <c r="B6" s="1" t="s">
        <v>34</v>
      </c>
    </row>
    <row r="7" spans="1:2" x14ac:dyDescent="0.3">
      <c r="A7" s="2">
        <f>A4/A1</f>
        <v>2.5999999999999999E-2</v>
      </c>
      <c r="B7" s="1" t="s">
        <v>35</v>
      </c>
    </row>
    <row r="8" spans="1:2" x14ac:dyDescent="0.3">
      <c r="A8" s="2">
        <f>A6/A1</f>
        <v>4.3999999999999997E-2</v>
      </c>
      <c r="B8" s="1" t="s">
        <v>36</v>
      </c>
    </row>
    <row r="9" spans="1:2" x14ac:dyDescent="0.3">
      <c r="A9" s="2">
        <f>A2/A1</f>
        <v>0.28000000000000003</v>
      </c>
      <c r="B9" s="1" t="s">
        <v>37</v>
      </c>
    </row>
    <row r="10" spans="1:2" x14ac:dyDescent="0.3">
      <c r="A10" s="2">
        <f>(A1-A2)/A1</f>
        <v>0.72</v>
      </c>
      <c r="B10" s="1" t="s">
        <v>38</v>
      </c>
    </row>
    <row r="11" spans="1:2" x14ac:dyDescent="0.3">
      <c r="A11" s="2">
        <f>A7/A9</f>
        <v>9.2857142857142846E-2</v>
      </c>
      <c r="B11" s="1" t="s">
        <v>39</v>
      </c>
    </row>
    <row r="12" spans="1:2" x14ac:dyDescent="0.3">
      <c r="A12" s="2">
        <f>A8/A10</f>
        <v>6.1111111111111109E-2</v>
      </c>
      <c r="B12" s="1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C932-420D-4536-8018-D2A6A2F264B7}">
  <sheetPr>
    <tabColor theme="5" tint="0.59999389629810485"/>
  </sheetPr>
  <dimension ref="A1:C14"/>
  <sheetViews>
    <sheetView zoomScale="137" workbookViewId="0">
      <selection activeCell="C17" sqref="C17"/>
    </sheetView>
  </sheetViews>
  <sheetFormatPr defaultRowHeight="13.8" x14ac:dyDescent="0.25"/>
  <cols>
    <col min="1" max="2" width="8.88671875" style="1"/>
    <col min="3" max="3" width="45.33203125" style="1" customWidth="1"/>
    <col min="4" max="16384" width="8.88671875" style="1"/>
  </cols>
  <sheetData>
    <row r="1" spans="1:3" x14ac:dyDescent="0.25">
      <c r="A1" s="7" t="s">
        <v>41</v>
      </c>
      <c r="B1" s="10">
        <v>0.01</v>
      </c>
      <c r="C1" s="7" t="s">
        <v>42</v>
      </c>
    </row>
    <row r="2" spans="1:3" x14ac:dyDescent="0.25">
      <c r="A2" s="7" t="s">
        <v>43</v>
      </c>
      <c r="B2" s="10">
        <v>0.85</v>
      </c>
      <c r="C2" s="7" t="s">
        <v>44</v>
      </c>
    </row>
    <row r="3" spans="1:3" x14ac:dyDescent="0.25">
      <c r="A3" s="7" t="s">
        <v>45</v>
      </c>
      <c r="B3" s="10">
        <v>2.5000000000000001E-2</v>
      </c>
      <c r="C3" s="7" t="s">
        <v>46</v>
      </c>
    </row>
    <row r="4" spans="1:3" x14ac:dyDescent="0.25">
      <c r="A4" s="7" t="s">
        <v>47</v>
      </c>
      <c r="B4" s="7">
        <f>1-B1</f>
        <v>0.99</v>
      </c>
      <c r="C4" s="7"/>
    </row>
    <row r="5" spans="1:3" x14ac:dyDescent="0.25">
      <c r="A5" s="7" t="s">
        <v>48</v>
      </c>
      <c r="B5" s="7">
        <f>1-B2</f>
        <v>0.15000000000000002</v>
      </c>
      <c r="C5" s="7"/>
    </row>
    <row r="6" spans="1:3" x14ac:dyDescent="0.25">
      <c r="A6" s="7" t="s">
        <v>49</v>
      </c>
      <c r="B6" s="7">
        <f>1-B3</f>
        <v>0.97499999999999998</v>
      </c>
      <c r="C6" s="7"/>
    </row>
    <row r="7" spans="1:3" x14ac:dyDescent="0.25">
      <c r="A7" s="7" t="s">
        <v>50</v>
      </c>
      <c r="B7" s="7">
        <f>B1*B2</f>
        <v>8.5000000000000006E-3</v>
      </c>
      <c r="C7" s="7"/>
    </row>
    <row r="8" spans="1:3" x14ac:dyDescent="0.25">
      <c r="A8" s="7" t="s">
        <v>51</v>
      </c>
      <c r="B8" s="7">
        <f>B3*B4</f>
        <v>2.4750000000000001E-2</v>
      </c>
      <c r="C8" s="7"/>
    </row>
    <row r="9" spans="1:3" x14ac:dyDescent="0.25">
      <c r="A9" s="7" t="s">
        <v>52</v>
      </c>
      <c r="B9" s="7">
        <f>B1*B5</f>
        <v>1.5000000000000002E-3</v>
      </c>
      <c r="C9" s="7"/>
    </row>
    <row r="10" spans="1:3" x14ac:dyDescent="0.25">
      <c r="A10" s="7" t="s">
        <v>53</v>
      </c>
      <c r="B10" s="7">
        <f>B4*B6</f>
        <v>0.96524999999999994</v>
      </c>
      <c r="C10" s="7"/>
    </row>
    <row r="11" spans="1:3" x14ac:dyDescent="0.25">
      <c r="A11" s="7" t="s">
        <v>55</v>
      </c>
      <c r="B11" s="13">
        <f>B7+B8</f>
        <v>3.3250000000000002E-2</v>
      </c>
      <c r="C11" s="7" t="s">
        <v>54</v>
      </c>
    </row>
    <row r="12" spans="1:3" x14ac:dyDescent="0.25">
      <c r="A12" s="7" t="s">
        <v>56</v>
      </c>
      <c r="B12" s="7">
        <f>B9+B10</f>
        <v>0.96674999999999989</v>
      </c>
      <c r="C12" s="7"/>
    </row>
    <row r="13" spans="1:3" x14ac:dyDescent="0.25">
      <c r="A13" s="7" t="s">
        <v>57</v>
      </c>
      <c r="B13" s="13">
        <f>B7/B11</f>
        <v>0.25563909774436089</v>
      </c>
      <c r="C13" s="7" t="s">
        <v>59</v>
      </c>
    </row>
    <row r="14" spans="1:3" x14ac:dyDescent="0.25">
      <c r="A14" s="7" t="s">
        <v>58</v>
      </c>
      <c r="B14" s="13">
        <f>B9/B12</f>
        <v>1.5515903801396435E-3</v>
      </c>
      <c r="C14" s="7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B11D-9782-49EF-BDF0-2B821B38806E}">
  <sheetPr>
    <tabColor theme="7" tint="0.59999389629810485"/>
  </sheetPr>
  <dimension ref="A1:B7"/>
  <sheetViews>
    <sheetView zoomScale="140" workbookViewId="0">
      <selection sqref="A1:B7"/>
    </sheetView>
  </sheetViews>
  <sheetFormatPr defaultRowHeight="13.8" x14ac:dyDescent="0.25"/>
  <cols>
    <col min="1" max="1" width="10.6640625" style="1" customWidth="1"/>
    <col min="2" max="2" width="59" style="5" customWidth="1"/>
    <col min="3" max="16384" width="8.88671875" style="1"/>
  </cols>
  <sheetData>
    <row r="1" spans="1:2" x14ac:dyDescent="0.25">
      <c r="A1" s="7">
        <v>0.01</v>
      </c>
      <c r="B1" s="6" t="s">
        <v>67</v>
      </c>
    </row>
    <row r="2" spans="1:2" x14ac:dyDescent="0.25">
      <c r="A2" s="7">
        <f>1-A1</f>
        <v>0.99</v>
      </c>
      <c r="B2" s="6" t="s">
        <v>68</v>
      </c>
    </row>
    <row r="3" spans="1:2" x14ac:dyDescent="0.25">
      <c r="A3" s="7">
        <f>POWER(A2,4)</f>
        <v>0.96059600999999994</v>
      </c>
      <c r="B3" s="6" t="s">
        <v>69</v>
      </c>
    </row>
    <row r="4" spans="1:2" x14ac:dyDescent="0.25">
      <c r="A4" s="7">
        <f>A1*POWER(A2,3)</f>
        <v>9.7029899999999999E-3</v>
      </c>
      <c r="B4" s="6" t="s">
        <v>70</v>
      </c>
    </row>
    <row r="5" spans="1:2" x14ac:dyDescent="0.25">
      <c r="A5" s="7">
        <f>4*A4</f>
        <v>3.881196E-2</v>
      </c>
      <c r="B5" s="6" t="s">
        <v>71</v>
      </c>
    </row>
    <row r="6" spans="1:2" x14ac:dyDescent="0.25">
      <c r="A6" s="7">
        <f>A3+A5</f>
        <v>0.99940796999999992</v>
      </c>
      <c r="B6" s="6" t="s">
        <v>72</v>
      </c>
    </row>
    <row r="7" spans="1:2" x14ac:dyDescent="0.25">
      <c r="A7" s="7">
        <f>1-A6</f>
        <v>5.9203000000007666E-4</v>
      </c>
      <c r="B7" s="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9B2E-23E0-4E99-8746-B1876B141A28}">
  <sheetPr>
    <tabColor theme="5" tint="0.59999389629810485"/>
  </sheetPr>
  <dimension ref="A1:I45"/>
  <sheetViews>
    <sheetView zoomScale="127" workbookViewId="0">
      <selection activeCell="B4" sqref="B4"/>
    </sheetView>
  </sheetViews>
  <sheetFormatPr defaultRowHeight="13.8" x14ac:dyDescent="0.25"/>
  <cols>
    <col min="1" max="1" width="7.5546875" style="1" customWidth="1"/>
    <col min="2" max="2" width="20.88671875" style="1" customWidth="1"/>
    <col min="3" max="3" width="19.5546875" style="1" customWidth="1"/>
    <col min="4" max="4" width="18.21875" style="5" customWidth="1"/>
    <col min="5" max="5" width="14" style="5" customWidth="1"/>
    <col min="6" max="6" width="16" style="5" customWidth="1"/>
    <col min="7" max="7" width="8.88671875" style="1"/>
    <col min="8" max="8" width="17.88671875" style="5" customWidth="1"/>
    <col min="9" max="16384" width="8.88671875" style="1"/>
  </cols>
  <sheetData>
    <row r="1" spans="1:9" ht="41.4" x14ac:dyDescent="0.25">
      <c r="A1" s="10">
        <v>42</v>
      </c>
      <c r="B1" s="16" t="s">
        <v>75</v>
      </c>
      <c r="C1" s="16" t="s">
        <v>77</v>
      </c>
      <c r="D1" s="17" t="s">
        <v>78</v>
      </c>
      <c r="E1" s="17"/>
      <c r="F1" s="17"/>
      <c r="H1" s="6" t="s">
        <v>83</v>
      </c>
      <c r="I1" s="7"/>
    </row>
    <row r="2" spans="1:9" ht="27.6" x14ac:dyDescent="0.25">
      <c r="A2" s="10">
        <v>0.04</v>
      </c>
      <c r="B2" s="16" t="s">
        <v>76</v>
      </c>
      <c r="C2" s="16"/>
      <c r="D2" s="17" t="s">
        <v>79</v>
      </c>
      <c r="E2" s="17" t="s">
        <v>80</v>
      </c>
      <c r="F2" s="17" t="s">
        <v>81</v>
      </c>
      <c r="H2" s="6" t="s">
        <v>84</v>
      </c>
      <c r="I2" s="13">
        <f>CRITBINOM(A1,A2,A3/2)</f>
        <v>0</v>
      </c>
    </row>
    <row r="3" spans="1:9" x14ac:dyDescent="0.25">
      <c r="A3" s="10">
        <v>0.05</v>
      </c>
      <c r="B3" s="14" t="s">
        <v>82</v>
      </c>
      <c r="C3" s="7">
        <v>0</v>
      </c>
      <c r="D3" s="6">
        <f>_xlfn.BINOM.DIST(C3,$A$1,$A$2,0)</f>
        <v>0.1800494452733831</v>
      </c>
      <c r="E3" s="6">
        <f>_xlfn.BINOM.DIST(D3,$A$1,$A$2,0)</f>
        <v>0.1800494452733831</v>
      </c>
      <c r="F3" s="6">
        <v>1</v>
      </c>
      <c r="H3" s="6" t="s">
        <v>85</v>
      </c>
      <c r="I3" s="13">
        <f>CRITBINOM(A1,A2,1-A3/2)</f>
        <v>5</v>
      </c>
    </row>
    <row r="4" spans="1:9" x14ac:dyDescent="0.25">
      <c r="C4" s="7">
        <f>1+C3</f>
        <v>1</v>
      </c>
      <c r="D4" s="6">
        <f>_xlfn.BINOM.DIST(C4,$A$1,$A$2,0)</f>
        <v>0.3150865292284204</v>
      </c>
      <c r="E4" s="6">
        <f>D4+E3</f>
        <v>0.49513597450180347</v>
      </c>
      <c r="F4" s="6">
        <f>F3-D3</f>
        <v>0.81995055472661693</v>
      </c>
    </row>
    <row r="5" spans="1:9" x14ac:dyDescent="0.25">
      <c r="C5" s="7">
        <f t="shared" ref="C5:C45" si="0">1+C4</f>
        <v>2</v>
      </c>
      <c r="D5" s="6">
        <f t="shared" ref="D5:D45" si="1">_xlfn.BINOM.DIST(C5,$A$1,$A$2,0)</f>
        <v>0.26913641038260916</v>
      </c>
      <c r="E5" s="6">
        <f t="shared" ref="E5:E45" si="2">D5+E4</f>
        <v>0.76427238488441263</v>
      </c>
      <c r="F5" s="6">
        <f t="shared" ref="F5:F45" si="3">F4-D4</f>
        <v>0.50486402549819653</v>
      </c>
    </row>
    <row r="6" spans="1:9" x14ac:dyDescent="0.25">
      <c r="C6" s="7">
        <f t="shared" si="0"/>
        <v>3</v>
      </c>
      <c r="D6" s="6">
        <f t="shared" si="1"/>
        <v>0.14952022799033837</v>
      </c>
      <c r="E6" s="6">
        <f t="shared" si="2"/>
        <v>0.913792612874751</v>
      </c>
      <c r="F6" s="6">
        <f t="shared" si="3"/>
        <v>0.23572761511558737</v>
      </c>
    </row>
    <row r="7" spans="1:9" x14ac:dyDescent="0.25">
      <c r="C7" s="7">
        <f t="shared" si="0"/>
        <v>4</v>
      </c>
      <c r="D7" s="6">
        <f t="shared" si="1"/>
        <v>6.0742592621074981E-2</v>
      </c>
      <c r="E7" s="6">
        <f t="shared" si="2"/>
        <v>0.97453520549582595</v>
      </c>
      <c r="F7" s="6">
        <f t="shared" si="3"/>
        <v>8.6207387125249002E-2</v>
      </c>
    </row>
    <row r="8" spans="1:9" x14ac:dyDescent="0.25">
      <c r="C8" s="7">
        <f t="shared" si="0"/>
        <v>5</v>
      </c>
      <c r="D8" s="6">
        <f t="shared" si="1"/>
        <v>1.9235154330007075E-2</v>
      </c>
      <c r="E8" s="6">
        <f t="shared" si="2"/>
        <v>0.99377035982583306</v>
      </c>
      <c r="F8" s="6">
        <f t="shared" si="3"/>
        <v>2.5464794504174021E-2</v>
      </c>
    </row>
    <row r="9" spans="1:9" x14ac:dyDescent="0.25">
      <c r="C9" s="7">
        <f t="shared" si="0"/>
        <v>6</v>
      </c>
      <c r="D9" s="6">
        <f t="shared" si="1"/>
        <v>4.9423660431268173E-3</v>
      </c>
      <c r="E9" s="6">
        <f t="shared" si="2"/>
        <v>0.99871272586895987</v>
      </c>
      <c r="F9" s="6">
        <f t="shared" si="3"/>
        <v>6.2296401741669463E-3</v>
      </c>
    </row>
    <row r="10" spans="1:9" x14ac:dyDescent="0.25">
      <c r="C10" s="7">
        <f t="shared" si="0"/>
        <v>7</v>
      </c>
      <c r="D10" s="6">
        <f t="shared" si="1"/>
        <v>1.0590784378128894E-3</v>
      </c>
      <c r="E10" s="6">
        <f t="shared" si="2"/>
        <v>0.99977180430677282</v>
      </c>
      <c r="F10" s="6">
        <f t="shared" si="3"/>
        <v>1.287274131040129E-3</v>
      </c>
    </row>
    <row r="11" spans="1:9" x14ac:dyDescent="0.25">
      <c r="C11" s="7">
        <f t="shared" si="0"/>
        <v>8</v>
      </c>
      <c r="D11" s="6">
        <f t="shared" si="1"/>
        <v>1.9306117355964136E-4</v>
      </c>
      <c r="E11" s="6">
        <f t="shared" si="2"/>
        <v>0.99996486548033248</v>
      </c>
      <c r="F11" s="6">
        <f t="shared" si="3"/>
        <v>2.2819569322723955E-4</v>
      </c>
    </row>
    <row r="12" spans="1:9" x14ac:dyDescent="0.25">
      <c r="C12" s="7">
        <f t="shared" si="0"/>
        <v>9</v>
      </c>
      <c r="D12" s="6">
        <f t="shared" si="1"/>
        <v>3.0389258801054656E-5</v>
      </c>
      <c r="E12" s="6">
        <f t="shared" si="2"/>
        <v>0.99999525473913353</v>
      </c>
      <c r="F12" s="6">
        <f t="shared" si="3"/>
        <v>3.5134519667598185E-5</v>
      </c>
    </row>
    <row r="13" spans="1:9" x14ac:dyDescent="0.25">
      <c r="C13" s="7">
        <f t="shared" si="0"/>
        <v>10</v>
      </c>
      <c r="D13" s="6">
        <f t="shared" si="1"/>
        <v>4.1785230851450134E-6</v>
      </c>
      <c r="E13" s="6">
        <f t="shared" si="2"/>
        <v>0.99999943326221863</v>
      </c>
      <c r="F13" s="6">
        <f t="shared" si="3"/>
        <v>4.7452608665435286E-6</v>
      </c>
    </row>
    <row r="14" spans="1:9" x14ac:dyDescent="0.25">
      <c r="C14" s="7">
        <f t="shared" si="0"/>
        <v>11</v>
      </c>
      <c r="D14" s="6">
        <f t="shared" si="1"/>
        <v>5.0648764668424562E-7</v>
      </c>
      <c r="E14" s="6">
        <f t="shared" si="2"/>
        <v>0.99999993974986534</v>
      </c>
      <c r="F14" s="6">
        <f t="shared" si="3"/>
        <v>5.6673778139851519E-7</v>
      </c>
    </row>
    <row r="15" spans="1:9" x14ac:dyDescent="0.25">
      <c r="C15" s="7">
        <f t="shared" si="0"/>
        <v>12</v>
      </c>
      <c r="D15" s="6">
        <f t="shared" si="1"/>
        <v>5.4517767525040288E-8</v>
      </c>
      <c r="E15" s="6">
        <f t="shared" si="2"/>
        <v>0.99999999426763286</v>
      </c>
      <c r="F15" s="6">
        <f t="shared" si="3"/>
        <v>6.0250134714269569E-8</v>
      </c>
    </row>
    <row r="16" spans="1:9" x14ac:dyDescent="0.25">
      <c r="C16" s="7">
        <f t="shared" si="0"/>
        <v>13</v>
      </c>
      <c r="D16" s="6">
        <f t="shared" si="1"/>
        <v>5.242093031253843E-9</v>
      </c>
      <c r="E16" s="6">
        <f t="shared" si="2"/>
        <v>0.99999999950972585</v>
      </c>
      <c r="F16" s="6">
        <f t="shared" si="3"/>
        <v>5.7323671892292805E-9</v>
      </c>
    </row>
    <row r="17" spans="3:6" x14ac:dyDescent="0.25">
      <c r="C17" s="7">
        <f t="shared" si="0"/>
        <v>14</v>
      </c>
      <c r="D17" s="6">
        <f t="shared" si="1"/>
        <v>4.5244255329274492E-10</v>
      </c>
      <c r="E17" s="6">
        <f t="shared" si="2"/>
        <v>0.99999999996216837</v>
      </c>
      <c r="F17" s="6">
        <f t="shared" si="3"/>
        <v>4.9027415797543753E-10</v>
      </c>
    </row>
    <row r="18" spans="3:6" x14ac:dyDescent="0.25">
      <c r="C18" s="7">
        <f t="shared" si="0"/>
        <v>15</v>
      </c>
      <c r="D18" s="6">
        <f t="shared" si="1"/>
        <v>3.5189976367213155E-11</v>
      </c>
      <c r="E18" s="6">
        <f t="shared" si="2"/>
        <v>0.99999999999735834</v>
      </c>
      <c r="F18" s="6">
        <f t="shared" si="3"/>
        <v>3.7831604682692615E-11</v>
      </c>
    </row>
    <row r="19" spans="3:6" x14ac:dyDescent="0.25">
      <c r="C19" s="7">
        <f t="shared" si="0"/>
        <v>16</v>
      </c>
      <c r="D19" s="6">
        <f t="shared" si="1"/>
        <v>2.4742952133196848E-12</v>
      </c>
      <c r="E19" s="6">
        <f t="shared" si="2"/>
        <v>0.99999999999983258</v>
      </c>
      <c r="F19" s="6">
        <f t="shared" si="3"/>
        <v>2.6416283154794603E-12</v>
      </c>
    </row>
    <row r="20" spans="3:6" x14ac:dyDescent="0.25">
      <c r="C20" s="7">
        <f t="shared" si="0"/>
        <v>17</v>
      </c>
      <c r="D20" s="6">
        <f t="shared" si="1"/>
        <v>1.5767567535860831E-13</v>
      </c>
      <c r="E20" s="6">
        <f t="shared" si="2"/>
        <v>0.99999999999999023</v>
      </c>
      <c r="F20" s="6">
        <f t="shared" si="3"/>
        <v>1.6733310215977547E-13</v>
      </c>
    </row>
    <row r="21" spans="3:6" x14ac:dyDescent="0.25">
      <c r="C21" s="7">
        <f t="shared" si="0"/>
        <v>18</v>
      </c>
      <c r="D21" s="6">
        <f t="shared" si="1"/>
        <v>9.124749731400889E-15</v>
      </c>
      <c r="E21" s="6">
        <f t="shared" si="2"/>
        <v>0.99999999999999933</v>
      </c>
      <c r="F21" s="6">
        <f t="shared" si="3"/>
        <v>9.6574268011671633E-15</v>
      </c>
    </row>
    <row r="22" spans="3:6" x14ac:dyDescent="0.25">
      <c r="C22" s="7">
        <f t="shared" si="0"/>
        <v>19</v>
      </c>
      <c r="D22" s="6">
        <f t="shared" si="1"/>
        <v>4.8024998586320766E-16</v>
      </c>
      <c r="E22" s="6">
        <f t="shared" si="2"/>
        <v>0.99999999999999978</v>
      </c>
      <c r="F22" s="6">
        <f t="shared" si="3"/>
        <v>5.3267706976627426E-16</v>
      </c>
    </row>
    <row r="23" spans="3:6" x14ac:dyDescent="0.25">
      <c r="C23" s="7">
        <f t="shared" si="0"/>
        <v>20</v>
      </c>
      <c r="D23" s="6">
        <f t="shared" si="1"/>
        <v>2.3011978489278659E-17</v>
      </c>
      <c r="E23" s="6">
        <f t="shared" si="2"/>
        <v>0.99999999999999978</v>
      </c>
      <c r="F23" s="6">
        <f t="shared" si="3"/>
        <v>5.2427083903066604E-17</v>
      </c>
    </row>
    <row r="24" spans="3:6" x14ac:dyDescent="0.25">
      <c r="C24" s="7">
        <f t="shared" si="0"/>
        <v>21</v>
      </c>
      <c r="D24" s="6">
        <f t="shared" si="1"/>
        <v>1.0044911245319965E-18</v>
      </c>
      <c r="E24" s="6">
        <f t="shared" si="2"/>
        <v>0.99999999999999978</v>
      </c>
      <c r="F24" s="6">
        <f t="shared" si="3"/>
        <v>2.9415105413787946E-17</v>
      </c>
    </row>
    <row r="25" spans="3:6" x14ac:dyDescent="0.25">
      <c r="C25" s="7">
        <f t="shared" si="0"/>
        <v>22</v>
      </c>
      <c r="D25" s="6">
        <f t="shared" si="1"/>
        <v>3.9951351543886584E-20</v>
      </c>
      <c r="E25" s="6">
        <f t="shared" si="2"/>
        <v>0.99999999999999978</v>
      </c>
      <c r="F25" s="6">
        <f t="shared" si="3"/>
        <v>2.841061428925595E-17</v>
      </c>
    </row>
    <row r="26" spans="3:6" x14ac:dyDescent="0.25">
      <c r="C26" s="7">
        <f t="shared" si="0"/>
        <v>23</v>
      </c>
      <c r="D26" s="6">
        <f t="shared" si="1"/>
        <v>1.4475127370973332E-21</v>
      </c>
      <c r="E26" s="6">
        <f t="shared" si="2"/>
        <v>0.99999999999999978</v>
      </c>
      <c r="F26" s="6">
        <f t="shared" si="3"/>
        <v>2.8370662937712061E-17</v>
      </c>
    </row>
    <row r="27" spans="3:6" x14ac:dyDescent="0.25">
      <c r="C27" s="7">
        <f t="shared" si="0"/>
        <v>24</v>
      </c>
      <c r="D27" s="6">
        <f t="shared" si="1"/>
        <v>4.7747815980641623E-23</v>
      </c>
      <c r="E27" s="6">
        <f t="shared" si="2"/>
        <v>0.99999999999999978</v>
      </c>
      <c r="F27" s="6">
        <f t="shared" si="3"/>
        <v>2.8369215424974967E-17</v>
      </c>
    </row>
    <row r="28" spans="3:6" x14ac:dyDescent="0.25">
      <c r="C28" s="7">
        <f t="shared" si="0"/>
        <v>25</v>
      </c>
      <c r="D28" s="6">
        <f t="shared" si="1"/>
        <v>1.4324344794192479E-24</v>
      </c>
      <c r="E28" s="6">
        <f t="shared" si="2"/>
        <v>0.99999999999999978</v>
      </c>
      <c r="F28" s="6">
        <f t="shared" si="3"/>
        <v>2.8369167677158988E-17</v>
      </c>
    </row>
    <row r="29" spans="3:6" x14ac:dyDescent="0.25">
      <c r="C29" s="7">
        <f t="shared" si="0"/>
        <v>26</v>
      </c>
      <c r="D29" s="6">
        <f t="shared" si="1"/>
        <v>3.9024657291870604E-26</v>
      </c>
      <c r="E29" s="6">
        <f t="shared" si="2"/>
        <v>0.99999999999999978</v>
      </c>
      <c r="F29" s="6">
        <f t="shared" si="3"/>
        <v>2.8369166244724506E-17</v>
      </c>
    </row>
    <row r="30" spans="3:6" x14ac:dyDescent="0.25">
      <c r="C30" s="7">
        <f t="shared" si="0"/>
        <v>27</v>
      </c>
      <c r="D30" s="6">
        <f t="shared" si="1"/>
        <v>9.6357178498445936E-28</v>
      </c>
      <c r="E30" s="6">
        <f t="shared" si="2"/>
        <v>0.99999999999999978</v>
      </c>
      <c r="F30" s="6">
        <f t="shared" si="3"/>
        <v>2.8369166205699847E-17</v>
      </c>
    </row>
    <row r="31" spans="3:6" x14ac:dyDescent="0.25">
      <c r="C31" s="7">
        <f t="shared" si="0"/>
        <v>28</v>
      </c>
      <c r="D31" s="6">
        <f t="shared" si="1"/>
        <v>2.1508298771974226E-29</v>
      </c>
      <c r="E31" s="6">
        <f t="shared" si="2"/>
        <v>0.99999999999999978</v>
      </c>
      <c r="F31" s="6">
        <f t="shared" si="3"/>
        <v>2.8369166204736278E-17</v>
      </c>
    </row>
    <row r="32" spans="3:6" x14ac:dyDescent="0.25">
      <c r="C32" s="7">
        <f t="shared" si="0"/>
        <v>29</v>
      </c>
      <c r="D32" s="6">
        <f t="shared" si="1"/>
        <v>4.3263819368913922E-31</v>
      </c>
      <c r="E32" s="6">
        <f t="shared" si="2"/>
        <v>0.99999999999999978</v>
      </c>
      <c r="F32" s="6">
        <f t="shared" si="3"/>
        <v>2.8369166204714769E-17</v>
      </c>
    </row>
    <row r="33" spans="3:6" x14ac:dyDescent="0.25">
      <c r="C33" s="7">
        <f t="shared" si="0"/>
        <v>30</v>
      </c>
      <c r="D33" s="6">
        <f t="shared" si="1"/>
        <v>7.8115229416093978E-33</v>
      </c>
      <c r="E33" s="6">
        <f t="shared" si="2"/>
        <v>0.99999999999999978</v>
      </c>
      <c r="F33" s="6">
        <f t="shared" si="3"/>
        <v>2.8369166204714338E-17</v>
      </c>
    </row>
    <row r="34" spans="3:6" x14ac:dyDescent="0.25">
      <c r="C34" s="7">
        <f t="shared" si="0"/>
        <v>31</v>
      </c>
      <c r="D34" s="6">
        <f t="shared" si="1"/>
        <v>1.2599230550982982E-34</v>
      </c>
      <c r="E34" s="6">
        <f t="shared" si="2"/>
        <v>0.99999999999999978</v>
      </c>
      <c r="F34" s="6">
        <f t="shared" si="3"/>
        <v>2.8369166204714332E-17</v>
      </c>
    </row>
    <row r="35" spans="3:6" x14ac:dyDescent="0.25">
      <c r="C35" s="7">
        <f t="shared" si="0"/>
        <v>32</v>
      </c>
      <c r="D35" s="6">
        <f t="shared" si="1"/>
        <v>1.8045772924585085E-36</v>
      </c>
      <c r="E35" s="6">
        <f t="shared" si="2"/>
        <v>0.99999999999999978</v>
      </c>
      <c r="F35" s="6">
        <f t="shared" si="3"/>
        <v>2.8369166204714332E-17</v>
      </c>
    </row>
    <row r="36" spans="3:6" x14ac:dyDescent="0.25">
      <c r="C36" s="7">
        <f t="shared" si="0"/>
        <v>33</v>
      </c>
      <c r="D36" s="6">
        <f t="shared" si="1"/>
        <v>2.2785066823970811E-38</v>
      </c>
      <c r="E36" s="6">
        <f t="shared" si="2"/>
        <v>0.99999999999999978</v>
      </c>
      <c r="F36" s="6">
        <f t="shared" si="3"/>
        <v>2.8369166204714332E-17</v>
      </c>
    </row>
    <row r="37" spans="3:6" x14ac:dyDescent="0.25">
      <c r="C37" s="7">
        <f t="shared" si="0"/>
        <v>34</v>
      </c>
      <c r="D37" s="6">
        <f t="shared" si="1"/>
        <v>2.5130588408791301E-40</v>
      </c>
      <c r="E37" s="6">
        <f t="shared" si="2"/>
        <v>0.99999999999999978</v>
      </c>
      <c r="F37" s="6">
        <f t="shared" si="3"/>
        <v>2.8369166204714332E-17</v>
      </c>
    </row>
    <row r="38" spans="3:6" x14ac:dyDescent="0.25">
      <c r="C38" s="7">
        <f t="shared" si="0"/>
        <v>35</v>
      </c>
      <c r="D38" s="6">
        <f t="shared" si="1"/>
        <v>2.3933893722659138E-42</v>
      </c>
      <c r="E38" s="6">
        <f t="shared" si="2"/>
        <v>0.99999999999999978</v>
      </c>
      <c r="F38" s="6">
        <f t="shared" si="3"/>
        <v>2.8369166204714332E-17</v>
      </c>
    </row>
    <row r="39" spans="3:6" x14ac:dyDescent="0.25">
      <c r="C39" s="7">
        <f t="shared" si="0"/>
        <v>36</v>
      </c>
      <c r="D39" s="6">
        <f t="shared" si="1"/>
        <v>1.9390886117894634E-44</v>
      </c>
      <c r="E39" s="6">
        <f t="shared" si="2"/>
        <v>0.99999999999999978</v>
      </c>
      <c r="F39" s="6">
        <f t="shared" si="3"/>
        <v>2.8369166204714332E-17</v>
      </c>
    </row>
    <row r="40" spans="3:6" x14ac:dyDescent="0.25">
      <c r="C40" s="7">
        <f t="shared" si="0"/>
        <v>37</v>
      </c>
      <c r="D40" s="6">
        <f t="shared" si="1"/>
        <v>1.3101950079658415E-46</v>
      </c>
      <c r="E40" s="6">
        <f t="shared" si="2"/>
        <v>0.99999999999999978</v>
      </c>
      <c r="F40" s="6">
        <f t="shared" si="3"/>
        <v>2.8369166204714332E-17</v>
      </c>
    </row>
    <row r="41" spans="3:6" x14ac:dyDescent="0.25">
      <c r="C41" s="7">
        <f t="shared" si="0"/>
        <v>38</v>
      </c>
      <c r="D41" s="6">
        <f t="shared" si="1"/>
        <v>7.1830866664794029E-49</v>
      </c>
      <c r="E41" s="6">
        <f t="shared" si="2"/>
        <v>0.99999999999999978</v>
      </c>
      <c r="F41" s="6">
        <f t="shared" si="3"/>
        <v>2.8369166204714332E-17</v>
      </c>
    </row>
    <row r="42" spans="3:6" x14ac:dyDescent="0.25">
      <c r="C42" s="7">
        <f t="shared" si="0"/>
        <v>39</v>
      </c>
      <c r="D42" s="6">
        <f t="shared" si="1"/>
        <v>3.0696951566152081E-51</v>
      </c>
      <c r="E42" s="6">
        <f t="shared" si="2"/>
        <v>0.99999999999999978</v>
      </c>
      <c r="F42" s="6">
        <f t="shared" si="3"/>
        <v>2.8369166204714332E-17</v>
      </c>
    </row>
    <row r="43" spans="3:6" x14ac:dyDescent="0.25">
      <c r="C43" s="7">
        <f t="shared" si="0"/>
        <v>40</v>
      </c>
      <c r="D43" s="6">
        <f t="shared" si="1"/>
        <v>9.5927973644224313E-54</v>
      </c>
      <c r="E43" s="6">
        <f t="shared" si="2"/>
        <v>0.99999999999999978</v>
      </c>
      <c r="F43" s="6">
        <f t="shared" si="3"/>
        <v>2.8369166204714332E-17</v>
      </c>
    </row>
    <row r="44" spans="3:6" x14ac:dyDescent="0.25">
      <c r="C44" s="7">
        <f t="shared" si="0"/>
        <v>41</v>
      </c>
      <c r="D44" s="6">
        <f t="shared" si="1"/>
        <v>1.9497555618744569E-56</v>
      </c>
      <c r="E44" s="6">
        <f t="shared" si="2"/>
        <v>0.99999999999999978</v>
      </c>
      <c r="F44" s="6">
        <f t="shared" si="3"/>
        <v>2.8369166204714332E-17</v>
      </c>
    </row>
    <row r="45" spans="3:6" x14ac:dyDescent="0.25">
      <c r="C45" s="7">
        <f t="shared" si="0"/>
        <v>42</v>
      </c>
      <c r="D45" s="6">
        <f t="shared" si="1"/>
        <v>1.9342813113834474E-59</v>
      </c>
      <c r="E45" s="6">
        <f t="shared" si="2"/>
        <v>0.99999999999999978</v>
      </c>
      <c r="F45" s="6">
        <f t="shared" si="3"/>
        <v>2.8369166204714332E-17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8D8D-2E2A-4843-8B8E-F96CB47155F1}">
  <sheetPr>
    <tabColor theme="7" tint="0.59999389629810485"/>
  </sheetPr>
  <dimension ref="A1:Q43"/>
  <sheetViews>
    <sheetView zoomScale="66" zoomScaleNormal="100" workbookViewId="0">
      <selection activeCell="N19" sqref="N19"/>
    </sheetView>
  </sheetViews>
  <sheetFormatPr defaultRowHeight="15.6" x14ac:dyDescent="0.3"/>
  <cols>
    <col min="1" max="1" width="17" style="18" customWidth="1"/>
    <col min="2" max="5" width="8.88671875" style="18"/>
    <col min="6" max="6" width="15.77734375" style="19" customWidth="1"/>
    <col min="7" max="7" width="8.88671875" style="18"/>
    <col min="8" max="8" width="8.33203125" style="18" customWidth="1"/>
    <col min="9" max="9" width="8.88671875" style="18"/>
    <col min="10" max="10" width="18.88671875" style="18" customWidth="1"/>
    <col min="11" max="11" width="39.21875" style="18" customWidth="1"/>
    <col min="12" max="12" width="8.88671875" style="18"/>
    <col min="13" max="13" width="12.88671875" style="18" bestFit="1" customWidth="1"/>
    <col min="14" max="14" width="24.109375" style="18" bestFit="1" customWidth="1"/>
    <col min="15" max="15" width="24.88671875" style="18" bestFit="1" customWidth="1"/>
    <col min="16" max="17" width="12.88671875" style="18" bestFit="1" customWidth="1"/>
    <col min="18" max="16384" width="8.88671875" style="18"/>
  </cols>
  <sheetData>
    <row r="1" spans="1:17" x14ac:dyDescent="0.3">
      <c r="A1" s="18" t="s">
        <v>86</v>
      </c>
    </row>
    <row r="2" spans="1:17" ht="30" customHeight="1" x14ac:dyDescent="0.3">
      <c r="A2" s="18" t="s">
        <v>133</v>
      </c>
      <c r="B2" s="18" t="s">
        <v>87</v>
      </c>
      <c r="C2" s="18" t="s">
        <v>88</v>
      </c>
      <c r="D2" s="18" t="s">
        <v>89</v>
      </c>
      <c r="E2" s="18" t="s">
        <v>90</v>
      </c>
      <c r="F2" s="19" t="s">
        <v>91</v>
      </c>
      <c r="J2" s="18" t="s">
        <v>134</v>
      </c>
    </row>
    <row r="3" spans="1:17" x14ac:dyDescent="0.3">
      <c r="A3" s="18" t="s">
        <v>92</v>
      </c>
      <c r="B3" s="18">
        <v>1032</v>
      </c>
      <c r="C3" s="18">
        <v>2</v>
      </c>
      <c r="D3" s="18">
        <v>3</v>
      </c>
      <c r="E3" s="18">
        <v>2.5184108527131768</v>
      </c>
      <c r="F3" s="19">
        <v>0.49990318538779327</v>
      </c>
      <c r="H3" s="18">
        <f>B3*E3</f>
        <v>2598.9999999999986</v>
      </c>
      <c r="I3" s="18">
        <f>ROUND(H3,0)</f>
        <v>2599</v>
      </c>
      <c r="M3" s="20" t="s">
        <v>135</v>
      </c>
      <c r="N3" s="20" t="s">
        <v>136</v>
      </c>
      <c r="O3" s="20" t="s">
        <v>137</v>
      </c>
      <c r="P3" s="20" t="s">
        <v>138</v>
      </c>
      <c r="Q3" s="20" t="s">
        <v>139</v>
      </c>
    </row>
    <row r="4" spans="1:17" x14ac:dyDescent="0.3">
      <c r="A4" s="18" t="s">
        <v>93</v>
      </c>
      <c r="B4" s="18">
        <v>1032</v>
      </c>
      <c r="C4" s="18">
        <v>1</v>
      </c>
      <c r="D4" s="18">
        <v>2</v>
      </c>
      <c r="E4" s="18">
        <v>1.3856589147286822</v>
      </c>
      <c r="F4" s="19">
        <v>0.48698656908127597</v>
      </c>
      <c r="H4" s="18">
        <f>B4*E4</f>
        <v>1430</v>
      </c>
      <c r="I4" s="18">
        <f t="shared" ref="I4:I42" si="0">ROUND(H4,0)</f>
        <v>1430</v>
      </c>
      <c r="J4" s="18">
        <f>2*B4-I4</f>
        <v>634</v>
      </c>
      <c r="K4" s="18" t="str">
        <f>A4&amp;";"&amp;B4&amp;";" &amp;J4</f>
        <v>sex of patient;1032;634</v>
      </c>
      <c r="M4" s="20">
        <v>0.61434108527131803</v>
      </c>
      <c r="N4" s="20">
        <v>0.58464339384532105</v>
      </c>
      <c r="O4" s="20">
        <v>0.64403877669731502</v>
      </c>
      <c r="P4" s="20">
        <v>2.96976914259971E-2</v>
      </c>
      <c r="Q4" s="20">
        <v>2.96976914259971E-2</v>
      </c>
    </row>
    <row r="5" spans="1:17" x14ac:dyDescent="0.3">
      <c r="A5" s="18" t="s">
        <v>94</v>
      </c>
      <c r="B5" s="18">
        <v>1032</v>
      </c>
      <c r="C5" s="18">
        <v>1</v>
      </c>
      <c r="D5" s="18">
        <v>2</v>
      </c>
      <c r="E5" s="18">
        <v>1.9728682170542642</v>
      </c>
      <c r="F5" s="19">
        <v>0.16254615125435501</v>
      </c>
      <c r="H5" s="18">
        <f t="shared" ref="H5:H42" si="1">B5*E5</f>
        <v>2036.0000000000007</v>
      </c>
      <c r="I5" s="18">
        <f t="shared" si="0"/>
        <v>2036</v>
      </c>
      <c r="J5" s="18">
        <f t="shared" ref="J5:J42" si="2">2*B5-I5</f>
        <v>28</v>
      </c>
      <c r="K5" s="18" t="str">
        <f t="shared" ref="K5:K42" si="3">A5&amp;";"&amp;B5&amp;";" &amp;J5</f>
        <v>cancer;1032;28</v>
      </c>
      <c r="M5" s="20">
        <v>2.7131782945736399E-2</v>
      </c>
      <c r="N5" s="20">
        <v>1.88985469285399E-2</v>
      </c>
      <c r="O5" s="20">
        <v>3.7838433403521797E-2</v>
      </c>
      <c r="P5" s="20">
        <v>8.2332360171965598E-3</v>
      </c>
      <c r="Q5" s="20">
        <v>1.0706650457785301E-2</v>
      </c>
    </row>
    <row r="6" spans="1:17" x14ac:dyDescent="0.3">
      <c r="A6" s="18" t="s">
        <v>95</v>
      </c>
      <c r="B6" s="18">
        <v>1032</v>
      </c>
      <c r="C6" s="18">
        <v>1</v>
      </c>
      <c r="D6" s="18">
        <v>2</v>
      </c>
      <c r="E6" s="18">
        <v>1.9883720930232558</v>
      </c>
      <c r="F6" s="19">
        <v>0.10725598301996093</v>
      </c>
      <c r="H6" s="18">
        <f t="shared" si="1"/>
        <v>2052</v>
      </c>
      <c r="I6" s="18">
        <f t="shared" si="0"/>
        <v>2052</v>
      </c>
      <c r="J6" s="18">
        <f t="shared" si="2"/>
        <v>12</v>
      </c>
      <c r="K6" s="18" t="str">
        <f t="shared" si="3"/>
        <v>cirros of liver;1032;12</v>
      </c>
      <c r="M6" s="20">
        <v>1.16279069767442E-2</v>
      </c>
      <c r="N6" s="20">
        <v>6.72390207182616E-3</v>
      </c>
      <c r="O6" s="20">
        <v>1.8991546472534499E-2</v>
      </c>
      <c r="P6" s="20">
        <v>4.9040049049180303E-3</v>
      </c>
      <c r="Q6" s="20">
        <v>7.3636394957903497E-3</v>
      </c>
    </row>
    <row r="7" spans="1:17" x14ac:dyDescent="0.3">
      <c r="A7" s="18" t="s">
        <v>96</v>
      </c>
      <c r="B7" s="18">
        <v>1032</v>
      </c>
      <c r="C7" s="18">
        <v>1</v>
      </c>
      <c r="D7" s="18">
        <v>2</v>
      </c>
      <c r="E7" s="18">
        <v>1.9253875968992256</v>
      </c>
      <c r="F7" s="19">
        <v>0.26289230066147024</v>
      </c>
      <c r="H7" s="18">
        <f t="shared" si="1"/>
        <v>1987.0000000000007</v>
      </c>
      <c r="I7" s="18">
        <f t="shared" si="0"/>
        <v>1987</v>
      </c>
      <c r="J7" s="18">
        <f t="shared" si="2"/>
        <v>77</v>
      </c>
      <c r="K7" s="18" t="str">
        <f t="shared" si="3"/>
        <v>chronical heart failure 2-3;1032;77</v>
      </c>
      <c r="M7" s="20">
        <v>7.4612403100775201E-2</v>
      </c>
      <c r="N7" s="20">
        <v>6.0199392028152901E-2</v>
      </c>
      <c r="O7" s="20">
        <v>9.1311276890337495E-2</v>
      </c>
      <c r="P7" s="20">
        <v>1.44130110726222E-2</v>
      </c>
      <c r="Q7" s="20">
        <v>1.66988737895623E-2</v>
      </c>
    </row>
    <row r="8" spans="1:17" x14ac:dyDescent="0.3">
      <c r="A8" s="18" t="s">
        <v>97</v>
      </c>
      <c r="B8" s="18">
        <v>1032</v>
      </c>
      <c r="C8" s="18">
        <v>1</v>
      </c>
      <c r="D8" s="18">
        <v>2</v>
      </c>
      <c r="E8" s="18">
        <v>1.9738372093023249</v>
      </c>
      <c r="F8" s="19">
        <v>0.15969662269702781</v>
      </c>
      <c r="H8" s="18">
        <f t="shared" si="1"/>
        <v>2036.9999999999993</v>
      </c>
      <c r="I8" s="18">
        <f t="shared" si="0"/>
        <v>2037</v>
      </c>
      <c r="J8" s="18">
        <f t="shared" si="2"/>
        <v>27</v>
      </c>
      <c r="K8" s="18" t="str">
        <f t="shared" si="3"/>
        <v>cerebro-vascula disease;1032;27</v>
      </c>
      <c r="M8" s="20">
        <v>2.6162790697674399E-2</v>
      </c>
      <c r="N8" s="20">
        <v>1.81029222439975E-2</v>
      </c>
      <c r="O8" s="20">
        <v>3.6697962787002297E-2</v>
      </c>
      <c r="P8" s="20">
        <v>8.0598684536769705E-3</v>
      </c>
      <c r="Q8" s="20">
        <v>1.05351720893279E-2</v>
      </c>
    </row>
    <row r="9" spans="1:17" x14ac:dyDescent="0.3">
      <c r="A9" s="18" t="s">
        <v>98</v>
      </c>
      <c r="B9" s="18">
        <v>1032</v>
      </c>
      <c r="C9" s="18">
        <v>1</v>
      </c>
      <c r="D9" s="18">
        <v>2</v>
      </c>
      <c r="E9" s="18">
        <v>1.9932170542635634</v>
      </c>
      <c r="F9" s="19">
        <v>8.2118644383761819E-2</v>
      </c>
      <c r="H9" s="18">
        <f t="shared" si="1"/>
        <v>2056.9999999999973</v>
      </c>
      <c r="I9" s="18">
        <f t="shared" si="0"/>
        <v>2057</v>
      </c>
      <c r="J9" s="18">
        <f t="shared" si="2"/>
        <v>7</v>
      </c>
      <c r="K9" s="18" t="str">
        <f t="shared" si="3"/>
        <v>chronical renal failure 2-3;1032;7</v>
      </c>
      <c r="M9" s="20">
        <v>6.7829457364341102E-3</v>
      </c>
      <c r="N9" s="20">
        <v>3.3525048638694001E-3</v>
      </c>
      <c r="O9" s="20">
        <v>1.26112888101488E-2</v>
      </c>
      <c r="P9" s="20">
        <v>3.43044087256471E-3</v>
      </c>
      <c r="Q9" s="20">
        <v>5.8283430737147302E-3</v>
      </c>
    </row>
    <row r="10" spans="1:17" x14ac:dyDescent="0.3">
      <c r="A10" s="18" t="s">
        <v>99</v>
      </c>
      <c r="B10" s="18">
        <v>1032</v>
      </c>
      <c r="C10" s="18">
        <v>1</v>
      </c>
      <c r="D10" s="18">
        <v>2</v>
      </c>
      <c r="E10" s="18">
        <v>1.5552325581395343</v>
      </c>
      <c r="F10" s="19">
        <v>0.49718094154770304</v>
      </c>
      <c r="H10" s="18">
        <f t="shared" si="1"/>
        <v>1604.9999999999993</v>
      </c>
      <c r="I10" s="18">
        <f t="shared" si="0"/>
        <v>1605</v>
      </c>
      <c r="J10" s="18">
        <f t="shared" si="2"/>
        <v>459</v>
      </c>
      <c r="K10" s="18" t="str">
        <f t="shared" si="3"/>
        <v>chronical obstructive pulmonary disease;1032;459</v>
      </c>
      <c r="M10" s="20">
        <v>0.44476744186046502</v>
      </c>
      <c r="N10" s="20">
        <v>0.41444807142520701</v>
      </c>
      <c r="O10" s="20">
        <v>0.47508681229572303</v>
      </c>
      <c r="P10" s="20">
        <v>3.03193704352577E-2</v>
      </c>
      <c r="Q10" s="20">
        <v>3.03193704352577E-2</v>
      </c>
    </row>
    <row r="11" spans="1:17" x14ac:dyDescent="0.3">
      <c r="A11" s="18" t="s">
        <v>100</v>
      </c>
      <c r="B11" s="18">
        <v>1032</v>
      </c>
      <c r="C11" s="18">
        <v>1</v>
      </c>
      <c r="D11" s="18">
        <v>2</v>
      </c>
      <c r="E11" s="18">
        <v>1.9903100775193796</v>
      </c>
      <c r="F11" s="19">
        <v>9.8006812918600125E-2</v>
      </c>
      <c r="H11" s="18">
        <f t="shared" si="1"/>
        <v>2053.9999999999995</v>
      </c>
      <c r="I11" s="18">
        <f t="shared" si="0"/>
        <v>2054</v>
      </c>
      <c r="J11" s="18">
        <f t="shared" si="2"/>
        <v>10</v>
      </c>
      <c r="K11" s="18" t="str">
        <f t="shared" si="3"/>
        <v>diabites mellitus;1032;10</v>
      </c>
      <c r="M11" s="20">
        <v>9.6899224806201497E-3</v>
      </c>
      <c r="N11" s="20">
        <v>5.3325648768805002E-3</v>
      </c>
      <c r="O11" s="20">
        <v>1.64902342949063E-2</v>
      </c>
      <c r="P11" s="20">
        <v>4.3573576037396599E-3</v>
      </c>
      <c r="Q11" s="20">
        <v>6.8003118142861002E-3</v>
      </c>
    </row>
    <row r="12" spans="1:17" x14ac:dyDescent="0.3">
      <c r="A12" s="18" t="s">
        <v>101</v>
      </c>
      <c r="B12" s="18">
        <v>1032</v>
      </c>
      <c r="C12" s="18">
        <v>1</v>
      </c>
      <c r="D12" s="18">
        <v>2</v>
      </c>
      <c r="E12" s="18">
        <v>1.8914728682170538</v>
      </c>
      <c r="F12" s="19">
        <v>0.31119581199746649</v>
      </c>
      <c r="H12" s="18">
        <f t="shared" si="1"/>
        <v>1951.9999999999995</v>
      </c>
      <c r="I12" s="18">
        <f t="shared" si="0"/>
        <v>1952</v>
      </c>
      <c r="J12" s="18">
        <f t="shared" si="2"/>
        <v>112</v>
      </c>
      <c r="K12" s="18" t="str">
        <f t="shared" si="3"/>
        <v>decreased lever of consciousness;1032;112</v>
      </c>
    </row>
    <row r="13" spans="1:17" x14ac:dyDescent="0.3">
      <c r="A13" s="18" t="s">
        <v>102</v>
      </c>
      <c r="B13" s="18">
        <v>1032</v>
      </c>
      <c r="C13" s="18">
        <v>1</v>
      </c>
      <c r="D13" s="18">
        <v>2</v>
      </c>
      <c r="E13" s="18">
        <v>1.8711240310077524</v>
      </c>
      <c r="F13" s="19">
        <v>0.33522506608421304</v>
      </c>
      <c r="H13" s="18">
        <f t="shared" si="1"/>
        <v>1931.0000000000005</v>
      </c>
      <c r="I13" s="18">
        <f t="shared" si="0"/>
        <v>1931</v>
      </c>
      <c r="J13" s="18">
        <f t="shared" si="2"/>
        <v>133</v>
      </c>
      <c r="K13" s="18" t="str">
        <f t="shared" si="3"/>
        <v>bilateral pneumonia;1032;133</v>
      </c>
    </row>
    <row r="14" spans="1:17" x14ac:dyDescent="0.3">
      <c r="A14" s="18" t="s">
        <v>103</v>
      </c>
      <c r="B14" s="18">
        <v>1032</v>
      </c>
      <c r="C14" s="18">
        <v>1</v>
      </c>
      <c r="D14" s="18">
        <v>3</v>
      </c>
      <c r="E14" s="18">
        <v>1.1879844961240296</v>
      </c>
      <c r="F14" s="19">
        <v>0.43101284606637513</v>
      </c>
      <c r="H14" s="18">
        <f t="shared" si="1"/>
        <v>1225.9999999999984</v>
      </c>
      <c r="I14" s="18">
        <f t="shared" si="0"/>
        <v>1226</v>
      </c>
      <c r="J14" s="18">
        <f t="shared" si="2"/>
        <v>838</v>
      </c>
      <c r="K14" s="18" t="str">
        <f t="shared" si="3"/>
        <v>multilober pneumonia (2 and more);1032;838</v>
      </c>
    </row>
    <row r="15" spans="1:17" x14ac:dyDescent="0.3">
      <c r="A15" s="18" t="s">
        <v>104</v>
      </c>
      <c r="B15" s="18">
        <v>1032</v>
      </c>
      <c r="C15" s="18">
        <v>1</v>
      </c>
      <c r="D15" s="18">
        <v>2</v>
      </c>
      <c r="E15" s="18">
        <v>1.8624031007751929</v>
      </c>
      <c r="F15" s="19">
        <v>0.34464342234340645</v>
      </c>
      <c r="H15" s="18">
        <f t="shared" si="1"/>
        <v>1921.9999999999991</v>
      </c>
      <c r="I15" s="18">
        <f t="shared" si="0"/>
        <v>1922</v>
      </c>
      <c r="J15" s="18">
        <f t="shared" si="2"/>
        <v>142</v>
      </c>
      <c r="K15" s="18" t="str">
        <f t="shared" si="3"/>
        <v>ecsudat plevritis;1032;142</v>
      </c>
    </row>
    <row r="16" spans="1:17" x14ac:dyDescent="0.3">
      <c r="A16" s="18" t="s">
        <v>105</v>
      </c>
      <c r="B16" s="18">
        <v>1032</v>
      </c>
      <c r="C16" s="18">
        <v>1</v>
      </c>
      <c r="D16" s="18">
        <v>2</v>
      </c>
      <c r="E16" s="18">
        <v>1.920542635658915</v>
      </c>
      <c r="F16" s="19">
        <v>0.27058240187006954</v>
      </c>
      <c r="H16" s="18">
        <f t="shared" si="1"/>
        <v>1982.0000000000002</v>
      </c>
      <c r="I16" s="18">
        <f t="shared" si="0"/>
        <v>1982</v>
      </c>
      <c r="J16" s="18">
        <f t="shared" si="2"/>
        <v>82</v>
      </c>
      <c r="K16" s="18" t="str">
        <f t="shared" si="3"/>
        <v>plevritis of lungs (сухой);1032;82</v>
      </c>
    </row>
    <row r="17" spans="1:14" x14ac:dyDescent="0.3">
      <c r="A17" s="18" t="s">
        <v>106</v>
      </c>
      <c r="B17" s="18">
        <v>1032</v>
      </c>
      <c r="C17" s="18">
        <v>1</v>
      </c>
      <c r="D17" s="18">
        <v>2</v>
      </c>
      <c r="E17" s="18">
        <v>1.9718992248062011</v>
      </c>
      <c r="F17" s="19">
        <v>0.16534089500480262</v>
      </c>
      <c r="H17" s="18">
        <f t="shared" si="1"/>
        <v>2034.9999999999995</v>
      </c>
      <c r="I17" s="18">
        <f t="shared" si="0"/>
        <v>2035</v>
      </c>
      <c r="J17" s="18">
        <f t="shared" si="2"/>
        <v>29</v>
      </c>
      <c r="K17" s="18" t="str">
        <f t="shared" si="3"/>
        <v>abscess of lungs;1032;29</v>
      </c>
    </row>
    <row r="18" spans="1:14" x14ac:dyDescent="0.3">
      <c r="A18" s="18" t="s">
        <v>107</v>
      </c>
      <c r="B18" s="18">
        <v>1032</v>
      </c>
      <c r="C18" s="18">
        <v>1</v>
      </c>
      <c r="D18" s="18">
        <v>2</v>
      </c>
      <c r="E18" s="18">
        <v>1.9777131782945734</v>
      </c>
      <c r="F18" s="19">
        <v>0.14768633728262245</v>
      </c>
      <c r="H18" s="18">
        <f t="shared" si="1"/>
        <v>2040.9999999999998</v>
      </c>
      <c r="I18" s="18">
        <f t="shared" si="0"/>
        <v>2041</v>
      </c>
      <c r="J18" s="18">
        <f t="shared" si="2"/>
        <v>23</v>
      </c>
      <c r="K18" s="18" t="str">
        <f t="shared" si="3"/>
        <v>empiema of lungs;1032;23</v>
      </c>
    </row>
    <row r="19" spans="1:14" x14ac:dyDescent="0.3">
      <c r="A19" s="18" t="s">
        <v>108</v>
      </c>
      <c r="B19" s="18">
        <v>1032</v>
      </c>
      <c r="C19" s="18">
        <v>1</v>
      </c>
      <c r="D19" s="18">
        <v>2</v>
      </c>
      <c r="E19" s="18">
        <v>1.9961240310077533</v>
      </c>
      <c r="F19" s="19">
        <v>6.2166636646679249E-2</v>
      </c>
      <c r="H19" s="18">
        <f t="shared" si="1"/>
        <v>2060.0000000000014</v>
      </c>
      <c r="I19" s="18">
        <f t="shared" si="0"/>
        <v>2060</v>
      </c>
      <c r="J19" s="18">
        <f t="shared" si="2"/>
        <v>4</v>
      </c>
      <c r="K19" s="18" t="str">
        <f t="shared" si="3"/>
        <v>miocarditis or pericarditis;1032;4</v>
      </c>
      <c r="N19"/>
    </row>
    <row r="20" spans="1:14" x14ac:dyDescent="0.3">
      <c r="A20" s="18" t="s">
        <v>109</v>
      </c>
      <c r="B20" s="18">
        <v>1032</v>
      </c>
      <c r="C20" s="18">
        <v>1</v>
      </c>
      <c r="D20" s="18">
        <v>2</v>
      </c>
      <c r="E20" s="18">
        <v>1.9786821705426354</v>
      </c>
      <c r="F20" s="19">
        <v>0.14451164543483411</v>
      </c>
      <c r="H20" s="18">
        <f t="shared" si="1"/>
        <v>2041.9999999999998</v>
      </c>
      <c r="I20" s="18">
        <f t="shared" si="0"/>
        <v>2042</v>
      </c>
      <c r="J20" s="18">
        <f t="shared" si="2"/>
        <v>22</v>
      </c>
      <c r="K20" s="18" t="str">
        <f t="shared" si="3"/>
        <v>haemorrage;1032;22</v>
      </c>
    </row>
    <row r="21" spans="1:14" x14ac:dyDescent="0.3">
      <c r="A21" s="18" t="s">
        <v>110</v>
      </c>
      <c r="B21" s="18">
        <v>1032</v>
      </c>
      <c r="C21" s="18">
        <v>1</v>
      </c>
      <c r="D21" s="18">
        <v>2</v>
      </c>
      <c r="E21" s="18">
        <v>1.9844961240310082</v>
      </c>
      <c r="F21" s="19">
        <v>0.12360546251374079</v>
      </c>
      <c r="H21" s="18">
        <f t="shared" si="1"/>
        <v>2048.0000000000005</v>
      </c>
      <c r="I21" s="18">
        <f t="shared" si="0"/>
        <v>2048</v>
      </c>
      <c r="J21" s="18">
        <f t="shared" si="2"/>
        <v>16</v>
      </c>
      <c r="K21" s="18" t="str">
        <f t="shared" si="3"/>
        <v>meningitis;1032;16</v>
      </c>
      <c r="N21"/>
    </row>
    <row r="22" spans="1:14" x14ac:dyDescent="0.3">
      <c r="A22" s="18" t="s">
        <v>111</v>
      </c>
      <c r="B22" s="18">
        <v>1032</v>
      </c>
      <c r="C22" s="18">
        <v>1</v>
      </c>
      <c r="D22" s="18">
        <v>2</v>
      </c>
      <c r="E22" s="18">
        <v>1.9883720930232545</v>
      </c>
      <c r="F22" s="19">
        <v>0.10725598301996095</v>
      </c>
      <c r="H22" s="18">
        <f t="shared" si="1"/>
        <v>2051.9999999999986</v>
      </c>
      <c r="I22" s="18">
        <f t="shared" si="0"/>
        <v>2052</v>
      </c>
      <c r="J22" s="18">
        <f t="shared" si="2"/>
        <v>12</v>
      </c>
      <c r="K22" s="18" t="str">
        <f t="shared" si="3"/>
        <v>acute renal failure;1032;12</v>
      </c>
    </row>
    <row r="23" spans="1:14" x14ac:dyDescent="0.3">
      <c r="A23" s="18" t="s">
        <v>112</v>
      </c>
      <c r="B23" s="18">
        <v>1032</v>
      </c>
      <c r="C23" s="18">
        <v>1</v>
      </c>
      <c r="D23" s="18">
        <v>2</v>
      </c>
      <c r="E23" s="18">
        <v>1.9990310077519364</v>
      </c>
      <c r="F23" s="19">
        <v>3.1128640318234577E-2</v>
      </c>
      <c r="H23" s="18">
        <f t="shared" si="1"/>
        <v>2062.9999999999982</v>
      </c>
      <c r="I23" s="18">
        <f t="shared" si="0"/>
        <v>2063</v>
      </c>
      <c r="J23" s="18">
        <f t="shared" si="2"/>
        <v>1</v>
      </c>
      <c r="K23" s="18" t="str">
        <f t="shared" si="3"/>
        <v>reactive artritis;1032;1</v>
      </c>
    </row>
    <row r="24" spans="1:14" x14ac:dyDescent="0.3">
      <c r="A24" s="18" t="s">
        <v>113</v>
      </c>
      <c r="B24" s="18">
        <v>1032</v>
      </c>
      <c r="C24" s="18">
        <v>1</v>
      </c>
      <c r="D24" s="18">
        <v>2</v>
      </c>
      <c r="E24" s="18">
        <v>1.996124031007751</v>
      </c>
      <c r="F24" s="19">
        <v>6.2166636646679249E-2</v>
      </c>
      <c r="H24" s="18">
        <f t="shared" si="1"/>
        <v>2059.9999999999991</v>
      </c>
      <c r="I24" s="18">
        <f t="shared" si="0"/>
        <v>2060</v>
      </c>
      <c r="J24" s="18">
        <f t="shared" si="2"/>
        <v>4</v>
      </c>
      <c r="K24" s="18" t="str">
        <f t="shared" si="3"/>
        <v>polyorgan failure (septic shock);1032;4</v>
      </c>
    </row>
    <row r="25" spans="1:14" x14ac:dyDescent="0.3">
      <c r="A25" s="18" t="s">
        <v>114</v>
      </c>
      <c r="B25" s="18">
        <v>109</v>
      </c>
      <c r="C25" s="18">
        <v>1</v>
      </c>
      <c r="D25" s="18">
        <v>2</v>
      </c>
      <c r="E25" s="18">
        <v>1.724770642201835</v>
      </c>
      <c r="F25" s="19">
        <v>0.44869274385641528</v>
      </c>
      <c r="H25" s="18">
        <f t="shared" si="1"/>
        <v>188</v>
      </c>
      <c r="I25" s="18">
        <f t="shared" si="0"/>
        <v>188</v>
      </c>
      <c r="J25" s="18">
        <f t="shared" si="2"/>
        <v>30</v>
      </c>
      <c r="K25" s="18" t="str">
        <f t="shared" si="3"/>
        <v>Streptococcus pneumoniae;109;30</v>
      </c>
    </row>
    <row r="26" spans="1:14" x14ac:dyDescent="0.3">
      <c r="A26" s="18" t="s">
        <v>115</v>
      </c>
      <c r="B26" s="18">
        <v>109</v>
      </c>
      <c r="C26" s="18">
        <v>2</v>
      </c>
      <c r="D26" s="18">
        <v>2</v>
      </c>
      <c r="E26" s="18">
        <v>2</v>
      </c>
      <c r="F26" s="19">
        <v>0</v>
      </c>
      <c r="H26" s="18">
        <f t="shared" si="1"/>
        <v>218</v>
      </c>
      <c r="I26" s="18">
        <f t="shared" si="0"/>
        <v>218</v>
      </c>
      <c r="J26" s="18">
        <f t="shared" si="2"/>
        <v>0</v>
      </c>
      <c r="K26" s="18" t="str">
        <f t="shared" si="3"/>
        <v>Haemophilus influenzae;109;0</v>
      </c>
    </row>
    <row r="27" spans="1:14" x14ac:dyDescent="0.3">
      <c r="A27" s="18" t="s">
        <v>116</v>
      </c>
      <c r="B27" s="18">
        <v>109</v>
      </c>
      <c r="C27" s="18">
        <v>1</v>
      </c>
      <c r="D27" s="18">
        <v>2</v>
      </c>
      <c r="E27" s="18">
        <v>1.5688073394495419</v>
      </c>
      <c r="F27" s="19">
        <v>0.49753042856999313</v>
      </c>
      <c r="H27" s="18">
        <f t="shared" si="1"/>
        <v>171.00000000000006</v>
      </c>
      <c r="I27" s="18">
        <f t="shared" si="0"/>
        <v>171</v>
      </c>
      <c r="J27" s="18">
        <f t="shared" si="2"/>
        <v>47</v>
      </c>
      <c r="K27" s="18" t="str">
        <f t="shared" si="3"/>
        <v>Staphylococcus aureus;109;47</v>
      </c>
    </row>
    <row r="28" spans="1:14" x14ac:dyDescent="0.3">
      <c r="A28" s="18" t="s">
        <v>117</v>
      </c>
      <c r="B28" s="18">
        <v>109</v>
      </c>
      <c r="C28" s="18">
        <v>1</v>
      </c>
      <c r="D28" s="18">
        <v>2</v>
      </c>
      <c r="E28" s="18">
        <v>1.7064220183486238</v>
      </c>
      <c r="F28" s="19">
        <v>0.45750434714749044</v>
      </c>
      <c r="H28" s="18">
        <f t="shared" si="1"/>
        <v>186</v>
      </c>
      <c r="I28" s="18">
        <f t="shared" si="0"/>
        <v>186</v>
      </c>
      <c r="J28" s="18">
        <f t="shared" si="2"/>
        <v>32</v>
      </c>
      <c r="K28" s="18" t="str">
        <f t="shared" si="3"/>
        <v>Klebsiella pneumoniae spp.;109;32</v>
      </c>
    </row>
    <row r="29" spans="1:14" x14ac:dyDescent="0.3">
      <c r="A29" s="18" t="s">
        <v>118</v>
      </c>
      <c r="B29" s="18">
        <v>109</v>
      </c>
      <c r="C29" s="18">
        <v>1</v>
      </c>
      <c r="D29" s="18">
        <v>2</v>
      </c>
      <c r="E29" s="18">
        <v>1.990825688073395</v>
      </c>
      <c r="F29" s="19">
        <v>9.5782628522115137E-2</v>
      </c>
      <c r="H29" s="18">
        <f t="shared" si="1"/>
        <v>217.00000000000006</v>
      </c>
      <c r="I29" s="18">
        <f t="shared" si="0"/>
        <v>217</v>
      </c>
      <c r="J29" s="18">
        <f t="shared" si="2"/>
        <v>1</v>
      </c>
      <c r="K29" s="18" t="str">
        <f t="shared" si="3"/>
        <v>Staphylococcus pyogenes;109;1</v>
      </c>
    </row>
    <row r="30" spans="1:14" x14ac:dyDescent="0.3">
      <c r="A30" s="18" t="s">
        <v>119</v>
      </c>
      <c r="B30" s="18">
        <v>109</v>
      </c>
      <c r="C30" s="18">
        <v>1</v>
      </c>
      <c r="D30" s="18">
        <v>2</v>
      </c>
      <c r="E30" s="18">
        <v>1.7798165137614683</v>
      </c>
      <c r="F30" s="19">
        <v>0.41628422815866972</v>
      </c>
      <c r="H30" s="18">
        <f t="shared" si="1"/>
        <v>194.00000000000006</v>
      </c>
      <c r="I30" s="18">
        <f t="shared" si="0"/>
        <v>194</v>
      </c>
      <c r="J30" s="18">
        <f t="shared" si="2"/>
        <v>24</v>
      </c>
      <c r="K30" s="18" t="str">
        <f t="shared" si="3"/>
        <v>Gramm negative bacteriae;109;24</v>
      </c>
    </row>
    <row r="31" spans="1:14" x14ac:dyDescent="0.3">
      <c r="A31" s="18" t="s">
        <v>120</v>
      </c>
      <c r="B31" s="18">
        <v>1020</v>
      </c>
      <c r="C31" s="18">
        <v>1</v>
      </c>
      <c r="D31" s="18">
        <v>2</v>
      </c>
      <c r="E31" s="18">
        <v>1.8068627450980401</v>
      </c>
      <c r="F31" s="19">
        <v>0.39495339631947951</v>
      </c>
      <c r="H31" s="18">
        <f t="shared" si="1"/>
        <v>1843.0000000000009</v>
      </c>
      <c r="I31" s="18">
        <f t="shared" si="0"/>
        <v>1843</v>
      </c>
      <c r="J31" s="18">
        <f t="shared" si="2"/>
        <v>197</v>
      </c>
      <c r="K31" s="18" t="str">
        <f t="shared" si="3"/>
        <v>not effective Aminopenicilline groop;1020;197</v>
      </c>
    </row>
    <row r="32" spans="1:14" x14ac:dyDescent="0.3">
      <c r="A32" s="18" t="s">
        <v>121</v>
      </c>
      <c r="B32" s="18">
        <v>1020</v>
      </c>
      <c r="C32" s="18">
        <v>1</v>
      </c>
      <c r="D32" s="18">
        <v>2</v>
      </c>
      <c r="E32" s="18">
        <v>1.9921568627450983</v>
      </c>
      <c r="F32" s="19">
        <v>8.8256778670625452E-2</v>
      </c>
      <c r="H32" s="18">
        <f t="shared" si="1"/>
        <v>2032.0000000000002</v>
      </c>
      <c r="I32" s="18">
        <f t="shared" si="0"/>
        <v>2032</v>
      </c>
      <c r="J32" s="18">
        <f t="shared" si="2"/>
        <v>8</v>
      </c>
      <c r="K32" s="18" t="str">
        <f t="shared" si="3"/>
        <v>not effective Amoksiclave groop;1020;8</v>
      </c>
    </row>
    <row r="33" spans="1:11" x14ac:dyDescent="0.3">
      <c r="A33" s="18" t="s">
        <v>122</v>
      </c>
      <c r="B33" s="18">
        <v>1020</v>
      </c>
      <c r="C33" s="18">
        <v>1</v>
      </c>
      <c r="D33" s="18">
        <v>2</v>
      </c>
      <c r="E33" s="18">
        <v>1.9774509803921556</v>
      </c>
      <c r="F33" s="19">
        <v>0.14853346734494177</v>
      </c>
      <c r="H33" s="18">
        <f t="shared" si="1"/>
        <v>2016.9999999999986</v>
      </c>
      <c r="I33" s="18">
        <f t="shared" si="0"/>
        <v>2017</v>
      </c>
      <c r="J33" s="18">
        <f t="shared" si="2"/>
        <v>23</v>
      </c>
      <c r="K33" s="18" t="str">
        <f t="shared" si="3"/>
        <v>not effective macrolide groop;1020;23</v>
      </c>
    </row>
    <row r="34" spans="1:11" x14ac:dyDescent="0.3">
      <c r="A34" s="18" t="s">
        <v>123</v>
      </c>
      <c r="B34" s="18">
        <v>1020</v>
      </c>
      <c r="C34" s="18">
        <v>1</v>
      </c>
      <c r="D34" s="18">
        <v>2</v>
      </c>
      <c r="E34" s="18">
        <v>1.9852941176470589</v>
      </c>
      <c r="F34" s="19">
        <v>0.12043188459454175</v>
      </c>
      <c r="H34" s="18">
        <f t="shared" si="1"/>
        <v>2025</v>
      </c>
      <c r="I34" s="18">
        <f t="shared" si="0"/>
        <v>2025</v>
      </c>
      <c r="J34" s="18">
        <f t="shared" si="2"/>
        <v>15</v>
      </c>
      <c r="K34" s="18" t="str">
        <f t="shared" si="3"/>
        <v>not effective first-cephalosporine groop (Cefazoline, Cefalexine);1020;15</v>
      </c>
    </row>
    <row r="35" spans="1:11" x14ac:dyDescent="0.3">
      <c r="A35" s="18" t="s">
        <v>124</v>
      </c>
      <c r="B35" s="18">
        <v>1020</v>
      </c>
      <c r="C35" s="18">
        <v>1</v>
      </c>
      <c r="D35" s="18">
        <v>2</v>
      </c>
      <c r="E35" s="18">
        <v>1.9990196078431381</v>
      </c>
      <c r="F35" s="19">
        <v>3.131121455425747E-2</v>
      </c>
      <c r="H35" s="18">
        <f t="shared" si="1"/>
        <v>2039.0000000000009</v>
      </c>
      <c r="I35" s="18">
        <f t="shared" si="0"/>
        <v>2039</v>
      </c>
      <c r="J35" s="18">
        <f t="shared" si="2"/>
        <v>1</v>
      </c>
      <c r="K35" s="18" t="str">
        <f t="shared" si="3"/>
        <v>not effective hospital second-cephalosporine groop (Cefuroxime, Cefandole);1020;1</v>
      </c>
    </row>
    <row r="36" spans="1:11" x14ac:dyDescent="0.3">
      <c r="A36" s="18" t="s">
        <v>125</v>
      </c>
      <c r="B36" s="18">
        <v>1020</v>
      </c>
      <c r="C36" s="18">
        <v>1</v>
      </c>
      <c r="D36" s="18">
        <v>2</v>
      </c>
      <c r="E36" s="18">
        <v>1.9637254901960786</v>
      </c>
      <c r="F36" s="19">
        <v>0.18706409752326392</v>
      </c>
      <c r="H36" s="18">
        <f t="shared" si="1"/>
        <v>2003.0000000000002</v>
      </c>
      <c r="I36" s="18">
        <f t="shared" si="0"/>
        <v>2003</v>
      </c>
      <c r="J36" s="18">
        <f t="shared" si="2"/>
        <v>37</v>
      </c>
      <c r="K36" s="18" t="str">
        <f t="shared" si="3"/>
        <v>not effectivel third-cephalosporine-A groop (Cefotaxime, Ceftriaxone);1020;37</v>
      </c>
    </row>
    <row r="37" spans="1:11" x14ac:dyDescent="0.3">
      <c r="A37" s="18" t="s">
        <v>126</v>
      </c>
      <c r="B37" s="18">
        <v>1020</v>
      </c>
      <c r="C37" s="18">
        <v>1</v>
      </c>
      <c r="D37" s="18">
        <v>2</v>
      </c>
      <c r="E37" s="18">
        <v>1.9990196078431364</v>
      </c>
      <c r="F37" s="19">
        <v>3.1311214554257505E-2</v>
      </c>
      <c r="H37" s="18">
        <f t="shared" si="1"/>
        <v>2038.9999999999991</v>
      </c>
      <c r="I37" s="18">
        <f t="shared" si="0"/>
        <v>2039</v>
      </c>
      <c r="J37" s="18">
        <f t="shared" si="2"/>
        <v>1</v>
      </c>
      <c r="K37" s="18" t="str">
        <f t="shared" si="3"/>
        <v>not effective third-cephalosporine-B groop (Ceftazidime, Cefaperazone);1020;1</v>
      </c>
    </row>
    <row r="38" spans="1:11" x14ac:dyDescent="0.3">
      <c r="A38" s="18" t="s">
        <v>127</v>
      </c>
      <c r="B38" s="18">
        <v>1020</v>
      </c>
      <c r="C38" s="18">
        <v>1</v>
      </c>
      <c r="D38" s="18">
        <v>5</v>
      </c>
      <c r="E38" s="18">
        <v>1.9803921568627454</v>
      </c>
      <c r="F38" s="19">
        <v>0.17612067395165271</v>
      </c>
      <c r="H38" s="18">
        <f t="shared" si="1"/>
        <v>2020.0000000000002</v>
      </c>
      <c r="I38" s="18">
        <f t="shared" si="0"/>
        <v>2020</v>
      </c>
      <c r="J38" s="18">
        <f t="shared" si="2"/>
        <v>20</v>
      </c>
      <c r="K38" s="18" t="str">
        <f t="shared" si="3"/>
        <v>not effective fluoroquinolones (Ciprofloxacine, Pefloxacine);1020;20</v>
      </c>
    </row>
    <row r="39" spans="1:11" x14ac:dyDescent="0.3">
      <c r="A39" s="18" t="s">
        <v>128</v>
      </c>
      <c r="B39" s="18">
        <v>1020</v>
      </c>
      <c r="C39" s="18">
        <v>1</v>
      </c>
      <c r="D39" s="18">
        <v>2</v>
      </c>
      <c r="E39" s="18">
        <v>1.9696078431372535</v>
      </c>
      <c r="F39" s="19">
        <v>0.17174804999301518</v>
      </c>
      <c r="H39" s="18">
        <f t="shared" si="1"/>
        <v>2008.9999999999986</v>
      </c>
      <c r="I39" s="18">
        <f t="shared" si="0"/>
        <v>2009</v>
      </c>
      <c r="J39" s="18">
        <f t="shared" si="2"/>
        <v>31</v>
      </c>
      <c r="K39" s="18" t="str">
        <f t="shared" si="3"/>
        <v>not effective aminoglicoside groop (Gentamicine);1020;31</v>
      </c>
    </row>
    <row r="40" spans="1:11" x14ac:dyDescent="0.3">
      <c r="A40" s="18" t="s">
        <v>129</v>
      </c>
      <c r="B40" s="18">
        <v>1020</v>
      </c>
      <c r="C40" s="18">
        <v>1</v>
      </c>
      <c r="D40" s="18">
        <v>2</v>
      </c>
      <c r="E40" s="18">
        <v>1.961764705882352</v>
      </c>
      <c r="F40" s="19">
        <v>0.191857874718944</v>
      </c>
      <c r="H40" s="18">
        <f t="shared" si="1"/>
        <v>2000.9999999999991</v>
      </c>
      <c r="I40" s="18">
        <f t="shared" si="0"/>
        <v>2001</v>
      </c>
      <c r="J40" s="18">
        <f t="shared" si="2"/>
        <v>39</v>
      </c>
      <c r="K40" s="18" t="str">
        <f t="shared" si="3"/>
        <v>not effective lincosamide groop (Lincomycine);1020;39</v>
      </c>
    </row>
    <row r="41" spans="1:11" x14ac:dyDescent="0.3">
      <c r="A41" s="18" t="s">
        <v>130</v>
      </c>
      <c r="B41" s="18">
        <v>1020</v>
      </c>
      <c r="C41" s="18">
        <v>1</v>
      </c>
      <c r="D41" s="18">
        <v>2</v>
      </c>
      <c r="E41" s="18">
        <v>1.9970588235294138</v>
      </c>
      <c r="F41" s="19">
        <v>5.4179366906768882E-2</v>
      </c>
      <c r="H41" s="18">
        <f t="shared" si="1"/>
        <v>2037.000000000002</v>
      </c>
      <c r="I41" s="18">
        <f t="shared" si="0"/>
        <v>2037</v>
      </c>
      <c r="J41" s="18">
        <f t="shared" si="2"/>
        <v>3</v>
      </c>
      <c r="K41" s="18" t="str">
        <f t="shared" si="3"/>
        <v>not effective tetracicline groop;1020;3</v>
      </c>
    </row>
    <row r="42" spans="1:11" x14ac:dyDescent="0.3">
      <c r="A42" s="18" t="s">
        <v>131</v>
      </c>
      <c r="B42" s="18">
        <v>1020</v>
      </c>
      <c r="C42" s="18">
        <v>1</v>
      </c>
      <c r="D42" s="18">
        <v>2</v>
      </c>
      <c r="E42" s="18">
        <v>1.9941176470588238</v>
      </c>
      <c r="F42" s="19">
        <v>7.6508101403228793E-2</v>
      </c>
      <c r="H42" s="18">
        <f t="shared" si="1"/>
        <v>2034.0000000000002</v>
      </c>
      <c r="I42" s="18">
        <f t="shared" si="0"/>
        <v>2034</v>
      </c>
      <c r="J42" s="18">
        <f t="shared" si="2"/>
        <v>6</v>
      </c>
      <c r="K42" s="18" t="str">
        <f t="shared" si="3"/>
        <v>not effective Biseptole;1020;6</v>
      </c>
    </row>
    <row r="43" spans="1:11" x14ac:dyDescent="0.3">
      <c r="A43" s="18" t="s">
        <v>132</v>
      </c>
      <c r="B43" s="18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Диаграммы</vt:lpstr>
      </vt:variant>
      <vt:variant>
        <vt:i4>3</vt:i4>
      </vt:variant>
    </vt:vector>
  </HeadingPairs>
  <TitlesOfParts>
    <vt:vector size="20" baseType="lpstr">
      <vt:lpstr>Оглавление</vt:lpstr>
      <vt:lpstr>Тех_огл</vt:lpstr>
      <vt:lpstr>1</vt:lpstr>
      <vt:lpstr>2</vt:lpstr>
      <vt:lpstr>T.1</vt:lpstr>
      <vt:lpstr>3</vt:lpstr>
      <vt:lpstr>Т.2</vt:lpstr>
      <vt:lpstr>4</vt:lpstr>
      <vt:lpstr>Т.3</vt:lpstr>
      <vt:lpstr>Т.4</vt:lpstr>
      <vt:lpstr>5</vt:lpstr>
      <vt:lpstr>Т.5</vt:lpstr>
      <vt:lpstr>6</vt:lpstr>
      <vt:lpstr>7</vt:lpstr>
      <vt:lpstr>Т.6</vt:lpstr>
      <vt:lpstr>Т.7</vt:lpstr>
      <vt:lpstr>8</vt:lpstr>
      <vt:lpstr>Д4</vt:lpstr>
      <vt:lpstr>Т.Д.3</vt:lpstr>
      <vt:lpstr>Т.Д.7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2023-07-21T13:08:52Z</dcterms:modified>
</cp:coreProperties>
</file>