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KTB-US622\ktbo-bi\Middleware\Mediaplan\changes\"/>
    </mc:Choice>
  </mc:AlternateContent>
  <xr:revisionPtr revIDLastSave="0" documentId="13_ncr:1_{87ECD05D-4BE2-40A8-825F-637F89B1AFC7}" xr6:coauthVersionLast="46" xr6:coauthVersionMax="46" xr10:uidLastSave="{00000000-0000-0000-0000-000000000000}"/>
  <bookViews>
    <workbookView xWindow="-120" yWindow="-120" windowWidth="29040" windowHeight="16440" firstSheet="14" activeTab="14" xr2:uid="{00000000-000D-0000-FFFF-FFFF00000000}"/>
  </bookViews>
  <sheets>
    <sheet name=" TIGER V2" sheetId="2" state="hidden" r:id="rId1"/>
    <sheet name=" TIGER V3" sheetId="3" state="hidden" r:id="rId2"/>
    <sheet name="TIGER V5" sheetId="4" state="hidden" r:id="rId3"/>
    <sheet name="TIGER V6" sheetId="5" state="hidden" r:id="rId4"/>
    <sheet name=" TIGER V7" sheetId="6" state="hidden" r:id="rId5"/>
    <sheet name="TIGER V8" sheetId="7" state="hidden" r:id="rId6"/>
    <sheet name="TIGER V9 " sheetId="8" state="hidden" r:id="rId7"/>
    <sheet name="Hoja 9" sheetId="9" state="hidden" r:id="rId8"/>
    <sheet name="Hoja 8" sheetId="10" state="hidden" r:id="rId9"/>
    <sheet name="Hoja 7" sheetId="11" state="hidden" r:id="rId10"/>
    <sheet name="Hoja 4" sheetId="12" state="hidden" r:id="rId11"/>
    <sheet name="DISTRIBUTION OF BUDGET PER MONT" sheetId="13" state="hidden" r:id="rId12"/>
    <sheet name="MATERIALS KTBO BRASIL" sheetId="14" state="hidden" r:id="rId13"/>
    <sheet name="materiales KIDS CORP " sheetId="15" state="hidden" r:id="rId14"/>
    <sheet name="MEDIAPLAN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0" roundtripDataSignature="AMtx7mj/BoPlrrMQjpaq44JZ0aGgOppj7w=="/>
    </ext>
  </extLst>
</workbook>
</file>

<file path=xl/calcChain.xml><?xml version="1.0" encoding="utf-8"?>
<calcChain xmlns="http://schemas.openxmlformats.org/spreadsheetml/2006/main">
  <c r="AD21" i="16" l="1"/>
  <c r="Y21" i="16"/>
  <c r="Z21" i="16" s="1"/>
  <c r="AF21" i="16" s="1"/>
  <c r="AD20" i="16"/>
  <c r="Y20" i="16"/>
  <c r="Z20" i="16" s="1"/>
  <c r="AF20" i="16" s="1"/>
  <c r="AD19" i="16"/>
  <c r="Z19" i="16"/>
  <c r="AF19" i="16" s="1"/>
  <c r="Y19" i="16"/>
  <c r="AD18" i="16"/>
  <c r="Y18" i="16"/>
  <c r="Z18" i="16" s="1"/>
  <c r="AF18" i="16" s="1"/>
  <c r="AD17" i="16"/>
  <c r="Y17" i="16"/>
  <c r="Z17" i="16" s="1"/>
  <c r="AF17" i="16" s="1"/>
  <c r="AD16" i="16"/>
  <c r="Y16" i="16"/>
  <c r="Z16" i="16" s="1"/>
  <c r="AF16" i="16" s="1"/>
  <c r="AD15" i="16"/>
  <c r="Y15" i="16"/>
  <c r="Z15" i="16" s="1"/>
  <c r="AF15" i="16" s="1"/>
  <c r="Y14" i="16"/>
  <c r="Z14" i="16" s="1"/>
  <c r="AF14" i="16" s="1"/>
  <c r="AD13" i="16"/>
  <c r="Y13" i="16"/>
  <c r="Z13" i="16" s="1"/>
  <c r="AF13" i="16" s="1"/>
  <c r="AD12" i="16"/>
  <c r="Y12" i="16"/>
  <c r="Z12" i="16" s="1"/>
  <c r="AF12" i="16" s="1"/>
  <c r="H15" i="13"/>
  <c r="F15" i="13"/>
  <c r="I14" i="13"/>
  <c r="H14" i="13"/>
  <c r="G14" i="13"/>
  <c r="K14" i="13" s="1"/>
  <c r="I13" i="13"/>
  <c r="H13" i="13"/>
  <c r="H17" i="13" s="1"/>
  <c r="F13" i="13"/>
  <c r="K11" i="13"/>
  <c r="I11" i="13"/>
  <c r="H11" i="13"/>
  <c r="G11" i="13"/>
  <c r="H10" i="13"/>
  <c r="G10" i="13"/>
  <c r="S11" i="11"/>
  <c r="S13" i="11" s="1"/>
  <c r="S10" i="11"/>
  <c r="S15" i="11" s="1"/>
  <c r="R10" i="11"/>
  <c r="Q10" i="11"/>
  <c r="S9" i="11"/>
  <c r="R9" i="11"/>
  <c r="Q9" i="11"/>
  <c r="P9" i="11"/>
  <c r="Q8" i="11"/>
  <c r="Q11" i="11" s="1"/>
  <c r="Q15" i="11" s="1"/>
  <c r="P8" i="11"/>
  <c r="H20" i="10"/>
  <c r="B8" i="10"/>
  <c r="C7" i="10"/>
  <c r="E6" i="10"/>
  <c r="D6" i="10"/>
  <c r="C6" i="10"/>
  <c r="E5" i="10"/>
  <c r="D5" i="10"/>
  <c r="C5" i="10"/>
  <c r="E4" i="10"/>
  <c r="D4" i="10"/>
  <c r="C4" i="10"/>
  <c r="E3" i="10"/>
  <c r="E8" i="10" s="1"/>
  <c r="D3" i="10"/>
  <c r="C3" i="10"/>
  <c r="B3" i="10"/>
  <c r="D2" i="10"/>
  <c r="D8" i="10" s="1"/>
  <c r="C2" i="10"/>
  <c r="C8" i="10" s="1"/>
  <c r="C12" i="10" s="1"/>
  <c r="B2" i="10"/>
  <c r="G8" i="9"/>
  <c r="G6" i="9"/>
  <c r="Q61" i="8"/>
  <c r="H55" i="8"/>
  <c r="E51" i="8"/>
  <c r="O48" i="8"/>
  <c r="H48" i="8"/>
  <c r="K48" i="8" s="1"/>
  <c r="AF48" i="8" s="1"/>
  <c r="O46" i="8"/>
  <c r="O44" i="8"/>
  <c r="H44" i="8"/>
  <c r="K43" i="8"/>
  <c r="AF43" i="8" s="1"/>
  <c r="H42" i="8"/>
  <c r="K42" i="8" s="1"/>
  <c r="AA42" i="8" s="1"/>
  <c r="AJ40" i="8"/>
  <c r="AJ51" i="8" s="1"/>
  <c r="Z57" i="8" s="1"/>
  <c r="K40" i="8"/>
  <c r="AA40" i="8" s="1"/>
  <c r="AA38" i="8"/>
  <c r="H38" i="8"/>
  <c r="K38" i="8" s="1"/>
  <c r="X38" i="8" s="1"/>
  <c r="O36" i="8"/>
  <c r="H36" i="8"/>
  <c r="K36" i="8" s="1"/>
  <c r="AA36" i="8" s="1"/>
  <c r="E36" i="8"/>
  <c r="E19" i="8"/>
  <c r="E17" i="8"/>
  <c r="H17" i="8" s="1"/>
  <c r="C9" i="8"/>
  <c r="Y57" i="7"/>
  <c r="P45" i="7"/>
  <c r="AA44" i="7"/>
  <c r="V43" i="7"/>
  <c r="AK36" i="7"/>
  <c r="AA45" i="7" s="1"/>
  <c r="AG36" i="7"/>
  <c r="AK35" i="7"/>
  <c r="AC35" i="7"/>
  <c r="AO35" i="7" s="1"/>
  <c r="H35" i="7"/>
  <c r="P35" i="7" s="1"/>
  <c r="Z35" i="7" s="1"/>
  <c r="AO31" i="7"/>
  <c r="V31" i="7"/>
  <c r="P31" i="7"/>
  <c r="AQ32" i="7" s="1"/>
  <c r="AO29" i="7"/>
  <c r="AQ28" i="7" s="1"/>
  <c r="AO28" i="7"/>
  <c r="H27" i="7"/>
  <c r="P29" i="7" s="1"/>
  <c r="AQ29" i="7" s="1"/>
  <c r="AO24" i="7"/>
  <c r="AO22" i="7"/>
  <c r="H21" i="7"/>
  <c r="E21" i="7"/>
  <c r="H31" i="7" s="1"/>
  <c r="AO19" i="7"/>
  <c r="X19" i="7"/>
  <c r="X36" i="7" s="1"/>
  <c r="AO18" i="7"/>
  <c r="X18" i="7"/>
  <c r="AO17" i="7"/>
  <c r="Z17" i="7"/>
  <c r="AO16" i="7"/>
  <c r="AO13" i="7"/>
  <c r="E13" i="7"/>
  <c r="E36" i="7" s="1"/>
  <c r="H11" i="7"/>
  <c r="P13" i="7" s="1"/>
  <c r="Z13" i="7" s="1"/>
  <c r="C9" i="7"/>
  <c r="P50" i="6"/>
  <c r="AA49" i="6"/>
  <c r="V48" i="6"/>
  <c r="AG41" i="6"/>
  <c r="AK40" i="6"/>
  <c r="AO40" i="6" s="1"/>
  <c r="AC40" i="6"/>
  <c r="G15" i="13" s="1"/>
  <c r="H40" i="6"/>
  <c r="P40" i="6" s="1"/>
  <c r="Z40" i="6" s="1"/>
  <c r="AO36" i="6"/>
  <c r="V36" i="6"/>
  <c r="AO34" i="6"/>
  <c r="AO33" i="6"/>
  <c r="H32" i="6"/>
  <c r="P32" i="6" s="1"/>
  <c r="AO29" i="6"/>
  <c r="AO27" i="6"/>
  <c r="E26" i="6"/>
  <c r="H26" i="6" s="1"/>
  <c r="P29" i="6" s="1"/>
  <c r="AO24" i="6"/>
  <c r="AO23" i="6"/>
  <c r="AO22" i="6"/>
  <c r="H22" i="6"/>
  <c r="AO21" i="6"/>
  <c r="AK15" i="6"/>
  <c r="AO13" i="6"/>
  <c r="E13" i="6"/>
  <c r="E41" i="6" s="1"/>
  <c r="H11" i="6"/>
  <c r="C9" i="6"/>
  <c r="Z52" i="5"/>
  <c r="O50" i="5"/>
  <c r="AV41" i="5"/>
  <c r="Z53" i="5" s="1"/>
  <c r="AR41" i="5"/>
  <c r="AN41" i="5"/>
  <c r="Z51" i="5" s="1"/>
  <c r="AF41" i="5"/>
  <c r="Z49" i="5" s="1"/>
  <c r="E41" i="5"/>
  <c r="AX36" i="5"/>
  <c r="U36" i="5"/>
  <c r="AX34" i="5"/>
  <c r="AX33" i="5"/>
  <c r="AX29" i="5"/>
  <c r="E26" i="5"/>
  <c r="AX24" i="5"/>
  <c r="AX22" i="5"/>
  <c r="H22" i="5"/>
  <c r="AX21" i="5"/>
  <c r="AX15" i="5"/>
  <c r="AX13" i="5"/>
  <c r="E13" i="5"/>
  <c r="H11" i="5"/>
  <c r="G9" i="5"/>
  <c r="C9" i="5"/>
  <c r="AX41" i="4"/>
  <c r="AB53" i="4" s="1"/>
  <c r="AT41" i="4"/>
  <c r="AB52" i="4" s="1"/>
  <c r="E41" i="4"/>
  <c r="O40" i="4"/>
  <c r="O38" i="4"/>
  <c r="O37" i="4"/>
  <c r="AZ36" i="4"/>
  <c r="W36" i="4"/>
  <c r="O36" i="4"/>
  <c r="AZ34" i="4"/>
  <c r="AZ33" i="4"/>
  <c r="O32" i="4"/>
  <c r="AZ31" i="4"/>
  <c r="O30" i="4"/>
  <c r="AZ29" i="4"/>
  <c r="O29" i="4"/>
  <c r="O28" i="4"/>
  <c r="O27" i="4"/>
  <c r="O26" i="4"/>
  <c r="E26" i="4"/>
  <c r="H26" i="4" s="1"/>
  <c r="AZ24" i="4"/>
  <c r="O24" i="4"/>
  <c r="O23" i="4"/>
  <c r="AZ22" i="4"/>
  <c r="H22" i="4"/>
  <c r="AZ21" i="4"/>
  <c r="O21" i="4"/>
  <c r="O19" i="4"/>
  <c r="O18" i="4"/>
  <c r="Q17" i="4"/>
  <c r="O16" i="4"/>
  <c r="AL15" i="4"/>
  <c r="AH15" i="4"/>
  <c r="AZ15" i="4" s="1"/>
  <c r="O15" i="4"/>
  <c r="O14" i="4"/>
  <c r="O41" i="4" s="1"/>
  <c r="AZ13" i="4"/>
  <c r="O13" i="4"/>
  <c r="E13" i="4"/>
  <c r="H11" i="4" s="1"/>
  <c r="O12" i="4"/>
  <c r="Q11" i="4"/>
  <c r="O11" i="4"/>
  <c r="G9" i="4"/>
  <c r="C9" i="4"/>
  <c r="AA52" i="3"/>
  <c r="AA51" i="3"/>
  <c r="AW40" i="3"/>
  <c r="AS40" i="3"/>
  <c r="AO40" i="3"/>
  <c r="AA50" i="3" s="1"/>
  <c r="E40" i="3"/>
  <c r="O39" i="3"/>
  <c r="O37" i="3"/>
  <c r="O36" i="3"/>
  <c r="AY35" i="3"/>
  <c r="V35" i="3"/>
  <c r="O35" i="3"/>
  <c r="Q33" i="3"/>
  <c r="Y33" i="3" s="1"/>
  <c r="O33" i="3"/>
  <c r="H33" i="3"/>
  <c r="AY32" i="3"/>
  <c r="O32" i="3"/>
  <c r="O30" i="3"/>
  <c r="AY29" i="3"/>
  <c r="O29" i="3"/>
  <c r="O28" i="3"/>
  <c r="O27" i="3"/>
  <c r="O26" i="3"/>
  <c r="E26" i="3"/>
  <c r="H32" i="3" s="1"/>
  <c r="Q32" i="3" s="1"/>
  <c r="AY24" i="3"/>
  <c r="V24" i="3"/>
  <c r="O24" i="3"/>
  <c r="V23" i="3"/>
  <c r="Q23" i="3"/>
  <c r="AK23" i="3" s="1"/>
  <c r="AY23" i="3" s="1"/>
  <c r="O23" i="3"/>
  <c r="O40" i="3" s="1"/>
  <c r="AY22" i="3"/>
  <c r="Z22" i="3"/>
  <c r="V22" i="3"/>
  <c r="H22" i="3"/>
  <c r="Q22" i="3" s="1"/>
  <c r="W22" i="3" s="1"/>
  <c r="AY21" i="3"/>
  <c r="V21" i="3"/>
  <c r="O21" i="3"/>
  <c r="O19" i="3"/>
  <c r="Q18" i="3"/>
  <c r="Z18" i="3" s="1"/>
  <c r="O18" i="3"/>
  <c r="AY17" i="3"/>
  <c r="Q17" i="3"/>
  <c r="Z17" i="3" s="1"/>
  <c r="O16" i="3"/>
  <c r="AY15" i="3"/>
  <c r="Z15" i="3"/>
  <c r="O15" i="3"/>
  <c r="O14" i="3"/>
  <c r="Q13" i="3"/>
  <c r="O13" i="3"/>
  <c r="E13" i="3"/>
  <c r="H11" i="3" s="1"/>
  <c r="Q15" i="3" s="1"/>
  <c r="O12" i="3"/>
  <c r="Q11" i="3"/>
  <c r="AA11" i="3" s="1"/>
  <c r="AY11" i="3" s="1"/>
  <c r="O11" i="3"/>
  <c r="C9" i="3"/>
  <c r="AA52" i="2"/>
  <c r="AA50" i="2"/>
  <c r="AW40" i="2"/>
  <c r="AS40" i="2"/>
  <c r="AA51" i="2" s="1"/>
  <c r="AO40" i="2"/>
  <c r="O39" i="2"/>
  <c r="O37" i="2"/>
  <c r="O36" i="2"/>
  <c r="AY35" i="2"/>
  <c r="V35" i="2"/>
  <c r="O35" i="2"/>
  <c r="O33" i="2"/>
  <c r="AY32" i="2"/>
  <c r="O32" i="2"/>
  <c r="O30" i="2"/>
  <c r="AY29" i="2"/>
  <c r="O29" i="2"/>
  <c r="O28" i="2"/>
  <c r="O27" i="2"/>
  <c r="O26" i="2"/>
  <c r="E26" i="2"/>
  <c r="E40" i="2" s="1"/>
  <c r="AY24" i="2"/>
  <c r="V24" i="2"/>
  <c r="O24" i="2"/>
  <c r="V23" i="2"/>
  <c r="O23" i="2"/>
  <c r="AY22" i="2"/>
  <c r="V22" i="2"/>
  <c r="AY21" i="2"/>
  <c r="V21" i="2"/>
  <c r="O21" i="2"/>
  <c r="O19" i="2"/>
  <c r="Q18" i="2"/>
  <c r="W18" i="2" s="1"/>
  <c r="O18" i="2"/>
  <c r="AY17" i="2"/>
  <c r="O16" i="2"/>
  <c r="AY15" i="2"/>
  <c r="Q15" i="2"/>
  <c r="O15" i="2"/>
  <c r="O14" i="2"/>
  <c r="O13" i="2"/>
  <c r="O40" i="2" s="1"/>
  <c r="E13" i="2"/>
  <c r="H22" i="2" s="1"/>
  <c r="Q24" i="2" s="1"/>
  <c r="O12" i="2"/>
  <c r="O11" i="2"/>
  <c r="H11" i="2"/>
  <c r="Q17" i="2" s="1"/>
  <c r="C9" i="2"/>
  <c r="C13" i="10" l="1"/>
  <c r="C14" i="10" s="1"/>
  <c r="W24" i="2"/>
  <c r="Z24" i="2"/>
  <c r="Q51" i="3"/>
  <c r="Y32" i="3"/>
  <c r="Y40" i="3" s="1"/>
  <c r="W29" i="6"/>
  <c r="Z29" i="6"/>
  <c r="AQ31" i="6"/>
  <c r="Z17" i="2"/>
  <c r="W17" i="2"/>
  <c r="Q23" i="2"/>
  <c r="AC13" i="3"/>
  <c r="E13" i="13"/>
  <c r="Q27" i="4"/>
  <c r="Q31" i="4"/>
  <c r="Q13" i="2"/>
  <c r="Z15" i="2"/>
  <c r="Z18" i="2"/>
  <c r="Q49" i="2"/>
  <c r="W13" i="3"/>
  <c r="AK18" i="3"/>
  <c r="AB11" i="4"/>
  <c r="AA11" i="4"/>
  <c r="Q29" i="4"/>
  <c r="AK41" i="6"/>
  <c r="AA50" i="6" s="1"/>
  <c r="S14" i="11"/>
  <c r="F5" i="15"/>
  <c r="O15" i="5"/>
  <c r="O13" i="5"/>
  <c r="P22" i="7"/>
  <c r="P24" i="7"/>
  <c r="P21" i="7"/>
  <c r="W18" i="3"/>
  <c r="AC33" i="3"/>
  <c r="AY33" i="3" s="1"/>
  <c r="Q23" i="4"/>
  <c r="Q21" i="4"/>
  <c r="Y21" i="4" s="1"/>
  <c r="E11" i="13"/>
  <c r="Q24" i="4"/>
  <c r="Y24" i="4" s="1"/>
  <c r="Q22" i="4"/>
  <c r="AA22" i="4" s="1"/>
  <c r="O23" i="5"/>
  <c r="O22" i="5"/>
  <c r="Y22" i="5" s="1"/>
  <c r="O24" i="5"/>
  <c r="W24" i="5" s="1"/>
  <c r="O21" i="5"/>
  <c r="W21" i="5" s="1"/>
  <c r="AK18" i="2"/>
  <c r="H26" i="2"/>
  <c r="H39" i="2"/>
  <c r="Q39" i="2" s="1"/>
  <c r="H35" i="2"/>
  <c r="Q35" i="2" s="1"/>
  <c r="H33" i="2"/>
  <c r="Q33" i="2" s="1"/>
  <c r="Z13" i="3"/>
  <c r="AO18" i="3"/>
  <c r="Z23" i="3"/>
  <c r="H35" i="3"/>
  <c r="Q35" i="3" s="1"/>
  <c r="H39" i="3"/>
  <c r="Q39" i="3" s="1"/>
  <c r="Q26" i="4"/>
  <c r="P26" i="6"/>
  <c r="AQ33" i="6"/>
  <c r="Q14" i="11"/>
  <c r="AA17" i="4"/>
  <c r="X17" i="4"/>
  <c r="W15" i="2"/>
  <c r="O11" i="5"/>
  <c r="I15" i="13"/>
  <c r="Q11" i="2"/>
  <c r="AO18" i="2"/>
  <c r="Q22" i="2"/>
  <c r="Z11" i="3"/>
  <c r="W17" i="3"/>
  <c r="H26" i="3"/>
  <c r="P15" i="6"/>
  <c r="P11" i="6"/>
  <c r="P13" i="6"/>
  <c r="P22" i="6"/>
  <c r="Z22" i="6" s="1"/>
  <c r="P24" i="6"/>
  <c r="X24" i="6" s="1"/>
  <c r="P27" i="6"/>
  <c r="K18" i="8"/>
  <c r="K17" i="8"/>
  <c r="AB42" i="8"/>
  <c r="R11" i="11"/>
  <c r="Z31" i="7"/>
  <c r="P46" i="7"/>
  <c r="Q18" i="4"/>
  <c r="Q15" i="4"/>
  <c r="H26" i="5"/>
  <c r="H32" i="5"/>
  <c r="H36" i="5"/>
  <c r="O36" i="5" s="1"/>
  <c r="H40" i="5"/>
  <c r="O40" i="5" s="1"/>
  <c r="Z48" i="8"/>
  <c r="Q49" i="3"/>
  <c r="F6" i="15"/>
  <c r="W23" i="3"/>
  <c r="AH17" i="4"/>
  <c r="AZ17" i="4" s="1"/>
  <c r="Z32" i="6"/>
  <c r="P52" i="6"/>
  <c r="P23" i="6"/>
  <c r="X23" i="6" s="1"/>
  <c r="W13" i="7"/>
  <c r="H19" i="8"/>
  <c r="H31" i="8"/>
  <c r="AF36" i="8"/>
  <c r="K44" i="8"/>
  <c r="K46" i="8"/>
  <c r="Q21" i="2"/>
  <c r="H32" i="2"/>
  <c r="Q32" i="2" s="1"/>
  <c r="W15" i="3"/>
  <c r="Q21" i="3"/>
  <c r="Q24" i="3"/>
  <c r="Q13" i="4"/>
  <c r="Y29" i="7"/>
  <c r="Y36" i="7" s="1"/>
  <c r="K15" i="13"/>
  <c r="AO15" i="6"/>
  <c r="P34" i="6"/>
  <c r="P11" i="7"/>
  <c r="Q13" i="11"/>
  <c r="I10" i="13"/>
  <c r="I17" i="13" s="1"/>
  <c r="H16" i="7"/>
  <c r="P27" i="7"/>
  <c r="P11" i="11"/>
  <c r="P14" i="11" s="1"/>
  <c r="H32" i="4"/>
  <c r="H36" i="4"/>
  <c r="Q36" i="4" s="1"/>
  <c r="H40" i="4"/>
  <c r="H36" i="6"/>
  <c r="P36" i="6" s="1"/>
  <c r="X40" i="8"/>
  <c r="AA43" i="8"/>
  <c r="AA44" i="8" l="1"/>
  <c r="AB44" i="8"/>
  <c r="AD18" i="8"/>
  <c r="AA18" i="8"/>
  <c r="AH41" i="4"/>
  <c r="AB49" i="4" s="1"/>
  <c r="Z35" i="2"/>
  <c r="Q50" i="2"/>
  <c r="AQ26" i="7"/>
  <c r="Z24" i="7"/>
  <c r="W24" i="7"/>
  <c r="P44" i="7"/>
  <c r="AY13" i="3"/>
  <c r="X46" i="8"/>
  <c r="AF46" i="8"/>
  <c r="AC33" i="2"/>
  <c r="AY33" i="2" s="1"/>
  <c r="Y33" i="2"/>
  <c r="P47" i="7"/>
  <c r="Z27" i="7"/>
  <c r="AA13" i="4"/>
  <c r="X13" i="4"/>
  <c r="Z40" i="5"/>
  <c r="AX40" i="5" s="1"/>
  <c r="Y40" i="5"/>
  <c r="Z27" i="6"/>
  <c r="W27" i="6"/>
  <c r="AB26" i="4"/>
  <c r="AZ26" i="4" s="1"/>
  <c r="AA26" i="4"/>
  <c r="AA39" i="2"/>
  <c r="Z39" i="2"/>
  <c r="Z22" i="7"/>
  <c r="W22" i="7"/>
  <c r="Z13" i="2"/>
  <c r="AC13" i="2"/>
  <c r="W13" i="2"/>
  <c r="Q26" i="3"/>
  <c r="Q31" i="3"/>
  <c r="Q29" i="3"/>
  <c r="Q27" i="3"/>
  <c r="AJ23" i="5"/>
  <c r="W23" i="5"/>
  <c r="W41" i="5" s="1"/>
  <c r="AA29" i="4"/>
  <c r="X29" i="4"/>
  <c r="Z24" i="3"/>
  <c r="F7" i="15"/>
  <c r="W24" i="3"/>
  <c r="F55" i="8"/>
  <c r="K31" i="8"/>
  <c r="K33" i="8"/>
  <c r="Y36" i="5"/>
  <c r="O51" i="5"/>
  <c r="Z22" i="2"/>
  <c r="W22" i="2"/>
  <c r="AA39" i="3"/>
  <c r="Z39" i="3"/>
  <c r="Q29" i="2"/>
  <c r="Q26" i="2"/>
  <c r="Q31" i="2"/>
  <c r="Q27" i="2"/>
  <c r="V13" i="5"/>
  <c r="Y13" i="5"/>
  <c r="AZ11" i="4"/>
  <c r="AK23" i="2"/>
  <c r="AY23" i="2" s="1"/>
  <c r="Z23" i="2"/>
  <c r="W23" i="2"/>
  <c r="AC21" i="7"/>
  <c r="Z21" i="7"/>
  <c r="Z36" i="6"/>
  <c r="P51" i="6"/>
  <c r="AQ37" i="6"/>
  <c r="K21" i="8"/>
  <c r="K19" i="8"/>
  <c r="K23" i="8"/>
  <c r="O34" i="5"/>
  <c r="X34" i="5" s="1"/>
  <c r="X41" i="5" s="1"/>
  <c r="O32" i="5"/>
  <c r="K10" i="13"/>
  <c r="Q50" i="3"/>
  <c r="Z35" i="3"/>
  <c r="AY18" i="2"/>
  <c r="Y41" i="4"/>
  <c r="V15" i="5"/>
  <c r="Y15" i="5"/>
  <c r="P13" i="11"/>
  <c r="Z11" i="5"/>
  <c r="Y11" i="5"/>
  <c r="E15" i="13"/>
  <c r="Q40" i="4"/>
  <c r="Q48" i="4" s="1"/>
  <c r="R13" i="11"/>
  <c r="R15" i="11"/>
  <c r="W13" i="6"/>
  <c r="Z13" i="6"/>
  <c r="Z11" i="2"/>
  <c r="Q40" i="2"/>
  <c r="AA11" i="2"/>
  <c r="AY11" i="2" s="1"/>
  <c r="Y23" i="4"/>
  <c r="AL23" i="4"/>
  <c r="AY18" i="3"/>
  <c r="Q48" i="2"/>
  <c r="S49" i="2" s="1"/>
  <c r="Z26" i="6"/>
  <c r="AC26" i="6"/>
  <c r="F4" i="15"/>
  <c r="W21" i="3"/>
  <c r="Z21" i="3"/>
  <c r="O27" i="5"/>
  <c r="O29" i="5"/>
  <c r="O26" i="5"/>
  <c r="AA36" i="4"/>
  <c r="Q51" i="4"/>
  <c r="AQ34" i="6"/>
  <c r="Y34" i="6"/>
  <c r="Y41" i="6" s="1"/>
  <c r="Y32" i="2"/>
  <c r="Y40" i="2" s="1"/>
  <c r="Q51" i="2"/>
  <c r="X41" i="6"/>
  <c r="Q49" i="4"/>
  <c r="S50" i="4" s="1"/>
  <c r="X15" i="4"/>
  <c r="AA15" i="4"/>
  <c r="R14" i="11"/>
  <c r="AA11" i="6"/>
  <c r="Z11" i="6"/>
  <c r="E9" i="13"/>
  <c r="E10" i="13" s="1"/>
  <c r="P41" i="6"/>
  <c r="X31" i="4"/>
  <c r="AA31" i="4"/>
  <c r="AA17" i="8"/>
  <c r="AB17" i="8"/>
  <c r="Z11" i="7"/>
  <c r="AA11" i="7"/>
  <c r="P36" i="7"/>
  <c r="W36" i="7"/>
  <c r="E14" i="13"/>
  <c r="Q34" i="4"/>
  <c r="Z34" i="4" s="1"/>
  <c r="Z41" i="4" s="1"/>
  <c r="Q32" i="4"/>
  <c r="W21" i="2"/>
  <c r="Z21" i="2"/>
  <c r="AP18" i="4"/>
  <c r="Q50" i="4"/>
  <c r="AA18" i="4"/>
  <c r="X18" i="4"/>
  <c r="W15" i="6"/>
  <c r="P49" i="6"/>
  <c r="Z15" i="6"/>
  <c r="X27" i="4"/>
  <c r="AD27" i="4"/>
  <c r="AA27" i="4"/>
  <c r="S48" i="4" l="1"/>
  <c r="Q52" i="4"/>
  <c r="Q53" i="4" s="1"/>
  <c r="AA32" i="4"/>
  <c r="Y29" i="5"/>
  <c r="V29" i="5"/>
  <c r="Z31" i="3"/>
  <c r="AG31" i="3"/>
  <c r="AG40" i="3" s="1"/>
  <c r="AA48" i="3" s="1"/>
  <c r="W31" i="3"/>
  <c r="AK31" i="3"/>
  <c r="AB27" i="5"/>
  <c r="V27" i="5"/>
  <c r="Y27" i="5"/>
  <c r="X19" i="8"/>
  <c r="AB19" i="8"/>
  <c r="V41" i="5"/>
  <c r="Z26" i="3"/>
  <c r="AA26" i="3"/>
  <c r="AY26" i="3" s="1"/>
  <c r="AC40" i="2"/>
  <c r="AA47" i="2" s="1"/>
  <c r="AY13" i="2"/>
  <c r="AF21" i="8"/>
  <c r="X21" i="8"/>
  <c r="X14" i="8" s="1"/>
  <c r="W27" i="2"/>
  <c r="AC27" i="2"/>
  <c r="AY27" i="2" s="1"/>
  <c r="Z27" i="2"/>
  <c r="Q47" i="2"/>
  <c r="X41" i="4"/>
  <c r="F9" i="13"/>
  <c r="AO11" i="6"/>
  <c r="AA41" i="6"/>
  <c r="Z41" i="6"/>
  <c r="W31" i="2"/>
  <c r="AK31" i="2"/>
  <c r="AG31" i="2"/>
  <c r="AG40" i="2" s="1"/>
  <c r="AA48" i="2" s="1"/>
  <c r="Z31" i="2"/>
  <c r="Z40" i="2"/>
  <c r="P53" i="6"/>
  <c r="R50" i="6"/>
  <c r="AA40" i="2"/>
  <c r="AA46" i="2" s="1"/>
  <c r="AY39" i="2"/>
  <c r="W41" i="6"/>
  <c r="AA26" i="2"/>
  <c r="AY26" i="2" s="1"/>
  <c r="Z26" i="2"/>
  <c r="X33" i="8"/>
  <c r="AF33" i="8"/>
  <c r="Q41" i="4"/>
  <c r="R45" i="7"/>
  <c r="P48" i="7"/>
  <c r="AZ27" i="4"/>
  <c r="AD41" i="4"/>
  <c r="AB48" i="4" s="1"/>
  <c r="AP41" i="4"/>
  <c r="AB51" i="4" s="1"/>
  <c r="AZ18" i="4"/>
  <c r="AZ41" i="4" s="1"/>
  <c r="AA36" i="7"/>
  <c r="AO11" i="7"/>
  <c r="AC41" i="6"/>
  <c r="AA48" i="6" s="1"/>
  <c r="G13" i="13"/>
  <c r="AO26" i="6"/>
  <c r="AZ23" i="4"/>
  <c r="AL41" i="4"/>
  <c r="AB50" i="4" s="1"/>
  <c r="AX11" i="5"/>
  <c r="Z29" i="2"/>
  <c r="W29" i="2"/>
  <c r="AD31" i="8"/>
  <c r="AB31" i="8"/>
  <c r="X31" i="8"/>
  <c r="AJ41" i="5"/>
  <c r="Z50" i="5" s="1"/>
  <c r="AX23" i="5"/>
  <c r="X23" i="8"/>
  <c r="AF23" i="8"/>
  <c r="W40" i="2"/>
  <c r="O41" i="5"/>
  <c r="O49" i="5"/>
  <c r="Y32" i="5"/>
  <c r="O52" i="5"/>
  <c r="Z27" i="3"/>
  <c r="Z40" i="3" s="1"/>
  <c r="AC27" i="3"/>
  <c r="W27" i="3"/>
  <c r="Z36" i="7"/>
  <c r="AB51" i="8"/>
  <c r="Y26" i="5"/>
  <c r="Y41" i="5" s="1"/>
  <c r="Z26" i="5"/>
  <c r="AX26" i="5" s="1"/>
  <c r="AB40" i="4"/>
  <c r="AZ40" i="4" s="1"/>
  <c r="AA40" i="4"/>
  <c r="AA41" i="4" s="1"/>
  <c r="AC36" i="7"/>
  <c r="AA43" i="7" s="1"/>
  <c r="AO21" i="7"/>
  <c r="AB41" i="4"/>
  <c r="AB47" i="4" s="1"/>
  <c r="AY39" i="3"/>
  <c r="AA40" i="3"/>
  <c r="AA46" i="3" s="1"/>
  <c r="W29" i="3"/>
  <c r="Z29" i="3"/>
  <c r="Q48" i="3"/>
  <c r="S49" i="3" s="1"/>
  <c r="Q47" i="3"/>
  <c r="Q40" i="3"/>
  <c r="Q52" i="2" l="1"/>
  <c r="S47" i="2"/>
  <c r="Z41" i="5"/>
  <c r="Z47" i="5" s="1"/>
  <c r="K9" i="13"/>
  <c r="K17" i="13" s="1"/>
  <c r="F17" i="13"/>
  <c r="Z55" i="8"/>
  <c r="AB41" i="5"/>
  <c r="Z48" i="5" s="1"/>
  <c r="AX27" i="5"/>
  <c r="AY27" i="3"/>
  <c r="AY40" i="3" s="1"/>
  <c r="AC40" i="3"/>
  <c r="AA47" i="3" s="1"/>
  <c r="AY31" i="2"/>
  <c r="AY40" i="2" s="1"/>
  <c r="AK40" i="2"/>
  <c r="AA49" i="2" s="1"/>
  <c r="G17" i="13"/>
  <c r="K13" i="13"/>
  <c r="AY31" i="3"/>
  <c r="AK40" i="3"/>
  <c r="AA49" i="3" s="1"/>
  <c r="O53" i="5"/>
  <c r="Q50" i="5"/>
  <c r="AA47" i="6"/>
  <c r="AO41" i="6"/>
  <c r="Q52" i="3"/>
  <c r="S47" i="3"/>
  <c r="W40" i="3"/>
  <c r="AX41" i="5"/>
  <c r="AO36" i="7"/>
  <c r="AA42" i="7"/>
  <c r="AF51" i="8"/>
  <c r="Z56" i="8" s="1"/>
  <c r="AO52" i="8" l="1"/>
</calcChain>
</file>

<file path=xl/sharedStrings.xml><?xml version="1.0" encoding="utf-8"?>
<sst xmlns="http://schemas.openxmlformats.org/spreadsheetml/2006/main" count="1782" uniqueCount="346">
  <si>
    <t>Campaña</t>
  </si>
  <si>
    <t>TIGER</t>
  </si>
  <si>
    <t>Region</t>
  </si>
  <si>
    <t>RJ/PR/SP</t>
  </si>
  <si>
    <t>Budget  R$</t>
  </si>
  <si>
    <t>TARGET</t>
  </si>
  <si>
    <t xml:space="preserve">KIDS </t>
  </si>
  <si>
    <t>MILLENIAL PARENTS</t>
  </si>
  <si>
    <t>25-35</t>
  </si>
  <si>
    <t>LAUNCHING</t>
  </si>
  <si>
    <t>SUSTEIN</t>
  </si>
  <si>
    <t>KID DAY</t>
  </si>
  <si>
    <t>PotenciaL Reach</t>
  </si>
  <si>
    <t xml:space="preserve">Estimated Reach </t>
  </si>
  <si>
    <t>%</t>
  </si>
  <si>
    <t>Benchmarks</t>
  </si>
  <si>
    <t>KPI´S</t>
  </si>
  <si>
    <t>ABRIL</t>
  </si>
  <si>
    <t>MAYO</t>
  </si>
  <si>
    <t>JUNIO</t>
  </si>
  <si>
    <t>JULIO</t>
  </si>
  <si>
    <t>AGOSTO</t>
  </si>
  <si>
    <t>SEPTIEMBRE</t>
  </si>
  <si>
    <t>OCTUBRE</t>
  </si>
  <si>
    <t>TOTAL</t>
  </si>
  <si>
    <t>CAMPAIGN OBJECTIVE</t>
  </si>
  <si>
    <t>% Por Objetivo</t>
  </si>
  <si>
    <t>OBJECTIVE PERCENTAJE</t>
  </si>
  <si>
    <t>Plataform</t>
  </si>
  <si>
    <t xml:space="preserve">% por plataform </t>
  </si>
  <si>
    <t xml:space="preserve">PLATFORM INVESTMENT </t>
  </si>
  <si>
    <t>Format</t>
  </si>
  <si>
    <t>Video Length</t>
  </si>
  <si>
    <t>PIECES PER MONTH</t>
  </si>
  <si>
    <t xml:space="preserve">Number of months </t>
  </si>
  <si>
    <t>TOTAL OF PIECES</t>
  </si>
  <si>
    <t>% por formato</t>
  </si>
  <si>
    <t>Monto por formato</t>
  </si>
  <si>
    <t xml:space="preserve">Objetivo de compra </t>
  </si>
  <si>
    <t>CPV</t>
  </si>
  <si>
    <t>CPE</t>
  </si>
  <si>
    <t>CPC</t>
  </si>
  <si>
    <t>CPM</t>
  </si>
  <si>
    <t>Video Views</t>
  </si>
  <si>
    <t>Interacciones</t>
  </si>
  <si>
    <t>Clics</t>
  </si>
  <si>
    <t>Impresiones</t>
  </si>
  <si>
    <t>W3</t>
  </si>
  <si>
    <t>W4</t>
  </si>
  <si>
    <t>W1</t>
  </si>
  <si>
    <t>W2</t>
  </si>
  <si>
    <t>YOUTUBE</t>
  </si>
  <si>
    <t>Launching</t>
  </si>
  <si>
    <t>DISPLAY</t>
  </si>
  <si>
    <t>Banner Launching Vanilla</t>
  </si>
  <si>
    <t>Estatico</t>
  </si>
  <si>
    <t>n/a</t>
  </si>
  <si>
    <t>RJ/SP/RS</t>
  </si>
  <si>
    <t>AWARENESS</t>
  </si>
  <si>
    <t>KIDS</t>
  </si>
  <si>
    <t>VIDEO UNSKIPABLE</t>
  </si>
  <si>
    <t>Pre Roll Launching Chocolate</t>
  </si>
  <si>
    <t>10s</t>
  </si>
  <si>
    <t>Pre Roll Launching Vanilla</t>
  </si>
  <si>
    <t>Consumer Moments</t>
  </si>
  <si>
    <t xml:space="preserve">Pre Roll Consumer Moment 1 </t>
  </si>
  <si>
    <t>Pre Roll Consumer Moment 2</t>
  </si>
  <si>
    <t>TVC TBD</t>
  </si>
  <si>
    <t>30S</t>
  </si>
  <si>
    <t>N/A</t>
  </si>
  <si>
    <t>HAKS</t>
  </si>
  <si>
    <t>Pre Roll How to eat your Cookie 1</t>
  </si>
  <si>
    <t>15s</t>
  </si>
  <si>
    <t>Pre Roll How to eat your Cookie 2</t>
  </si>
  <si>
    <t>KIDS CORP  AWESOME ADS (direccionará a retail o video)</t>
  </si>
  <si>
    <t xml:space="preserve">Launching </t>
  </si>
  <si>
    <t xml:space="preserve">Video (fullscreen) </t>
  </si>
  <si>
    <t xml:space="preserve">BRANDED VIDEO primero </t>
  </si>
  <si>
    <t>Consumer Moment</t>
  </si>
  <si>
    <t xml:space="preserve">Intersticial (full screen) </t>
  </si>
  <si>
    <t xml:space="preserve">MINI GAME </t>
  </si>
  <si>
    <t xml:space="preserve">Kids Corp produces It </t>
  </si>
  <si>
    <t xml:space="preserve">PRE ROLL </t>
  </si>
  <si>
    <t>PARENTS</t>
  </si>
  <si>
    <t>Facebook</t>
  </si>
  <si>
    <t>POST AD</t>
  </si>
  <si>
    <t xml:space="preserve">Post Ad Vanilla </t>
  </si>
  <si>
    <t>Awareness</t>
  </si>
  <si>
    <t>VIDEO</t>
  </si>
  <si>
    <t xml:space="preserve">Video Ad Launching Chocolate </t>
  </si>
  <si>
    <t>Video Views (REACH&amp;FREQUENCY)</t>
  </si>
  <si>
    <t>Video Ad launching Vanilla</t>
  </si>
  <si>
    <t xml:space="preserve">Video Ad Consumer Moment 1 </t>
  </si>
  <si>
    <t xml:space="preserve">Video Ad Consumer Moment 2 </t>
  </si>
  <si>
    <t xml:space="preserve">Facebook </t>
  </si>
  <si>
    <t>ECCOMMERCE</t>
  </si>
  <si>
    <t>POST</t>
  </si>
  <si>
    <t xml:space="preserve">Link ad (a retail) at the principal hours of consumption </t>
  </si>
  <si>
    <t>jpg/gif</t>
  </si>
  <si>
    <t>Clicks</t>
  </si>
  <si>
    <t>VERIZON</t>
  </si>
  <si>
    <t>BANNER</t>
  </si>
  <si>
    <t>Instagram</t>
  </si>
  <si>
    <t>STORIES</t>
  </si>
  <si>
    <t>Fun Storie Play with Your Kid</t>
  </si>
  <si>
    <t>GIF</t>
  </si>
  <si>
    <t>The time of your Cookie</t>
  </si>
  <si>
    <t>Youtube</t>
  </si>
  <si>
    <t>BUMPER</t>
  </si>
  <si>
    <t>BUMPERS Launching</t>
  </si>
  <si>
    <t>6S</t>
  </si>
  <si>
    <t>Reach</t>
  </si>
  <si>
    <t>Total</t>
  </si>
  <si>
    <t>BUDGET</t>
  </si>
  <si>
    <t>APRIL</t>
  </si>
  <si>
    <t>Lanzamientp</t>
  </si>
  <si>
    <t>CONSUMER MOMENTS</t>
  </si>
  <si>
    <t xml:space="preserve">mantenimiento </t>
  </si>
  <si>
    <t>JUNE</t>
  </si>
  <si>
    <t>HOW TO EAT YOUR COOKIE</t>
  </si>
  <si>
    <t>JULY</t>
  </si>
  <si>
    <t>THE TIME OF YOPUR COOKIE</t>
  </si>
  <si>
    <t xml:space="preserve">Engagement </t>
  </si>
  <si>
    <t>AUGUST</t>
  </si>
  <si>
    <t>Traffic a retail</t>
  </si>
  <si>
    <t xml:space="preserve">always on </t>
  </si>
  <si>
    <t>SEPTEMBER</t>
  </si>
  <si>
    <t>OCTOBER</t>
  </si>
  <si>
    <t>6 MONTHS</t>
  </si>
  <si>
    <t>Facebook (Reach extender a Instagram)</t>
  </si>
  <si>
    <t>MAY</t>
  </si>
  <si>
    <t>6 MESES</t>
  </si>
  <si>
    <t>Video Pre Roll</t>
  </si>
  <si>
    <t>Video Ad</t>
  </si>
  <si>
    <t>RJ/SP/PR/SC/RS</t>
  </si>
  <si>
    <t>25-55</t>
  </si>
  <si>
    <t>Bajo el % pero en usuarios unicos aumentamos mas de 5M</t>
  </si>
  <si>
    <t>VS</t>
  </si>
  <si>
    <t>CPCV</t>
  </si>
  <si>
    <t>CLICK EN EL VIDEO</t>
  </si>
  <si>
    <t>DISPLAY GOOGLE</t>
  </si>
  <si>
    <t>VIDEO UNSKIPABLE (YOUTUBE)</t>
  </si>
  <si>
    <t>PROGRAMMATIC</t>
  </si>
  <si>
    <t>Programmatic</t>
  </si>
  <si>
    <t>BANNER (ECOMMERCE Q3</t>
  </si>
  <si>
    <t>target</t>
  </si>
  <si>
    <t>25-45</t>
  </si>
  <si>
    <t>ideal 50 = 60%</t>
  </si>
  <si>
    <t xml:space="preserve">Pre Roll Launching </t>
  </si>
  <si>
    <t>Minimum 6S</t>
  </si>
  <si>
    <t xml:space="preserve">Pre Roll Consumer Moment </t>
  </si>
  <si>
    <t>Reuse videos of launching and they made de Mini Game</t>
  </si>
  <si>
    <t xml:space="preserve">Video Ad Launching </t>
  </si>
  <si>
    <t xml:space="preserve">Video Ad Consumer Moment </t>
  </si>
  <si>
    <t>15S</t>
  </si>
  <si>
    <t>P04</t>
  </si>
  <si>
    <t>P05</t>
  </si>
  <si>
    <t>P06</t>
  </si>
  <si>
    <t>P07</t>
  </si>
  <si>
    <t>P08</t>
  </si>
  <si>
    <t>Digital Media Tatical</t>
  </si>
  <si>
    <t>R$ 166.844,0</t>
  </si>
  <si>
    <t>R$ 958.688,0</t>
  </si>
  <si>
    <t>R$ 564.268,3</t>
  </si>
  <si>
    <t>R$ 220.400,7</t>
  </si>
  <si>
    <t>SUR (Paraná, Santa</t>
  </si>
  <si>
    <t>Catarina y Rio Grande do Sul).</t>
  </si>
  <si>
    <t>Catarina y Rio Grande do Sul) + RJ y SPI</t>
  </si>
  <si>
    <t>PERIODO:</t>
  </si>
  <si>
    <t>del 20/05 hasta 31/08</t>
  </si>
  <si>
    <t>MONTHLY REACH</t>
  </si>
  <si>
    <t xml:space="preserve">Piezas aprobadas y hechas </t>
  </si>
  <si>
    <t>banner 300x250, 300x60</t>
  </si>
  <si>
    <t>Pre-roll</t>
  </si>
  <si>
    <t>Pre Roll</t>
  </si>
  <si>
    <t xml:space="preserve">4:5 post ad </t>
  </si>
  <si>
    <t>Video Ad Consumer Moment</t>
  </si>
  <si>
    <t>Video Ad Launching</t>
  </si>
  <si>
    <t>bumper</t>
  </si>
  <si>
    <t>Instagram stories</t>
  </si>
  <si>
    <t xml:space="preserve">NOVO BUDGET </t>
  </si>
  <si>
    <t xml:space="preserve">ESCENARIO 1 </t>
  </si>
  <si>
    <t>PRE ROLL</t>
  </si>
  <si>
    <t>Bumper</t>
  </si>
  <si>
    <t>mayo</t>
  </si>
  <si>
    <t>junio</t>
  </si>
  <si>
    <t>julio</t>
  </si>
  <si>
    <t>agosto</t>
  </si>
  <si>
    <t>25-50</t>
  </si>
  <si>
    <t>Potencial Reach</t>
  </si>
  <si>
    <t xml:space="preserve">INVESTMENT PER FASE </t>
  </si>
  <si>
    <t>FASE</t>
  </si>
  <si>
    <t xml:space="preserve">Region </t>
  </si>
  <si>
    <t xml:space="preserve">TIPO DE COMPRA </t>
  </si>
  <si>
    <t>PIECE</t>
  </si>
  <si>
    <t xml:space="preserve">PLACEMENTS </t>
  </si>
  <si>
    <t xml:space="preserve">GENERAL CAMPAIGN </t>
  </si>
  <si>
    <t>FB</t>
  </si>
  <si>
    <t>SUR (Paraná, Santa,Catarina y Rio Grande do Sul).</t>
  </si>
  <si>
    <t xml:space="preserve">Formato de reserva Reach&amp;frequency </t>
  </si>
  <si>
    <t xml:space="preserve">POST AD </t>
  </si>
  <si>
    <t xml:space="preserve">FB REACH EXTENDER IG AND AUDIENCE NETWORK </t>
  </si>
  <si>
    <t>SUR (Paraná, Santa,Catarina y Rio Grande do Sul)+ RJ y SPI</t>
  </si>
  <si>
    <t xml:space="preserve">YOUTUBE </t>
  </si>
  <si>
    <t xml:space="preserve">Pre Roll + companion banners (300x250 + 300x60) </t>
  </si>
  <si>
    <t>PRE ROLL + COMPANION BANNERS</t>
  </si>
  <si>
    <t xml:space="preserve">2 PRE ROLL </t>
  </si>
  <si>
    <t>You tube</t>
  </si>
  <si>
    <t xml:space="preserve">Consumer moments </t>
  </si>
  <si>
    <t xml:space="preserve">Youtube </t>
  </si>
  <si>
    <t xml:space="preserve">KIDS CORP (PROGRAMMATIC) </t>
  </si>
  <si>
    <t xml:space="preserve">Intersticial </t>
  </si>
  <si>
    <t>KIDS CORP</t>
  </si>
  <si>
    <t xml:space="preserve">CONSUMER MOMENT </t>
  </si>
  <si>
    <t>video</t>
  </si>
  <si>
    <t xml:space="preserve">VIX ( CONTENT) </t>
  </si>
  <si>
    <t xml:space="preserve">LAUNCHING </t>
  </si>
  <si>
    <t xml:space="preserve">VIDEO NOTA </t>
  </si>
  <si>
    <t>VIX</t>
  </si>
  <si>
    <t xml:space="preserve">FB EXTENDER IG </t>
  </si>
  <si>
    <t>Video views</t>
  </si>
  <si>
    <t>IG STORIES</t>
  </si>
  <si>
    <t>STIORIES</t>
  </si>
  <si>
    <t>Vide views</t>
  </si>
  <si>
    <t>IG</t>
  </si>
  <si>
    <t>VERIZON PROGRAMMATICA</t>
  </si>
  <si>
    <t>VIDEO BANNER</t>
  </si>
  <si>
    <t>TBD</t>
  </si>
  <si>
    <t>RAPPI</t>
  </si>
  <si>
    <t xml:space="preserve">ESTATTICO </t>
  </si>
  <si>
    <t xml:space="preserve">TOTAL </t>
  </si>
  <si>
    <t xml:space="preserve">JUNIO </t>
  </si>
  <si>
    <t xml:space="preserve">JULIO </t>
  </si>
  <si>
    <t xml:space="preserve">AGOSTO </t>
  </si>
  <si>
    <t>IMPRESIONSS</t>
  </si>
  <si>
    <t>VIEWS</t>
  </si>
  <si>
    <t>POSSIBLE</t>
  </si>
  <si>
    <t>BONUS</t>
  </si>
  <si>
    <t>MEDIA</t>
  </si>
  <si>
    <t>FB
(extender en IG)</t>
  </si>
  <si>
    <t>FB (extender Ig)</t>
  </si>
  <si>
    <t xml:space="preserve">GRAND total </t>
  </si>
  <si>
    <t>KTBO MEDIA</t>
  </si>
  <si>
    <t xml:space="preserve">CDN </t>
  </si>
  <si>
    <t>GENERAL</t>
  </si>
  <si>
    <t>TOTALES</t>
  </si>
  <si>
    <t xml:space="preserve">GOOGLE DISPLAY </t>
  </si>
  <si>
    <t>GOOGLE YOUTUBE</t>
  </si>
  <si>
    <t>KIDSCORP</t>
  </si>
  <si>
    <t>MILLENIAL AND PARENTS</t>
  </si>
  <si>
    <t>FACEBOOK E INSTAGRAM</t>
  </si>
  <si>
    <t>MATERIALES</t>
  </si>
  <si>
    <t xml:space="preserve">NUMBER OF PIECES PER MONTH </t>
  </si>
  <si>
    <t xml:space="preserve">APRIL </t>
  </si>
  <si>
    <t>1(static)</t>
  </si>
  <si>
    <t>Pre Roll launching</t>
  </si>
  <si>
    <t>This ones ktbo dont do it , Just share de renders</t>
  </si>
  <si>
    <t>1 (static)</t>
  </si>
  <si>
    <t>1 (stories)</t>
  </si>
  <si>
    <t xml:space="preserve">1 (statics) </t>
  </si>
  <si>
    <t xml:space="preserve">PIECES IN THE PLAN </t>
  </si>
  <si>
    <t>Stories IG</t>
  </si>
  <si>
    <t xml:space="preserve">TOTAL OF PIECES PER MONTH  TO PRODUCE IN KTBO </t>
  </si>
  <si>
    <t>STATIC</t>
  </si>
  <si>
    <t xml:space="preserve">BUDGET </t>
  </si>
  <si>
    <t>BRANDED VIDEO 1</t>
  </si>
  <si>
    <t>BRANDED VIDEO 2</t>
  </si>
  <si>
    <t>General Dimensions (Mandatory Fields)</t>
  </si>
  <si>
    <t>Buy Metrics (Mandatory Fields)</t>
  </si>
  <si>
    <t>KPI Metrics</t>
  </si>
  <si>
    <t>Additional Dimensions</t>
  </si>
  <si>
    <t>Agency</t>
  </si>
  <si>
    <t>Client</t>
  </si>
  <si>
    <t>Brand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</si>
  <si>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</si>
  <si>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</si>
  <si>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</si>
  <si>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</si>
  <si>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</si>
  <si>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</si>
  <si>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</si>
  <si>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</si>
  <si>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</si>
  <si>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</si>
  <si>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</si>
  <si>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</si>
  <si>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</si>
  <si>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</si>
  <si>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</si>
  <si>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</si>
  <si>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</si>
  <si>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</si>
  <si>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Buy Type</t>
  </si>
  <si>
    <t>Media Rate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</si>
  <si>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</si>
  <si>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</si>
  <si>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</si>
  <si>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</si>
  <si>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</si>
  <si>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</si>
  <si>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</si>
  <si>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</si>
  <si>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</si>
  <si>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</si>
  <si>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</si>
  <si>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</si>
  <si>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</si>
  <si>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</si>
  <si>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KTBO</t>
  </si>
  <si>
    <t>Kelloggs</t>
  </si>
  <si>
    <t>Sucrilhos</t>
  </si>
  <si>
    <t>MERCOSUR</t>
  </si>
  <si>
    <t>BR</t>
  </si>
  <si>
    <t>Sao Paulo</t>
  </si>
  <si>
    <t>Redmas</t>
  </si>
  <si>
    <t>KTBO_2021_BRA_Kelloggs_Sucrilhos_Seasonal_Lançamento2021_Redmas_CPM_MorningBreakfast</t>
  </si>
  <si>
    <t>Seasonal</t>
  </si>
  <si>
    <t>Impressions</t>
  </si>
  <si>
    <t>Mobile and Desk</t>
  </si>
  <si>
    <t>Portuguese</t>
  </si>
  <si>
    <t>No</t>
  </si>
  <si>
    <t>Reales</t>
  </si>
  <si>
    <t>Rich Media</t>
  </si>
  <si>
    <t>Facebook and Instagram</t>
  </si>
  <si>
    <t>KTBO_2021_BRA_Kelloggs_Sucrilhos_Seasonal_Lançamento2021_Facebook_FacebookandInstagram_Awareness_CPM_MorningBreakfast</t>
  </si>
  <si>
    <t>Page Post Stories Videos</t>
  </si>
  <si>
    <t>Globo.com</t>
  </si>
  <si>
    <t>KTBO_2021_BRA_Kelloggs_Sucrilhos_Seasonal_Lançamento2021_Globo_CPM_MorningBreakfast</t>
  </si>
  <si>
    <t>Banners</t>
  </si>
  <si>
    <t>KidsCorp</t>
  </si>
  <si>
    <t>KTBO_2021_BRA_Kelloggs_Sucrilhos_Seasonal_Lançamento2021_KidsCorp_CPM_MorningBreakfast</t>
  </si>
  <si>
    <t>Video</t>
  </si>
  <si>
    <t>Pluto TV</t>
  </si>
  <si>
    <t>KTBO_2021_BRA_Kelloggs_Sucrilhos_Seasonal_Lançamento2021_PlutoTV_CPM_MorningBreakfast</t>
  </si>
  <si>
    <t>Banner Video</t>
  </si>
  <si>
    <t>Verizon</t>
  </si>
  <si>
    <t>KTBO_2021_BRA_Kelloggs_Sucrilhos_Seasonal_Lançamento2021_Verizon_CPM_MorningBreakfast</t>
  </si>
  <si>
    <t>Google</t>
  </si>
  <si>
    <t>KTBO_2021_BRA_Kelloggs_Sucrilhos_Seasonal_Lançamento2021_Google_CPM_MorningBreakfast</t>
  </si>
  <si>
    <t>KTBO_2021_BRA_Kelloggs_Sucrilhos_Seasonal_Lançamento2021_Youtube_CPM_MorningBreakfast</t>
  </si>
  <si>
    <t>Video and Banner</t>
  </si>
  <si>
    <t>Mynd</t>
  </si>
  <si>
    <t>KTBO_2021_BRA_Kelloggs_Sucrilhos_Seasonal_Lançamento2021_Mynd_Mynd_Awareness_CPM_MorningBreakfast</t>
  </si>
  <si>
    <t>Twitter</t>
  </si>
  <si>
    <t>KTBO_2021_BRA_Kelloggs_Sucrilhos_Seasonal_Lançamento2021_Twitter_Twitter_Awareness_CPM_MorningBreakfast</t>
  </si>
  <si>
    <t>Video Banner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</si>
</sst>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"/>
    <numFmt numFmtId="166" formatCode="[$R$ -416]#,##0.00"/>
    <numFmt numFmtId="167" formatCode="_-[$R$-416]\ * #,##0.00_-;\-[$R$-416]\ * #,##0.00_-;_-[$R$-416]\ * &quot;-&quot;??_-;_-@"/>
  </numFmts>
  <fonts count="80">
    <font>
      <sz val="10"/>
      <color rgb="FF000000"/>
      <name val="Arial"/>
    </font>
    <font>
      <sz val="10"/>
      <color theme="1"/>
      <name val="Proxima Nova"/>
    </font>
    <font>
      <b/>
      <sz val="12"/>
      <color rgb="FFFFFFFF"/>
      <name val="Roboto Condensed"/>
    </font>
    <font>
      <sz val="10"/>
      <name val="Arial"/>
    </font>
    <font>
      <sz val="12"/>
      <color rgb="FFFFFFFF"/>
      <name val="Oswald"/>
    </font>
    <font>
      <sz val="12"/>
      <color theme="1"/>
      <name val="Proxima Nova"/>
    </font>
    <font>
      <sz val="14"/>
      <color theme="1"/>
      <name val="Proxima Nova"/>
    </font>
    <font>
      <sz val="12"/>
      <color rgb="FF000000"/>
      <name val="Proxima Nova"/>
    </font>
    <font>
      <sz val="12"/>
      <color rgb="FFFFFFFF"/>
      <name val="Proxima Nova"/>
    </font>
    <font>
      <sz val="14"/>
      <color theme="1"/>
      <name val="Oswald"/>
    </font>
    <font>
      <sz val="14"/>
      <color rgb="FFFFFFFF"/>
      <name val="Oswald"/>
    </font>
    <font>
      <b/>
      <sz val="14"/>
      <color theme="1"/>
      <name val="Proxima Nova"/>
    </font>
    <font>
      <sz val="18"/>
      <color rgb="FFFFFFFF"/>
      <name val="Oswald"/>
    </font>
    <font>
      <sz val="18"/>
      <color theme="1"/>
      <name val="Proxima Nova"/>
    </font>
    <font>
      <sz val="14"/>
      <color theme="1"/>
      <name val="Arial"/>
    </font>
    <font>
      <sz val="24"/>
      <color theme="1"/>
      <name val="Proxima Nova"/>
    </font>
    <font>
      <sz val="21"/>
      <color theme="1"/>
      <name val="Proxima Nova"/>
    </font>
    <font>
      <sz val="22"/>
      <color theme="1"/>
      <name val="Proxima Nova"/>
    </font>
    <font>
      <sz val="14"/>
      <color rgb="FFFFFFFF"/>
      <name val="Arial"/>
    </font>
    <font>
      <sz val="18"/>
      <color rgb="FF000000"/>
      <name val="Proxima Nova"/>
    </font>
    <font>
      <sz val="14"/>
      <color rgb="FF000000"/>
      <name val="Proxima Nova"/>
    </font>
    <font>
      <sz val="14"/>
      <color rgb="FF000000"/>
      <name val="Arial"/>
    </font>
    <font>
      <b/>
      <sz val="18"/>
      <color theme="1"/>
      <name val="Proxima Nova"/>
    </font>
    <font>
      <b/>
      <sz val="12"/>
      <color theme="1"/>
      <name val="Oswald"/>
    </font>
    <font>
      <b/>
      <sz val="14"/>
      <color theme="1"/>
      <name val="Oswald"/>
    </font>
    <font>
      <sz val="10"/>
      <color theme="1"/>
      <name val="Arial"/>
    </font>
    <font>
      <b/>
      <sz val="10"/>
      <color theme="1"/>
      <name val="Proxima Nova"/>
    </font>
    <font>
      <sz val="10"/>
      <color rgb="FFFFFFFF"/>
      <name val="Proxima Nova"/>
    </font>
    <font>
      <sz val="10"/>
      <color rgb="FF000000"/>
      <name val="Proxima Nova"/>
    </font>
    <font>
      <sz val="10"/>
      <color rgb="FFFFFFFF"/>
      <name val="Arial"/>
    </font>
    <font>
      <b/>
      <sz val="10"/>
      <color rgb="FFFFFFFF"/>
      <name val="Proxima Nova"/>
    </font>
    <font>
      <sz val="14"/>
      <color rgb="FFFFFFFF"/>
      <name val="Proxima Nova"/>
    </font>
    <font>
      <sz val="18"/>
      <color theme="1"/>
      <name val="Arial"/>
    </font>
    <font>
      <sz val="18"/>
      <color rgb="FF000000"/>
      <name val="Arial"/>
    </font>
    <font>
      <b/>
      <sz val="18"/>
      <color theme="1"/>
      <name val="Oswald"/>
    </font>
    <font>
      <sz val="18"/>
      <color theme="1"/>
      <name val="Oswald"/>
    </font>
    <font>
      <sz val="12"/>
      <color rgb="FFFFFFFF"/>
      <name val="Arial"/>
    </font>
    <font>
      <b/>
      <sz val="14"/>
      <color theme="1"/>
      <name val="Arial"/>
    </font>
    <font>
      <b/>
      <sz val="12"/>
      <color theme="1"/>
      <name val="Proxima Nova"/>
    </font>
    <font>
      <sz val="10"/>
      <color rgb="FF222222"/>
      <name val="Roboto"/>
    </font>
    <font>
      <b/>
      <sz val="12"/>
      <color rgb="FF000000"/>
      <name val="Roboto"/>
    </font>
    <font>
      <i/>
      <sz val="10"/>
      <color rgb="FF000000"/>
      <name val="Roboto"/>
    </font>
    <font>
      <sz val="10"/>
      <color rgb="FF000000"/>
      <name val="Roboto"/>
    </font>
    <font>
      <b/>
      <sz val="12"/>
      <color rgb="FFFFFFFF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b/>
      <sz val="14"/>
      <color rgb="FF000000"/>
      <name val="Oswald"/>
    </font>
    <font>
      <b/>
      <sz val="24"/>
      <color rgb="FF000000"/>
      <name val="Proxima Nova"/>
    </font>
    <font>
      <sz val="12"/>
      <color rgb="FF000000"/>
      <name val="Arial"/>
    </font>
    <font>
      <b/>
      <sz val="18"/>
      <color rgb="FFFFFFFF"/>
      <name val="Arial"/>
    </font>
    <font>
      <b/>
      <sz val="18"/>
      <color rgb="FF000000"/>
      <name val="Arial"/>
    </font>
    <font>
      <b/>
      <sz val="18"/>
      <color rgb="FF000000"/>
      <name val="Oswald"/>
    </font>
    <font>
      <sz val="24"/>
      <color theme="1"/>
      <name val="Oswald"/>
    </font>
    <font>
      <sz val="24"/>
      <color theme="1"/>
      <name val="Arial"/>
    </font>
    <font>
      <sz val="8"/>
      <color theme="1"/>
      <name val="Arial"/>
    </font>
    <font>
      <sz val="18"/>
      <color rgb="FFFFFFFF"/>
      <name val="Arial"/>
    </font>
    <font>
      <sz val="11"/>
      <color theme="1"/>
      <name val="Arial"/>
    </font>
    <font>
      <sz val="7"/>
      <color theme="1"/>
      <name val="Arial"/>
    </font>
    <font>
      <b/>
      <sz val="14"/>
      <color rgb="FFFFFFFF"/>
      <name val="Arial"/>
    </font>
    <font>
      <sz val="15"/>
      <color rgb="FFFFFFFF"/>
      <name val="Arial"/>
    </font>
    <font>
      <b/>
      <sz val="15"/>
      <color rgb="FFFFFFFF"/>
      <name val="Arial"/>
    </font>
    <font>
      <b/>
      <sz val="18"/>
      <color theme="1"/>
      <name val="Arial"/>
    </font>
    <font>
      <b/>
      <sz val="24"/>
      <color theme="1"/>
      <name val="Arial"/>
    </font>
    <font>
      <b/>
      <sz val="10"/>
      <color theme="1"/>
      <name val="Arial"/>
    </font>
    <font>
      <b/>
      <sz val="24"/>
      <color rgb="FF000000"/>
      <name val="Arial"/>
    </font>
    <font>
      <sz val="12"/>
      <color theme="1"/>
      <name val="Arial"/>
    </font>
    <font>
      <sz val="13"/>
      <color rgb="FFFFFFFF"/>
      <name val="Arial"/>
    </font>
    <font>
      <sz val="11"/>
      <color rgb="FFFFFFFF"/>
      <name val="Arial"/>
    </font>
    <font>
      <sz val="11"/>
      <color rgb="FF000000"/>
      <name val="Arial"/>
    </font>
    <font>
      <b/>
      <sz val="10"/>
      <color rgb="FF000000"/>
      <name val="Arial"/>
    </font>
    <font>
      <sz val="24"/>
      <color rgb="FFFFFFFF"/>
      <name val="Arial"/>
    </font>
    <font>
      <sz val="24"/>
      <color rgb="FF000000"/>
      <name val="Arial"/>
    </font>
    <font>
      <b/>
      <sz val="24"/>
      <color rgb="FFFFFFFF"/>
      <name val="Arial"/>
    </font>
    <font>
      <b/>
      <sz val="18"/>
      <color rgb="FFFFFFFF"/>
      <name val="Proxima Nova"/>
    </font>
    <font>
      <sz val="36"/>
      <color theme="1"/>
      <name val="Arial"/>
    </font>
    <font>
      <b/>
      <sz val="12"/>
      <color theme="1"/>
      <name val="Arial"/>
    </font>
    <font>
      <b/>
      <sz val="10"/>
      <color rgb="FFFFFFFF"/>
      <name val="Calibri"/>
    </font>
    <font>
      <b/>
      <sz val="14"/>
      <color rgb="FFFFFFFF"/>
      <name val="Calibri"/>
    </font>
    <font>
      <b/>
      <sz val="11"/>
      <color rgb="FFFFFFFF"/>
      <name val="Calibri"/>
    </font>
    <font>
      <b/>
      <sz val="10"/>
      <color rgb="FF000000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14E6BF"/>
        <bgColor rgb="FF14E6B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EA4335"/>
        <bgColor rgb="FFEA4335"/>
      </patternFill>
    </fill>
    <fill>
      <patternFill patternType="solid">
        <fgColor rgb="FFFF6D01"/>
        <bgColor rgb="FFFF6D01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rgb="FF002060"/>
      </patternFill>
    </fill>
    <fill>
      <patternFill patternType="solid">
        <fgColor rgb="FF073763"/>
        <bgColor rgb="FF073763"/>
      </patternFill>
    </fill>
    <fill>
      <patternFill patternType="solid">
        <fgColor rgb="FF1C4587"/>
        <bgColor rgb="FF1C4587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00B050"/>
        <bgColor rgb="FF00B050"/>
      </patternFill>
    </fill>
    <fill>
      <patternFill patternType="solid">
        <fgColor rgb="FFFCE5CD"/>
        <bgColor rgb="FFFCE5CD"/>
      </patternFill>
    </fill>
  </fills>
  <borders count="8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000000"/>
      </left>
      <right/>
      <top style="thin">
        <color rgb="FFD9D9D9"/>
      </top>
      <bottom style="thin">
        <color rgb="FF000000"/>
      </bottom>
      <diagonal/>
    </border>
    <border>
      <left/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2B51"/>
      </top>
      <bottom/>
      <diagonal/>
    </border>
    <border>
      <left/>
      <right/>
      <top style="thin">
        <color rgb="FF002B51"/>
      </top>
      <bottom/>
      <diagonal/>
    </border>
    <border>
      <left/>
      <right style="thin">
        <color rgb="FF000000"/>
      </right>
      <top style="thin">
        <color rgb="FF002B5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2B51"/>
      </bottom>
      <diagonal/>
    </border>
    <border>
      <left/>
      <right/>
      <top/>
      <bottom style="thin">
        <color rgb="FF002B51"/>
      </bottom>
      <diagonal/>
    </border>
    <border>
      <left/>
      <right style="thin">
        <color rgb="FF000000"/>
      </right>
      <top/>
      <bottom style="thin">
        <color rgb="FF002B51"/>
      </bottom>
      <diagonal/>
    </border>
  </borders>
  <cellStyleXfs count="1">
    <xf numFmtId="0" fontId="0" fillId="0" borderId="0"/>
  </cellStyleXfs>
  <cellXfs count="57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4" fillId="2" borderId="4" xfId="0" applyFont="1" applyFill="1" applyBorder="1" applyAlignment="1">
      <alignment vertical="center"/>
    </xf>
    <xf numFmtId="165" fontId="5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7" fillId="3" borderId="4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vertical="center"/>
    </xf>
    <xf numFmtId="9" fontId="5" fillId="3" borderId="1" xfId="0" applyNumberFormat="1" applyFont="1" applyFill="1" applyBorder="1" applyAlignment="1">
      <alignment vertical="center"/>
    </xf>
    <xf numFmtId="4" fontId="6" fillId="0" borderId="0" xfId="0" applyNumberFormat="1" applyFont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3" fontId="5" fillId="0" borderId="4" xfId="0" applyNumberFormat="1" applyFont="1" applyBorder="1" applyAlignment="1">
      <alignment vertical="center"/>
    </xf>
    <xf numFmtId="9" fontId="5" fillId="0" borderId="4" xfId="0" applyNumberFormat="1" applyFont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12" fillId="2" borderId="10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2" fillId="8" borderId="10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9" fontId="13" fillId="0" borderId="14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164" fontId="6" fillId="9" borderId="1" xfId="0" applyNumberFormat="1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14" fillId="10" borderId="12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14" fillId="10" borderId="13" xfId="0" applyFont="1" applyFill="1" applyBorder="1" applyAlignment="1">
      <alignment horizontal="center"/>
    </xf>
    <xf numFmtId="4" fontId="6" fillId="0" borderId="10" xfId="0" applyNumberFormat="1" applyFont="1" applyBorder="1" applyAlignment="1">
      <alignment horizontal="center" vertical="center"/>
    </xf>
    <xf numFmtId="164" fontId="6" fillId="9" borderId="10" xfId="0" applyNumberFormat="1" applyFont="1" applyFill="1" applyBorder="1" applyAlignment="1">
      <alignment horizontal="center" vertical="center"/>
    </xf>
    <xf numFmtId="9" fontId="6" fillId="0" borderId="10" xfId="0" applyNumberFormat="1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" fontId="6" fillId="0" borderId="26" xfId="0" applyNumberFormat="1" applyFont="1" applyBorder="1" applyAlignment="1">
      <alignment horizontal="center" vertical="center"/>
    </xf>
    <xf numFmtId="0" fontId="13" fillId="13" borderId="27" xfId="0" applyFont="1" applyFill="1" applyBorder="1" applyAlignment="1">
      <alignment horizontal="center" vertical="center"/>
    </xf>
    <xf numFmtId="9" fontId="13" fillId="13" borderId="27" xfId="0" applyNumberFormat="1" applyFont="1" applyFill="1" applyBorder="1" applyAlignment="1">
      <alignment horizontal="center" vertical="center"/>
    </xf>
    <xf numFmtId="0" fontId="13" fillId="13" borderId="10" xfId="0" applyFont="1" applyFill="1" applyBorder="1" applyAlignment="1">
      <alignment horizontal="center" vertical="center"/>
    </xf>
    <xf numFmtId="9" fontId="6" fillId="13" borderId="10" xfId="0" applyNumberFormat="1" applyFont="1" applyFill="1" applyBorder="1" applyAlignment="1">
      <alignment horizontal="center" vertical="center"/>
    </xf>
    <xf numFmtId="3" fontId="6" fillId="13" borderId="10" xfId="0" applyNumberFormat="1" applyFont="1" applyFill="1" applyBorder="1" applyAlignment="1">
      <alignment horizontal="center" vertical="center"/>
    </xf>
    <xf numFmtId="165" fontId="6" fillId="13" borderId="10" xfId="0" applyNumberFormat="1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center" vertical="center"/>
    </xf>
    <xf numFmtId="164" fontId="6" fillId="13" borderId="10" xfId="0" applyNumberFormat="1" applyFont="1" applyFill="1" applyBorder="1" applyAlignment="1">
      <alignment horizontal="center" vertical="center"/>
    </xf>
    <xf numFmtId="3" fontId="6" fillId="13" borderId="28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4" fillId="13" borderId="13" xfId="0" applyFont="1" applyFill="1" applyBorder="1" applyAlignment="1">
      <alignment horizontal="center"/>
    </xf>
    <xf numFmtId="9" fontId="13" fillId="0" borderId="19" xfId="0" applyNumberFormat="1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3" borderId="30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5" fillId="13" borderId="10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9" fillId="13" borderId="27" xfId="0" applyFont="1" applyFill="1" applyBorder="1" applyAlignment="1">
      <alignment horizontal="center" vertical="center"/>
    </xf>
    <xf numFmtId="9" fontId="19" fillId="13" borderId="27" xfId="0" applyNumberFormat="1" applyFont="1" applyFill="1" applyBorder="1" applyAlignment="1">
      <alignment horizontal="center" vertical="center"/>
    </xf>
    <xf numFmtId="0" fontId="19" fillId="13" borderId="10" xfId="0" applyFont="1" applyFill="1" applyBorder="1" applyAlignment="1">
      <alignment horizontal="center" vertical="center"/>
    </xf>
    <xf numFmtId="9" fontId="20" fillId="13" borderId="10" xfId="0" applyNumberFormat="1" applyFont="1" applyFill="1" applyBorder="1" applyAlignment="1">
      <alignment horizontal="center" vertical="center"/>
    </xf>
    <xf numFmtId="3" fontId="20" fillId="13" borderId="10" xfId="0" applyNumberFormat="1" applyFont="1" applyFill="1" applyBorder="1" applyAlignment="1">
      <alignment horizontal="center" vertical="center"/>
    </xf>
    <xf numFmtId="165" fontId="20" fillId="13" borderId="10" xfId="0" applyNumberFormat="1" applyFont="1" applyFill="1" applyBorder="1" applyAlignment="1">
      <alignment horizontal="center" vertical="center"/>
    </xf>
    <xf numFmtId="0" fontId="20" fillId="13" borderId="10" xfId="0" applyFont="1" applyFill="1" applyBorder="1" applyAlignment="1">
      <alignment horizontal="center" vertical="center"/>
    </xf>
    <xf numFmtId="164" fontId="20" fillId="13" borderId="10" xfId="0" applyNumberFormat="1" applyFont="1" applyFill="1" applyBorder="1" applyAlignment="1">
      <alignment horizontal="center" vertical="center"/>
    </xf>
    <xf numFmtId="3" fontId="20" fillId="13" borderId="28" xfId="0" applyNumberFormat="1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0" fontId="21" fillId="13" borderId="13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165" fontId="14" fillId="4" borderId="1" xfId="0" applyNumberFormat="1" applyFont="1" applyFill="1" applyBorder="1" applyAlignment="1">
      <alignment horizontal="center"/>
    </xf>
    <xf numFmtId="165" fontId="14" fillId="4" borderId="13" xfId="0" applyNumberFormat="1" applyFont="1" applyFill="1" applyBorder="1" applyAlignment="1">
      <alignment horizontal="center"/>
    </xf>
    <xf numFmtId="165" fontId="14" fillId="10" borderId="1" xfId="0" applyNumberFormat="1" applyFont="1" applyFill="1" applyBorder="1" applyAlignment="1">
      <alignment horizontal="center"/>
    </xf>
    <xf numFmtId="9" fontId="13" fillId="0" borderId="35" xfId="0" applyNumberFormat="1" applyFont="1" applyBorder="1" applyAlignment="1">
      <alignment horizontal="center" vertical="center"/>
    </xf>
    <xf numFmtId="165" fontId="13" fillId="0" borderId="10" xfId="0" applyNumberFormat="1" applyFont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3" fontId="6" fillId="9" borderId="10" xfId="0" applyNumberFormat="1" applyFont="1" applyFill="1" applyBorder="1" applyAlignment="1">
      <alignment horizontal="center" vertical="center"/>
    </xf>
    <xf numFmtId="9" fontId="13" fillId="0" borderId="10" xfId="0" applyNumberFormat="1" applyFont="1" applyBorder="1" applyAlignment="1">
      <alignment horizontal="center" vertical="center"/>
    </xf>
    <xf numFmtId="9" fontId="13" fillId="13" borderId="10" xfId="0" applyNumberFormat="1" applyFont="1" applyFill="1" applyBorder="1" applyAlignment="1">
      <alignment horizontal="center" vertical="center"/>
    </xf>
    <xf numFmtId="165" fontId="13" fillId="13" borderId="10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165" fontId="23" fillId="16" borderId="1" xfId="0" applyNumberFormat="1" applyFont="1" applyFill="1" applyBorder="1" applyAlignment="1">
      <alignment horizontal="center" vertical="center"/>
    </xf>
    <xf numFmtId="0" fontId="24" fillId="16" borderId="1" xfId="0" applyFont="1" applyFill="1" applyBorder="1" applyAlignment="1">
      <alignment horizontal="center" vertical="center"/>
    </xf>
    <xf numFmtId="3" fontId="24" fillId="16" borderId="1" xfId="0" applyNumberFormat="1" applyFont="1" applyFill="1" applyBorder="1" applyAlignment="1">
      <alignment horizontal="center" vertical="center"/>
    </xf>
    <xf numFmtId="165" fontId="24" fillId="16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vertical="center"/>
    </xf>
    <xf numFmtId="3" fontId="9" fillId="16" borderId="1" xfId="0" applyNumberFormat="1" applyFont="1" applyFill="1" applyBorder="1" applyAlignment="1">
      <alignment horizontal="center" vertical="center"/>
    </xf>
    <xf numFmtId="4" fontId="9" fillId="1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25" fillId="0" borderId="0" xfId="0" applyFont="1"/>
    <xf numFmtId="165" fontId="25" fillId="0" borderId="0" xfId="0" applyNumberFormat="1" applyFont="1"/>
    <xf numFmtId="3" fontId="25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5" fontId="27" fillId="0" borderId="0" xfId="0" applyNumberFormat="1" applyFont="1" applyAlignment="1">
      <alignment vertical="center"/>
    </xf>
    <xf numFmtId="165" fontId="28" fillId="0" borderId="0" xfId="0" applyNumberFormat="1" applyFont="1" applyAlignment="1">
      <alignment vertical="center"/>
    </xf>
    <xf numFmtId="0" fontId="29" fillId="0" borderId="0" xfId="0" applyFont="1"/>
    <xf numFmtId="165" fontId="30" fillId="0" borderId="0" xfId="0" applyNumberFormat="1" applyFont="1" applyAlignment="1">
      <alignment vertical="center"/>
    </xf>
    <xf numFmtId="0" fontId="10" fillId="2" borderId="4" xfId="0" applyFont="1" applyFill="1" applyBorder="1" applyAlignment="1">
      <alignment vertical="center"/>
    </xf>
    <xf numFmtId="165" fontId="6" fillId="0" borderId="4" xfId="0" applyNumberFormat="1" applyFont="1" applyBorder="1" applyAlignment="1">
      <alignment horizontal="center" vertical="center"/>
    </xf>
    <xf numFmtId="0" fontId="14" fillId="0" borderId="0" xfId="0" applyFont="1"/>
    <xf numFmtId="0" fontId="6" fillId="3" borderId="1" xfId="0" applyFont="1" applyFill="1" applyBorder="1" applyAlignment="1">
      <alignment vertical="center"/>
    </xf>
    <xf numFmtId="165" fontId="20" fillId="3" borderId="4" xfId="0" applyNumberFormat="1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9" fontId="6" fillId="3" borderId="1" xfId="0" applyNumberFormat="1" applyFont="1" applyFill="1" applyBorder="1" applyAlignment="1">
      <alignment vertical="center"/>
    </xf>
    <xf numFmtId="4" fontId="6" fillId="17" borderId="4" xfId="0" applyNumberFormat="1" applyFont="1" applyFill="1" applyBorder="1" applyAlignment="1">
      <alignment horizontal="center" vertical="center"/>
    </xf>
    <xf numFmtId="4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6" fillId="0" borderId="4" xfId="0" applyNumberFormat="1" applyFont="1" applyBorder="1" applyAlignment="1">
      <alignment vertical="center"/>
    </xf>
    <xf numFmtId="9" fontId="6" fillId="0" borderId="4" xfId="0" applyNumberFormat="1" applyFont="1" applyBorder="1" applyAlignment="1">
      <alignment vertical="center"/>
    </xf>
    <xf numFmtId="0" fontId="32" fillId="13" borderId="1" xfId="0" applyFont="1" applyFill="1" applyBorder="1" applyAlignment="1">
      <alignment horizontal="center"/>
    </xf>
    <xf numFmtId="0" fontId="33" fillId="13" borderId="1" xfId="0" applyFont="1" applyFill="1" applyBorder="1" applyAlignment="1">
      <alignment horizontal="center"/>
    </xf>
    <xf numFmtId="165" fontId="32" fillId="10" borderId="1" xfId="0" applyNumberFormat="1" applyFont="1" applyFill="1" applyBorder="1" applyAlignment="1">
      <alignment horizontal="center"/>
    </xf>
    <xf numFmtId="0" fontId="32" fillId="10" borderId="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164" fontId="6" fillId="9" borderId="28" xfId="0" applyNumberFormat="1" applyFont="1" applyFill="1" applyBorder="1" applyAlignment="1">
      <alignment horizontal="center" vertical="center"/>
    </xf>
    <xf numFmtId="165" fontId="14" fillId="14" borderId="1" xfId="0" applyNumberFormat="1" applyFont="1" applyFill="1" applyBorder="1" applyAlignment="1">
      <alignment horizontal="center"/>
    </xf>
    <xf numFmtId="165" fontId="14" fillId="14" borderId="13" xfId="0" applyNumberFormat="1" applyFont="1" applyFill="1" applyBorder="1" applyAlignment="1">
      <alignment horizontal="center"/>
    </xf>
    <xf numFmtId="0" fontId="34" fillId="16" borderId="1" xfId="0" applyFont="1" applyFill="1" applyBorder="1" applyAlignment="1">
      <alignment horizontal="center" vertical="center"/>
    </xf>
    <xf numFmtId="165" fontId="34" fillId="16" borderId="1" xfId="0" applyNumberFormat="1" applyFont="1" applyFill="1" applyBorder="1" applyAlignment="1">
      <alignment horizontal="center" vertical="center"/>
    </xf>
    <xf numFmtId="3" fontId="34" fillId="16" borderId="1" xfId="0" applyNumberFormat="1" applyFont="1" applyFill="1" applyBorder="1" applyAlignment="1">
      <alignment horizontal="center" vertical="center"/>
    </xf>
    <xf numFmtId="0" fontId="35" fillId="16" borderId="1" xfId="0" applyFont="1" applyFill="1" applyBorder="1" applyAlignment="1">
      <alignment vertical="center"/>
    </xf>
    <xf numFmtId="3" fontId="2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6" fillId="0" borderId="0" xfId="0" applyFont="1"/>
    <xf numFmtId="0" fontId="26" fillId="6" borderId="1" xfId="0" applyFont="1" applyFill="1" applyBorder="1" applyAlignment="1">
      <alignment vertical="center"/>
    </xf>
    <xf numFmtId="0" fontId="37" fillId="6" borderId="1" xfId="0" applyFont="1" applyFill="1" applyBorder="1"/>
    <xf numFmtId="0" fontId="38" fillId="6" borderId="1" xfId="0" applyFont="1" applyFill="1" applyBorder="1" applyAlignment="1">
      <alignment vertical="center"/>
    </xf>
    <xf numFmtId="0" fontId="39" fillId="18" borderId="1" xfId="0" applyFont="1" applyFill="1" applyBorder="1"/>
    <xf numFmtId="0" fontId="40" fillId="18" borderId="40" xfId="0" applyFont="1" applyFill="1" applyBorder="1" applyAlignment="1">
      <alignment horizontal="center"/>
    </xf>
    <xf numFmtId="0" fontId="40" fillId="18" borderId="43" xfId="0" applyFont="1" applyFill="1" applyBorder="1" applyAlignment="1">
      <alignment horizontal="center"/>
    </xf>
    <xf numFmtId="0" fontId="41" fillId="18" borderId="1" xfId="0" applyFont="1" applyFill="1" applyBorder="1"/>
    <xf numFmtId="0" fontId="39" fillId="0" borderId="0" xfId="0" applyFont="1"/>
    <xf numFmtId="0" fontId="42" fillId="0" borderId="0" xfId="0" applyFont="1"/>
    <xf numFmtId="0" fontId="42" fillId="0" borderId="44" xfId="0" applyFont="1" applyBorder="1"/>
    <xf numFmtId="0" fontId="10" fillId="2" borderId="4" xfId="0" applyFont="1" applyFill="1" applyBorder="1"/>
    <xf numFmtId="165" fontId="21" fillId="3" borderId="4" xfId="0" applyNumberFormat="1" applyFont="1" applyFill="1" applyBorder="1" applyAlignment="1">
      <alignment horizontal="center"/>
    </xf>
    <xf numFmtId="0" fontId="44" fillId="6" borderId="1" xfId="0" applyFont="1" applyFill="1" applyBorder="1"/>
    <xf numFmtId="0" fontId="45" fillId="6" borderId="1" xfId="0" applyFont="1" applyFill="1" applyBorder="1"/>
    <xf numFmtId="0" fontId="46" fillId="6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8" fillId="0" borderId="0" xfId="0" applyFont="1"/>
    <xf numFmtId="164" fontId="42" fillId="0" borderId="0" xfId="0" applyNumberFormat="1" applyFont="1"/>
    <xf numFmtId="164" fontId="42" fillId="0" borderId="44" xfId="0" applyNumberFormat="1" applyFont="1" applyBorder="1"/>
    <xf numFmtId="164" fontId="28" fillId="0" borderId="0" xfId="0" applyNumberFormat="1" applyFont="1" applyAlignment="1">
      <alignment vertical="center"/>
    </xf>
    <xf numFmtId="0" fontId="12" fillId="8" borderId="27" xfId="0" applyFont="1" applyFill="1" applyBorder="1" applyAlignment="1">
      <alignment horizontal="center" vertical="center" wrapText="1"/>
    </xf>
    <xf numFmtId="0" fontId="12" fillId="8" borderId="55" xfId="0" applyFont="1" applyFill="1" applyBorder="1" applyAlignment="1">
      <alignment horizontal="center" vertical="center" wrapText="1"/>
    </xf>
    <xf numFmtId="9" fontId="13" fillId="0" borderId="56" xfId="0" applyNumberFormat="1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9" fontId="13" fillId="0" borderId="58" xfId="0" applyNumberFormat="1" applyFont="1" applyBorder="1" applyAlignment="1">
      <alignment horizontal="center" vertical="center"/>
    </xf>
    <xf numFmtId="164" fontId="6" fillId="9" borderId="60" xfId="0" applyNumberFormat="1" applyFont="1" applyFill="1" applyBorder="1" applyAlignment="1">
      <alignment horizontal="center" vertical="center"/>
    </xf>
    <xf numFmtId="9" fontId="13" fillId="0" borderId="61" xfId="0" applyNumberFormat="1" applyFont="1" applyBorder="1" applyAlignment="1">
      <alignment horizontal="center" vertical="center"/>
    </xf>
    <xf numFmtId="0" fontId="13" fillId="0" borderId="63" xfId="0" applyFont="1" applyBorder="1" applyAlignment="1">
      <alignment horizontal="center" vertical="center"/>
    </xf>
    <xf numFmtId="9" fontId="13" fillId="0" borderId="63" xfId="0" applyNumberFormat="1" applyFont="1" applyBorder="1" applyAlignment="1">
      <alignment horizontal="center" vertical="center"/>
    </xf>
    <xf numFmtId="0" fontId="13" fillId="13" borderId="67" xfId="0" applyFont="1" applyFill="1" applyBorder="1" applyAlignment="1">
      <alignment horizontal="center" vertical="center"/>
    </xf>
    <xf numFmtId="9" fontId="13" fillId="13" borderId="68" xfId="0" applyNumberFormat="1" applyFont="1" applyFill="1" applyBorder="1" applyAlignment="1">
      <alignment horizontal="center" vertical="center"/>
    </xf>
    <xf numFmtId="0" fontId="13" fillId="13" borderId="60" xfId="0" applyFont="1" applyFill="1" applyBorder="1" applyAlignment="1">
      <alignment horizontal="center" vertical="center"/>
    </xf>
    <xf numFmtId="9" fontId="6" fillId="13" borderId="60" xfId="0" applyNumberFormat="1" applyFont="1" applyFill="1" applyBorder="1" applyAlignment="1">
      <alignment horizontal="center" vertical="center"/>
    </xf>
    <xf numFmtId="3" fontId="6" fillId="13" borderId="60" xfId="0" applyNumberFormat="1" applyFont="1" applyFill="1" applyBorder="1" applyAlignment="1">
      <alignment horizontal="center" vertical="center"/>
    </xf>
    <xf numFmtId="165" fontId="6" fillId="13" borderId="60" xfId="0" applyNumberFormat="1" applyFont="1" applyFill="1" applyBorder="1" applyAlignment="1">
      <alignment horizontal="center" vertical="center"/>
    </xf>
    <xf numFmtId="0" fontId="6" fillId="13" borderId="60" xfId="0" applyFont="1" applyFill="1" applyBorder="1" applyAlignment="1">
      <alignment horizontal="center" vertical="center"/>
    </xf>
    <xf numFmtId="164" fontId="6" fillId="13" borderId="60" xfId="0" applyNumberFormat="1" applyFont="1" applyFill="1" applyBorder="1" applyAlignment="1">
      <alignment horizontal="center" vertical="center"/>
    </xf>
    <xf numFmtId="9" fontId="6" fillId="0" borderId="60" xfId="0" applyNumberFormat="1" applyFont="1" applyBorder="1" applyAlignment="1">
      <alignment horizontal="center" vertical="center"/>
    </xf>
    <xf numFmtId="165" fontId="6" fillId="0" borderId="60" xfId="0" applyNumberFormat="1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164" fontId="6" fillId="0" borderId="60" xfId="0" applyNumberFormat="1" applyFont="1" applyBorder="1" applyAlignment="1">
      <alignment horizontal="center" vertical="center"/>
    </xf>
    <xf numFmtId="3" fontId="6" fillId="0" borderId="60" xfId="0" applyNumberFormat="1" applyFont="1" applyBorder="1" applyAlignment="1">
      <alignment horizontal="center" vertical="center"/>
    </xf>
    <xf numFmtId="0" fontId="6" fillId="6" borderId="60" xfId="0" applyFont="1" applyFill="1" applyBorder="1" applyAlignment="1">
      <alignment horizontal="center" vertical="center"/>
    </xf>
    <xf numFmtId="9" fontId="13" fillId="0" borderId="64" xfId="0" applyNumberFormat="1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5" fillId="13" borderId="60" xfId="0" applyFont="1" applyFill="1" applyBorder="1" applyAlignment="1">
      <alignment horizontal="center" vertical="center"/>
    </xf>
    <xf numFmtId="0" fontId="15" fillId="13" borderId="70" xfId="0" applyFont="1" applyFill="1" applyBorder="1" applyAlignment="1">
      <alignment horizontal="center" vertical="center"/>
    </xf>
    <xf numFmtId="0" fontId="17" fillId="13" borderId="70" xfId="0" applyFont="1" applyFill="1" applyBorder="1" applyAlignment="1">
      <alignment horizontal="center" vertical="center"/>
    </xf>
    <xf numFmtId="0" fontId="19" fillId="13" borderId="60" xfId="0" applyFont="1" applyFill="1" applyBorder="1" applyAlignment="1">
      <alignment horizontal="center" vertical="center"/>
    </xf>
    <xf numFmtId="9" fontId="19" fillId="13" borderId="70" xfId="0" applyNumberFormat="1" applyFont="1" applyFill="1" applyBorder="1" applyAlignment="1">
      <alignment horizontal="center" vertical="center"/>
    </xf>
    <xf numFmtId="9" fontId="20" fillId="13" borderId="60" xfId="0" applyNumberFormat="1" applyFont="1" applyFill="1" applyBorder="1" applyAlignment="1">
      <alignment horizontal="center" vertical="center"/>
    </xf>
    <xf numFmtId="165" fontId="20" fillId="13" borderId="60" xfId="0" applyNumberFormat="1" applyFont="1" applyFill="1" applyBorder="1" applyAlignment="1">
      <alignment horizontal="center" vertical="center"/>
    </xf>
    <xf numFmtId="0" fontId="20" fillId="13" borderId="60" xfId="0" applyFont="1" applyFill="1" applyBorder="1" applyAlignment="1">
      <alignment horizontal="center" vertical="center"/>
    </xf>
    <xf numFmtId="164" fontId="20" fillId="13" borderId="60" xfId="0" applyNumberFormat="1" applyFont="1" applyFill="1" applyBorder="1" applyAlignment="1">
      <alignment horizontal="center" vertical="center"/>
    </xf>
    <xf numFmtId="3" fontId="20" fillId="13" borderId="60" xfId="0" applyNumberFormat="1" applyFont="1" applyFill="1" applyBorder="1" applyAlignment="1">
      <alignment horizontal="center" vertical="center"/>
    </xf>
    <xf numFmtId="4" fontId="6" fillId="0" borderId="60" xfId="0" applyNumberFormat="1" applyFont="1" applyBorder="1" applyAlignment="1">
      <alignment horizontal="center" vertical="center"/>
    </xf>
    <xf numFmtId="4" fontId="6" fillId="6" borderId="60" xfId="0" applyNumberFormat="1" applyFont="1" applyFill="1" applyBorder="1" applyAlignment="1">
      <alignment horizontal="center" vertical="center"/>
    </xf>
    <xf numFmtId="0" fontId="6" fillId="0" borderId="60" xfId="0" applyFont="1" applyBorder="1" applyAlignment="1">
      <alignment horizontal="center" vertical="center" wrapText="1"/>
    </xf>
    <xf numFmtId="0" fontId="13" fillId="6" borderId="60" xfId="0" applyFont="1" applyFill="1" applyBorder="1" applyAlignment="1">
      <alignment horizontal="center" vertical="center"/>
    </xf>
    <xf numFmtId="3" fontId="6" fillId="9" borderId="60" xfId="0" applyNumberFormat="1" applyFont="1" applyFill="1" applyBorder="1" applyAlignment="1">
      <alignment horizontal="center" vertical="center"/>
    </xf>
    <xf numFmtId="9" fontId="13" fillId="13" borderId="60" xfId="0" applyNumberFormat="1" applyFont="1" applyFill="1" applyBorder="1" applyAlignment="1">
      <alignment horizontal="center" vertical="center"/>
    </xf>
    <xf numFmtId="165" fontId="13" fillId="13" borderId="60" xfId="0" applyNumberFormat="1" applyFont="1" applyFill="1" applyBorder="1" applyAlignment="1">
      <alignment horizontal="center" vertical="center"/>
    </xf>
    <xf numFmtId="9" fontId="13" fillId="0" borderId="60" xfId="0" applyNumberFormat="1" applyFont="1" applyBorder="1" applyAlignment="1">
      <alignment horizontal="center" vertical="center"/>
    </xf>
    <xf numFmtId="165" fontId="13" fillId="0" borderId="60" xfId="0" applyNumberFormat="1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25" fillId="2" borderId="1" xfId="0" applyFont="1" applyFill="1" applyBorder="1"/>
    <xf numFmtId="165" fontId="6" fillId="8" borderId="10" xfId="0" applyNumberFormat="1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50" fillId="6" borderId="1" xfId="0" applyFont="1" applyFill="1" applyBorder="1"/>
    <xf numFmtId="0" fontId="51" fillId="6" borderId="1" xfId="0" applyFont="1" applyFill="1" applyBorder="1" applyAlignment="1">
      <alignment horizontal="center"/>
    </xf>
    <xf numFmtId="3" fontId="25" fillId="0" borderId="0" xfId="0" applyNumberFormat="1" applyFont="1"/>
    <xf numFmtId="0" fontId="52" fillId="8" borderId="1" xfId="0" applyFont="1" applyFill="1" applyBorder="1" applyAlignment="1">
      <alignment horizontal="center" vertical="center"/>
    </xf>
    <xf numFmtId="0" fontId="52" fillId="8" borderId="13" xfId="0" applyFont="1" applyFill="1" applyBorder="1" applyAlignment="1">
      <alignment horizontal="center" vertical="center"/>
    </xf>
    <xf numFmtId="0" fontId="52" fillId="8" borderId="12" xfId="0" applyFont="1" applyFill="1" applyBorder="1" applyAlignment="1">
      <alignment horizontal="center" vertical="center"/>
    </xf>
    <xf numFmtId="9" fontId="1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65" fontId="14" fillId="0" borderId="4" xfId="0" applyNumberFormat="1" applyFont="1" applyBorder="1" applyAlignment="1">
      <alignment horizontal="center" vertical="center"/>
    </xf>
    <xf numFmtId="164" fontId="49" fillId="19" borderId="4" xfId="0" applyNumberFormat="1" applyFont="1" applyFill="1" applyBorder="1" applyAlignment="1">
      <alignment horizontal="center" wrapText="1"/>
    </xf>
    <xf numFmtId="164" fontId="25" fillId="0" borderId="4" xfId="0" applyNumberFormat="1" applyFont="1" applyBorder="1" applyAlignment="1">
      <alignment horizontal="center"/>
    </xf>
    <xf numFmtId="3" fontId="25" fillId="0" borderId="4" xfId="0" applyNumberFormat="1" applyFont="1" applyBorder="1" applyAlignment="1">
      <alignment horizontal="center"/>
    </xf>
    <xf numFmtId="3" fontId="54" fillId="0" borderId="4" xfId="0" applyNumberFormat="1" applyFont="1" applyBorder="1" applyAlignment="1">
      <alignment horizontal="center"/>
    </xf>
    <xf numFmtId="165" fontId="25" fillId="0" borderId="4" xfId="0" applyNumberFormat="1" applyFont="1" applyBorder="1" applyAlignment="1">
      <alignment horizontal="center"/>
    </xf>
    <xf numFmtId="3" fontId="25" fillId="0" borderId="4" xfId="0" applyNumberFormat="1" applyFont="1" applyBorder="1"/>
    <xf numFmtId="165" fontId="55" fillId="19" borderId="1" xfId="0" applyNumberFormat="1" applyFont="1" applyFill="1" applyBorder="1" applyAlignment="1">
      <alignment horizontal="center"/>
    </xf>
    <xf numFmtId="0" fontId="56" fillId="0" borderId="0" xfId="0" applyFont="1"/>
    <xf numFmtId="0" fontId="32" fillId="0" borderId="0" xfId="0" applyFont="1"/>
    <xf numFmtId="164" fontId="49" fillId="22" borderId="4" xfId="0" applyNumberFormat="1" applyFont="1" applyFill="1" applyBorder="1" applyAlignment="1">
      <alignment horizontal="center" wrapText="1"/>
    </xf>
    <xf numFmtId="165" fontId="55" fillId="22" borderId="1" xfId="0" applyNumberFormat="1" applyFont="1" applyFill="1" applyBorder="1" applyAlignment="1">
      <alignment horizontal="center"/>
    </xf>
    <xf numFmtId="3" fontId="25" fillId="0" borderId="32" xfId="0" applyNumberFormat="1" applyFont="1" applyBorder="1" applyAlignment="1">
      <alignment horizontal="center"/>
    </xf>
    <xf numFmtId="3" fontId="25" fillId="0" borderId="52" xfId="0" applyNumberFormat="1" applyFont="1" applyBorder="1" applyAlignment="1">
      <alignment horizontal="center"/>
    </xf>
    <xf numFmtId="165" fontId="55" fillId="3" borderId="1" xfId="0" applyNumberFormat="1" applyFont="1" applyFill="1" applyBorder="1" applyAlignment="1">
      <alignment horizontal="center"/>
    </xf>
    <xf numFmtId="0" fontId="14" fillId="13" borderId="30" xfId="0" applyFont="1" applyFill="1" applyBorder="1" applyAlignment="1">
      <alignment horizontal="center"/>
    </xf>
    <xf numFmtId="9" fontId="14" fillId="13" borderId="30" xfId="0" applyNumberFormat="1" applyFont="1" applyFill="1" applyBorder="1" applyAlignment="1">
      <alignment horizontal="center"/>
    </xf>
    <xf numFmtId="164" fontId="32" fillId="13" borderId="73" xfId="0" applyNumberFormat="1" applyFont="1" applyFill="1" applyBorder="1" applyAlignment="1">
      <alignment horizontal="center"/>
    </xf>
    <xf numFmtId="164" fontId="25" fillId="13" borderId="30" xfId="0" applyNumberFormat="1" applyFont="1" applyFill="1" applyBorder="1" applyAlignment="1">
      <alignment horizontal="center"/>
    </xf>
    <xf numFmtId="3" fontId="25" fillId="13" borderId="30" xfId="0" applyNumberFormat="1" applyFont="1" applyFill="1" applyBorder="1" applyAlignment="1">
      <alignment horizontal="center"/>
    </xf>
    <xf numFmtId="0" fontId="25" fillId="13" borderId="30" xfId="0" applyFont="1" applyFill="1" applyBorder="1"/>
    <xf numFmtId="0" fontId="25" fillId="13" borderId="1" xfId="0" applyFont="1" applyFill="1" applyBorder="1"/>
    <xf numFmtId="0" fontId="32" fillId="13" borderId="1" xfId="0" applyFont="1" applyFill="1" applyBorder="1"/>
    <xf numFmtId="0" fontId="49" fillId="19" borderId="1" xfId="0" applyFont="1" applyFill="1" applyBorder="1" applyAlignment="1">
      <alignment horizontal="center"/>
    </xf>
    <xf numFmtId="0" fontId="25" fillId="0" borderId="4" xfId="0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3" fontId="25" fillId="0" borderId="4" xfId="0" applyNumberFormat="1" applyFont="1" applyBorder="1" applyAlignment="1">
      <alignment horizontal="center" vertical="center"/>
    </xf>
    <xf numFmtId="0" fontId="59" fillId="22" borderId="1" xfId="0" applyFont="1" applyFill="1" applyBorder="1" applyAlignment="1">
      <alignment wrapText="1"/>
    </xf>
    <xf numFmtId="165" fontId="55" fillId="0" borderId="0" xfId="0" applyNumberFormat="1" applyFont="1" applyAlignment="1">
      <alignment horizontal="center"/>
    </xf>
    <xf numFmtId="0" fontId="14" fillId="16" borderId="1" xfId="0" applyFont="1" applyFill="1" applyBorder="1"/>
    <xf numFmtId="0" fontId="25" fillId="16" borderId="1" xfId="0" applyFont="1" applyFill="1" applyBorder="1"/>
    <xf numFmtId="0" fontId="63" fillId="0" borderId="0" xfId="0" applyFont="1"/>
    <xf numFmtId="165" fontId="63" fillId="0" borderId="0" xfId="0" applyNumberFormat="1" applyFont="1"/>
    <xf numFmtId="0" fontId="25" fillId="18" borderId="13" xfId="0" applyFont="1" applyFill="1" applyBorder="1"/>
    <xf numFmtId="0" fontId="40" fillId="18" borderId="74" xfId="0" applyFont="1" applyFill="1" applyBorder="1" applyAlignment="1">
      <alignment horizontal="center"/>
    </xf>
    <xf numFmtId="164" fontId="42" fillId="0" borderId="75" xfId="0" applyNumberFormat="1" applyFont="1" applyBorder="1" applyAlignment="1">
      <alignment horizontal="right"/>
    </xf>
    <xf numFmtId="164" fontId="42" fillId="0" borderId="76" xfId="0" applyNumberFormat="1" applyFont="1" applyBorder="1" applyAlignment="1">
      <alignment horizontal="right"/>
    </xf>
    <xf numFmtId="164" fontId="42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58" fillId="23" borderId="1" xfId="0" applyNumberFormat="1" applyFont="1" applyFill="1" applyBorder="1" applyAlignment="1">
      <alignment horizontal="center" vertical="top"/>
    </xf>
    <xf numFmtId="0" fontId="58" fillId="23" borderId="1" xfId="0" applyFont="1" applyFill="1" applyBorder="1" applyAlignment="1">
      <alignment horizontal="center" vertical="top"/>
    </xf>
    <xf numFmtId="165" fontId="21" fillId="0" borderId="0" xfId="0" applyNumberFormat="1" applyFont="1" applyAlignment="1">
      <alignment horizontal="left" vertical="top"/>
    </xf>
    <xf numFmtId="3" fontId="21" fillId="0" borderId="0" xfId="0" applyNumberFormat="1" applyFont="1" applyAlignment="1">
      <alignment horizontal="left" vertical="top"/>
    </xf>
    <xf numFmtId="0" fontId="32" fillId="0" borderId="0" xfId="0" applyFont="1" applyAlignment="1">
      <alignment vertical="top"/>
    </xf>
    <xf numFmtId="165" fontId="32" fillId="0" borderId="0" xfId="0" applyNumberFormat="1" applyFont="1" applyAlignment="1">
      <alignment vertical="top"/>
    </xf>
    <xf numFmtId="0" fontId="21" fillId="0" borderId="0" xfId="0" applyFont="1" applyAlignment="1">
      <alignment horizontal="left" vertical="top"/>
    </xf>
    <xf numFmtId="165" fontId="21" fillId="0" borderId="4" xfId="0" applyNumberFormat="1" applyFont="1" applyBorder="1" applyAlignment="1">
      <alignment horizontal="center"/>
    </xf>
    <xf numFmtId="3" fontId="65" fillId="0" borderId="0" xfId="0" applyNumberFormat="1" applyFont="1"/>
    <xf numFmtId="0" fontId="66" fillId="24" borderId="1" xfId="0" applyFont="1" applyFill="1" applyBorder="1"/>
    <xf numFmtId="165" fontId="67" fillId="24" borderId="1" xfId="0" applyNumberFormat="1" applyFont="1" applyFill="1" applyBorder="1" applyAlignment="1">
      <alignment horizontal="center"/>
    </xf>
    <xf numFmtId="0" fontId="29" fillId="24" borderId="1" xfId="0" applyFont="1" applyFill="1" applyBorder="1" applyAlignment="1">
      <alignment vertical="top"/>
    </xf>
    <xf numFmtId="0" fontId="66" fillId="25" borderId="1" xfId="0" applyFont="1" applyFill="1" applyBorder="1"/>
    <xf numFmtId="165" fontId="68" fillId="0" borderId="0" xfId="0" applyNumberFormat="1" applyFont="1" applyAlignment="1">
      <alignment horizontal="center"/>
    </xf>
    <xf numFmtId="0" fontId="25" fillId="0" borderId="0" xfId="0" applyFont="1" applyAlignment="1">
      <alignment vertical="top"/>
    </xf>
    <xf numFmtId="0" fontId="61" fillId="6" borderId="1" xfId="0" applyFont="1" applyFill="1" applyBorder="1"/>
    <xf numFmtId="165" fontId="61" fillId="6" borderId="1" xfId="0" applyNumberFormat="1" applyFont="1" applyFill="1" applyBorder="1"/>
    <xf numFmtId="0" fontId="63" fillId="6" borderId="1" xfId="0" applyFont="1" applyFill="1" applyBorder="1"/>
    <xf numFmtId="0" fontId="55" fillId="5" borderId="1" xfId="0" applyFont="1" applyFill="1" applyBorder="1"/>
    <xf numFmtId="165" fontId="55" fillId="5" borderId="1" xfId="0" applyNumberFormat="1" applyFont="1" applyFill="1" applyBorder="1"/>
    <xf numFmtId="0" fontId="29" fillId="5" borderId="1" xfId="0" applyFont="1" applyFill="1" applyBorder="1"/>
    <xf numFmtId="164" fontId="69" fillId="6" borderId="1" xfId="0" applyNumberFormat="1" applyFont="1" applyFill="1" applyBorder="1" applyAlignment="1">
      <alignment horizontal="right"/>
    </xf>
    <xf numFmtId="165" fontId="70" fillId="19" borderId="1" xfId="0" applyNumberFormat="1" applyFont="1" applyFill="1" applyBorder="1" applyAlignment="1">
      <alignment horizontal="center"/>
    </xf>
    <xf numFmtId="0" fontId="53" fillId="0" borderId="0" xfId="0" applyFont="1"/>
    <xf numFmtId="10" fontId="53" fillId="0" borderId="0" xfId="0" applyNumberFormat="1" applyFont="1"/>
    <xf numFmtId="0" fontId="70" fillId="22" borderId="1" xfId="0" applyFont="1" applyFill="1" applyBorder="1" applyAlignment="1">
      <alignment horizontal="center"/>
    </xf>
    <xf numFmtId="165" fontId="70" fillId="22" borderId="1" xfId="0" applyNumberFormat="1" applyFont="1" applyFill="1" applyBorder="1" applyAlignment="1">
      <alignment horizontal="center"/>
    </xf>
    <xf numFmtId="165" fontId="70" fillId="0" borderId="0" xfId="0" applyNumberFormat="1" applyFont="1" applyAlignment="1">
      <alignment horizontal="center"/>
    </xf>
    <xf numFmtId="0" fontId="53" fillId="3" borderId="1" xfId="0" applyFont="1" applyFill="1" applyBorder="1"/>
    <xf numFmtId="3" fontId="53" fillId="3" borderId="1" xfId="0" applyNumberFormat="1" applyFont="1" applyFill="1" applyBorder="1"/>
    <xf numFmtId="165" fontId="70" fillId="3" borderId="1" xfId="0" applyNumberFormat="1" applyFont="1" applyFill="1" applyBorder="1" applyAlignment="1">
      <alignment horizontal="center"/>
    </xf>
    <xf numFmtId="165" fontId="53" fillId="0" borderId="0" xfId="0" applyNumberFormat="1" applyFont="1"/>
    <xf numFmtId="165" fontId="71" fillId="3" borderId="1" xfId="0" applyNumberFormat="1" applyFont="1" applyFill="1" applyBorder="1" applyAlignment="1">
      <alignment horizontal="center"/>
    </xf>
    <xf numFmtId="3" fontId="53" fillId="0" borderId="0" xfId="0" applyNumberFormat="1" applyFont="1"/>
    <xf numFmtId="0" fontId="53" fillId="13" borderId="1" xfId="0" applyFont="1" applyFill="1" applyBorder="1"/>
    <xf numFmtId="0" fontId="73" fillId="13" borderId="1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vertical="center"/>
    </xf>
    <xf numFmtId="165" fontId="13" fillId="21" borderId="4" xfId="0" applyNumberFormat="1" applyFont="1" applyFill="1" applyBorder="1" applyAlignment="1">
      <alignment horizontal="center" vertical="center"/>
    </xf>
    <xf numFmtId="165" fontId="13" fillId="0" borderId="4" xfId="0" applyNumberFormat="1" applyFont="1" applyBorder="1" applyAlignment="1">
      <alignment vertical="center"/>
    </xf>
    <xf numFmtId="165" fontId="14" fillId="0" borderId="0" xfId="0" applyNumberFormat="1" applyFont="1"/>
    <xf numFmtId="0" fontId="25" fillId="21" borderId="1" xfId="0" applyFont="1" applyFill="1" applyBorder="1"/>
    <xf numFmtId="0" fontId="25" fillId="21" borderId="4" xfId="0" applyFont="1" applyFill="1" applyBorder="1"/>
    <xf numFmtId="165" fontId="13" fillId="13" borderId="4" xfId="0" applyNumberFormat="1" applyFont="1" applyFill="1" applyBorder="1" applyAlignment="1">
      <alignment vertical="center"/>
    </xf>
    <xf numFmtId="165" fontId="13" fillId="13" borderId="1" xfId="0" applyNumberFormat="1" applyFont="1" applyFill="1" applyBorder="1" applyAlignment="1">
      <alignment vertical="center"/>
    </xf>
    <xf numFmtId="165" fontId="13" fillId="0" borderId="0" xfId="0" applyNumberFormat="1" applyFont="1" applyAlignment="1">
      <alignment vertical="center"/>
    </xf>
    <xf numFmtId="0" fontId="37" fillId="6" borderId="1" xfId="0" applyFont="1" applyFill="1" applyBorder="1" applyAlignment="1">
      <alignment horizontal="center"/>
    </xf>
    <xf numFmtId="0" fontId="55" fillId="26" borderId="1" xfId="0" applyFont="1" applyFill="1" applyBorder="1" applyAlignment="1">
      <alignment horizontal="center"/>
    </xf>
    <xf numFmtId="0" fontId="74" fillId="13" borderId="1" xfId="0" applyFont="1" applyFill="1" applyBorder="1"/>
    <xf numFmtId="0" fontId="32" fillId="6" borderId="1" xfId="0" applyFont="1" applyFill="1" applyBorder="1"/>
    <xf numFmtId="0" fontId="53" fillId="6" borderId="1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75" fillId="0" borderId="0" xfId="0" applyFont="1" applyAlignment="1">
      <alignment wrapText="1"/>
    </xf>
    <xf numFmtId="165" fontId="32" fillId="0" borderId="0" xfId="0" applyNumberFormat="1" applyFont="1" applyAlignment="1">
      <alignment horizontal="center"/>
    </xf>
    <xf numFmtId="0" fontId="25" fillId="4" borderId="1" xfId="0" applyFont="1" applyFill="1" applyBorder="1"/>
    <xf numFmtId="0" fontId="76" fillId="28" borderId="4" xfId="0" applyFont="1" applyFill="1" applyBorder="1" applyAlignment="1">
      <alignment horizontal="center"/>
    </xf>
    <xf numFmtId="0" fontId="76" fillId="31" borderId="4" xfId="0" applyFont="1" applyFill="1" applyBorder="1" applyAlignment="1">
      <alignment horizontal="center"/>
    </xf>
    <xf numFmtId="0" fontId="76" fillId="29" borderId="4" xfId="0" applyFont="1" applyFill="1" applyBorder="1" applyAlignment="1">
      <alignment horizontal="center"/>
    </xf>
    <xf numFmtId="0" fontId="78" fillId="30" borderId="4" xfId="0" applyFont="1" applyFill="1" applyBorder="1" applyAlignment="1">
      <alignment horizontal="center"/>
    </xf>
    <xf numFmtId="0" fontId="78" fillId="31" borderId="4" xfId="0" applyFont="1" applyFill="1" applyBorder="1" applyAlignment="1">
      <alignment horizontal="center"/>
    </xf>
    <xf numFmtId="0" fontId="78" fillId="13" borderId="4" xfId="0" applyFont="1" applyFill="1" applyBorder="1" applyAlignment="1">
      <alignment horizontal="center"/>
    </xf>
    <xf numFmtId="0" fontId="42" fillId="0" borderId="4" xfId="0" applyFont="1" applyBorder="1" applyAlignment="1">
      <alignment horizontal="center"/>
    </xf>
    <xf numFmtId="0" fontId="79" fillId="3" borderId="4" xfId="0" applyFont="1" applyFill="1" applyBorder="1" applyAlignment="1">
      <alignment horizontal="center"/>
    </xf>
    <xf numFmtId="0" fontId="79" fillId="3" borderId="4" xfId="0" applyFont="1" applyFill="1" applyBorder="1" applyAlignment="1">
      <alignment horizontal="center"/>
    </xf>
    <xf numFmtId="0" fontId="42" fillId="3" borderId="4" xfId="0" applyFont="1" applyFill="1" applyBorder="1" applyAlignment="1">
      <alignment horizontal="center"/>
    </xf>
    <xf numFmtId="0" fontId="42" fillId="0" borderId="4" xfId="0" applyFont="1" applyBorder="1" applyAlignment="1">
      <alignment horizontal="center"/>
    </xf>
    <xf numFmtId="14" fontId="42" fillId="0" borderId="4" xfId="0" applyNumberFormat="1" applyFont="1" applyBorder="1" applyAlignment="1">
      <alignment horizontal="center"/>
    </xf>
    <xf numFmtId="166" fontId="42" fillId="32" borderId="4" xfId="0" applyNumberFormat="1" applyFont="1" applyFill="1" applyBorder="1" applyAlignment="1">
      <alignment horizontal="center"/>
    </xf>
    <xf numFmtId="166" fontId="42" fillId="0" borderId="4" xfId="0" applyNumberFormat="1" applyFont="1" applyBorder="1" applyAlignment="1">
      <alignment horizontal="center"/>
    </xf>
    <xf numFmtId="166" fontId="42" fillId="3" borderId="4" xfId="0" applyNumberFormat="1" applyFont="1" applyFill="1" applyBorder="1" applyAlignment="1">
      <alignment horizontal="center"/>
    </xf>
    <xf numFmtId="3" fontId="42" fillId="3" borderId="4" xfId="0" applyNumberFormat="1" applyFont="1" applyFill="1" applyBorder="1" applyAlignment="1">
      <alignment horizontal="center"/>
    </xf>
    <xf numFmtId="3" fontId="42" fillId="32" borderId="4" xfId="0" applyNumberFormat="1" applyFont="1" applyFill="1" applyBorder="1" applyAlignment="1">
      <alignment horizontal="center"/>
    </xf>
    <xf numFmtId="0" fontId="79" fillId="0" borderId="4" xfId="0" applyFont="1" applyBorder="1" applyAlignment="1">
      <alignment horizontal="center"/>
    </xf>
    <xf numFmtId="0" fontId="42" fillId="3" borderId="4" xfId="0" applyFont="1" applyFill="1" applyBorder="1" applyAlignment="1">
      <alignment horizontal="center"/>
    </xf>
    <xf numFmtId="0" fontId="79" fillId="3" borderId="4" xfId="0" applyFont="1" applyFill="1" applyBorder="1" applyAlignment="1">
      <alignment horizontal="center"/>
    </xf>
    <xf numFmtId="166" fontId="42" fillId="32" borderId="4" xfId="0" applyNumberFormat="1" applyFont="1" applyFill="1" applyBorder="1" applyAlignment="1">
      <alignment horizontal="center"/>
    </xf>
    <xf numFmtId="0" fontId="79" fillId="0" borderId="4" xfId="0" applyFont="1" applyBorder="1" applyAlignment="1">
      <alignment horizontal="center"/>
    </xf>
    <xf numFmtId="166" fontId="42" fillId="0" borderId="4" xfId="0" applyNumberFormat="1" applyFont="1" applyBorder="1" applyAlignment="1">
      <alignment horizontal="center"/>
    </xf>
    <xf numFmtId="166" fontId="42" fillId="3" borderId="4" xfId="0" applyNumberFormat="1" applyFont="1" applyFill="1" applyBorder="1" applyAlignment="1">
      <alignment horizontal="center"/>
    </xf>
    <xf numFmtId="167" fontId="0" fillId="0" borderId="0" xfId="0" applyNumberFormat="1" applyFont="1"/>
    <xf numFmtId="165" fontId="17" fillId="0" borderId="15" xfId="0" applyNumberFormat="1" applyFont="1" applyBorder="1" applyAlignment="1">
      <alignment horizontal="center" vertical="center"/>
    </xf>
    <xf numFmtId="0" fontId="3" fillId="0" borderId="19" xfId="0" applyFont="1" applyBorder="1"/>
    <xf numFmtId="0" fontId="3" fillId="0" borderId="14" xfId="0" applyFont="1" applyBorder="1"/>
    <xf numFmtId="9" fontId="13" fillId="0" borderId="15" xfId="0" applyNumberFormat="1" applyFont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0" fontId="0" fillId="0" borderId="0" xfId="0" applyFont="1" applyAlignment="1"/>
    <xf numFmtId="9" fontId="6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9" fontId="15" fillId="0" borderId="15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10" borderId="8" xfId="0" applyFont="1" applyFill="1" applyBorder="1" applyAlignment="1">
      <alignment horizontal="center"/>
    </xf>
    <xf numFmtId="0" fontId="3" fillId="0" borderId="3" xfId="0" applyFont="1" applyBorder="1"/>
    <xf numFmtId="0" fontId="14" fillId="10" borderId="36" xfId="0" applyFont="1" applyFill="1" applyBorder="1" applyAlignment="1">
      <alignment horizontal="center"/>
    </xf>
    <xf numFmtId="0" fontId="3" fillId="0" borderId="37" xfId="0" applyFont="1" applyBorder="1"/>
    <xf numFmtId="165" fontId="6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3" fontId="6" fillId="0" borderId="22" xfId="0" applyNumberFormat="1" applyFont="1" applyBorder="1" applyAlignment="1">
      <alignment horizontal="center" vertical="center"/>
    </xf>
    <xf numFmtId="0" fontId="3" fillId="0" borderId="29" xfId="0" applyFont="1" applyBorder="1"/>
    <xf numFmtId="0" fontId="3" fillId="0" borderId="24" xfId="0" applyFont="1" applyBorder="1"/>
    <xf numFmtId="0" fontId="13" fillId="0" borderId="19" xfId="0" applyFont="1" applyBorder="1" applyAlignment="1">
      <alignment horizontal="center" vertical="center" wrapText="1"/>
    </xf>
    <xf numFmtId="165" fontId="13" fillId="0" borderId="29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3" fillId="0" borderId="33" xfId="0" applyFont="1" applyBorder="1"/>
    <xf numFmtId="0" fontId="13" fillId="0" borderId="32" xfId="0" applyFont="1" applyBorder="1" applyAlignment="1">
      <alignment horizontal="center" vertical="center"/>
    </xf>
    <xf numFmtId="0" fontId="3" fillId="0" borderId="32" xfId="0" applyFont="1" applyBorder="1"/>
    <xf numFmtId="165" fontId="13" fillId="0" borderId="15" xfId="0" applyNumberFormat="1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/>
    </xf>
    <xf numFmtId="0" fontId="14" fillId="10" borderId="16" xfId="0" applyFont="1" applyFill="1" applyBorder="1" applyAlignment="1">
      <alignment horizontal="center"/>
    </xf>
    <xf numFmtId="0" fontId="3" fillId="0" borderId="17" xfId="0" applyFont="1" applyBorder="1"/>
    <xf numFmtId="0" fontId="3" fillId="0" borderId="20" xfId="0" applyFont="1" applyBorder="1"/>
    <xf numFmtId="165" fontId="14" fillId="4" borderId="18" xfId="0" applyNumberFormat="1" applyFont="1" applyFill="1" applyBorder="1" applyAlignment="1">
      <alignment horizontal="center"/>
    </xf>
    <xf numFmtId="0" fontId="3" fillId="0" borderId="23" xfId="0" applyFont="1" applyBorder="1"/>
    <xf numFmtId="0" fontId="3" fillId="0" borderId="21" xfId="0" applyFont="1" applyBorder="1"/>
    <xf numFmtId="0" fontId="3" fillId="0" borderId="25" xfId="0" applyFont="1" applyBorder="1"/>
    <xf numFmtId="0" fontId="3" fillId="0" borderId="9" xfId="0" applyFont="1" applyBorder="1"/>
    <xf numFmtId="0" fontId="9" fillId="7" borderId="8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65" fontId="14" fillId="10" borderId="18" xfId="0" applyNumberFormat="1" applyFont="1" applyFill="1" applyBorder="1" applyAlignment="1">
      <alignment horizontal="center"/>
    </xf>
    <xf numFmtId="165" fontId="14" fillId="10" borderId="2" xfId="0" applyNumberFormat="1" applyFont="1" applyFill="1" applyBorder="1" applyAlignment="1">
      <alignment horizontal="center"/>
    </xf>
    <xf numFmtId="0" fontId="3" fillId="0" borderId="39" xfId="0" applyFont="1" applyBorder="1"/>
    <xf numFmtId="165" fontId="24" fillId="16" borderId="2" xfId="0" applyNumberFormat="1" applyFont="1" applyFill="1" applyBorder="1" applyAlignment="1">
      <alignment horizontal="center" vertical="center"/>
    </xf>
    <xf numFmtId="165" fontId="14" fillId="15" borderId="16" xfId="0" applyNumberFormat="1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165" fontId="18" fillId="2" borderId="8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164" fontId="6" fillId="9" borderId="15" xfId="0" applyNumberFormat="1" applyFont="1" applyFill="1" applyBorder="1" applyAlignment="1">
      <alignment horizontal="center" vertical="center"/>
    </xf>
    <xf numFmtId="165" fontId="14" fillId="11" borderId="16" xfId="0" applyNumberFormat="1" applyFont="1" applyFill="1" applyBorder="1" applyAlignment="1">
      <alignment horizontal="center"/>
    </xf>
    <xf numFmtId="165" fontId="14" fillId="12" borderId="16" xfId="0" applyNumberFormat="1" applyFont="1" applyFill="1" applyBorder="1" applyAlignment="1">
      <alignment horizontal="center"/>
    </xf>
    <xf numFmtId="165" fontId="14" fillId="4" borderId="2" xfId="0" applyNumberFormat="1" applyFont="1" applyFill="1" applyBorder="1" applyAlignment="1">
      <alignment horizontal="center"/>
    </xf>
    <xf numFmtId="165" fontId="14" fillId="11" borderId="8" xfId="0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165" fontId="14" fillId="14" borderId="8" xfId="0" applyNumberFormat="1" applyFont="1" applyFill="1" applyBorder="1" applyAlignment="1">
      <alignment horizontal="center"/>
    </xf>
    <xf numFmtId="165" fontId="14" fillId="14" borderId="2" xfId="0" applyNumberFormat="1" applyFont="1" applyFill="1" applyBorder="1" applyAlignment="1">
      <alignment horizontal="center"/>
    </xf>
    <xf numFmtId="0" fontId="14" fillId="10" borderId="38" xfId="0" applyFont="1" applyFill="1" applyBorder="1" applyAlignment="1">
      <alignment horizontal="center"/>
    </xf>
    <xf numFmtId="165" fontId="14" fillId="4" borderId="16" xfId="0" applyNumberFormat="1" applyFont="1" applyFill="1" applyBorder="1" applyAlignment="1">
      <alignment horizontal="center"/>
    </xf>
    <xf numFmtId="165" fontId="14" fillId="11" borderId="2" xfId="0" applyNumberFormat="1" applyFont="1" applyFill="1" applyBorder="1" applyAlignment="1">
      <alignment horizontal="center"/>
    </xf>
    <xf numFmtId="165" fontId="14" fillId="4" borderId="8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5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5" fontId="32" fillId="10" borderId="2" xfId="0" applyNumberFormat="1" applyFont="1" applyFill="1" applyBorder="1" applyAlignment="1">
      <alignment horizontal="center"/>
    </xf>
    <xf numFmtId="165" fontId="34" fillId="16" borderId="2" xfId="0" applyNumberFormat="1" applyFont="1" applyFill="1" applyBorder="1" applyAlignment="1">
      <alignment horizontal="center" vertical="center"/>
    </xf>
    <xf numFmtId="165" fontId="32" fillId="10" borderId="18" xfId="0" applyNumberFormat="1" applyFont="1" applyFill="1" applyBorder="1" applyAlignment="1">
      <alignment horizontal="center"/>
    </xf>
    <xf numFmtId="0" fontId="32" fillId="10" borderId="2" xfId="0" applyFont="1" applyFill="1" applyBorder="1" applyAlignment="1">
      <alignment horizontal="center"/>
    </xf>
    <xf numFmtId="165" fontId="14" fillId="16" borderId="16" xfId="0" applyNumberFormat="1" applyFont="1" applyFill="1" applyBorder="1" applyAlignment="1">
      <alignment horizontal="center"/>
    </xf>
    <xf numFmtId="0" fontId="13" fillId="6" borderId="18" xfId="0" applyFont="1" applyFill="1" applyBorder="1" applyAlignment="1">
      <alignment horizontal="center" vertical="center" wrapText="1"/>
    </xf>
    <xf numFmtId="3" fontId="6" fillId="9" borderId="15" xfId="0" applyNumberFormat="1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3" fillId="0" borderId="34" xfId="0" applyFont="1" applyBorder="1"/>
    <xf numFmtId="165" fontId="14" fillId="14" borderId="18" xfId="0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" fontId="6" fillId="0" borderId="15" xfId="0" applyNumberFormat="1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/>
    </xf>
    <xf numFmtId="0" fontId="14" fillId="10" borderId="18" xfId="0" applyFont="1" applyFill="1" applyBorder="1" applyAlignment="1">
      <alignment horizontal="center"/>
    </xf>
    <xf numFmtId="0" fontId="40" fillId="18" borderId="41" xfId="0" applyFont="1" applyFill="1" applyBorder="1" applyAlignment="1">
      <alignment horizontal="center"/>
    </xf>
    <xf numFmtId="0" fontId="3" fillId="0" borderId="42" xfId="0" applyFont="1" applyBorder="1"/>
    <xf numFmtId="0" fontId="42" fillId="0" borderId="0" xfId="0" applyFont="1" applyAlignment="1">
      <alignment horizontal="center"/>
    </xf>
    <xf numFmtId="164" fontId="13" fillId="0" borderId="15" xfId="0" applyNumberFormat="1" applyFont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43" fillId="19" borderId="2" xfId="0" applyFont="1" applyFill="1" applyBorder="1" applyAlignment="1">
      <alignment horizontal="center"/>
    </xf>
    <xf numFmtId="0" fontId="9" fillId="7" borderId="45" xfId="0" applyFont="1" applyFill="1" applyBorder="1" applyAlignment="1">
      <alignment horizontal="center" vertical="center"/>
    </xf>
    <xf numFmtId="0" fontId="3" fillId="0" borderId="46" xfId="0" applyFont="1" applyBorder="1"/>
    <xf numFmtId="0" fontId="3" fillId="0" borderId="47" xfId="0" applyFont="1" applyBorder="1"/>
    <xf numFmtId="0" fontId="25" fillId="21" borderId="45" xfId="0" applyFont="1" applyFill="1" applyBorder="1" applyAlignment="1">
      <alignment horizontal="center"/>
    </xf>
    <xf numFmtId="0" fontId="25" fillId="21" borderId="48" xfId="0" applyFont="1" applyFill="1" applyBorder="1" applyAlignment="1">
      <alignment horizontal="center"/>
    </xf>
    <xf numFmtId="9" fontId="25" fillId="21" borderId="45" xfId="0" applyNumberFormat="1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165" fontId="21" fillId="0" borderId="31" xfId="0" applyNumberFormat="1" applyFont="1" applyBorder="1" applyAlignment="1">
      <alignment horizontal="center"/>
    </xf>
    <xf numFmtId="0" fontId="43" fillId="20" borderId="2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2" fillId="8" borderId="49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6" fillId="0" borderId="22" xfId="0" applyFont="1" applyBorder="1" applyAlignment="1">
      <alignment horizontal="center" vertical="center" wrapText="1"/>
    </xf>
    <xf numFmtId="0" fontId="3" fillId="0" borderId="51" xfId="0" applyFont="1" applyBorder="1"/>
    <xf numFmtId="0" fontId="3" fillId="0" borderId="52" xfId="0" applyFont="1" applyBorder="1"/>
    <xf numFmtId="164" fontId="17" fillId="0" borderId="15" xfId="0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47" fillId="6" borderId="18" xfId="0" applyFont="1" applyFill="1" applyBorder="1" applyAlignment="1">
      <alignment horizontal="center" vertical="center"/>
    </xf>
    <xf numFmtId="164" fontId="42" fillId="0" borderId="0" xfId="0" applyNumberFormat="1" applyFont="1" applyAlignment="1">
      <alignment horizontal="center"/>
    </xf>
    <xf numFmtId="164" fontId="17" fillId="0" borderId="58" xfId="0" applyNumberFormat="1" applyFont="1" applyBorder="1" applyAlignment="1">
      <alignment horizontal="center" vertical="center"/>
    </xf>
    <xf numFmtId="0" fontId="3" fillId="0" borderId="63" xfId="0" applyFont="1" applyBorder="1"/>
    <xf numFmtId="0" fontId="3" fillId="0" borderId="64" xfId="0" applyFont="1" applyBorder="1"/>
    <xf numFmtId="0" fontId="13" fillId="0" borderId="58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horizontal="center" vertical="center"/>
    </xf>
    <xf numFmtId="0" fontId="15" fillId="6" borderId="18" xfId="0" applyFont="1" applyFill="1" applyBorder="1" applyAlignment="1">
      <alignment vertical="center"/>
    </xf>
    <xf numFmtId="0" fontId="12" fillId="8" borderId="53" xfId="0" applyFont="1" applyFill="1" applyBorder="1" applyAlignment="1">
      <alignment horizontal="center" vertical="center" wrapText="1"/>
    </xf>
    <xf numFmtId="0" fontId="3" fillId="0" borderId="54" xfId="0" applyFont="1" applyBorder="1"/>
    <xf numFmtId="0" fontId="16" fillId="0" borderId="56" xfId="0" applyFont="1" applyBorder="1" applyAlignment="1">
      <alignment horizontal="center" vertical="center" wrapText="1"/>
    </xf>
    <xf numFmtId="0" fontId="3" fillId="0" borderId="57" xfId="0" applyFont="1" applyBorder="1"/>
    <xf numFmtId="0" fontId="3" fillId="0" borderId="61" xfId="0" applyFont="1" applyBorder="1"/>
    <xf numFmtId="0" fontId="3" fillId="0" borderId="62" xfId="0" applyFont="1" applyBorder="1"/>
    <xf numFmtId="0" fontId="3" fillId="0" borderId="69" xfId="0" applyFont="1" applyBorder="1"/>
    <xf numFmtId="0" fontId="3" fillId="0" borderId="66" xfId="0" applyFont="1" applyBorder="1"/>
    <xf numFmtId="0" fontId="15" fillId="0" borderId="56" xfId="0" applyFont="1" applyBorder="1" applyAlignment="1">
      <alignment horizontal="center" vertical="center"/>
    </xf>
    <xf numFmtId="165" fontId="13" fillId="0" borderId="57" xfId="0" applyNumberFormat="1" applyFont="1" applyBorder="1" applyAlignment="1">
      <alignment horizontal="center" vertical="center"/>
    </xf>
    <xf numFmtId="165" fontId="6" fillId="0" borderId="58" xfId="0" applyNumberFormat="1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/>
    </xf>
    <xf numFmtId="3" fontId="6" fillId="0" borderId="58" xfId="0" applyNumberFormat="1" applyFont="1" applyBorder="1" applyAlignment="1">
      <alignment horizontal="center" vertical="center"/>
    </xf>
    <xf numFmtId="9" fontId="15" fillId="0" borderId="61" xfId="0" applyNumberFormat="1" applyFont="1" applyBorder="1" applyAlignment="1">
      <alignment horizontal="center" vertical="center"/>
    </xf>
    <xf numFmtId="165" fontId="17" fillId="0" borderId="63" xfId="0" applyNumberFormat="1" applyFont="1" applyBorder="1" applyAlignment="1">
      <alignment horizontal="center" vertical="center"/>
    </xf>
    <xf numFmtId="9" fontId="6" fillId="0" borderId="58" xfId="0" applyNumberFormat="1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9" fontId="15" fillId="0" borderId="58" xfId="0" applyNumberFormat="1" applyFont="1" applyBorder="1" applyAlignment="1">
      <alignment horizontal="center" vertical="center"/>
    </xf>
    <xf numFmtId="9" fontId="13" fillId="0" borderId="58" xfId="0" applyNumberFormat="1" applyFont="1" applyBorder="1" applyAlignment="1">
      <alignment horizontal="center" vertical="center"/>
    </xf>
    <xf numFmtId="164" fontId="13" fillId="0" borderId="58" xfId="0" applyNumberFormat="1" applyFont="1" applyBorder="1" applyAlignment="1">
      <alignment horizontal="center" vertical="center"/>
    </xf>
    <xf numFmtId="164" fontId="6" fillId="9" borderId="58" xfId="0" applyNumberFormat="1" applyFont="1" applyFill="1" applyBorder="1" applyAlignment="1">
      <alignment horizontal="center" vertical="center"/>
    </xf>
    <xf numFmtId="9" fontId="13" fillId="0" borderId="63" xfId="0" applyNumberFormat="1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 wrapText="1"/>
    </xf>
    <xf numFmtId="4" fontId="6" fillId="0" borderId="58" xfId="0" applyNumberFormat="1" applyFont="1" applyBorder="1" applyAlignment="1">
      <alignment horizontal="center" vertical="center"/>
    </xf>
    <xf numFmtId="0" fontId="6" fillId="6" borderId="58" xfId="0" applyFont="1" applyFill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0" fontId="3" fillId="0" borderId="65" xfId="0" applyFont="1" applyBorder="1"/>
    <xf numFmtId="0" fontId="13" fillId="0" borderId="59" xfId="0" applyFont="1" applyBorder="1" applyAlignment="1">
      <alignment horizontal="center" vertical="center" wrapText="1"/>
    </xf>
    <xf numFmtId="3" fontId="6" fillId="0" borderId="58" xfId="0" applyNumberFormat="1" applyFont="1" applyBorder="1" applyAlignment="1">
      <alignment horizontal="center" vertical="center" wrapText="1"/>
    </xf>
    <xf numFmtId="3" fontId="6" fillId="9" borderId="58" xfId="0" applyNumberFormat="1" applyFont="1" applyFill="1" applyBorder="1" applyAlignment="1">
      <alignment horizontal="center" vertical="center"/>
    </xf>
    <xf numFmtId="0" fontId="0" fillId="0" borderId="0" xfId="0" applyFont="1"/>
    <xf numFmtId="4" fontId="6" fillId="8" borderId="26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0" fontId="49" fillId="20" borderId="2" xfId="0" applyFont="1" applyFill="1" applyBorder="1" applyAlignment="1">
      <alignment horizontal="center"/>
    </xf>
    <xf numFmtId="0" fontId="52" fillId="7" borderId="45" xfId="0" applyFont="1" applyFill="1" applyBorder="1" applyAlignment="1">
      <alignment horizontal="center" vertical="center"/>
    </xf>
    <xf numFmtId="0" fontId="49" fillId="19" borderId="2" xfId="0" applyFont="1" applyFill="1" applyBorder="1" applyAlignment="1">
      <alignment horizontal="center"/>
    </xf>
    <xf numFmtId="0" fontId="52" fillId="4" borderId="2" xfId="0" applyFont="1" applyFill="1" applyBorder="1" applyAlignment="1">
      <alignment horizontal="center" vertical="center"/>
    </xf>
    <xf numFmtId="0" fontId="52" fillId="5" borderId="2" xfId="0" applyFont="1" applyFill="1" applyBorder="1" applyAlignment="1">
      <alignment horizontal="center" vertical="center"/>
    </xf>
    <xf numFmtId="165" fontId="55" fillId="22" borderId="2" xfId="0" applyNumberFormat="1" applyFont="1" applyFill="1" applyBorder="1" applyAlignment="1">
      <alignment horizontal="center"/>
    </xf>
    <xf numFmtId="165" fontId="25" fillId="0" borderId="32" xfId="0" applyNumberFormat="1" applyFont="1" applyBorder="1" applyAlignment="1">
      <alignment horizontal="center"/>
    </xf>
    <xf numFmtId="165" fontId="55" fillId="19" borderId="71" xfId="0" applyNumberFormat="1" applyFont="1" applyFill="1" applyBorder="1" applyAlignment="1">
      <alignment horizontal="center"/>
    </xf>
    <xf numFmtId="0" fontId="3" fillId="0" borderId="72" xfId="0" applyFont="1" applyBorder="1"/>
    <xf numFmtId="165" fontId="55" fillId="22" borderId="71" xfId="0" applyNumberFormat="1" applyFont="1" applyFill="1" applyBorder="1" applyAlignment="1">
      <alignment horizontal="center"/>
    </xf>
    <xf numFmtId="165" fontId="14" fillId="0" borderId="31" xfId="0" applyNumberFormat="1" applyFont="1" applyBorder="1" applyAlignment="1">
      <alignment horizontal="center" vertical="center"/>
    </xf>
    <xf numFmtId="164" fontId="49" fillId="19" borderId="71" xfId="0" applyNumberFormat="1" applyFont="1" applyFill="1" applyBorder="1" applyAlignment="1">
      <alignment horizontal="center" wrapText="1"/>
    </xf>
    <xf numFmtId="165" fontId="25" fillId="0" borderId="0" xfId="0" applyNumberFormat="1" applyFont="1" applyAlignment="1">
      <alignment horizontal="center" vertical="center"/>
    </xf>
    <xf numFmtId="165" fontId="55" fillId="19" borderId="18" xfId="0" applyNumberFormat="1" applyFont="1" applyFill="1" applyBorder="1" applyAlignment="1">
      <alignment horizontal="center"/>
    </xf>
    <xf numFmtId="165" fontId="55" fillId="22" borderId="18" xfId="0" applyNumberFormat="1" applyFont="1" applyFill="1" applyBorder="1" applyAlignment="1">
      <alignment horizontal="center"/>
    </xf>
    <xf numFmtId="3" fontId="25" fillId="0" borderId="32" xfId="0" applyNumberFormat="1" applyFont="1" applyBorder="1" applyAlignment="1">
      <alignment horizontal="center"/>
    </xf>
    <xf numFmtId="0" fontId="25" fillId="0" borderId="31" xfId="0" applyFont="1" applyBorder="1" applyAlignment="1">
      <alignment horizontal="center" vertical="center"/>
    </xf>
    <xf numFmtId="9" fontId="14" fillId="0" borderId="31" xfId="0" applyNumberFormat="1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64" fontId="58" fillId="22" borderId="71" xfId="0" applyNumberFormat="1" applyFont="1" applyFill="1" applyBorder="1" applyAlignment="1">
      <alignment horizontal="center" wrapText="1"/>
    </xf>
    <xf numFmtId="164" fontId="25" fillId="0" borderId="31" xfId="0" applyNumberFormat="1" applyFont="1" applyBorder="1" applyAlignment="1">
      <alignment horizontal="center" vertical="center"/>
    </xf>
    <xf numFmtId="0" fontId="64" fillId="6" borderId="18" xfId="0" applyFont="1" applyFill="1" applyBorder="1" applyAlignment="1">
      <alignment horizontal="center"/>
    </xf>
    <xf numFmtId="0" fontId="40" fillId="18" borderId="38" xfId="0" applyFont="1" applyFill="1" applyBorder="1" applyAlignment="1">
      <alignment horizontal="center"/>
    </xf>
    <xf numFmtId="3" fontId="25" fillId="0" borderId="31" xfId="0" applyNumberFormat="1" applyFont="1" applyBorder="1" applyAlignment="1">
      <alignment horizontal="center" vertical="center"/>
    </xf>
    <xf numFmtId="165" fontId="25" fillId="0" borderId="31" xfId="0" applyNumberFormat="1" applyFont="1" applyBorder="1" applyAlignment="1">
      <alignment horizontal="center" vertical="center"/>
    </xf>
    <xf numFmtId="9" fontId="53" fillId="21" borderId="45" xfId="0" applyNumberFormat="1" applyFont="1" applyFill="1" applyBorder="1" applyAlignment="1">
      <alignment horizontal="center"/>
    </xf>
    <xf numFmtId="9" fontId="53" fillId="21" borderId="48" xfId="0" applyNumberFormat="1" applyFont="1" applyFill="1" applyBorder="1" applyAlignment="1">
      <alignment horizontal="center"/>
    </xf>
    <xf numFmtId="165" fontId="55" fillId="19" borderId="2" xfId="0" applyNumberFormat="1" applyFont="1" applyFill="1" applyBorder="1" applyAlignment="1">
      <alignment horizontal="center"/>
    </xf>
    <xf numFmtId="0" fontId="61" fillId="0" borderId="0" xfId="0" applyFont="1"/>
    <xf numFmtId="165" fontId="62" fillId="0" borderId="0" xfId="0" applyNumberFormat="1" applyFont="1"/>
    <xf numFmtId="165" fontId="49" fillId="16" borderId="2" xfId="0" applyNumberFormat="1" applyFont="1" applyFill="1" applyBorder="1" applyAlignment="1">
      <alignment horizontal="center"/>
    </xf>
    <xf numFmtId="0" fontId="14" fillId="0" borderId="31" xfId="0" applyFont="1" applyBorder="1" applyAlignment="1">
      <alignment horizontal="center" vertical="center" wrapText="1"/>
    </xf>
    <xf numFmtId="164" fontId="60" fillId="22" borderId="71" xfId="0" applyNumberFormat="1" applyFont="1" applyFill="1" applyBorder="1" applyAlignment="1">
      <alignment horizontal="center" wrapText="1"/>
    </xf>
    <xf numFmtId="0" fontId="49" fillId="19" borderId="71" xfId="0" applyFont="1" applyFill="1" applyBorder="1" applyAlignment="1">
      <alignment horizontal="center"/>
    </xf>
    <xf numFmtId="164" fontId="49" fillId="22" borderId="71" xfId="0" applyNumberFormat="1" applyFont="1" applyFill="1" applyBorder="1" applyAlignment="1">
      <alignment horizontal="center" wrapText="1"/>
    </xf>
    <xf numFmtId="164" fontId="25" fillId="0" borderId="32" xfId="0" applyNumberFormat="1" applyFont="1" applyBorder="1" applyAlignment="1">
      <alignment horizontal="center"/>
    </xf>
    <xf numFmtId="3" fontId="57" fillId="0" borderId="32" xfId="0" applyNumberFormat="1" applyFont="1" applyBorder="1" applyAlignment="1">
      <alignment horizontal="center" wrapText="1"/>
    </xf>
    <xf numFmtId="164" fontId="25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center"/>
    </xf>
    <xf numFmtId="165" fontId="17" fillId="0" borderId="22" xfId="0" applyNumberFormat="1" applyFont="1" applyBorder="1" applyAlignment="1">
      <alignment horizontal="center" vertical="center"/>
    </xf>
    <xf numFmtId="9" fontId="15" fillId="0" borderId="19" xfId="0" applyNumberFormat="1" applyFont="1" applyBorder="1" applyAlignment="1">
      <alignment horizontal="center" vertical="center"/>
    </xf>
    <xf numFmtId="165" fontId="70" fillId="19" borderId="71" xfId="0" applyNumberFormat="1" applyFont="1" applyFill="1" applyBorder="1" applyAlignment="1">
      <alignment horizontal="center"/>
    </xf>
    <xf numFmtId="165" fontId="70" fillId="3" borderId="71" xfId="0" applyNumberFormat="1" applyFont="1" applyFill="1" applyBorder="1" applyAlignment="1">
      <alignment horizontal="center"/>
    </xf>
    <xf numFmtId="0" fontId="53" fillId="0" borderId="0" xfId="0" applyFont="1"/>
    <xf numFmtId="165" fontId="70" fillId="3" borderId="2" xfId="0" applyNumberFormat="1" applyFont="1" applyFill="1" applyBorder="1" applyAlignment="1">
      <alignment horizontal="center"/>
    </xf>
    <xf numFmtId="165" fontId="70" fillId="22" borderId="18" xfId="0" applyNumberFormat="1" applyFont="1" applyFill="1" applyBorder="1" applyAlignment="1">
      <alignment horizontal="center"/>
    </xf>
    <xf numFmtId="165" fontId="70" fillId="22" borderId="71" xfId="0" applyNumberFormat="1" applyFont="1" applyFill="1" applyBorder="1" applyAlignment="1">
      <alignment horizontal="center"/>
    </xf>
    <xf numFmtId="0" fontId="72" fillId="16" borderId="2" xfId="0" applyFont="1" applyFill="1" applyBorder="1" applyAlignment="1">
      <alignment horizontal="center"/>
    </xf>
    <xf numFmtId="0" fontId="22" fillId="21" borderId="71" xfId="0" applyFont="1" applyFill="1" applyBorder="1" applyAlignment="1">
      <alignment horizontal="center" vertical="center"/>
    </xf>
    <xf numFmtId="165" fontId="22" fillId="21" borderId="71" xfId="0" applyNumberFormat="1" applyFont="1" applyFill="1" applyBorder="1" applyAlignment="1">
      <alignment horizontal="center" vertical="center" wrapText="1"/>
    </xf>
    <xf numFmtId="0" fontId="55" fillId="26" borderId="2" xfId="0" applyFont="1" applyFill="1" applyBorder="1" applyAlignment="1">
      <alignment horizontal="center"/>
    </xf>
    <xf numFmtId="0" fontId="55" fillId="26" borderId="18" xfId="0" applyFont="1" applyFill="1" applyBorder="1" applyAlignment="1">
      <alignment horizontal="center"/>
    </xf>
    <xf numFmtId="0" fontId="55" fillId="26" borderId="71" xfId="0" applyFont="1" applyFill="1" applyBorder="1" applyAlignment="1">
      <alignment horizontal="center"/>
    </xf>
    <xf numFmtId="0" fontId="74" fillId="10" borderId="18" xfId="0" applyFont="1" applyFill="1" applyBorder="1"/>
    <xf numFmtId="0" fontId="53" fillId="3" borderId="71" xfId="0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32" fillId="27" borderId="71" xfId="0" applyFont="1" applyFill="1" applyBorder="1"/>
    <xf numFmtId="0" fontId="53" fillId="27" borderId="71" xfId="0" applyFont="1" applyFill="1" applyBorder="1" applyAlignment="1">
      <alignment horizontal="center"/>
    </xf>
    <xf numFmtId="0" fontId="76" fillId="28" borderId="77" xfId="0" applyFont="1" applyFill="1" applyBorder="1" applyAlignment="1">
      <alignment horizontal="center"/>
    </xf>
    <xf numFmtId="0" fontId="3" fillId="0" borderId="78" xfId="0" applyFont="1" applyBorder="1"/>
    <xf numFmtId="0" fontId="3" fillId="0" borderId="79" xfId="0" applyFont="1" applyBorder="1"/>
    <xf numFmtId="0" fontId="3" fillId="0" borderId="83" xfId="0" applyFont="1" applyBorder="1"/>
    <xf numFmtId="0" fontId="3" fillId="0" borderId="84" xfId="0" applyFont="1" applyBorder="1"/>
    <xf numFmtId="0" fontId="3" fillId="0" borderId="76" xfId="0" applyFont="1" applyBorder="1"/>
    <xf numFmtId="0" fontId="76" fillId="29" borderId="77" xfId="0" applyFont="1" applyFill="1" applyBorder="1" applyAlignment="1">
      <alignment horizontal="center"/>
    </xf>
    <xf numFmtId="0" fontId="77" fillId="30" borderId="80" xfId="0" applyFont="1" applyFill="1" applyBorder="1" applyAlignment="1">
      <alignment horizontal="center"/>
    </xf>
    <xf numFmtId="0" fontId="3" fillId="0" borderId="81" xfId="0" applyFont="1" applyBorder="1"/>
    <xf numFmtId="0" fontId="3" fillId="0" borderId="82" xfId="0" applyFont="1" applyBorder="1"/>
    <xf numFmtId="0" fontId="3" fillId="0" borderId="85" xfId="0" applyFont="1" applyBorder="1"/>
    <xf numFmtId="0" fontId="3" fillId="0" borderId="86" xfId="0" applyFont="1" applyBorder="1"/>
    <xf numFmtId="0" fontId="3" fillId="0" borderId="87" xfId="0" applyFont="1" applyBorder="1"/>
    <xf numFmtId="0" fontId="77" fillId="13" borderId="7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V2'!$Z$45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V2'!$Z$46:$Z$52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2AD-4218-A213-FAFC3600DEA5}"/>
            </c:ext>
          </c:extLst>
        </c:ser>
        <c:ser>
          <c:idx val="1"/>
          <c:order val="1"/>
          <c:tx>
            <c:strRef>
              <c:f>' TIGER V2'!$AA$45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V2'!$AA$46:$AA$52</c:f>
              <c:numCache>
                <c:formatCode>"$"#,##0</c:formatCode>
                <c:ptCount val="7"/>
                <c:pt idx="0">
                  <c:v>300703.63679999998</c:v>
                </c:pt>
                <c:pt idx="1">
                  <c:v>624968.24513333337</c:v>
                </c:pt>
                <c:pt idx="2">
                  <c:v>544176.83353333338</c:v>
                </c:pt>
                <c:pt idx="3">
                  <c:v>378992.08453333337</c:v>
                </c:pt>
                <c:pt idx="4">
                  <c:v>230035.35920000001</c:v>
                </c:pt>
                <c:pt idx="5">
                  <c:v>63306.0288</c:v>
                </c:pt>
                <c:pt idx="6">
                  <c:v>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D-4218-A213-FAFC3600DEA5}"/>
            </c:ext>
          </c:extLst>
        </c:ser>
        <c:ser>
          <c:idx val="2"/>
          <c:order val="2"/>
          <c:tx>
            <c:strRef>
              <c:f>' TIGER V2'!$AB$45</c:f>
              <c:strCache>
                <c:ptCount val="1"/>
              </c:strCache>
            </c:strRef>
          </c:tx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V2'!$AB$46:$AB$52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A2AD-4218-A213-FAFC3600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237511"/>
        <c:axId val="1811660794"/>
      </c:barChart>
      <c:catAx>
        <c:axId val="1937237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1811660794"/>
        <c:crosses val="autoZero"/>
        <c:auto val="1"/>
        <c:lblAlgn val="ctr"/>
        <c:lblOffset val="100"/>
        <c:noMultiLvlLbl val="1"/>
      </c:catAx>
      <c:valAx>
        <c:axId val="1811660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9372375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V3'!$Z$45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V3'!$Z$46:$Z$52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452-43F3-BBF7-129609E3023B}"/>
            </c:ext>
          </c:extLst>
        </c:ser>
        <c:ser>
          <c:idx val="1"/>
          <c:order val="1"/>
          <c:tx>
            <c:strRef>
              <c:f>' TIGER V3'!$AA$45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V3'!$AA$46:$AA$52</c:f>
              <c:numCache>
                <c:formatCode>"$"#,##0</c:formatCode>
                <c:ptCount val="7"/>
                <c:pt idx="0">
                  <c:v>300703.63679999998</c:v>
                </c:pt>
                <c:pt idx="1">
                  <c:v>624968.24513333337</c:v>
                </c:pt>
                <c:pt idx="2">
                  <c:v>544176.83353333338</c:v>
                </c:pt>
                <c:pt idx="3">
                  <c:v>378992.08453333337</c:v>
                </c:pt>
                <c:pt idx="4">
                  <c:v>230035.35920000001</c:v>
                </c:pt>
                <c:pt idx="5">
                  <c:v>63306.0288</c:v>
                </c:pt>
                <c:pt idx="6">
                  <c:v>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2-43F3-BBF7-129609E3023B}"/>
            </c:ext>
          </c:extLst>
        </c:ser>
        <c:ser>
          <c:idx val="2"/>
          <c:order val="2"/>
          <c:tx>
            <c:strRef>
              <c:f>' TIGER V3'!$AB$45</c:f>
              <c:strCache>
                <c:ptCount val="1"/>
              </c:strCache>
            </c:strRef>
          </c:tx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V3'!$AB$46:$AB$52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2452-43F3-BBF7-129609E30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579563"/>
        <c:axId val="336336789"/>
      </c:barChart>
      <c:catAx>
        <c:axId val="913579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336336789"/>
        <c:crosses val="autoZero"/>
        <c:auto val="1"/>
        <c:lblAlgn val="ctr"/>
        <c:lblOffset val="100"/>
        <c:noMultiLvlLbl val="1"/>
      </c:catAx>
      <c:valAx>
        <c:axId val="336336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9135795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V5'!$AA$46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V5'!$AA$47:$AA$53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53F-4981-94BB-D5219F3FCB90}"/>
            </c:ext>
          </c:extLst>
        </c:ser>
        <c:ser>
          <c:idx val="1"/>
          <c:order val="1"/>
          <c:tx>
            <c:strRef>
              <c:f>'TIGER V5'!$AB$46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V5'!$AB$47:$AB$53</c:f>
              <c:numCache>
                <c:formatCode>"$"#,##0</c:formatCode>
                <c:ptCount val="7"/>
                <c:pt idx="0">
                  <c:v>214976.72280000005</c:v>
                </c:pt>
                <c:pt idx="1">
                  <c:v>507483.2438</c:v>
                </c:pt>
                <c:pt idx="2">
                  <c:v>477539.8322</c:v>
                </c:pt>
                <c:pt idx="3">
                  <c:v>460915.06919999997</c:v>
                </c:pt>
                <c:pt idx="4">
                  <c:v>354663.21019999997</c:v>
                </c:pt>
                <c:pt idx="5">
                  <c:v>176169.48579999999</c:v>
                </c:pt>
                <c:pt idx="6">
                  <c:v>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F-4981-94BB-D5219F3FCB90}"/>
            </c:ext>
          </c:extLst>
        </c:ser>
        <c:ser>
          <c:idx val="2"/>
          <c:order val="2"/>
          <c:tx>
            <c:strRef>
              <c:f>'TIGER V5'!$AC$46</c:f>
              <c:strCache>
                <c:ptCount val="1"/>
              </c:strCache>
            </c:strRef>
          </c:tx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V5'!$AC$47:$AC$53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353F-4981-94BB-D5219F3FC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177538"/>
        <c:axId val="1164298253"/>
      </c:barChart>
      <c:catAx>
        <c:axId val="241177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1164298253"/>
        <c:crosses val="autoZero"/>
        <c:auto val="1"/>
        <c:lblAlgn val="ctr"/>
        <c:lblOffset val="100"/>
        <c:noMultiLvlLbl val="1"/>
      </c:catAx>
      <c:valAx>
        <c:axId val="1164298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411775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V6'!$Y$46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V6'!$Y$47:$Y$53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ABB-4533-9DC4-51155F67FA10}"/>
            </c:ext>
          </c:extLst>
        </c:ser>
        <c:ser>
          <c:idx val="1"/>
          <c:order val="1"/>
          <c:tx>
            <c:strRef>
              <c:f>'TIGER V6'!$Z$46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V6'!$Z$47:$Z$53</c:f>
              <c:numCache>
                <c:formatCode>"$"#,##0</c:formatCode>
                <c:ptCount val="7"/>
                <c:pt idx="0">
                  <c:v>214976.72280000005</c:v>
                </c:pt>
                <c:pt idx="1">
                  <c:v>507483.2438</c:v>
                </c:pt>
                <c:pt idx="2">
                  <c:v>477539.88299999997</c:v>
                </c:pt>
                <c:pt idx="3">
                  <c:v>480915.11999999994</c:v>
                </c:pt>
                <c:pt idx="4">
                  <c:v>337961.18199999997</c:v>
                </c:pt>
                <c:pt idx="5">
                  <c:v>172872</c:v>
                </c:pt>
                <c:pt idx="6">
                  <c:v>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B-4533-9DC4-51155F67FA10}"/>
            </c:ext>
          </c:extLst>
        </c:ser>
        <c:ser>
          <c:idx val="2"/>
          <c:order val="2"/>
          <c:tx>
            <c:strRef>
              <c:f>'TIGER V6'!$AA$46</c:f>
              <c:strCache>
                <c:ptCount val="1"/>
              </c:strCache>
            </c:strRef>
          </c:tx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V6'!$AA$47:$AA$53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AABB-4533-9DC4-51155F67F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2923858"/>
        <c:axId val="974504386"/>
      </c:barChart>
      <c:catAx>
        <c:axId val="1222923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974504386"/>
        <c:crosses val="autoZero"/>
        <c:auto val="1"/>
        <c:lblAlgn val="ctr"/>
        <c:lblOffset val="100"/>
        <c:noMultiLvlLbl val="1"/>
      </c:catAx>
      <c:valAx>
        <c:axId val="974504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2229238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V7'!$Z$46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V7'!$Z$47:$Z$53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F1A-4978-8493-7466838089F3}"/>
            </c:ext>
          </c:extLst>
        </c:ser>
        <c:ser>
          <c:idx val="1"/>
          <c:order val="1"/>
          <c:tx>
            <c:strRef>
              <c:f>' TIGER V7'!$AA$46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V7'!$AA$47:$AA$53</c:f>
              <c:numCache>
                <c:formatCode>"$"#,##0</c:formatCode>
                <c:ptCount val="7"/>
                <c:pt idx="0">
                  <c:v>166844.20000000001</c:v>
                </c:pt>
                <c:pt idx="1">
                  <c:v>958687.72</c:v>
                </c:pt>
                <c:pt idx="2">
                  <c:v>564268</c:v>
                </c:pt>
                <c:pt idx="3">
                  <c:v>220400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A-4978-8493-7466838089F3}"/>
            </c:ext>
          </c:extLst>
        </c:ser>
        <c:ser>
          <c:idx val="2"/>
          <c:order val="2"/>
          <c:tx>
            <c:strRef>
              <c:f>' TIGER V7'!$AB$46</c:f>
              <c:strCache>
                <c:ptCount val="1"/>
              </c:strCache>
            </c:strRef>
          </c:tx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V7'!$AB$47:$AB$53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3F1A-4978-8493-74668380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306306"/>
        <c:axId val="95129470"/>
      </c:barChart>
      <c:catAx>
        <c:axId val="487306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95129470"/>
        <c:crosses val="autoZero"/>
        <c:auto val="1"/>
        <c:lblAlgn val="ctr"/>
        <c:lblOffset val="100"/>
        <c:noMultiLvlLbl val="1"/>
      </c:catAx>
      <c:valAx>
        <c:axId val="95129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4873063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V8'!$Z$41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V8'!$Z$42:$Z$48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8E6-41AC-8CE0-40ADD01F27BB}"/>
            </c:ext>
          </c:extLst>
        </c:ser>
        <c:ser>
          <c:idx val="1"/>
          <c:order val="1"/>
          <c:tx>
            <c:strRef>
              <c:f>'TIGER V8'!$AA$41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V8'!$AA$42:$AA$48</c:f>
              <c:numCache>
                <c:formatCode>"$"#,##0</c:formatCode>
                <c:ptCount val="7"/>
                <c:pt idx="0">
                  <c:v>166844.20000000001</c:v>
                </c:pt>
                <c:pt idx="1">
                  <c:v>858687.72</c:v>
                </c:pt>
                <c:pt idx="2">
                  <c:v>480032</c:v>
                </c:pt>
                <c:pt idx="3">
                  <c:v>175412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6-41AC-8CE0-40ADD01F27BB}"/>
            </c:ext>
          </c:extLst>
        </c:ser>
        <c:ser>
          <c:idx val="2"/>
          <c:order val="2"/>
          <c:tx>
            <c:strRef>
              <c:f>'TIGER V8'!$AB$41</c:f>
              <c:strCache>
                <c:ptCount val="1"/>
              </c:strCache>
            </c:strRef>
          </c:tx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V8'!$AB$42:$AB$48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58E6-41AC-8CE0-40ADD01F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06605"/>
        <c:axId val="1055899965"/>
      </c:barChart>
      <c:catAx>
        <c:axId val="190306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1055899965"/>
        <c:crosses val="autoZero"/>
        <c:auto val="1"/>
        <c:lblAlgn val="ctr"/>
        <c:lblOffset val="100"/>
        <c:noMultiLvlLbl val="1"/>
      </c:catAx>
      <c:valAx>
        <c:axId val="1055899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903066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'TIGER V8'!$X$52:$X$55</c:f>
              <c:strCache>
                <c:ptCount val="4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</c:strCache>
            </c:strRef>
          </c:cat>
          <c:val>
            <c:numRef>
              <c:f>'TIGER V8'!$Y$52:$Y$55</c:f>
              <c:numCache>
                <c:formatCode>"$"#,##0.00</c:formatCode>
                <c:ptCount val="4"/>
                <c:pt idx="0">
                  <c:v>166844.20000000001</c:v>
                </c:pt>
                <c:pt idx="1">
                  <c:v>300000</c:v>
                </c:pt>
                <c:pt idx="2">
                  <c:v>500000</c:v>
                </c:pt>
                <c:pt idx="3">
                  <c:v>300000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6E4-4ABB-95A4-F2731A8B2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464841"/>
        <c:axId val="1626279564"/>
      </c:barChart>
      <c:catAx>
        <c:axId val="1023464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26279564"/>
        <c:crosses val="autoZero"/>
        <c:auto val="1"/>
        <c:lblAlgn val="ctr"/>
        <c:lblOffset val="100"/>
        <c:noMultiLvlLbl val="1"/>
      </c:catAx>
      <c:valAx>
        <c:axId val="1626279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0234648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'TIGER V9 '!$Y$55:$Y$57</c:f>
              <c:strCache>
                <c:ptCount val="3"/>
                <c:pt idx="0">
                  <c:v>JUNIO </c:v>
                </c:pt>
                <c:pt idx="1">
                  <c:v>JULIO </c:v>
                </c:pt>
                <c:pt idx="2">
                  <c:v>AGOSTO </c:v>
                </c:pt>
              </c:strCache>
            </c:strRef>
          </c:cat>
          <c:val>
            <c:numRef>
              <c:f>'TIGER V9 '!$Z$55:$Z$57</c:f>
              <c:numCache>
                <c:formatCode>"$"#,##0</c:formatCode>
                <c:ptCount val="3"/>
                <c:pt idx="0">
                  <c:v>586659.6</c:v>
                </c:pt>
                <c:pt idx="1">
                  <c:v>801100.5</c:v>
                </c:pt>
                <c:pt idx="2">
                  <c:v>522439.7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5E8-4254-9C09-ACB906EE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52799"/>
        <c:axId val="375809732"/>
      </c:barChart>
      <c:catAx>
        <c:axId val="15255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75809732"/>
        <c:crosses val="autoZero"/>
        <c:auto val="1"/>
        <c:lblAlgn val="ctr"/>
        <c:lblOffset val="100"/>
        <c:noMultiLvlLbl val="1"/>
      </c:catAx>
      <c:valAx>
        <c:axId val="375809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25527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8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44</xdr:row>
      <xdr:rowOff>123825</xdr:rowOff>
    </xdr:from>
    <xdr:ext cx="7153275" cy="4419600"/>
    <xdr:graphicFrame macro="">
      <xdr:nvGraphicFramePr>
        <xdr:cNvPr id="1971387145" name="Chart 2" title="Gráfico">
          <a:extLst>
            <a:ext uri="{FF2B5EF4-FFF2-40B4-BE49-F238E27FC236}">
              <a16:creationId xmlns:a16="http://schemas.microsoft.com/office/drawing/2014/main" id="{00000000-0008-0000-0100-000009FB8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44</xdr:row>
      <xdr:rowOff>123825</xdr:rowOff>
    </xdr:from>
    <xdr:ext cx="7153275" cy="4419600"/>
    <xdr:graphicFrame macro="">
      <xdr:nvGraphicFramePr>
        <xdr:cNvPr id="731100901" name="Chart 3" title="Gráfico">
          <a:extLst>
            <a:ext uri="{FF2B5EF4-FFF2-40B4-BE49-F238E27FC236}">
              <a16:creationId xmlns:a16="http://schemas.microsoft.com/office/drawing/2014/main" id="{00000000-0008-0000-0200-0000E5B69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76200</xdr:colOff>
      <xdr:row>45</xdr:row>
      <xdr:rowOff>123825</xdr:rowOff>
    </xdr:from>
    <xdr:ext cx="7153275" cy="4419600"/>
    <xdr:graphicFrame macro="">
      <xdr:nvGraphicFramePr>
        <xdr:cNvPr id="692745652" name="Chart 4" title="Gráfico">
          <a:extLst>
            <a:ext uri="{FF2B5EF4-FFF2-40B4-BE49-F238E27FC236}">
              <a16:creationId xmlns:a16="http://schemas.microsoft.com/office/drawing/2014/main" id="{00000000-0008-0000-0300-0000B4754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76200</xdr:colOff>
      <xdr:row>45</xdr:row>
      <xdr:rowOff>123825</xdr:rowOff>
    </xdr:from>
    <xdr:ext cx="7153275" cy="4419600"/>
    <xdr:graphicFrame macro="">
      <xdr:nvGraphicFramePr>
        <xdr:cNvPr id="187457330" name="Chart 5" title="Gráfico">
          <a:extLst>
            <a:ext uri="{FF2B5EF4-FFF2-40B4-BE49-F238E27FC236}">
              <a16:creationId xmlns:a16="http://schemas.microsoft.com/office/drawing/2014/main" id="{00000000-0008-0000-0400-0000325F2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45</xdr:row>
      <xdr:rowOff>123825</xdr:rowOff>
    </xdr:from>
    <xdr:ext cx="7153275" cy="4419600"/>
    <xdr:graphicFrame macro="">
      <xdr:nvGraphicFramePr>
        <xdr:cNvPr id="983545780" name="Chart 6" title="Gráfico">
          <a:extLst>
            <a:ext uri="{FF2B5EF4-FFF2-40B4-BE49-F238E27FC236}">
              <a16:creationId xmlns:a16="http://schemas.microsoft.com/office/drawing/2014/main" id="{00000000-0008-0000-0500-0000B4B79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40</xdr:row>
      <xdr:rowOff>123825</xdr:rowOff>
    </xdr:from>
    <xdr:ext cx="7153275" cy="4419600"/>
    <xdr:graphicFrame macro="">
      <xdr:nvGraphicFramePr>
        <xdr:cNvPr id="1518472614" name="Chart 7" title="Gráfico">
          <a:extLst>
            <a:ext uri="{FF2B5EF4-FFF2-40B4-BE49-F238E27FC236}">
              <a16:creationId xmlns:a16="http://schemas.microsoft.com/office/drawing/2014/main" id="{00000000-0008-0000-0600-0000A60D8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619125</xdr:colOff>
      <xdr:row>46</xdr:row>
      <xdr:rowOff>38100</xdr:rowOff>
    </xdr:from>
    <xdr:ext cx="5715000" cy="3533775"/>
    <xdr:graphicFrame macro="">
      <xdr:nvGraphicFramePr>
        <xdr:cNvPr id="61681447" name="Chart 8" title="Gráfico">
          <a:extLst>
            <a:ext uri="{FF2B5EF4-FFF2-40B4-BE49-F238E27FC236}">
              <a16:creationId xmlns:a16="http://schemas.microsoft.com/office/drawing/2014/main" id="{00000000-0008-0000-0600-0000272FA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247650</xdr:colOff>
      <xdr:row>52</xdr:row>
      <xdr:rowOff>152400</xdr:rowOff>
    </xdr:from>
    <xdr:ext cx="9248775" cy="5724525"/>
    <xdr:graphicFrame macro="">
      <xdr:nvGraphicFramePr>
        <xdr:cNvPr id="140559310" name="Chart 9" title="Gráfico">
          <a:extLst>
            <a:ext uri="{FF2B5EF4-FFF2-40B4-BE49-F238E27FC236}">
              <a16:creationId xmlns:a16="http://schemas.microsoft.com/office/drawing/2014/main" id="{00000000-0008-0000-0700-0000CEC36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752475</xdr:colOff>
      <xdr:row>1</xdr:row>
      <xdr:rowOff>66675</xdr:rowOff>
    </xdr:from>
    <xdr:ext cx="8848725" cy="18192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647700</xdr:colOff>
      <xdr:row>1</xdr:row>
      <xdr:rowOff>19050</xdr:rowOff>
    </xdr:from>
    <xdr:ext cx="3829050" cy="2676525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228600</xdr:colOff>
      <xdr:row>1</xdr:row>
      <xdr:rowOff>57150</xdr:rowOff>
    </xdr:from>
    <xdr:ext cx="3505200" cy="3067050"/>
    <xdr:pic>
      <xdr:nvPicPr>
        <xdr:cNvPr id="4" name="image3.png" title="Imagen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Z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80" customWidth="1"/>
    <col min="12" max="12" width="25.42578125" customWidth="1"/>
    <col min="18" max="18" width="25.85546875" customWidth="1"/>
    <col min="27" max="50" width="6.140625" customWidth="1"/>
    <col min="51" max="51" width="18.140625" customWidth="1"/>
    <col min="52" max="52" width="6.140625" customWidth="1"/>
  </cols>
  <sheetData>
    <row r="1" spans="1:52" ht="49.5" customHeight="1">
      <c r="A1" s="1"/>
      <c r="B1" s="2"/>
      <c r="C1" s="398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  <c r="AA1" s="362"/>
      <c r="AB1" s="362"/>
    </row>
    <row r="2" spans="1:5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ht="15.75" customHeight="1">
      <c r="A3" s="5" t="s">
        <v>0</v>
      </c>
      <c r="B3" s="6" t="s">
        <v>1</v>
      </c>
      <c r="C3" s="7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5.75" customHeight="1">
      <c r="A4" s="5" t="s">
        <v>2</v>
      </c>
      <c r="B4" s="6" t="s">
        <v>3</v>
      </c>
      <c r="C4" s="8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10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ht="15.75" customHeight="1">
      <c r="A5" s="5" t="s">
        <v>4</v>
      </c>
      <c r="B5" s="11">
        <v>2198126</v>
      </c>
      <c r="C5" s="12">
        <v>2198126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10"/>
      <c r="W5" s="13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ht="15.75" customHeight="1">
      <c r="A6" s="5" t="s">
        <v>5</v>
      </c>
      <c r="B6" s="6" t="s">
        <v>6</v>
      </c>
      <c r="C6" s="1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15"/>
      <c r="V6" s="10"/>
      <c r="W6" s="10"/>
      <c r="X6" s="9"/>
      <c r="Y6" s="9"/>
      <c r="Z6" s="9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ht="15.75" customHeight="1">
      <c r="A7" s="7"/>
      <c r="B7" s="6" t="s">
        <v>7</v>
      </c>
      <c r="C7" s="17" t="s">
        <v>8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399" t="s">
        <v>9</v>
      </c>
      <c r="AB7" s="362"/>
      <c r="AC7" s="362"/>
      <c r="AD7" s="362"/>
      <c r="AE7" s="362"/>
      <c r="AF7" s="362"/>
      <c r="AG7" s="400" t="s">
        <v>10</v>
      </c>
      <c r="AH7" s="362"/>
      <c r="AI7" s="362"/>
      <c r="AJ7" s="362"/>
      <c r="AK7" s="362"/>
      <c r="AL7" s="362"/>
      <c r="AM7" s="362"/>
      <c r="AN7" s="362"/>
      <c r="AO7" s="362"/>
      <c r="AP7" s="362"/>
      <c r="AQ7" s="362"/>
      <c r="AR7" s="362"/>
      <c r="AS7" s="362"/>
      <c r="AT7" s="362"/>
      <c r="AU7" s="362"/>
      <c r="AV7" s="362"/>
      <c r="AW7" s="401" t="s">
        <v>11</v>
      </c>
      <c r="AX7" s="362"/>
      <c r="AY7" s="16"/>
      <c r="AZ7" s="16"/>
    </row>
    <row r="8" spans="1:52" ht="15.75" customHeight="1">
      <c r="A8" s="7"/>
      <c r="B8" s="18" t="s">
        <v>12</v>
      </c>
      <c r="C8" s="19" t="s">
        <v>13</v>
      </c>
      <c r="D8" s="19" t="s">
        <v>14</v>
      </c>
      <c r="E8" s="7"/>
      <c r="F8" s="7"/>
      <c r="G8" s="7"/>
      <c r="H8" s="7"/>
      <c r="I8" s="7"/>
      <c r="J8" s="7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1"/>
      <c r="AB8" s="22"/>
      <c r="AC8" s="22"/>
      <c r="AD8" s="22"/>
      <c r="AE8" s="22"/>
      <c r="AF8" s="23"/>
      <c r="AG8" s="21"/>
      <c r="AH8" s="22"/>
      <c r="AI8" s="22"/>
      <c r="AJ8" s="23"/>
      <c r="AK8" s="21"/>
      <c r="AL8" s="22"/>
      <c r="AM8" s="22"/>
      <c r="AN8" s="23"/>
      <c r="AO8" s="21"/>
      <c r="AP8" s="22"/>
      <c r="AQ8" s="22"/>
      <c r="AR8" s="23"/>
      <c r="AS8" s="21"/>
      <c r="AT8" s="22"/>
      <c r="AU8" s="22"/>
      <c r="AV8" s="23"/>
      <c r="AW8" s="21"/>
      <c r="AX8" s="23"/>
      <c r="AY8" s="24"/>
      <c r="AZ8" s="24"/>
    </row>
    <row r="9" spans="1:52" ht="15.75" customHeight="1">
      <c r="A9" s="7"/>
      <c r="B9" s="25">
        <v>16000000</v>
      </c>
      <c r="C9" s="25">
        <f>B9*D9</f>
        <v>10080000</v>
      </c>
      <c r="D9" s="26">
        <v>0.63</v>
      </c>
      <c r="E9" s="7"/>
      <c r="F9" s="7"/>
      <c r="G9" s="7"/>
      <c r="H9" s="7"/>
      <c r="I9" s="7"/>
      <c r="J9" s="7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 t="s">
        <v>15</v>
      </c>
      <c r="V9" s="20"/>
      <c r="W9" s="20"/>
      <c r="X9" s="20"/>
      <c r="Y9" s="20" t="s">
        <v>16</v>
      </c>
      <c r="Z9" s="20"/>
      <c r="AA9" s="387" t="s">
        <v>17</v>
      </c>
      <c r="AB9" s="362"/>
      <c r="AC9" s="388" t="s">
        <v>18</v>
      </c>
      <c r="AD9" s="362"/>
      <c r="AE9" s="362"/>
      <c r="AF9" s="386"/>
      <c r="AG9" s="387" t="s">
        <v>19</v>
      </c>
      <c r="AH9" s="362"/>
      <c r="AI9" s="362"/>
      <c r="AJ9" s="386"/>
      <c r="AK9" s="387" t="s">
        <v>20</v>
      </c>
      <c r="AL9" s="362"/>
      <c r="AM9" s="362"/>
      <c r="AN9" s="386"/>
      <c r="AO9" s="387" t="s">
        <v>21</v>
      </c>
      <c r="AP9" s="362"/>
      <c r="AQ9" s="362"/>
      <c r="AR9" s="386"/>
      <c r="AS9" s="387" t="s">
        <v>22</v>
      </c>
      <c r="AT9" s="362"/>
      <c r="AU9" s="362"/>
      <c r="AV9" s="386"/>
      <c r="AW9" s="387" t="s">
        <v>23</v>
      </c>
      <c r="AX9" s="386"/>
      <c r="AY9" s="388" t="s">
        <v>24</v>
      </c>
      <c r="AZ9" s="362"/>
    </row>
    <row r="10" spans="1:52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44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3" t="s">
        <v>49</v>
      </c>
      <c r="AP10" s="34" t="s">
        <v>50</v>
      </c>
      <c r="AQ10" s="34" t="s">
        <v>47</v>
      </c>
      <c r="AR10" s="35" t="s">
        <v>48</v>
      </c>
      <c r="AS10" s="33" t="s">
        <v>49</v>
      </c>
      <c r="AT10" s="34" t="s">
        <v>50</v>
      </c>
      <c r="AU10" s="34" t="s">
        <v>47</v>
      </c>
      <c r="AV10" s="35" t="s">
        <v>48</v>
      </c>
      <c r="AW10" s="33" t="s">
        <v>49</v>
      </c>
      <c r="AX10" s="35" t="s">
        <v>50</v>
      </c>
      <c r="AY10" s="389"/>
      <c r="AZ10" s="362"/>
    </row>
    <row r="11" spans="1:52" ht="15.75" customHeight="1">
      <c r="A11" s="36"/>
      <c r="B11" s="37"/>
      <c r="C11" s="38"/>
      <c r="D11" s="39"/>
      <c r="E11" s="40"/>
      <c r="F11" s="360" t="s">
        <v>51</v>
      </c>
      <c r="G11" s="42"/>
      <c r="H11" s="377">
        <f>E13*G13</f>
        <v>659437.79999999993</v>
      </c>
      <c r="I11" s="360" t="s">
        <v>52</v>
      </c>
      <c r="J11" s="396" t="s">
        <v>53</v>
      </c>
      <c r="K11" s="360" t="s">
        <v>54</v>
      </c>
      <c r="L11" s="353" t="s">
        <v>55</v>
      </c>
      <c r="M11" s="43">
        <v>1</v>
      </c>
      <c r="N11" s="43">
        <v>1</v>
      </c>
      <c r="O11" s="43">
        <f t="shared" ref="O11:O16" si="0">M11*N11</f>
        <v>1</v>
      </c>
      <c r="P11" s="355">
        <v>0.2</v>
      </c>
      <c r="Q11" s="365">
        <f>H11*P11</f>
        <v>131887.56</v>
      </c>
      <c r="R11" s="366" t="s">
        <v>56</v>
      </c>
      <c r="S11" s="402"/>
      <c r="T11" s="44"/>
      <c r="U11" s="44"/>
      <c r="V11" s="367">
        <v>4.8499999999999996</v>
      </c>
      <c r="W11" s="44"/>
      <c r="X11" s="44"/>
      <c r="Y11" s="44"/>
      <c r="Z11" s="45">
        <f>Q11*V11</f>
        <v>639654.66599999997</v>
      </c>
      <c r="AA11" s="411">
        <f>Q11</f>
        <v>131887.56</v>
      </c>
      <c r="AB11" s="380"/>
      <c r="AC11" s="395"/>
      <c r="AD11" s="362"/>
      <c r="AE11" s="362"/>
      <c r="AF11" s="386"/>
      <c r="AG11" s="46"/>
      <c r="AH11" s="47"/>
      <c r="AI11" s="47"/>
      <c r="AJ11" s="48"/>
      <c r="AK11" s="46"/>
      <c r="AL11" s="47"/>
      <c r="AM11" s="47"/>
      <c r="AN11" s="48"/>
      <c r="AO11" s="46"/>
      <c r="AP11" s="47"/>
      <c r="AQ11" s="47"/>
      <c r="AR11" s="48"/>
      <c r="AS11" s="46"/>
      <c r="AT11" s="47"/>
      <c r="AU11" s="47"/>
      <c r="AV11" s="48"/>
      <c r="AW11" s="46"/>
      <c r="AX11" s="48"/>
      <c r="AY11" s="390">
        <f>AA11</f>
        <v>131887.56</v>
      </c>
      <c r="AZ11" s="380"/>
    </row>
    <row r="12" spans="1:52" ht="15.75" customHeight="1">
      <c r="A12" s="36"/>
      <c r="B12" s="37"/>
      <c r="C12" s="38"/>
      <c r="D12" s="39"/>
      <c r="E12" s="40"/>
      <c r="F12" s="350"/>
      <c r="G12" s="42"/>
      <c r="H12" s="350"/>
      <c r="I12" s="350"/>
      <c r="J12" s="354"/>
      <c r="K12" s="351"/>
      <c r="L12" s="354"/>
      <c r="M12" s="43">
        <v>1</v>
      </c>
      <c r="N12" s="43">
        <v>1</v>
      </c>
      <c r="O12" s="43">
        <f t="shared" si="0"/>
        <v>1</v>
      </c>
      <c r="P12" s="351"/>
      <c r="Q12" s="351"/>
      <c r="R12" s="351"/>
      <c r="S12" s="351"/>
      <c r="T12" s="44"/>
      <c r="U12" s="44"/>
      <c r="V12" s="351"/>
      <c r="W12" s="44"/>
      <c r="X12" s="44"/>
      <c r="Y12" s="44"/>
      <c r="Z12" s="45"/>
      <c r="AA12" s="381"/>
      <c r="AB12" s="354"/>
      <c r="AC12" s="395"/>
      <c r="AD12" s="362"/>
      <c r="AE12" s="362"/>
      <c r="AF12" s="386"/>
      <c r="AG12" s="46"/>
      <c r="AH12" s="47"/>
      <c r="AI12" s="47"/>
      <c r="AJ12" s="48"/>
      <c r="AK12" s="46"/>
      <c r="AL12" s="47"/>
      <c r="AM12" s="47"/>
      <c r="AN12" s="48"/>
      <c r="AO12" s="46"/>
      <c r="AP12" s="47"/>
      <c r="AQ12" s="47"/>
      <c r="AR12" s="48"/>
      <c r="AS12" s="46"/>
      <c r="AT12" s="47"/>
      <c r="AU12" s="47"/>
      <c r="AV12" s="48"/>
      <c r="AW12" s="46"/>
      <c r="AX12" s="48"/>
      <c r="AY12" s="384"/>
      <c r="AZ12" s="354"/>
    </row>
    <row r="13" spans="1:52" ht="15.75" customHeight="1">
      <c r="A13" s="356" t="s">
        <v>57</v>
      </c>
      <c r="B13" s="357" t="s">
        <v>58</v>
      </c>
      <c r="C13" s="358" t="s">
        <v>59</v>
      </c>
      <c r="D13" s="359">
        <v>0.6</v>
      </c>
      <c r="E13" s="349">
        <f>B5*D13</f>
        <v>1318875.5999999999</v>
      </c>
      <c r="F13" s="350"/>
      <c r="G13" s="352">
        <v>0.5</v>
      </c>
      <c r="H13" s="350"/>
      <c r="I13" s="350"/>
      <c r="J13" s="360" t="s">
        <v>60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55">
        <v>0.2</v>
      </c>
      <c r="Q13" s="365">
        <f>H11*P13</f>
        <v>131887.56</v>
      </c>
      <c r="R13" s="366" t="s">
        <v>43</v>
      </c>
      <c r="S13" s="367">
        <v>0.3</v>
      </c>
      <c r="T13" s="50"/>
      <c r="U13" s="50"/>
      <c r="V13" s="367">
        <v>4.8499999999999996</v>
      </c>
      <c r="W13" s="378">
        <f>Q13/S13</f>
        <v>439625.2</v>
      </c>
      <c r="X13" s="50"/>
      <c r="Y13" s="50"/>
      <c r="Z13" s="368">
        <f>Q13/V13*1000</f>
        <v>27193311.340206187</v>
      </c>
      <c r="AA13" s="379"/>
      <c r="AB13" s="380"/>
      <c r="AC13" s="382">
        <f>Q13</f>
        <v>131887.56</v>
      </c>
      <c r="AD13" s="380"/>
      <c r="AE13" s="380"/>
      <c r="AF13" s="383"/>
      <c r="AG13" s="361"/>
      <c r="AH13" s="362"/>
      <c r="AI13" s="362"/>
      <c r="AJ13" s="386"/>
      <c r="AK13" s="361"/>
      <c r="AL13" s="362"/>
      <c r="AM13" s="362"/>
      <c r="AN13" s="386"/>
      <c r="AO13" s="361"/>
      <c r="AP13" s="362"/>
      <c r="AQ13" s="362"/>
      <c r="AR13" s="386"/>
      <c r="AS13" s="361"/>
      <c r="AT13" s="362"/>
      <c r="AU13" s="362"/>
      <c r="AV13" s="386"/>
      <c r="AW13" s="361"/>
      <c r="AX13" s="386"/>
      <c r="AY13" s="390">
        <f>AC13</f>
        <v>131887.56</v>
      </c>
      <c r="AZ13" s="380"/>
    </row>
    <row r="14" spans="1:52" ht="15.75" customHeight="1">
      <c r="A14" s="350"/>
      <c r="B14" s="350"/>
      <c r="C14" s="350"/>
      <c r="D14" s="350"/>
      <c r="E14" s="350"/>
      <c r="F14" s="350"/>
      <c r="G14" s="350"/>
      <c r="H14" s="350"/>
      <c r="I14" s="351"/>
      <c r="J14" s="350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51"/>
      <c r="Q14" s="351"/>
      <c r="R14" s="351"/>
      <c r="S14" s="351"/>
      <c r="T14" s="50"/>
      <c r="U14" s="50"/>
      <c r="V14" s="351"/>
      <c r="W14" s="351"/>
      <c r="X14" s="50"/>
      <c r="Y14" s="50"/>
      <c r="Z14" s="370"/>
      <c r="AA14" s="381"/>
      <c r="AB14" s="354"/>
      <c r="AC14" s="384"/>
      <c r="AD14" s="354"/>
      <c r="AE14" s="354"/>
      <c r="AF14" s="385"/>
      <c r="AG14" s="361"/>
      <c r="AH14" s="362"/>
      <c r="AI14" s="362"/>
      <c r="AJ14" s="386"/>
      <c r="AK14" s="361"/>
      <c r="AL14" s="362"/>
      <c r="AM14" s="362"/>
      <c r="AN14" s="386"/>
      <c r="AO14" s="361"/>
      <c r="AP14" s="362"/>
      <c r="AQ14" s="362"/>
      <c r="AR14" s="386"/>
      <c r="AS14" s="361"/>
      <c r="AT14" s="362"/>
      <c r="AU14" s="362"/>
      <c r="AV14" s="386"/>
      <c r="AW14" s="361"/>
      <c r="AX14" s="386"/>
      <c r="AY14" s="384"/>
      <c r="AZ14" s="354"/>
    </row>
    <row r="15" spans="1:52" ht="15.75" customHeight="1">
      <c r="A15" s="350"/>
      <c r="B15" s="350"/>
      <c r="C15" s="350"/>
      <c r="D15" s="350"/>
      <c r="E15" s="350"/>
      <c r="F15" s="350"/>
      <c r="G15" s="350"/>
      <c r="H15" s="350"/>
      <c r="I15" s="360" t="s">
        <v>64</v>
      </c>
      <c r="J15" s="350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55">
        <v>0.2</v>
      </c>
      <c r="Q15" s="365">
        <f>H11*P15</f>
        <v>131887.56</v>
      </c>
      <c r="R15" s="366" t="s">
        <v>43</v>
      </c>
      <c r="S15" s="367">
        <v>0.3</v>
      </c>
      <c r="T15" s="50"/>
      <c r="U15" s="50"/>
      <c r="V15" s="367">
        <v>4.8499999999999996</v>
      </c>
      <c r="W15" s="378">
        <f>Q15/S15</f>
        <v>439625.2</v>
      </c>
      <c r="X15" s="50"/>
      <c r="Y15" s="50"/>
      <c r="Z15" s="368">
        <f>Q15/V15*1000</f>
        <v>27193311.340206187</v>
      </c>
      <c r="AA15" s="46"/>
      <c r="AB15" s="47"/>
      <c r="AC15" s="395"/>
      <c r="AD15" s="362"/>
      <c r="AE15" s="362"/>
      <c r="AF15" s="386"/>
      <c r="AG15" s="403">
        <v>42971.89</v>
      </c>
      <c r="AH15" s="380"/>
      <c r="AI15" s="380"/>
      <c r="AJ15" s="383"/>
      <c r="AK15" s="403">
        <v>32971.89</v>
      </c>
      <c r="AL15" s="380"/>
      <c r="AM15" s="380"/>
      <c r="AN15" s="383"/>
      <c r="AO15" s="403">
        <v>32971.89</v>
      </c>
      <c r="AP15" s="380"/>
      <c r="AQ15" s="380"/>
      <c r="AR15" s="383"/>
      <c r="AS15" s="403">
        <v>22971.89</v>
      </c>
      <c r="AT15" s="380"/>
      <c r="AU15" s="380"/>
      <c r="AV15" s="383"/>
      <c r="AW15" s="361"/>
      <c r="AX15" s="386"/>
      <c r="AY15" s="390">
        <f>AG15+AK15+AO15+AS15</f>
        <v>131887.56</v>
      </c>
      <c r="AZ15" s="380"/>
    </row>
    <row r="16" spans="1:52" ht="15.75" customHeight="1">
      <c r="A16" s="350"/>
      <c r="B16" s="350"/>
      <c r="C16" s="350"/>
      <c r="D16" s="350"/>
      <c r="E16" s="350"/>
      <c r="F16" s="350"/>
      <c r="G16" s="350"/>
      <c r="H16" s="350"/>
      <c r="I16" s="350"/>
      <c r="J16" s="350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51"/>
      <c r="Q16" s="351"/>
      <c r="R16" s="351"/>
      <c r="S16" s="351"/>
      <c r="T16" s="50"/>
      <c r="U16" s="50"/>
      <c r="V16" s="351"/>
      <c r="W16" s="351"/>
      <c r="X16" s="50"/>
      <c r="Y16" s="50"/>
      <c r="Z16" s="370"/>
      <c r="AA16" s="361"/>
      <c r="AB16" s="362"/>
      <c r="AC16" s="395"/>
      <c r="AD16" s="362"/>
      <c r="AE16" s="362"/>
      <c r="AF16" s="386"/>
      <c r="AG16" s="381"/>
      <c r="AH16" s="354"/>
      <c r="AI16" s="354"/>
      <c r="AJ16" s="385"/>
      <c r="AK16" s="381"/>
      <c r="AL16" s="354"/>
      <c r="AM16" s="354"/>
      <c r="AN16" s="385"/>
      <c r="AO16" s="381"/>
      <c r="AP16" s="354"/>
      <c r="AQ16" s="354"/>
      <c r="AR16" s="385"/>
      <c r="AS16" s="381"/>
      <c r="AT16" s="354"/>
      <c r="AU16" s="354"/>
      <c r="AV16" s="385"/>
      <c r="AW16" s="361"/>
      <c r="AX16" s="386"/>
      <c r="AY16" s="384"/>
      <c r="AZ16" s="354"/>
    </row>
    <row r="17" spans="1:52" ht="15.75" customHeight="1">
      <c r="A17" s="350"/>
      <c r="B17" s="350"/>
      <c r="C17" s="350"/>
      <c r="D17" s="350"/>
      <c r="E17" s="350"/>
      <c r="F17" s="350"/>
      <c r="G17" s="350"/>
      <c r="H17" s="350"/>
      <c r="I17" s="351"/>
      <c r="J17" s="350"/>
      <c r="K17" s="40" t="s">
        <v>67</v>
      </c>
      <c r="L17" s="49" t="s">
        <v>68</v>
      </c>
      <c r="M17" s="43" t="s">
        <v>69</v>
      </c>
      <c r="N17" s="43" t="s">
        <v>69</v>
      </c>
      <c r="O17" s="43" t="s">
        <v>69</v>
      </c>
      <c r="P17" s="51">
        <v>0.28000000000000003</v>
      </c>
      <c r="Q17" s="52">
        <f>H11*P17</f>
        <v>184642.584</v>
      </c>
      <c r="R17" s="53" t="s">
        <v>43</v>
      </c>
      <c r="S17" s="54">
        <v>0.3</v>
      </c>
      <c r="T17" s="50"/>
      <c r="U17" s="50"/>
      <c r="V17" s="54">
        <v>4.8499999999999996</v>
      </c>
      <c r="W17" s="43">
        <f t="shared" ref="W17:W18" si="1">Q17/S17</f>
        <v>615475.28</v>
      </c>
      <c r="X17" s="50"/>
      <c r="Y17" s="50"/>
      <c r="Z17" s="55">
        <f t="shared" ref="Z17:Z18" si="2">Q17/V17*1000</f>
        <v>38070635.876288667</v>
      </c>
      <c r="AA17" s="361"/>
      <c r="AB17" s="362"/>
      <c r="AC17" s="395"/>
      <c r="AD17" s="362"/>
      <c r="AE17" s="362"/>
      <c r="AF17" s="386"/>
      <c r="AG17" s="397">
        <v>61547.527999999998</v>
      </c>
      <c r="AH17" s="362"/>
      <c r="AI17" s="362"/>
      <c r="AJ17" s="386"/>
      <c r="AK17" s="397">
        <v>51547.527999999998</v>
      </c>
      <c r="AL17" s="362"/>
      <c r="AM17" s="362"/>
      <c r="AN17" s="386"/>
      <c r="AO17" s="397">
        <v>51547.527999999998</v>
      </c>
      <c r="AP17" s="362"/>
      <c r="AQ17" s="362"/>
      <c r="AR17" s="386"/>
      <c r="AS17" s="397">
        <v>20000</v>
      </c>
      <c r="AT17" s="362"/>
      <c r="AU17" s="362"/>
      <c r="AV17" s="386"/>
      <c r="AW17" s="361"/>
      <c r="AX17" s="386"/>
      <c r="AY17" s="391">
        <f>AK17+AO17+AS17+AG17</f>
        <v>184642.584</v>
      </c>
      <c r="AZ17" s="362"/>
    </row>
    <row r="18" spans="1:52" ht="15.75" customHeight="1">
      <c r="A18" s="350"/>
      <c r="B18" s="350"/>
      <c r="C18" s="350"/>
      <c r="D18" s="350"/>
      <c r="E18" s="350"/>
      <c r="F18" s="350"/>
      <c r="G18" s="350"/>
      <c r="H18" s="350"/>
      <c r="I18" s="360" t="s">
        <v>70</v>
      </c>
      <c r="J18" s="350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55">
        <v>0.12</v>
      </c>
      <c r="Q18" s="365">
        <f>H11*P18</f>
        <v>79132.535999999993</v>
      </c>
      <c r="R18" s="366" t="s">
        <v>43</v>
      </c>
      <c r="S18" s="367">
        <v>0.3</v>
      </c>
      <c r="T18" s="50"/>
      <c r="U18" s="50"/>
      <c r="V18" s="367">
        <v>4.8499999999999996</v>
      </c>
      <c r="W18" s="378">
        <f t="shared" si="1"/>
        <v>263775.12</v>
      </c>
      <c r="X18" s="50"/>
      <c r="Y18" s="50"/>
      <c r="Z18" s="368">
        <f t="shared" si="2"/>
        <v>16315986.804123711</v>
      </c>
      <c r="AA18" s="361"/>
      <c r="AB18" s="362"/>
      <c r="AC18" s="395"/>
      <c r="AD18" s="362"/>
      <c r="AE18" s="362"/>
      <c r="AF18" s="386"/>
      <c r="AG18" s="361"/>
      <c r="AH18" s="362"/>
      <c r="AI18" s="362"/>
      <c r="AJ18" s="386"/>
      <c r="AK18" s="404">
        <f>Q18/2</f>
        <v>39566.267999999996</v>
      </c>
      <c r="AL18" s="380"/>
      <c r="AM18" s="380"/>
      <c r="AN18" s="383"/>
      <c r="AO18" s="404">
        <f>Q18/2</f>
        <v>39566.267999999996</v>
      </c>
      <c r="AP18" s="380"/>
      <c r="AQ18" s="380"/>
      <c r="AR18" s="383"/>
      <c r="AS18" s="361"/>
      <c r="AT18" s="362"/>
      <c r="AU18" s="362"/>
      <c r="AV18" s="386"/>
      <c r="AW18" s="361"/>
      <c r="AX18" s="386"/>
      <c r="AY18" s="390">
        <f>AK18+AO18</f>
        <v>79132.535999999993</v>
      </c>
      <c r="AZ18" s="380"/>
    </row>
    <row r="19" spans="1:52" ht="15.75" customHeight="1">
      <c r="A19" s="350"/>
      <c r="B19" s="350"/>
      <c r="C19" s="350"/>
      <c r="D19" s="350"/>
      <c r="E19" s="350"/>
      <c r="F19" s="351"/>
      <c r="G19" s="351"/>
      <c r="H19" s="351"/>
      <c r="I19" s="351"/>
      <c r="J19" s="351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51"/>
      <c r="Q19" s="351"/>
      <c r="R19" s="351"/>
      <c r="S19" s="351"/>
      <c r="T19" s="50"/>
      <c r="U19" s="50"/>
      <c r="V19" s="351"/>
      <c r="W19" s="351"/>
      <c r="X19" s="50"/>
      <c r="Y19" s="50"/>
      <c r="Z19" s="370"/>
      <c r="AA19" s="361"/>
      <c r="AB19" s="362"/>
      <c r="AC19" s="395"/>
      <c r="AD19" s="362"/>
      <c r="AE19" s="362"/>
      <c r="AF19" s="386"/>
      <c r="AG19" s="361"/>
      <c r="AH19" s="362"/>
      <c r="AI19" s="362"/>
      <c r="AJ19" s="386"/>
      <c r="AK19" s="381"/>
      <c r="AL19" s="354"/>
      <c r="AM19" s="354"/>
      <c r="AN19" s="385"/>
      <c r="AO19" s="381"/>
      <c r="AP19" s="354"/>
      <c r="AQ19" s="354"/>
      <c r="AR19" s="385"/>
      <c r="AS19" s="361"/>
      <c r="AT19" s="362"/>
      <c r="AU19" s="362"/>
      <c r="AV19" s="386"/>
      <c r="AW19" s="361"/>
      <c r="AX19" s="386"/>
      <c r="AY19" s="384"/>
      <c r="AZ19" s="354"/>
    </row>
    <row r="20" spans="1:52" ht="6.75" customHeight="1">
      <c r="A20" s="350"/>
      <c r="B20" s="350"/>
      <c r="C20" s="350"/>
      <c r="D20" s="350"/>
      <c r="E20" s="350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65"/>
      <c r="AP20" s="66"/>
      <c r="AQ20" s="66"/>
      <c r="AR20" s="67"/>
      <c r="AS20" s="65"/>
      <c r="AT20" s="66"/>
      <c r="AU20" s="66"/>
      <c r="AV20" s="67"/>
      <c r="AW20" s="65"/>
      <c r="AX20" s="67"/>
      <c r="AY20" s="66"/>
      <c r="AZ20" s="66"/>
    </row>
    <row r="21" spans="1:52" ht="15.75" customHeight="1">
      <c r="A21" s="350"/>
      <c r="B21" s="350"/>
      <c r="C21" s="350"/>
      <c r="D21" s="350"/>
      <c r="E21" s="350"/>
      <c r="F21" s="371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43</v>
      </c>
      <c r="S21" s="54">
        <v>0.34</v>
      </c>
      <c r="T21" s="50"/>
      <c r="U21" s="50"/>
      <c r="V21" s="54">
        <f t="shared" ref="V21:V24" si="4">189/4</f>
        <v>47.25</v>
      </c>
      <c r="W21" s="43">
        <f t="shared" ref="W21:W24" si="5">Q21/S21</f>
        <v>426695.04705882346</v>
      </c>
      <c r="X21" s="50"/>
      <c r="Y21" s="50"/>
      <c r="Z21" s="55">
        <f t="shared" ref="Z21:Z24" si="6">Q21/V21*1000</f>
        <v>3070398.222222222</v>
      </c>
      <c r="AA21" s="361"/>
      <c r="AB21" s="362"/>
      <c r="AC21" s="405">
        <v>145076.31599999999</v>
      </c>
      <c r="AD21" s="362"/>
      <c r="AE21" s="362"/>
      <c r="AF21" s="386"/>
      <c r="AG21" s="361"/>
      <c r="AH21" s="362"/>
      <c r="AI21" s="362"/>
      <c r="AJ21" s="386"/>
      <c r="AK21" s="361"/>
      <c r="AL21" s="362"/>
      <c r="AM21" s="362"/>
      <c r="AN21" s="386"/>
      <c r="AO21" s="361"/>
      <c r="AP21" s="362"/>
      <c r="AQ21" s="362"/>
      <c r="AR21" s="386"/>
      <c r="AS21" s="361"/>
      <c r="AT21" s="362"/>
      <c r="AU21" s="362"/>
      <c r="AV21" s="386"/>
      <c r="AW21" s="361"/>
      <c r="AX21" s="386"/>
      <c r="AY21" s="391">
        <f>AC21</f>
        <v>145076.31599999999</v>
      </c>
      <c r="AZ21" s="362"/>
    </row>
    <row r="22" spans="1:52" ht="15.75" customHeight="1">
      <c r="A22" s="350"/>
      <c r="B22" s="350"/>
      <c r="C22" s="350"/>
      <c r="D22" s="350"/>
      <c r="E22" s="350"/>
      <c r="F22" s="350"/>
      <c r="G22" s="68"/>
      <c r="H22" s="372">
        <f>E13*G24</f>
        <v>659437.79999999993</v>
      </c>
      <c r="I22" s="373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43</v>
      </c>
      <c r="S22" s="54">
        <v>0.34</v>
      </c>
      <c r="T22" s="50"/>
      <c r="U22" s="50"/>
      <c r="V22" s="54">
        <f t="shared" si="4"/>
        <v>47.25</v>
      </c>
      <c r="W22" s="43">
        <f t="shared" si="5"/>
        <v>678833.02941176447</v>
      </c>
      <c r="X22" s="50"/>
      <c r="Y22" s="50"/>
      <c r="Z22" s="55">
        <f t="shared" si="6"/>
        <v>4884724.4444444431</v>
      </c>
      <c r="AA22" s="361"/>
      <c r="AB22" s="362"/>
      <c r="AC22" s="412">
        <v>100401.61500000001</v>
      </c>
      <c r="AD22" s="362"/>
      <c r="AE22" s="362"/>
      <c r="AF22" s="386"/>
      <c r="AG22" s="406">
        <v>130401.61500000001</v>
      </c>
      <c r="AH22" s="362"/>
      <c r="AI22" s="362"/>
      <c r="AJ22" s="386"/>
      <c r="AK22" s="361"/>
      <c r="AL22" s="362"/>
      <c r="AM22" s="362"/>
      <c r="AN22" s="386"/>
      <c r="AO22" s="361"/>
      <c r="AP22" s="362"/>
      <c r="AQ22" s="362"/>
      <c r="AR22" s="386"/>
      <c r="AS22" s="361"/>
      <c r="AT22" s="362"/>
      <c r="AU22" s="362"/>
      <c r="AV22" s="386"/>
      <c r="AW22" s="361"/>
      <c r="AX22" s="386"/>
      <c r="AY22" s="391">
        <f>AC22+AG22</f>
        <v>230803.23</v>
      </c>
      <c r="AZ22" s="362"/>
    </row>
    <row r="23" spans="1:52" ht="15.75" customHeight="1">
      <c r="A23" s="350"/>
      <c r="B23" s="350"/>
      <c r="C23" s="350"/>
      <c r="D23" s="350"/>
      <c r="E23" s="350"/>
      <c r="F23" s="350"/>
      <c r="G23" s="68"/>
      <c r="H23" s="369"/>
      <c r="I23" s="374"/>
      <c r="J23" s="375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7">M23*N23</f>
        <v>9</v>
      </c>
      <c r="P23" s="51">
        <v>0.18</v>
      </c>
      <c r="Q23" s="52">
        <f>H22*P23</f>
        <v>118698.80399999999</v>
      </c>
      <c r="R23" s="53" t="s">
        <v>43</v>
      </c>
      <c r="S23" s="54">
        <v>0.34</v>
      </c>
      <c r="T23" s="50"/>
      <c r="U23" s="50"/>
      <c r="V23" s="54">
        <f t="shared" si="4"/>
        <v>47.25</v>
      </c>
      <c r="W23" s="43">
        <f t="shared" si="5"/>
        <v>349114.12941176468</v>
      </c>
      <c r="X23" s="50"/>
      <c r="Y23" s="50"/>
      <c r="Z23" s="55">
        <f t="shared" si="6"/>
        <v>2512144</v>
      </c>
      <c r="AA23" s="361"/>
      <c r="AB23" s="362"/>
      <c r="AC23" s="395"/>
      <c r="AD23" s="362"/>
      <c r="AE23" s="362"/>
      <c r="AF23" s="386"/>
      <c r="AG23" s="361"/>
      <c r="AH23" s="362"/>
      <c r="AI23" s="362"/>
      <c r="AJ23" s="386"/>
      <c r="AK23" s="406">
        <f>(Q23/3)*2</f>
        <v>79132.535999999993</v>
      </c>
      <c r="AL23" s="362"/>
      <c r="AM23" s="362"/>
      <c r="AN23" s="386"/>
      <c r="AO23" s="406">
        <v>39566.267999999996</v>
      </c>
      <c r="AP23" s="362"/>
      <c r="AQ23" s="362"/>
      <c r="AR23" s="386"/>
      <c r="AS23" s="361"/>
      <c r="AT23" s="362"/>
      <c r="AU23" s="362"/>
      <c r="AV23" s="386"/>
      <c r="AW23" s="361"/>
      <c r="AX23" s="386"/>
      <c r="AY23" s="391">
        <f>AK23+AO23+AS23</f>
        <v>118698.80399999999</v>
      </c>
      <c r="AZ23" s="362"/>
    </row>
    <row r="24" spans="1:52" ht="15.75" customHeight="1">
      <c r="A24" s="350"/>
      <c r="B24" s="350"/>
      <c r="C24" s="351"/>
      <c r="D24" s="351"/>
      <c r="E24" s="351"/>
      <c r="F24" s="350"/>
      <c r="G24" s="68">
        <v>0.5</v>
      </c>
      <c r="H24" s="369"/>
      <c r="I24" s="73" t="s">
        <v>52</v>
      </c>
      <c r="J24" s="376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7"/>
        <v>6</v>
      </c>
      <c r="P24" s="51">
        <v>0.25</v>
      </c>
      <c r="Q24" s="52">
        <f>H22*P24</f>
        <v>164859.44999999998</v>
      </c>
      <c r="R24" s="53" t="s">
        <v>43</v>
      </c>
      <c r="S24" s="54">
        <v>0.34</v>
      </c>
      <c r="T24" s="50"/>
      <c r="U24" s="50"/>
      <c r="V24" s="54">
        <f t="shared" si="4"/>
        <v>47.25</v>
      </c>
      <c r="W24" s="43">
        <f t="shared" si="5"/>
        <v>484880.73529411753</v>
      </c>
      <c r="X24" s="50"/>
      <c r="Y24" s="50"/>
      <c r="Z24" s="55">
        <f t="shared" si="6"/>
        <v>3489088.8888888885</v>
      </c>
      <c r="AA24" s="361"/>
      <c r="AB24" s="362"/>
      <c r="AC24" s="395"/>
      <c r="AD24" s="362"/>
      <c r="AE24" s="362"/>
      <c r="AF24" s="386"/>
      <c r="AG24" s="405">
        <v>164859.44999999998</v>
      </c>
      <c r="AH24" s="362"/>
      <c r="AI24" s="362"/>
      <c r="AJ24" s="386"/>
      <c r="AK24" s="46"/>
      <c r="AL24" s="47"/>
      <c r="AM24" s="47"/>
      <c r="AN24" s="48"/>
      <c r="AO24" s="46"/>
      <c r="AP24" s="47"/>
      <c r="AQ24" s="47"/>
      <c r="AR24" s="48"/>
      <c r="AS24" s="46"/>
      <c r="AT24" s="47"/>
      <c r="AU24" s="47"/>
      <c r="AV24" s="48"/>
      <c r="AW24" s="46"/>
      <c r="AX24" s="48"/>
      <c r="AY24" s="391">
        <f>AG24</f>
        <v>164859.44999999998</v>
      </c>
      <c r="AZ24" s="362"/>
    </row>
    <row r="25" spans="1:52" ht="7.5" customHeight="1">
      <c r="A25" s="350"/>
      <c r="B25" s="350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85"/>
      <c r="AP25" s="86"/>
      <c r="AQ25" s="86"/>
      <c r="AR25" s="87"/>
      <c r="AS25" s="85"/>
      <c r="AT25" s="86"/>
      <c r="AU25" s="86"/>
      <c r="AV25" s="87"/>
      <c r="AW25" s="85"/>
      <c r="AX25" s="87"/>
      <c r="AY25" s="86"/>
      <c r="AZ25" s="86"/>
    </row>
    <row r="26" spans="1:52" ht="15.75" customHeight="1">
      <c r="A26" s="350"/>
      <c r="B26" s="350"/>
      <c r="C26" s="358" t="s">
        <v>83</v>
      </c>
      <c r="D26" s="359">
        <v>0.4</v>
      </c>
      <c r="E26" s="349">
        <f>B5*D26</f>
        <v>879250.4</v>
      </c>
      <c r="F26" s="414" t="s">
        <v>129</v>
      </c>
      <c r="G26" s="352">
        <v>0.46</v>
      </c>
      <c r="H26" s="377">
        <f>E26*G26</f>
        <v>404455.18400000001</v>
      </c>
      <c r="I26" s="360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8">M26*N26</f>
        <v>1</v>
      </c>
      <c r="P26" s="51">
        <v>0.2</v>
      </c>
      <c r="Q26" s="52">
        <f>H26*P26</f>
        <v>80891.036800000002</v>
      </c>
      <c r="R26" s="89" t="s">
        <v>87</v>
      </c>
      <c r="S26" s="50"/>
      <c r="T26" s="50"/>
      <c r="U26" s="50"/>
      <c r="V26" s="54">
        <v>2.5</v>
      </c>
      <c r="W26" s="50"/>
      <c r="X26" s="50"/>
      <c r="Y26" s="50"/>
      <c r="Z26" s="55">
        <f t="shared" ref="Z26:Z27" si="9">Q26/V26*1000</f>
        <v>32356414.719999999</v>
      </c>
      <c r="AA26" s="413">
        <f>Q26</f>
        <v>80891.036800000002</v>
      </c>
      <c r="AB26" s="362"/>
      <c r="AC26" s="90"/>
      <c r="AD26" s="90"/>
      <c r="AE26" s="90"/>
      <c r="AF26" s="91"/>
      <c r="AG26" s="46"/>
      <c r="AH26" s="47"/>
      <c r="AI26" s="47"/>
      <c r="AJ26" s="48"/>
      <c r="AK26" s="46"/>
      <c r="AL26" s="47"/>
      <c r="AM26" s="47"/>
      <c r="AN26" s="48"/>
      <c r="AO26" s="46"/>
      <c r="AP26" s="47"/>
      <c r="AQ26" s="47"/>
      <c r="AR26" s="48"/>
      <c r="AS26" s="46"/>
      <c r="AT26" s="47"/>
      <c r="AU26" s="47"/>
      <c r="AV26" s="48"/>
      <c r="AW26" s="46"/>
      <c r="AX26" s="48"/>
      <c r="AY26" s="92">
        <f>AA26</f>
        <v>80891.036800000002</v>
      </c>
      <c r="AZ26" s="47"/>
    </row>
    <row r="27" spans="1:52" ht="15.75" customHeight="1">
      <c r="A27" s="350"/>
      <c r="B27" s="350"/>
      <c r="C27" s="350"/>
      <c r="D27" s="350"/>
      <c r="E27" s="350"/>
      <c r="F27" s="350"/>
      <c r="G27" s="350"/>
      <c r="H27" s="350"/>
      <c r="I27" s="350"/>
      <c r="J27" s="360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8"/>
        <v>2</v>
      </c>
      <c r="P27" s="355">
        <v>0.2</v>
      </c>
      <c r="Q27" s="365">
        <f>H26*P27</f>
        <v>80891.036800000002</v>
      </c>
      <c r="R27" s="407" t="s">
        <v>90</v>
      </c>
      <c r="S27" s="367">
        <v>0.5</v>
      </c>
      <c r="T27" s="50"/>
      <c r="U27" s="50"/>
      <c r="V27" s="367">
        <v>2.5</v>
      </c>
      <c r="W27" s="378">
        <f>Q27/S27</f>
        <v>161782.0736</v>
      </c>
      <c r="X27" s="50"/>
      <c r="Y27" s="50"/>
      <c r="Z27" s="368">
        <f t="shared" si="9"/>
        <v>32356414.719999999</v>
      </c>
      <c r="AA27" s="379"/>
      <c r="AB27" s="380"/>
      <c r="AC27" s="382">
        <f>Q27</f>
        <v>80891.036800000002</v>
      </c>
      <c r="AD27" s="380"/>
      <c r="AE27" s="380"/>
      <c r="AF27" s="383"/>
      <c r="AG27" s="46"/>
      <c r="AH27" s="47"/>
      <c r="AI27" s="47"/>
      <c r="AJ27" s="48"/>
      <c r="AK27" s="46"/>
      <c r="AL27" s="47"/>
      <c r="AM27" s="47"/>
      <c r="AN27" s="48"/>
      <c r="AO27" s="46"/>
      <c r="AP27" s="47"/>
      <c r="AQ27" s="47"/>
      <c r="AR27" s="48"/>
      <c r="AS27" s="46"/>
      <c r="AT27" s="47"/>
      <c r="AU27" s="47"/>
      <c r="AV27" s="48"/>
      <c r="AW27" s="46"/>
      <c r="AX27" s="48"/>
      <c r="AY27" s="390">
        <f>AC27</f>
        <v>80891.036800000002</v>
      </c>
      <c r="AZ27" s="380"/>
    </row>
    <row r="28" spans="1:52" ht="15.75" customHeight="1">
      <c r="A28" s="350"/>
      <c r="B28" s="350"/>
      <c r="C28" s="350"/>
      <c r="D28" s="350"/>
      <c r="E28" s="350"/>
      <c r="F28" s="350"/>
      <c r="G28" s="350"/>
      <c r="H28" s="350"/>
      <c r="I28" s="351"/>
      <c r="J28" s="350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8"/>
        <v>2</v>
      </c>
      <c r="P28" s="351"/>
      <c r="Q28" s="351"/>
      <c r="R28" s="351"/>
      <c r="S28" s="351"/>
      <c r="T28" s="50"/>
      <c r="U28" s="50"/>
      <c r="V28" s="351"/>
      <c r="W28" s="351"/>
      <c r="X28" s="50"/>
      <c r="Y28" s="50"/>
      <c r="Z28" s="370"/>
      <c r="AA28" s="381"/>
      <c r="AB28" s="354"/>
      <c r="AC28" s="384"/>
      <c r="AD28" s="354"/>
      <c r="AE28" s="354"/>
      <c r="AF28" s="385"/>
      <c r="AG28" s="46"/>
      <c r="AH28" s="47"/>
      <c r="AI28" s="47"/>
      <c r="AJ28" s="48"/>
      <c r="AK28" s="46"/>
      <c r="AL28" s="47"/>
      <c r="AM28" s="47"/>
      <c r="AN28" s="48"/>
      <c r="AO28" s="46"/>
      <c r="AP28" s="47"/>
      <c r="AQ28" s="47"/>
      <c r="AR28" s="48"/>
      <c r="AS28" s="46"/>
      <c r="AT28" s="47"/>
      <c r="AU28" s="47"/>
      <c r="AV28" s="48"/>
      <c r="AW28" s="46"/>
      <c r="AX28" s="48"/>
      <c r="AY28" s="384"/>
      <c r="AZ28" s="354"/>
    </row>
    <row r="29" spans="1:52" ht="15.75" customHeight="1">
      <c r="A29" s="350"/>
      <c r="B29" s="350"/>
      <c r="C29" s="350"/>
      <c r="D29" s="350"/>
      <c r="E29" s="350"/>
      <c r="F29" s="350"/>
      <c r="G29" s="350"/>
      <c r="H29" s="350"/>
      <c r="I29" s="360" t="s">
        <v>64</v>
      </c>
      <c r="J29" s="350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8"/>
        <v>4</v>
      </c>
      <c r="P29" s="355">
        <v>0.3</v>
      </c>
      <c r="Q29" s="365">
        <f>H26*P29</f>
        <v>121336.5552</v>
      </c>
      <c r="R29" s="407" t="s">
        <v>90</v>
      </c>
      <c r="S29" s="367">
        <v>0.5</v>
      </c>
      <c r="T29" s="50"/>
      <c r="U29" s="50"/>
      <c r="V29" s="367">
        <v>2.5</v>
      </c>
      <c r="W29" s="378">
        <f>Q29/S29</f>
        <v>242673.11040000001</v>
      </c>
      <c r="X29" s="50"/>
      <c r="Y29" s="50"/>
      <c r="Z29" s="368">
        <f>Q29/V29*1000</f>
        <v>48534622.079999998</v>
      </c>
      <c r="AA29" s="46"/>
      <c r="AB29" s="47"/>
      <c r="AC29" s="47"/>
      <c r="AD29" s="47"/>
      <c r="AE29" s="47"/>
      <c r="AF29" s="48"/>
      <c r="AG29" s="403">
        <v>30334.138800000001</v>
      </c>
      <c r="AH29" s="380"/>
      <c r="AI29" s="380"/>
      <c r="AJ29" s="383"/>
      <c r="AK29" s="403">
        <v>40334.138800000001</v>
      </c>
      <c r="AL29" s="380"/>
      <c r="AM29" s="380"/>
      <c r="AN29" s="383"/>
      <c r="AO29" s="403">
        <v>30334.138800000001</v>
      </c>
      <c r="AP29" s="380"/>
      <c r="AQ29" s="380"/>
      <c r="AR29" s="383"/>
      <c r="AS29" s="403">
        <v>20334.138800000001</v>
      </c>
      <c r="AT29" s="380"/>
      <c r="AU29" s="380"/>
      <c r="AV29" s="383"/>
      <c r="AW29" s="46"/>
      <c r="AX29" s="48"/>
      <c r="AY29" s="390">
        <f>AG29+AK29+AO29+AS29</f>
        <v>121336.5552</v>
      </c>
      <c r="AZ29" s="380"/>
    </row>
    <row r="30" spans="1:52" ht="15.75" customHeight="1">
      <c r="A30" s="350"/>
      <c r="B30" s="350"/>
      <c r="C30" s="350"/>
      <c r="D30" s="350"/>
      <c r="E30" s="350"/>
      <c r="F30" s="350"/>
      <c r="G30" s="350"/>
      <c r="H30" s="350"/>
      <c r="I30" s="350"/>
      <c r="J30" s="350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8"/>
        <v>4</v>
      </c>
      <c r="P30" s="351"/>
      <c r="Q30" s="351"/>
      <c r="R30" s="351"/>
      <c r="S30" s="351"/>
      <c r="T30" s="50"/>
      <c r="U30" s="50"/>
      <c r="V30" s="351"/>
      <c r="W30" s="351"/>
      <c r="X30" s="50"/>
      <c r="Y30" s="50"/>
      <c r="Z30" s="370"/>
      <c r="AA30" s="46"/>
      <c r="AB30" s="47"/>
      <c r="AC30" s="47"/>
      <c r="AD30" s="47"/>
      <c r="AE30" s="47"/>
      <c r="AF30" s="48"/>
      <c r="AG30" s="381"/>
      <c r="AH30" s="354"/>
      <c r="AI30" s="354"/>
      <c r="AJ30" s="385"/>
      <c r="AK30" s="381"/>
      <c r="AL30" s="354"/>
      <c r="AM30" s="354"/>
      <c r="AN30" s="385"/>
      <c r="AO30" s="381"/>
      <c r="AP30" s="354"/>
      <c r="AQ30" s="354"/>
      <c r="AR30" s="385"/>
      <c r="AS30" s="381"/>
      <c r="AT30" s="354"/>
      <c r="AU30" s="354"/>
      <c r="AV30" s="385"/>
      <c r="AW30" s="46"/>
      <c r="AX30" s="48"/>
      <c r="AY30" s="384"/>
      <c r="AZ30" s="354"/>
    </row>
    <row r="31" spans="1:52" ht="15.75" customHeight="1">
      <c r="A31" s="350"/>
      <c r="B31" s="350"/>
      <c r="C31" s="350"/>
      <c r="D31" s="350"/>
      <c r="E31" s="350"/>
      <c r="F31" s="350"/>
      <c r="G31" s="351"/>
      <c r="H31" s="351"/>
      <c r="I31" s="351"/>
      <c r="J31" s="350"/>
      <c r="K31" s="40" t="s">
        <v>67</v>
      </c>
      <c r="L31" s="49" t="s">
        <v>68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121336.5552</v>
      </c>
      <c r="R31" s="89" t="s">
        <v>90</v>
      </c>
      <c r="S31" s="54">
        <v>0.5</v>
      </c>
      <c r="T31" s="50"/>
      <c r="U31" s="50"/>
      <c r="V31" s="54">
        <v>2.5</v>
      </c>
      <c r="W31" s="43">
        <f>Q31/S31</f>
        <v>242673.11040000001</v>
      </c>
      <c r="X31" s="50"/>
      <c r="Y31" s="50"/>
      <c r="Z31" s="55">
        <f>Q31/V31*1000</f>
        <v>48534622.079999998</v>
      </c>
      <c r="AA31" s="46"/>
      <c r="AB31" s="47"/>
      <c r="AC31" s="47"/>
      <c r="AD31" s="47"/>
      <c r="AE31" s="47"/>
      <c r="AF31" s="48"/>
      <c r="AG31" s="397">
        <f>Q31/3</f>
        <v>40445.518400000001</v>
      </c>
      <c r="AH31" s="362"/>
      <c r="AI31" s="362"/>
      <c r="AJ31" s="386"/>
      <c r="AK31" s="397">
        <f>Q31/3</f>
        <v>40445.518400000001</v>
      </c>
      <c r="AL31" s="362"/>
      <c r="AM31" s="362"/>
      <c r="AN31" s="386"/>
      <c r="AO31" s="397">
        <v>40445.518400000001</v>
      </c>
      <c r="AP31" s="362"/>
      <c r="AQ31" s="362"/>
      <c r="AR31" s="386"/>
      <c r="AS31" s="361"/>
      <c r="AT31" s="362"/>
      <c r="AU31" s="362"/>
      <c r="AV31" s="386"/>
      <c r="AW31" s="46"/>
      <c r="AX31" s="48"/>
      <c r="AY31" s="391">
        <f>AK31+AO31+AS31+AG31</f>
        <v>121336.5552</v>
      </c>
      <c r="AZ31" s="362"/>
    </row>
    <row r="32" spans="1:52" ht="15.75" customHeight="1">
      <c r="A32" s="350"/>
      <c r="B32" s="350"/>
      <c r="C32" s="350"/>
      <c r="D32" s="350"/>
      <c r="E32" s="350"/>
      <c r="F32" s="70" t="s">
        <v>94</v>
      </c>
      <c r="G32" s="93">
        <v>0.2</v>
      </c>
      <c r="H32" s="94">
        <f>E26*G32</f>
        <v>175850.08000000002</v>
      </c>
      <c r="I32" s="95" t="s">
        <v>95</v>
      </c>
      <c r="J32" s="38" t="s">
        <v>96</v>
      </c>
      <c r="K32" s="40" t="s">
        <v>97</v>
      </c>
      <c r="L32" s="53" t="s">
        <v>98</v>
      </c>
      <c r="M32" s="43">
        <v>1</v>
      </c>
      <c r="N32" s="43">
        <v>5</v>
      </c>
      <c r="O32" s="43">
        <f t="shared" ref="O32:O33" si="10">M32*N32</f>
        <v>5</v>
      </c>
      <c r="P32" s="51">
        <v>1</v>
      </c>
      <c r="Q32" s="52">
        <f t="shared" ref="Q32:Q33" si="11">H32*P32</f>
        <v>175850.08000000002</v>
      </c>
      <c r="R32" s="53" t="s">
        <v>99</v>
      </c>
      <c r="S32" s="50"/>
      <c r="T32" s="50"/>
      <c r="U32" s="54">
        <v>1.2</v>
      </c>
      <c r="V32" s="50"/>
      <c r="W32" s="96"/>
      <c r="X32" s="50"/>
      <c r="Y32" s="43">
        <f t="shared" ref="Y32:Y33" si="12">Q32/U32</f>
        <v>146541.73333333337</v>
      </c>
      <c r="Z32" s="50"/>
      <c r="AA32" s="361"/>
      <c r="AB32" s="362"/>
      <c r="AC32" s="409">
        <v>55340</v>
      </c>
      <c r="AD32" s="362"/>
      <c r="AE32" s="362"/>
      <c r="AF32" s="386"/>
      <c r="AG32" s="408">
        <v>50170.016000000003</v>
      </c>
      <c r="AH32" s="362"/>
      <c r="AI32" s="362"/>
      <c r="AJ32" s="386"/>
      <c r="AK32" s="408">
        <v>35170.016000000003</v>
      </c>
      <c r="AL32" s="362"/>
      <c r="AM32" s="362"/>
      <c r="AN32" s="386"/>
      <c r="AO32" s="408">
        <v>35170.016000000003</v>
      </c>
      <c r="AP32" s="362"/>
      <c r="AQ32" s="362"/>
      <c r="AR32" s="386"/>
      <c r="AS32" s="395"/>
      <c r="AT32" s="362"/>
      <c r="AU32" s="362"/>
      <c r="AV32" s="362"/>
      <c r="AW32" s="46"/>
      <c r="AX32" s="48"/>
      <c r="AY32" s="391">
        <f>AC32+AG32+AK32+AO32+AS32</f>
        <v>175850.04800000001</v>
      </c>
      <c r="AZ32" s="362"/>
    </row>
    <row r="33" spans="1:52" ht="15.75" customHeight="1">
      <c r="A33" s="350"/>
      <c r="B33" s="350"/>
      <c r="C33" s="350"/>
      <c r="D33" s="350"/>
      <c r="E33" s="350"/>
      <c r="F33" s="38" t="s">
        <v>100</v>
      </c>
      <c r="G33" s="97">
        <v>0.08</v>
      </c>
      <c r="H33" s="94">
        <f>E26*G33</f>
        <v>70340.032000000007</v>
      </c>
      <c r="I33" s="95" t="s">
        <v>95</v>
      </c>
      <c r="J33" s="40" t="s">
        <v>101</v>
      </c>
      <c r="K33" s="40" t="s">
        <v>101</v>
      </c>
      <c r="L33" s="53" t="s">
        <v>98</v>
      </c>
      <c r="M33" s="43">
        <v>1</v>
      </c>
      <c r="N33" s="43">
        <v>5</v>
      </c>
      <c r="O33" s="43">
        <f t="shared" si="10"/>
        <v>5</v>
      </c>
      <c r="P33" s="51">
        <v>1</v>
      </c>
      <c r="Q33" s="52">
        <f t="shared" si="11"/>
        <v>70340.032000000007</v>
      </c>
      <c r="R33" s="53" t="s">
        <v>99</v>
      </c>
      <c r="S33" s="50"/>
      <c r="T33" s="50"/>
      <c r="U33" s="54">
        <v>0.45</v>
      </c>
      <c r="V33" s="50"/>
      <c r="W33" s="96"/>
      <c r="X33" s="50"/>
      <c r="Y33" s="43">
        <f t="shared" si="12"/>
        <v>156311.18222222224</v>
      </c>
      <c r="Z33" s="50"/>
      <c r="AA33" s="46"/>
      <c r="AB33" s="47"/>
      <c r="AC33" s="409">
        <f>Q33/3</f>
        <v>23446.677333333337</v>
      </c>
      <c r="AD33" s="362"/>
      <c r="AE33" s="362"/>
      <c r="AF33" s="386"/>
      <c r="AG33" s="408">
        <v>23446.677333333337</v>
      </c>
      <c r="AH33" s="362"/>
      <c r="AI33" s="362"/>
      <c r="AJ33" s="386"/>
      <c r="AK33" s="408">
        <v>23446.677333333337</v>
      </c>
      <c r="AL33" s="362"/>
      <c r="AM33" s="362"/>
      <c r="AN33" s="386"/>
      <c r="AO33" s="46"/>
      <c r="AP33" s="47"/>
      <c r="AQ33" s="47"/>
      <c r="AR33" s="48"/>
      <c r="AS33" s="46"/>
      <c r="AT33" s="47"/>
      <c r="AU33" s="47"/>
      <c r="AV33" s="48"/>
      <c r="AW33" s="46"/>
      <c r="AX33" s="48"/>
      <c r="AY33" s="92">
        <f>AG33+AK33+AC33</f>
        <v>70340.032000000007</v>
      </c>
      <c r="AZ33" s="47"/>
    </row>
    <row r="34" spans="1:52" ht="10.5" customHeight="1">
      <c r="A34" s="350"/>
      <c r="B34" s="350"/>
      <c r="C34" s="350"/>
      <c r="D34" s="350"/>
      <c r="E34" s="350"/>
      <c r="F34" s="58"/>
      <c r="G34" s="98"/>
      <c r="H34" s="99"/>
      <c r="I34" s="58"/>
      <c r="J34" s="58"/>
      <c r="K34" s="58"/>
      <c r="L34" s="62"/>
      <c r="M34" s="60"/>
      <c r="N34" s="60"/>
      <c r="O34" s="60"/>
      <c r="P34" s="59"/>
      <c r="Q34" s="61"/>
      <c r="R34" s="62"/>
      <c r="S34" s="63"/>
      <c r="T34" s="63"/>
      <c r="U34" s="63"/>
      <c r="V34" s="63"/>
      <c r="W34" s="60"/>
      <c r="X34" s="63"/>
      <c r="Y34" s="63"/>
      <c r="Z34" s="64"/>
      <c r="AA34" s="65"/>
      <c r="AB34" s="66"/>
      <c r="AC34" s="66"/>
      <c r="AD34" s="66"/>
      <c r="AE34" s="66"/>
      <c r="AF34" s="67"/>
      <c r="AG34" s="65"/>
      <c r="AH34" s="66"/>
      <c r="AI34" s="66"/>
      <c r="AJ34" s="67"/>
      <c r="AK34" s="65"/>
      <c r="AL34" s="66"/>
      <c r="AM34" s="66"/>
      <c r="AN34" s="67"/>
      <c r="AO34" s="65"/>
      <c r="AP34" s="66"/>
      <c r="AQ34" s="66"/>
      <c r="AR34" s="67"/>
      <c r="AS34" s="65"/>
      <c r="AT34" s="66"/>
      <c r="AU34" s="66"/>
      <c r="AV34" s="67"/>
      <c r="AW34" s="65"/>
      <c r="AX34" s="67"/>
      <c r="AY34" s="66"/>
      <c r="AZ34" s="66"/>
    </row>
    <row r="35" spans="1:52" ht="15.75" customHeight="1">
      <c r="A35" s="350"/>
      <c r="B35" s="350"/>
      <c r="C35" s="350"/>
      <c r="D35" s="350"/>
      <c r="E35" s="350"/>
      <c r="F35" s="360" t="s">
        <v>102</v>
      </c>
      <c r="G35" s="352">
        <v>0.06</v>
      </c>
      <c r="H35" s="377">
        <f>E26*G35</f>
        <v>52755.023999999998</v>
      </c>
      <c r="I35" s="360" t="s">
        <v>70</v>
      </c>
      <c r="J35" s="360" t="s">
        <v>103</v>
      </c>
      <c r="K35" s="40" t="s">
        <v>104</v>
      </c>
      <c r="L35" s="53" t="s">
        <v>105</v>
      </c>
      <c r="M35" s="43">
        <v>2</v>
      </c>
      <c r="N35" s="43">
        <v>3</v>
      </c>
      <c r="O35" s="43">
        <f t="shared" ref="O35:O37" si="13">M35*N35</f>
        <v>6</v>
      </c>
      <c r="P35" s="355">
        <v>1</v>
      </c>
      <c r="Q35" s="365">
        <f>H35*P35</f>
        <v>52755.023999999998</v>
      </c>
      <c r="R35" s="366" t="s">
        <v>58</v>
      </c>
      <c r="S35" s="50"/>
      <c r="T35" s="50"/>
      <c r="U35" s="50"/>
      <c r="V35" s="367">
        <f>45/18.77</f>
        <v>2.3974427277570594</v>
      </c>
      <c r="W35" s="96"/>
      <c r="X35" s="50"/>
      <c r="Y35" s="50"/>
      <c r="Z35" s="368">
        <f>Q35/V35*1000</f>
        <v>22004706.677333333</v>
      </c>
      <c r="AA35" s="361"/>
      <c r="AB35" s="362"/>
      <c r="AC35" s="395"/>
      <c r="AD35" s="362"/>
      <c r="AE35" s="362"/>
      <c r="AF35" s="386"/>
      <c r="AG35" s="361"/>
      <c r="AH35" s="362"/>
      <c r="AI35" s="362"/>
      <c r="AJ35" s="386"/>
      <c r="AK35" s="394">
        <v>36377.512000000002</v>
      </c>
      <c r="AL35" s="380"/>
      <c r="AM35" s="380"/>
      <c r="AN35" s="383"/>
      <c r="AO35" s="361"/>
      <c r="AP35" s="362"/>
      <c r="AQ35" s="362"/>
      <c r="AR35" s="386"/>
      <c r="AS35" s="394">
        <v>10377.512000000001</v>
      </c>
      <c r="AT35" s="380"/>
      <c r="AU35" s="380"/>
      <c r="AV35" s="383"/>
      <c r="AW35" s="394">
        <v>6378</v>
      </c>
      <c r="AX35" s="383"/>
      <c r="AY35" s="390">
        <f>AK35+AS35+AW35</f>
        <v>53133.024000000005</v>
      </c>
      <c r="AZ35" s="380"/>
    </row>
    <row r="36" spans="1:52" ht="15.75" customHeight="1">
      <c r="A36" s="350"/>
      <c r="B36" s="350"/>
      <c r="C36" s="350"/>
      <c r="D36" s="350"/>
      <c r="E36" s="350"/>
      <c r="F36" s="350"/>
      <c r="G36" s="350"/>
      <c r="H36" s="350"/>
      <c r="I36" s="350"/>
      <c r="J36" s="350"/>
      <c r="K36" s="40" t="s">
        <v>104</v>
      </c>
      <c r="L36" s="53" t="s">
        <v>105</v>
      </c>
      <c r="M36" s="43">
        <v>2</v>
      </c>
      <c r="N36" s="43">
        <v>3</v>
      </c>
      <c r="O36" s="43">
        <f t="shared" si="13"/>
        <v>6</v>
      </c>
      <c r="P36" s="350"/>
      <c r="Q36" s="350"/>
      <c r="R36" s="350"/>
      <c r="S36" s="50"/>
      <c r="T36" s="50"/>
      <c r="U36" s="50"/>
      <c r="V36" s="350"/>
      <c r="W36" s="96"/>
      <c r="X36" s="50"/>
      <c r="Y36" s="50"/>
      <c r="Z36" s="369"/>
      <c r="AA36" s="361"/>
      <c r="AB36" s="362"/>
      <c r="AC36" s="395"/>
      <c r="AD36" s="362"/>
      <c r="AE36" s="362"/>
      <c r="AF36" s="386"/>
      <c r="AG36" s="361"/>
      <c r="AH36" s="362"/>
      <c r="AI36" s="362"/>
      <c r="AJ36" s="386"/>
      <c r="AK36" s="381"/>
      <c r="AL36" s="354"/>
      <c r="AM36" s="354"/>
      <c r="AN36" s="385"/>
      <c r="AO36" s="361"/>
      <c r="AP36" s="362"/>
      <c r="AQ36" s="362"/>
      <c r="AR36" s="386"/>
      <c r="AS36" s="381"/>
      <c r="AT36" s="354"/>
      <c r="AU36" s="354"/>
      <c r="AV36" s="385"/>
      <c r="AW36" s="381"/>
      <c r="AX36" s="385"/>
      <c r="AY36" s="384"/>
      <c r="AZ36" s="354"/>
    </row>
    <row r="37" spans="1:52" ht="15.75" customHeight="1">
      <c r="A37" s="350"/>
      <c r="B37" s="350"/>
      <c r="C37" s="350"/>
      <c r="D37" s="350"/>
      <c r="E37" s="350"/>
      <c r="F37" s="351"/>
      <c r="G37" s="351"/>
      <c r="H37" s="351"/>
      <c r="I37" s="351"/>
      <c r="J37" s="351"/>
      <c r="K37" s="40" t="s">
        <v>106</v>
      </c>
      <c r="L37" s="53" t="s">
        <v>105</v>
      </c>
      <c r="M37" s="43">
        <v>2</v>
      </c>
      <c r="N37" s="43">
        <v>3</v>
      </c>
      <c r="O37" s="43">
        <f t="shared" si="13"/>
        <v>6</v>
      </c>
      <c r="P37" s="351"/>
      <c r="Q37" s="351"/>
      <c r="R37" s="351"/>
      <c r="S37" s="50"/>
      <c r="T37" s="50"/>
      <c r="U37" s="50"/>
      <c r="V37" s="351"/>
      <c r="W37" s="96"/>
      <c r="X37" s="50"/>
      <c r="Y37" s="50"/>
      <c r="Z37" s="370"/>
      <c r="AA37" s="363"/>
      <c r="AB37" s="364"/>
      <c r="AC37" s="410"/>
      <c r="AD37" s="364"/>
      <c r="AE37" s="364"/>
      <c r="AF37" s="392"/>
      <c r="AG37" s="361"/>
      <c r="AH37" s="362"/>
      <c r="AI37" s="362"/>
      <c r="AJ37" s="386"/>
      <c r="AK37" s="381"/>
      <c r="AL37" s="354"/>
      <c r="AM37" s="354"/>
      <c r="AN37" s="385"/>
      <c r="AO37" s="361"/>
      <c r="AP37" s="362"/>
      <c r="AQ37" s="362"/>
      <c r="AR37" s="386"/>
      <c r="AS37" s="381"/>
      <c r="AT37" s="354"/>
      <c r="AU37" s="354"/>
      <c r="AV37" s="385"/>
      <c r="AW37" s="381"/>
      <c r="AX37" s="385"/>
      <c r="AY37" s="384"/>
      <c r="AZ37" s="354"/>
    </row>
    <row r="38" spans="1:52" ht="12" customHeight="1">
      <c r="A38" s="350"/>
      <c r="B38" s="350"/>
      <c r="C38" s="350"/>
      <c r="D38" s="350"/>
      <c r="E38" s="350"/>
      <c r="F38" s="58"/>
      <c r="G38" s="98"/>
      <c r="H38" s="99"/>
      <c r="I38" s="100"/>
      <c r="J38" s="58"/>
      <c r="K38" s="58"/>
      <c r="L38" s="62"/>
      <c r="M38" s="60"/>
      <c r="N38" s="60"/>
      <c r="O38" s="60"/>
      <c r="P38" s="59"/>
      <c r="Q38" s="61"/>
      <c r="R38" s="62"/>
      <c r="S38" s="63"/>
      <c r="T38" s="63"/>
      <c r="U38" s="63"/>
      <c r="V38" s="63"/>
      <c r="W38" s="60"/>
      <c r="X38" s="63"/>
      <c r="Y38" s="60"/>
      <c r="Z38" s="60"/>
      <c r="AA38" s="66"/>
      <c r="AB38" s="66"/>
      <c r="AC38" s="66"/>
      <c r="AD38" s="66"/>
      <c r="AE38" s="66"/>
      <c r="AF38" s="66"/>
      <c r="AG38" s="65"/>
      <c r="AH38" s="66"/>
      <c r="AI38" s="66"/>
      <c r="AJ38" s="67"/>
      <c r="AK38" s="65"/>
      <c r="AL38" s="66"/>
      <c r="AM38" s="66"/>
      <c r="AN38" s="67"/>
      <c r="AO38" s="65"/>
      <c r="AP38" s="66"/>
      <c r="AQ38" s="66"/>
      <c r="AR38" s="67"/>
      <c r="AS38" s="65"/>
      <c r="AT38" s="66"/>
      <c r="AU38" s="66"/>
      <c r="AV38" s="67"/>
      <c r="AW38" s="65"/>
      <c r="AX38" s="67"/>
      <c r="AY38" s="66"/>
      <c r="AZ38" s="66"/>
    </row>
    <row r="39" spans="1:52" ht="15.75" customHeight="1">
      <c r="A39" s="351"/>
      <c r="B39" s="351"/>
      <c r="C39" s="351"/>
      <c r="D39" s="351"/>
      <c r="E39" s="351"/>
      <c r="F39" s="40" t="s">
        <v>107</v>
      </c>
      <c r="G39" s="97">
        <v>0.2</v>
      </c>
      <c r="H39" s="94">
        <f>E26*G39</f>
        <v>175850.08000000002</v>
      </c>
      <c r="I39" s="70" t="s">
        <v>75</v>
      </c>
      <c r="J39" s="40" t="s">
        <v>108</v>
      </c>
      <c r="K39" s="40" t="s">
        <v>109</v>
      </c>
      <c r="L39" s="53" t="s">
        <v>110</v>
      </c>
      <c r="M39" s="43">
        <v>2</v>
      </c>
      <c r="N39" s="43">
        <v>2</v>
      </c>
      <c r="O39" s="43">
        <f>M39*N39</f>
        <v>4</v>
      </c>
      <c r="P39" s="51">
        <v>1</v>
      </c>
      <c r="Q39" s="52">
        <f>H39*P39</f>
        <v>175850.08000000002</v>
      </c>
      <c r="R39" s="53" t="s">
        <v>111</v>
      </c>
      <c r="S39" s="50"/>
      <c r="T39" s="50"/>
      <c r="U39" s="50"/>
      <c r="V39" s="54">
        <v>4.8499999999999996</v>
      </c>
      <c r="W39" s="96"/>
      <c r="X39" s="50"/>
      <c r="Y39" s="50"/>
      <c r="Z39" s="43">
        <f>Q39/V39*1000</f>
        <v>36257748.453608252</v>
      </c>
      <c r="AA39" s="405">
        <f>Q39/2</f>
        <v>87925.040000000008</v>
      </c>
      <c r="AB39" s="362"/>
      <c r="AC39" s="405">
        <v>87925.040000000008</v>
      </c>
      <c r="AD39" s="362"/>
      <c r="AE39" s="362"/>
      <c r="AF39" s="362"/>
      <c r="AG39" s="363"/>
      <c r="AH39" s="364"/>
      <c r="AI39" s="364"/>
      <c r="AJ39" s="392"/>
      <c r="AK39" s="363"/>
      <c r="AL39" s="364"/>
      <c r="AM39" s="364"/>
      <c r="AN39" s="392"/>
      <c r="AO39" s="363"/>
      <c r="AP39" s="364"/>
      <c r="AQ39" s="364"/>
      <c r="AR39" s="392"/>
      <c r="AS39" s="363"/>
      <c r="AT39" s="364"/>
      <c r="AU39" s="364"/>
      <c r="AV39" s="392"/>
      <c r="AW39" s="363"/>
      <c r="AX39" s="392"/>
      <c r="AY39" s="391">
        <f>AA39+AC39</f>
        <v>175850.08000000002</v>
      </c>
      <c r="AZ39" s="362"/>
    </row>
    <row r="40" spans="1:52" ht="15.75" customHeight="1">
      <c r="A40" s="101" t="s">
        <v>112</v>
      </c>
      <c r="B40" s="101"/>
      <c r="C40" s="101"/>
      <c r="D40" s="101"/>
      <c r="E40" s="102">
        <f>SUM(E13:E39)</f>
        <v>2198126</v>
      </c>
      <c r="F40" s="101"/>
      <c r="G40" s="101"/>
      <c r="H40" s="101"/>
      <c r="I40" s="101"/>
      <c r="J40" s="101"/>
      <c r="K40" s="101"/>
      <c r="L40" s="103"/>
      <c r="M40" s="103"/>
      <c r="N40" s="103"/>
      <c r="O40" s="104">
        <f>O13+O14+O15+O16+O18+O19+O21+O23+O24+O27+O28+O29+O30+O32+O35+O36+O37+O39</f>
        <v>74</v>
      </c>
      <c r="P40" s="103"/>
      <c r="Q40" s="105">
        <f>SUM(Q13:Q39)+Q11</f>
        <v>2198126</v>
      </c>
      <c r="R40" s="103"/>
      <c r="S40" s="106"/>
      <c r="T40" s="106"/>
      <c r="U40" s="106"/>
      <c r="V40" s="106"/>
      <c r="W40" s="107">
        <f>W13+W15+W17+W18+W27+W29+W31</f>
        <v>2405629.0944000003</v>
      </c>
      <c r="X40" s="108"/>
      <c r="Y40" s="107">
        <f>Y32+Y33</f>
        <v>302852.91555555561</v>
      </c>
      <c r="Z40" s="107">
        <f>Z13+Z15+Z17+Z18+Z21+Z22+Z23+Z24+Z27+Z29+Z31+Z35+Z39+Z26+Z11</f>
        <v>343413784.31332195</v>
      </c>
      <c r="AA40" s="393">
        <f>AA39+AA26+AA11</f>
        <v>300703.63679999998</v>
      </c>
      <c r="AB40" s="362"/>
      <c r="AC40" s="393">
        <f>AC13+AC21+AC22+AC24+AC27+AC32+AC33+AC39</f>
        <v>624968.24513333337</v>
      </c>
      <c r="AD40" s="362"/>
      <c r="AE40" s="362"/>
      <c r="AF40" s="362"/>
      <c r="AG40" s="393">
        <f>AG15+AG17+AG22+AG24+AG29+AG31+AG32+AG33</f>
        <v>544176.83353333338</v>
      </c>
      <c r="AH40" s="362"/>
      <c r="AI40" s="362"/>
      <c r="AJ40" s="362"/>
      <c r="AK40" s="393">
        <f>AK15+AK17+AK18+AK23+AK29+AK31+AK32+AK35+AK33</f>
        <v>378992.08453333337</v>
      </c>
      <c r="AL40" s="362"/>
      <c r="AM40" s="362"/>
      <c r="AN40" s="362"/>
      <c r="AO40" s="393">
        <f>AO15+AO17+AO23+AO29+AO31+AO32</f>
        <v>230035.35920000001</v>
      </c>
      <c r="AP40" s="362"/>
      <c r="AQ40" s="362"/>
      <c r="AR40" s="362"/>
      <c r="AS40" s="393">
        <f>AS15+AS22+AS29+AS32+AS17+AS23+AS31</f>
        <v>63306.0288</v>
      </c>
      <c r="AT40" s="362"/>
      <c r="AU40" s="362"/>
      <c r="AV40" s="362"/>
      <c r="AW40" s="393">
        <f>AW35</f>
        <v>6378</v>
      </c>
      <c r="AX40" s="362"/>
      <c r="AY40" s="393">
        <f>AY11+AY13+AY15+AY17+AY18+AY21+AY22+AY23+AY24+AY26+AY27+AY29+AY31+AY32+AY33+AY35+AY39</f>
        <v>2198503.9679999999</v>
      </c>
      <c r="AZ40" s="362"/>
    </row>
    <row r="41" spans="1:52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109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7"/>
      <c r="T43" s="117"/>
      <c r="U43" s="117"/>
      <c r="V43" s="117"/>
      <c r="W43" s="116"/>
      <c r="X43" s="116"/>
      <c r="Y43" s="116"/>
      <c r="Z43" s="116"/>
      <c r="AA43" s="116"/>
      <c r="AB43" s="116"/>
      <c r="AC43" s="116"/>
      <c r="AD43" s="3"/>
      <c r="AE43" s="3"/>
      <c r="AF43" s="3"/>
      <c r="AG43" s="3"/>
      <c r="AH43" s="415"/>
      <c r="AI43" s="354"/>
      <c r="AJ43" s="354"/>
      <c r="AK43" s="354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16"/>
      <c r="R44" s="116"/>
      <c r="S44" s="117"/>
      <c r="T44" s="117"/>
      <c r="U44" s="117"/>
      <c r="V44" s="117"/>
      <c r="W44" s="116"/>
      <c r="X44" s="116"/>
      <c r="Y44" s="116"/>
      <c r="Z44" s="116"/>
      <c r="AA44" s="116"/>
      <c r="AB44" s="116"/>
      <c r="AC44" s="116"/>
      <c r="AD44" s="117"/>
      <c r="AE44" s="3"/>
      <c r="AF44" s="3"/>
      <c r="AG44" s="3"/>
      <c r="AH44" s="354"/>
      <c r="AI44" s="354"/>
      <c r="AJ44" s="354"/>
      <c r="AK44" s="354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t="15.75" customHeight="1">
      <c r="A45" s="3"/>
      <c r="B45" s="3"/>
      <c r="C45" s="3"/>
      <c r="D45" s="3"/>
      <c r="E45" s="3"/>
      <c r="F45" s="110"/>
      <c r="G45" s="3"/>
      <c r="H45" s="3"/>
      <c r="I45" s="3"/>
      <c r="J45" s="3"/>
      <c r="K45" s="3"/>
      <c r="L45" s="3"/>
      <c r="M45" s="3"/>
      <c r="N45" s="3"/>
      <c r="O45" s="3"/>
      <c r="P45" s="3"/>
      <c r="Q45" s="116"/>
      <c r="R45" s="116"/>
      <c r="S45" s="117"/>
      <c r="T45" s="117"/>
      <c r="U45" s="117"/>
      <c r="V45" s="117"/>
      <c r="W45" s="116"/>
      <c r="X45" s="116"/>
      <c r="Y45" s="116"/>
      <c r="Z45" s="116"/>
      <c r="AA45" s="417" t="s">
        <v>113</v>
      </c>
      <c r="AB45" s="354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t="15.75" customHeight="1">
      <c r="A46" s="3"/>
      <c r="B46" s="3"/>
      <c r="C46" s="3"/>
      <c r="D46" s="1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16"/>
      <c r="R46" s="116"/>
      <c r="S46" s="117"/>
      <c r="T46" s="117"/>
      <c r="U46" s="117"/>
      <c r="V46" s="117"/>
      <c r="W46" s="116"/>
      <c r="X46" s="116"/>
      <c r="Y46" s="116"/>
      <c r="Z46" s="116" t="s">
        <v>114</v>
      </c>
      <c r="AA46" s="416">
        <f>AA40</f>
        <v>300703.63679999998</v>
      </c>
      <c r="AB46" s="354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ht="15.75" customHeight="1">
      <c r="A47" s="3"/>
      <c r="B47" s="3"/>
      <c r="C47" s="3"/>
      <c r="D47" s="112"/>
      <c r="E47" s="3"/>
      <c r="F47" s="3"/>
      <c r="G47" s="3"/>
      <c r="H47" s="3"/>
      <c r="I47" s="3"/>
      <c r="J47" s="3"/>
      <c r="K47" s="3"/>
      <c r="L47" s="3"/>
      <c r="M47" s="3" t="s">
        <v>9</v>
      </c>
      <c r="N47" s="3"/>
      <c r="O47" s="3"/>
      <c r="P47" s="3"/>
      <c r="Q47" s="118">
        <f>Q13+Q14+Q21+Q27+Q28+Q39+Q24</f>
        <v>698564.44279999996</v>
      </c>
      <c r="R47" s="116" t="s">
        <v>115</v>
      </c>
      <c r="S47" s="119">
        <f>Q47+Q48</f>
        <v>1607269.7311999998</v>
      </c>
      <c r="T47" s="117"/>
      <c r="U47" s="117"/>
      <c r="V47" s="117"/>
      <c r="W47" s="116"/>
      <c r="X47" s="116"/>
      <c r="Y47" s="116"/>
      <c r="Z47" s="120" t="s">
        <v>130</v>
      </c>
      <c r="AA47" s="416">
        <f>AC40</f>
        <v>624968.24513333337</v>
      </c>
      <c r="AB47" s="354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t="15.75" customHeight="1">
      <c r="A48" s="3"/>
      <c r="B48" s="111"/>
      <c r="C48" s="111"/>
      <c r="D48" s="112"/>
      <c r="E48" s="3"/>
      <c r="F48" s="3"/>
      <c r="G48" s="3"/>
      <c r="H48" s="3"/>
      <c r="I48" s="3"/>
      <c r="J48" s="3"/>
      <c r="K48" s="3"/>
      <c r="L48" s="3"/>
      <c r="M48" s="3" t="s">
        <v>116</v>
      </c>
      <c r="N48" s="3"/>
      <c r="O48" s="3"/>
      <c r="P48" s="3"/>
      <c r="Q48" s="118">
        <f>Q15+Q16+Q17+Q22+Q23+Q2+Q29+Q30+Q31</f>
        <v>908705.28839999996</v>
      </c>
      <c r="R48" s="116" t="s">
        <v>117</v>
      </c>
      <c r="S48" s="117"/>
      <c r="T48" s="117"/>
      <c r="U48" s="117"/>
      <c r="V48" s="117"/>
      <c r="W48" s="116"/>
      <c r="X48" s="116"/>
      <c r="Y48" s="116"/>
      <c r="Z48" s="116" t="s">
        <v>118</v>
      </c>
      <c r="AA48" s="416">
        <f>AG40</f>
        <v>544176.83353333338</v>
      </c>
      <c r="AB48" s="354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t="15.75" customHeight="1">
      <c r="A49" s="3"/>
      <c r="B49" s="115"/>
      <c r="C49" s="115"/>
      <c r="D49" s="109"/>
      <c r="E49" s="3"/>
      <c r="F49" s="3"/>
      <c r="G49" s="112"/>
      <c r="H49" s="3"/>
      <c r="I49" s="3"/>
      <c r="J49" s="3"/>
      <c r="K49" s="3"/>
      <c r="L49" s="3"/>
      <c r="M49" s="3" t="s">
        <v>119</v>
      </c>
      <c r="N49" s="3"/>
      <c r="O49" s="3"/>
      <c r="P49" s="3"/>
      <c r="Q49" s="118">
        <f>Q18+Q19</f>
        <v>79132.535999999993</v>
      </c>
      <c r="R49" s="116"/>
      <c r="S49" s="119">
        <f>Q48</f>
        <v>908705.28839999996</v>
      </c>
      <c r="T49" s="117"/>
      <c r="U49" s="117"/>
      <c r="V49" s="117"/>
      <c r="W49" s="116"/>
      <c r="X49" s="116"/>
      <c r="Y49" s="116"/>
      <c r="Z49" s="116" t="s">
        <v>120</v>
      </c>
      <c r="AA49" s="416">
        <f>AK40</f>
        <v>378992.08453333337</v>
      </c>
      <c r="AB49" s="354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t="15.75" customHeight="1">
      <c r="A50" s="3"/>
      <c r="B50" s="115"/>
      <c r="C50" s="115"/>
      <c r="D50" s="109"/>
      <c r="E50" s="3"/>
      <c r="F50" s="3"/>
      <c r="G50" s="109"/>
      <c r="H50" s="3"/>
      <c r="I50" s="3"/>
      <c r="J50" s="3"/>
      <c r="K50" s="3"/>
      <c r="L50" s="3"/>
      <c r="M50" s="3" t="s">
        <v>121</v>
      </c>
      <c r="N50" s="3"/>
      <c r="O50" s="3"/>
      <c r="P50" s="3"/>
      <c r="Q50" s="118">
        <f>Q35+Q36+Q37</f>
        <v>52755.023999999998</v>
      </c>
      <c r="R50" s="116" t="s">
        <v>122</v>
      </c>
      <c r="S50" s="117"/>
      <c r="T50" s="117"/>
      <c r="U50" s="117"/>
      <c r="V50" s="117"/>
      <c r="W50" s="116"/>
      <c r="X50" s="116"/>
      <c r="Y50" s="116"/>
      <c r="Z50" s="116" t="s">
        <v>123</v>
      </c>
      <c r="AA50" s="416">
        <f>AO40</f>
        <v>230035.35920000001</v>
      </c>
      <c r="AB50" s="354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124</v>
      </c>
      <c r="N51" s="3"/>
      <c r="O51" s="3"/>
      <c r="P51" s="3"/>
      <c r="Q51" s="118">
        <f>Q32</f>
        <v>175850.08000000002</v>
      </c>
      <c r="R51" s="116" t="s">
        <v>125</v>
      </c>
      <c r="S51" s="117"/>
      <c r="T51" s="117"/>
      <c r="U51" s="117"/>
      <c r="V51" s="117"/>
      <c r="W51" s="116"/>
      <c r="X51" s="116"/>
      <c r="Y51" s="116"/>
      <c r="Z51" s="116" t="s">
        <v>126</v>
      </c>
      <c r="AA51" s="416">
        <f>AS40</f>
        <v>63306.0288</v>
      </c>
      <c r="AB51" s="354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3"/>
      <c r="Q52" s="121">
        <f>Q47+Q48+Q49+Q50+Q51</f>
        <v>1915007.3711999999</v>
      </c>
      <c r="R52" s="116"/>
      <c r="S52" s="117"/>
      <c r="T52" s="117"/>
      <c r="U52" s="117"/>
      <c r="V52" s="117"/>
      <c r="W52" s="116"/>
      <c r="X52" s="116"/>
      <c r="Y52" s="116"/>
      <c r="Z52" s="116" t="s">
        <v>127</v>
      </c>
      <c r="AA52" s="416">
        <f>AW40</f>
        <v>6378</v>
      </c>
      <c r="AB52" s="354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ht="15.75" customHeight="1">
      <c r="A53" s="3"/>
      <c r="B53" s="111"/>
      <c r="C53" s="111"/>
      <c r="D53" s="3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16"/>
      <c r="R53" s="116"/>
      <c r="S53" s="117"/>
      <c r="T53" s="117"/>
      <c r="U53" s="117"/>
      <c r="V53" s="117"/>
      <c r="W53" s="116"/>
      <c r="X53" s="116"/>
      <c r="Y53" s="116"/>
      <c r="Z53" s="116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t="15.75" customHeight="1">
      <c r="A54" s="3"/>
      <c r="B54" s="111"/>
      <c r="C54" s="11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16"/>
      <c r="R54" s="117"/>
      <c r="S54" s="117"/>
      <c r="T54" s="117"/>
      <c r="U54" s="117"/>
      <c r="V54" s="117"/>
      <c r="W54" s="116"/>
      <c r="X54" s="116"/>
      <c r="Y54" s="116"/>
      <c r="Z54" s="116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 t="s">
        <v>131</v>
      </c>
      <c r="AC60" s="117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 ht="15.75" customHeight="1"/>
    <row r="262" spans="1:52" ht="15.75" customHeight="1"/>
    <row r="263" spans="1:52" ht="15.75" customHeight="1"/>
    <row r="264" spans="1:52" ht="15.75" customHeight="1"/>
    <row r="265" spans="1:52" ht="15.75" customHeight="1"/>
    <row r="266" spans="1:52" ht="15.75" customHeight="1"/>
    <row r="267" spans="1:52" ht="15.75" customHeight="1"/>
    <row r="268" spans="1:52" ht="15.75" customHeight="1"/>
    <row r="269" spans="1:52" ht="15.75" customHeight="1"/>
    <row r="270" spans="1:52" ht="15.75" customHeight="1"/>
    <row r="271" spans="1:52" ht="15.75" customHeight="1"/>
    <row r="272" spans="1:5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AY23:AZ23"/>
    <mergeCell ref="AY24:AZ24"/>
    <mergeCell ref="AY27:AZ28"/>
    <mergeCell ref="AY29:AZ30"/>
    <mergeCell ref="AY31:AZ31"/>
    <mergeCell ref="AY32:AZ32"/>
    <mergeCell ref="AS18:AV18"/>
    <mergeCell ref="AW18:AX18"/>
    <mergeCell ref="AY18:AZ19"/>
    <mergeCell ref="AS19:AV19"/>
    <mergeCell ref="AW19:AX19"/>
    <mergeCell ref="AY21:AZ21"/>
    <mergeCell ref="AY22:AZ22"/>
    <mergeCell ref="AS21:AV21"/>
    <mergeCell ref="AW21:AX21"/>
    <mergeCell ref="AS22:AV22"/>
    <mergeCell ref="AW22:AX22"/>
    <mergeCell ref="V18:V19"/>
    <mergeCell ref="W18:W19"/>
    <mergeCell ref="Z18:Z19"/>
    <mergeCell ref="AS13:AV13"/>
    <mergeCell ref="AS14:AV14"/>
    <mergeCell ref="AO15:AR16"/>
    <mergeCell ref="AS15:AV16"/>
    <mergeCell ref="AS17:AV17"/>
    <mergeCell ref="AW17:AX17"/>
    <mergeCell ref="AO18:AR19"/>
    <mergeCell ref="AA18:AB18"/>
    <mergeCell ref="P18:P19"/>
    <mergeCell ref="AA19:AB19"/>
    <mergeCell ref="AC19:AF19"/>
    <mergeCell ref="AK9:AN9"/>
    <mergeCell ref="AO9:AR9"/>
    <mergeCell ref="F11:F19"/>
    <mergeCell ref="H11:H19"/>
    <mergeCell ref="I11:I14"/>
    <mergeCell ref="J11:J12"/>
    <mergeCell ref="AO17:AR17"/>
    <mergeCell ref="AG19:AJ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AY15:AZ16"/>
    <mergeCell ref="AW16:AX16"/>
    <mergeCell ref="AY17:AZ17"/>
    <mergeCell ref="AS9:AV9"/>
    <mergeCell ref="AW9:AX9"/>
    <mergeCell ref="AY9:AZ9"/>
    <mergeCell ref="AY10:AZ10"/>
    <mergeCell ref="AY11:AZ12"/>
    <mergeCell ref="AW13:AX13"/>
    <mergeCell ref="AY13:AZ14"/>
    <mergeCell ref="AG13:AJ13"/>
    <mergeCell ref="AG14:AJ14"/>
    <mergeCell ref="AK13:AN13"/>
    <mergeCell ref="AO13:AR13"/>
    <mergeCell ref="AK14:AN14"/>
    <mergeCell ref="AO14:AR14"/>
    <mergeCell ref="P15:P16"/>
    <mergeCell ref="Q15:Q16"/>
    <mergeCell ref="AW14:AX14"/>
    <mergeCell ref="AW15:AX15"/>
    <mergeCell ref="AA47:AB47"/>
    <mergeCell ref="AA48:AB48"/>
    <mergeCell ref="AA49:AB49"/>
    <mergeCell ref="AA50:AB50"/>
    <mergeCell ref="AA51:AB51"/>
    <mergeCell ref="AA52:AB52"/>
    <mergeCell ref="AA26:AB26"/>
    <mergeCell ref="AA32:AB32"/>
    <mergeCell ref="AA35:AB35"/>
    <mergeCell ref="AA36:AB36"/>
    <mergeCell ref="AA37:AB37"/>
    <mergeCell ref="AA45:AB45"/>
    <mergeCell ref="AA46:AB46"/>
    <mergeCell ref="AA27:AB28"/>
    <mergeCell ref="AH43:AK44"/>
    <mergeCell ref="AC32:AF32"/>
    <mergeCell ref="AG32:AJ32"/>
    <mergeCell ref="AC33:AF33"/>
    <mergeCell ref="AG33:AJ33"/>
    <mergeCell ref="AC35:AF35"/>
    <mergeCell ref="AG35:AJ35"/>
    <mergeCell ref="AK35:AN37"/>
    <mergeCell ref="AC40:AF40"/>
    <mergeCell ref="AG40:AJ40"/>
    <mergeCell ref="AK40:AN40"/>
    <mergeCell ref="AA24:AB24"/>
    <mergeCell ref="AC24:AF24"/>
    <mergeCell ref="AG24:AJ24"/>
    <mergeCell ref="AC27:AF28"/>
    <mergeCell ref="AG29:AJ30"/>
    <mergeCell ref="AG31:AJ31"/>
    <mergeCell ref="AO35:AR35"/>
    <mergeCell ref="AS35:AV37"/>
    <mergeCell ref="AW35:AX37"/>
    <mergeCell ref="AO36:AR36"/>
    <mergeCell ref="AO37:AR37"/>
    <mergeCell ref="AC36:AF36"/>
    <mergeCell ref="AG36:AJ36"/>
    <mergeCell ref="AA39:AB39"/>
    <mergeCell ref="AA40:AB40"/>
    <mergeCell ref="AW39:AX39"/>
    <mergeCell ref="AY39:AZ39"/>
    <mergeCell ref="AC37:AF37"/>
    <mergeCell ref="AG37:AJ37"/>
    <mergeCell ref="AC39:AF39"/>
    <mergeCell ref="AG39:AJ39"/>
    <mergeCell ref="AK39:AN39"/>
    <mergeCell ref="AO39:AR39"/>
    <mergeCell ref="AS39:AV39"/>
    <mergeCell ref="AY35:AZ37"/>
    <mergeCell ref="AO40:AR40"/>
    <mergeCell ref="AS40:AV40"/>
    <mergeCell ref="AW40:AX40"/>
    <mergeCell ref="AY40:AZ40"/>
    <mergeCell ref="J27:J31"/>
    <mergeCell ref="I29:I31"/>
    <mergeCell ref="R29:R30"/>
    <mergeCell ref="S29:S30"/>
    <mergeCell ref="V29:V30"/>
    <mergeCell ref="W29:W30"/>
    <mergeCell ref="Z29:Z30"/>
    <mergeCell ref="H35:H37"/>
    <mergeCell ref="I35:I37"/>
    <mergeCell ref="Q35:Q37"/>
    <mergeCell ref="R35:R37"/>
    <mergeCell ref="V35:V37"/>
    <mergeCell ref="Z35:Z37"/>
    <mergeCell ref="Q27:Q28"/>
    <mergeCell ref="Q29:Q30"/>
    <mergeCell ref="P27:P28"/>
    <mergeCell ref="R27:R28"/>
    <mergeCell ref="S27:S28"/>
    <mergeCell ref="V27:V28"/>
    <mergeCell ref="W27:W28"/>
    <mergeCell ref="Z27:Z28"/>
    <mergeCell ref="AK33:AN33"/>
    <mergeCell ref="E13:E24"/>
    <mergeCell ref="G35:G37"/>
    <mergeCell ref="P29:P30"/>
    <mergeCell ref="P35:P37"/>
    <mergeCell ref="L11:L12"/>
    <mergeCell ref="P11:P12"/>
    <mergeCell ref="A13:A39"/>
    <mergeCell ref="B13:B39"/>
    <mergeCell ref="C13:C24"/>
    <mergeCell ref="D13:D24"/>
    <mergeCell ref="J35:J37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AW23:AX23"/>
    <mergeCell ref="AO32:AR32"/>
    <mergeCell ref="AS32:AV32"/>
    <mergeCell ref="AK29:AN30"/>
    <mergeCell ref="AO29:AR30"/>
    <mergeCell ref="AS29:AV30"/>
    <mergeCell ref="AK31:AN31"/>
    <mergeCell ref="AO31:AR31"/>
    <mergeCell ref="AS31:AV31"/>
    <mergeCell ref="AK32:AN32"/>
    <mergeCell ref="AG15:AJ16"/>
    <mergeCell ref="AK15:AN16"/>
    <mergeCell ref="AK18:AN19"/>
    <mergeCell ref="AA22:AB22"/>
    <mergeCell ref="AC23:AF23"/>
    <mergeCell ref="AG23:AJ23"/>
    <mergeCell ref="AK23:AN23"/>
    <mergeCell ref="AO23:AR23"/>
    <mergeCell ref="AS23:AV23"/>
    <mergeCell ref="AC18:AF18"/>
    <mergeCell ref="AG18:AJ18"/>
    <mergeCell ref="AA23:AB23"/>
    <mergeCell ref="AC21:AF21"/>
    <mergeCell ref="AG21:AJ21"/>
    <mergeCell ref="AK21:AN21"/>
    <mergeCell ref="AO21:AR21"/>
    <mergeCell ref="AA21:AB21"/>
    <mergeCell ref="AC22:AF22"/>
    <mergeCell ref="AG22:AJ22"/>
    <mergeCell ref="AK22:AN22"/>
    <mergeCell ref="AO22:AR22"/>
    <mergeCell ref="P13:P14"/>
    <mergeCell ref="Q13:Q14"/>
    <mergeCell ref="R15:R16"/>
    <mergeCell ref="S15:S16"/>
    <mergeCell ref="V15:V16"/>
    <mergeCell ref="W15:W16"/>
    <mergeCell ref="Z15:Z16"/>
    <mergeCell ref="AA11:AB12"/>
    <mergeCell ref="AC11:AF11"/>
    <mergeCell ref="AC12:AF12"/>
    <mergeCell ref="AC15:AF15"/>
    <mergeCell ref="R13:R14"/>
    <mergeCell ref="S13:S14"/>
    <mergeCell ref="V13:V14"/>
    <mergeCell ref="W13:W14"/>
    <mergeCell ref="Z13:Z14"/>
    <mergeCell ref="AA13:AB14"/>
    <mergeCell ref="AC13:AF14"/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K11:K12"/>
  </mergeCells>
  <pageMargins left="0.511811024" right="0.511811024" top="0.78740157499999996" bottom="0.78740157499999996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S1000"/>
  <sheetViews>
    <sheetView workbookViewId="0"/>
  </sheetViews>
  <sheetFormatPr baseColWidth="10" defaultColWidth="14.42578125" defaultRowHeight="15" customHeight="1"/>
  <cols>
    <col min="2" max="2" width="34.7109375" customWidth="1"/>
    <col min="3" max="3" width="24.42578125" customWidth="1"/>
    <col min="15" max="15" width="21.85546875" customWidth="1"/>
    <col min="16" max="16" width="27.85546875" customWidth="1"/>
    <col min="17" max="17" width="32.140625" customWidth="1"/>
    <col min="18" max="18" width="36.7109375" customWidth="1"/>
    <col min="19" max="19" width="50.140625" customWidth="1"/>
  </cols>
  <sheetData>
    <row r="1" spans="2:19" ht="15.75" customHeight="1">
      <c r="B1" s="226" t="s">
        <v>48</v>
      </c>
      <c r="C1" s="226" t="s">
        <v>49</v>
      </c>
      <c r="D1" s="226" t="s">
        <v>50</v>
      </c>
      <c r="E1" s="227" t="s">
        <v>47</v>
      </c>
      <c r="F1" s="228" t="s">
        <v>48</v>
      </c>
      <c r="G1" s="226" t="s">
        <v>49</v>
      </c>
      <c r="H1" s="226" t="s">
        <v>50</v>
      </c>
      <c r="I1" s="227" t="s">
        <v>47</v>
      </c>
      <c r="J1" s="228" t="s">
        <v>48</v>
      </c>
      <c r="K1" s="226" t="s">
        <v>49</v>
      </c>
      <c r="L1" s="226" t="s">
        <v>50</v>
      </c>
      <c r="M1" s="227" t="s">
        <v>47</v>
      </c>
      <c r="O1" s="113"/>
      <c r="P1" s="113"/>
      <c r="Q1" s="113"/>
      <c r="R1" s="113"/>
      <c r="S1" s="113"/>
    </row>
    <row r="2" spans="2:19" ht="15.75" customHeight="1">
      <c r="B2" s="292">
        <v>31836.666666666668</v>
      </c>
      <c r="C2" s="292">
        <v>31836.666666666668</v>
      </c>
      <c r="D2" s="293"/>
      <c r="E2" s="293"/>
      <c r="F2" s="294"/>
      <c r="G2" s="293"/>
      <c r="H2" s="293"/>
      <c r="I2" s="293"/>
      <c r="J2" s="293"/>
      <c r="K2" s="293"/>
      <c r="L2" s="293"/>
      <c r="M2" s="293"/>
    </row>
    <row r="3" spans="2:19" ht="15.75" customHeight="1">
      <c r="B3" s="293"/>
      <c r="C3" s="293"/>
      <c r="D3" s="295"/>
      <c r="E3" s="296">
        <v>31836.666666666668</v>
      </c>
      <c r="F3" s="296">
        <v>31836.666666666668</v>
      </c>
      <c r="G3" s="297">
        <v>31836.666666666668</v>
      </c>
      <c r="H3" s="293"/>
      <c r="I3" s="293"/>
      <c r="J3" s="294"/>
      <c r="K3" s="293"/>
      <c r="L3" s="293"/>
      <c r="M3" s="293"/>
    </row>
    <row r="4" spans="2:19" ht="15.75" customHeight="1">
      <c r="B4" s="543">
        <v>43338.087500000001</v>
      </c>
      <c r="C4" s="543">
        <v>32831.5625</v>
      </c>
      <c r="D4" s="543">
        <v>32831.5625</v>
      </c>
      <c r="E4" s="293"/>
      <c r="F4" s="293"/>
      <c r="G4" s="293"/>
      <c r="H4" s="293"/>
      <c r="I4" s="293"/>
      <c r="J4" s="293"/>
      <c r="K4" s="293"/>
      <c r="L4" s="293"/>
      <c r="M4" s="293"/>
    </row>
    <row r="5" spans="2:19" ht="15.75" customHeight="1">
      <c r="B5" s="509"/>
      <c r="C5" s="509"/>
      <c r="D5" s="509"/>
      <c r="E5" s="293"/>
      <c r="F5" s="293"/>
      <c r="G5" s="293"/>
      <c r="H5" s="293"/>
      <c r="I5" s="293"/>
      <c r="J5" s="294"/>
      <c r="K5" s="294"/>
      <c r="L5" s="293"/>
      <c r="M5" s="293"/>
      <c r="O5" s="293"/>
      <c r="P5" s="293"/>
      <c r="Q5" s="293"/>
      <c r="R5" s="293"/>
      <c r="S5" s="293"/>
    </row>
    <row r="6" spans="2:19" ht="15.75" customHeight="1">
      <c r="B6" s="298"/>
      <c r="C6" s="298"/>
      <c r="D6" s="298"/>
      <c r="E6" s="298"/>
      <c r="F6" s="544"/>
      <c r="G6" s="544"/>
      <c r="H6" s="544"/>
      <c r="I6" s="293"/>
      <c r="J6" s="293"/>
      <c r="K6" s="293"/>
      <c r="L6" s="293"/>
      <c r="M6" s="293"/>
      <c r="O6" s="293"/>
      <c r="P6" s="293"/>
      <c r="Q6" s="293"/>
      <c r="R6" s="293"/>
      <c r="S6" s="293"/>
    </row>
    <row r="7" spans="2:19" ht="15.75" customHeight="1">
      <c r="B7" s="298"/>
      <c r="C7" s="299"/>
      <c r="D7" s="298"/>
      <c r="E7" s="298"/>
      <c r="F7" s="509"/>
      <c r="G7" s="509"/>
      <c r="H7" s="509"/>
      <c r="I7" s="293"/>
      <c r="J7" s="293"/>
      <c r="K7" s="293"/>
      <c r="L7" s="293"/>
      <c r="M7" s="293"/>
      <c r="O7" s="293"/>
      <c r="P7" s="293" t="s">
        <v>18</v>
      </c>
      <c r="Q7" s="293" t="s">
        <v>19</v>
      </c>
      <c r="R7" s="293" t="s">
        <v>20</v>
      </c>
      <c r="S7" s="293" t="s">
        <v>21</v>
      </c>
    </row>
    <row r="8" spans="2:19" ht="15.75" customHeight="1">
      <c r="B8" s="293"/>
      <c r="C8" s="293"/>
      <c r="D8" s="293"/>
      <c r="E8" s="293"/>
      <c r="F8" s="545">
        <v>35995.331250000003</v>
      </c>
      <c r="G8" s="354"/>
      <c r="H8" s="300"/>
      <c r="I8" s="300"/>
      <c r="J8" s="300"/>
      <c r="K8" s="300"/>
      <c r="L8" s="300"/>
      <c r="M8" s="300"/>
      <c r="O8" s="293" t="s">
        <v>244</v>
      </c>
      <c r="P8" s="301">
        <f>B2</f>
        <v>31836.666666666668</v>
      </c>
      <c r="Q8" s="301">
        <f>SUM(D3:F3)</f>
        <v>63673.333333333336</v>
      </c>
      <c r="R8" s="301"/>
      <c r="S8" s="301"/>
    </row>
    <row r="9" spans="2:19" ht="15.75" customHeight="1">
      <c r="B9" s="293"/>
      <c r="C9" s="293"/>
      <c r="D9" s="293"/>
      <c r="E9" s="293"/>
      <c r="F9" s="545">
        <v>35995.331250000003</v>
      </c>
      <c r="G9" s="354"/>
      <c r="H9" s="300"/>
      <c r="I9" s="300"/>
      <c r="J9" s="300"/>
      <c r="K9" s="300"/>
      <c r="L9" s="300"/>
      <c r="M9" s="300"/>
      <c r="O9" s="293" t="s">
        <v>59</v>
      </c>
      <c r="P9" s="301">
        <f>B4</f>
        <v>43338.087500000001</v>
      </c>
      <c r="Q9" s="301">
        <f>SUM(C4:E18)</f>
        <v>302050.375</v>
      </c>
      <c r="R9" s="301">
        <f>SUM(F8:I19)</f>
        <v>403231.32500000001</v>
      </c>
      <c r="S9" s="301">
        <f>SUM(J12:K19)</f>
        <v>81980.081250000003</v>
      </c>
    </row>
    <row r="10" spans="2:19" ht="15.75" customHeight="1">
      <c r="B10" s="293"/>
      <c r="C10" s="293"/>
      <c r="D10" s="293"/>
      <c r="E10" s="293"/>
      <c r="F10" s="300"/>
      <c r="G10" s="300"/>
      <c r="H10" s="545">
        <v>35995.331250000003</v>
      </c>
      <c r="I10" s="354"/>
      <c r="J10" s="300"/>
      <c r="K10" s="300"/>
      <c r="L10" s="300"/>
      <c r="M10" s="300"/>
      <c r="O10" s="293" t="s">
        <v>83</v>
      </c>
      <c r="P10" s="293"/>
      <c r="Q10" s="301">
        <f>B21+F23+B27+B29+B31+B33</f>
        <v>496459.20000000007</v>
      </c>
      <c r="R10" s="301">
        <f>F23+F28+F33</f>
        <v>144096</v>
      </c>
      <c r="S10" s="301">
        <f>J25+J28+30000</f>
        <v>168420</v>
      </c>
    </row>
    <row r="11" spans="2:19" ht="15.75" customHeight="1">
      <c r="B11" s="293"/>
      <c r="C11" s="293"/>
      <c r="D11" s="293"/>
      <c r="E11" s="293"/>
      <c r="F11" s="300"/>
      <c r="G11" s="300"/>
      <c r="H11" s="545">
        <v>35995.331250000003</v>
      </c>
      <c r="I11" s="354"/>
      <c r="J11" s="300"/>
      <c r="K11" s="300"/>
      <c r="L11" s="300"/>
      <c r="M11" s="300"/>
      <c r="O11" s="293"/>
      <c r="P11" s="301">
        <f t="shared" ref="P11:S11" si="0">P8++P9+P10</f>
        <v>75174.754166666666</v>
      </c>
      <c r="Q11" s="301">
        <f t="shared" si="0"/>
        <v>862182.90833333344</v>
      </c>
      <c r="R11" s="301">
        <f t="shared" si="0"/>
        <v>547327.32499999995</v>
      </c>
      <c r="S11" s="301">
        <f t="shared" si="0"/>
        <v>250400.08124999999</v>
      </c>
    </row>
    <row r="12" spans="2:19" ht="15.75" customHeight="1">
      <c r="B12" s="293"/>
      <c r="C12" s="293"/>
      <c r="D12" s="293"/>
      <c r="E12" s="293"/>
      <c r="F12" s="300"/>
      <c r="G12" s="300"/>
      <c r="H12" s="300"/>
      <c r="I12" s="300"/>
      <c r="J12" s="545">
        <v>26317</v>
      </c>
      <c r="K12" s="354"/>
      <c r="L12" s="302"/>
      <c r="M12" s="300"/>
      <c r="O12" s="293"/>
      <c r="P12" s="293"/>
      <c r="Q12" s="293"/>
      <c r="R12" s="293"/>
      <c r="S12" s="293"/>
    </row>
    <row r="13" spans="2:19" ht="15.75" customHeight="1">
      <c r="B13" s="293"/>
      <c r="C13" s="293"/>
      <c r="D13" s="293"/>
      <c r="E13" s="293"/>
      <c r="F13" s="300"/>
      <c r="G13" s="300"/>
      <c r="H13" s="300"/>
      <c r="I13" s="300"/>
      <c r="J13" s="545">
        <v>25995.331249999999</v>
      </c>
      <c r="K13" s="354"/>
      <c r="L13" s="302"/>
      <c r="M13" s="300"/>
      <c r="P13" s="294">
        <f t="shared" ref="P13:S13" si="1">P8/P11</f>
        <v>0.42350210545528333</v>
      </c>
      <c r="Q13" s="294">
        <f t="shared" si="1"/>
        <v>7.3851305468834727E-2</v>
      </c>
      <c r="R13" s="294">
        <f t="shared" si="1"/>
        <v>0</v>
      </c>
      <c r="S13" s="294">
        <f t="shared" si="1"/>
        <v>0</v>
      </c>
    </row>
    <row r="14" spans="2:19" ht="15.75" customHeight="1">
      <c r="B14" s="293"/>
      <c r="C14" s="293"/>
      <c r="D14" s="293"/>
      <c r="E14" s="293"/>
      <c r="F14" s="300"/>
      <c r="G14" s="300"/>
      <c r="H14" s="300"/>
      <c r="I14" s="300"/>
      <c r="J14" s="300"/>
      <c r="K14" s="300"/>
      <c r="L14" s="546"/>
      <c r="M14" s="362"/>
      <c r="P14" s="294">
        <f t="shared" ref="P14:S14" si="2">P9/P11</f>
        <v>0.57649789454471667</v>
      </c>
      <c r="Q14" s="294">
        <f t="shared" si="2"/>
        <v>0.35033213031778471</v>
      </c>
      <c r="R14" s="294">
        <f t="shared" si="2"/>
        <v>0.73672792601758019</v>
      </c>
      <c r="S14" s="294">
        <f t="shared" si="2"/>
        <v>0.32739638438116525</v>
      </c>
    </row>
    <row r="15" spans="2:19" ht="15.75" customHeight="1">
      <c r="B15" s="293"/>
      <c r="C15" s="293"/>
      <c r="D15" s="293"/>
      <c r="E15" s="293"/>
      <c r="F15" s="300"/>
      <c r="G15" s="300"/>
      <c r="H15" s="300"/>
      <c r="I15" s="300"/>
      <c r="J15" s="300"/>
      <c r="K15" s="300"/>
      <c r="L15" s="546"/>
      <c r="M15" s="362"/>
      <c r="P15" s="293"/>
      <c r="Q15" s="294">
        <f t="shared" ref="Q15:S15" si="3">Q10/Q11</f>
        <v>0.57581656421338057</v>
      </c>
      <c r="R15" s="294">
        <f t="shared" si="3"/>
        <v>0.26327207398241997</v>
      </c>
      <c r="S15" s="294">
        <f t="shared" si="3"/>
        <v>0.67260361561883486</v>
      </c>
    </row>
    <row r="16" spans="2:19" ht="15.75" customHeight="1">
      <c r="B16" s="293"/>
      <c r="C16" s="293">
        <v>118193.625</v>
      </c>
      <c r="D16" s="545">
        <v>118193.625</v>
      </c>
      <c r="E16" s="354"/>
      <c r="F16" s="293"/>
      <c r="G16" s="293"/>
      <c r="H16" s="293"/>
      <c r="I16" s="293"/>
      <c r="J16" s="293"/>
      <c r="K16" s="293"/>
      <c r="L16" s="293"/>
      <c r="M16" s="293"/>
      <c r="P16" s="293"/>
      <c r="Q16" s="293"/>
      <c r="R16" s="293"/>
      <c r="S16" s="293"/>
    </row>
    <row r="17" spans="2:19" ht="15.75" customHeight="1">
      <c r="B17" s="293"/>
      <c r="C17" s="293"/>
      <c r="D17" s="354"/>
      <c r="E17" s="354"/>
      <c r="F17" s="293"/>
      <c r="G17" s="303"/>
      <c r="H17" s="293"/>
      <c r="I17" s="293"/>
      <c r="J17" s="293"/>
      <c r="K17" s="293"/>
      <c r="L17" s="293"/>
      <c r="M17" s="293"/>
      <c r="P17" s="293"/>
      <c r="Q17" s="293"/>
      <c r="R17" s="293"/>
      <c r="S17" s="293"/>
    </row>
    <row r="18" spans="2:19" ht="15.75" customHeight="1">
      <c r="B18" s="293"/>
      <c r="C18" s="293"/>
      <c r="D18" s="293"/>
      <c r="E18" s="293"/>
      <c r="F18" s="545">
        <v>259250</v>
      </c>
      <c r="G18" s="354"/>
      <c r="H18" s="354"/>
      <c r="I18" s="354"/>
      <c r="J18" s="545">
        <v>29667.75</v>
      </c>
      <c r="K18" s="354"/>
      <c r="L18" s="297"/>
      <c r="M18" s="297"/>
      <c r="N18" s="113"/>
      <c r="O18" s="113"/>
      <c r="P18" s="293"/>
      <c r="Q18" s="293"/>
      <c r="R18" s="293"/>
      <c r="S18" s="293"/>
    </row>
    <row r="19" spans="2:19" ht="15.75" customHeight="1">
      <c r="B19" s="293"/>
      <c r="C19" s="293"/>
      <c r="D19" s="293"/>
      <c r="E19" s="293"/>
      <c r="F19" s="354"/>
      <c r="G19" s="354"/>
      <c r="H19" s="354"/>
      <c r="I19" s="354"/>
      <c r="J19" s="354"/>
      <c r="K19" s="354"/>
      <c r="L19" s="297"/>
      <c r="M19" s="297"/>
      <c r="N19" s="113"/>
      <c r="O19" s="113"/>
      <c r="P19" s="293"/>
      <c r="Q19" s="293"/>
      <c r="R19" s="293"/>
      <c r="S19" s="293"/>
    </row>
    <row r="20" spans="2:19" ht="15.75" customHeight="1"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P20" s="293"/>
      <c r="Q20" s="293"/>
      <c r="R20" s="293"/>
      <c r="S20" s="293"/>
    </row>
    <row r="21" spans="2:19" ht="15.75" customHeight="1">
      <c r="B21" s="545">
        <v>114612</v>
      </c>
      <c r="C21" s="354"/>
      <c r="D21" s="354"/>
      <c r="E21" s="354"/>
      <c r="F21" s="293"/>
      <c r="G21" s="293"/>
      <c r="H21" s="293"/>
      <c r="I21" s="293"/>
      <c r="J21" s="293"/>
      <c r="K21" s="293"/>
      <c r="L21" s="293"/>
      <c r="M21" s="293"/>
      <c r="P21" s="293"/>
      <c r="Q21" s="293"/>
      <c r="R21" s="293"/>
      <c r="S21" s="293"/>
    </row>
    <row r="22" spans="2:19" ht="15.75" customHeight="1">
      <c r="B22" s="354"/>
      <c r="C22" s="354"/>
      <c r="D22" s="354"/>
      <c r="E22" s="354"/>
      <c r="F22" s="293"/>
      <c r="G22" s="293"/>
      <c r="H22" s="293"/>
      <c r="I22" s="293"/>
      <c r="J22" s="293"/>
      <c r="K22" s="293"/>
      <c r="L22" s="293"/>
      <c r="M22" s="293"/>
      <c r="P22" s="293"/>
      <c r="Q22" s="293"/>
      <c r="R22" s="293"/>
      <c r="S22" s="293"/>
    </row>
    <row r="23" spans="2:19" ht="15.75" customHeight="1">
      <c r="B23" s="293"/>
      <c r="C23" s="293"/>
      <c r="D23" s="293"/>
      <c r="E23" s="548"/>
      <c r="F23" s="547">
        <v>45652</v>
      </c>
      <c r="G23" s="380"/>
      <c r="H23" s="380"/>
      <c r="I23" s="380"/>
      <c r="J23" s="547"/>
      <c r="K23" s="380"/>
      <c r="L23" s="380"/>
      <c r="M23" s="380"/>
    </row>
    <row r="24" spans="2:19" ht="15.75" customHeight="1">
      <c r="B24" s="293"/>
      <c r="C24" s="293"/>
      <c r="D24" s="293"/>
      <c r="E24" s="509"/>
      <c r="F24" s="384"/>
      <c r="G24" s="354"/>
      <c r="H24" s="354"/>
      <c r="I24" s="354"/>
      <c r="J24" s="384"/>
      <c r="K24" s="354"/>
      <c r="L24" s="354"/>
      <c r="M24" s="354"/>
    </row>
    <row r="25" spans="2:19" ht="15.75" customHeight="1">
      <c r="B25" s="293"/>
      <c r="C25" s="293"/>
      <c r="D25" s="293"/>
      <c r="E25" s="293"/>
      <c r="F25" s="293"/>
      <c r="G25" s="293"/>
      <c r="H25" s="293"/>
      <c r="I25" s="293"/>
      <c r="J25" s="545">
        <v>114612</v>
      </c>
      <c r="K25" s="354"/>
      <c r="L25" s="354"/>
      <c r="M25" s="354"/>
    </row>
    <row r="26" spans="2:19" ht="15.75" customHeight="1">
      <c r="B26" s="293"/>
      <c r="C26" s="293"/>
      <c r="D26" s="293"/>
      <c r="E26" s="293"/>
      <c r="F26" s="293"/>
      <c r="G26" s="293"/>
      <c r="H26" s="293"/>
      <c r="I26" s="293"/>
      <c r="J26" s="354"/>
      <c r="K26" s="354"/>
      <c r="L26" s="354"/>
      <c r="M26" s="354"/>
    </row>
    <row r="27" spans="2:19" ht="15.75" customHeight="1">
      <c r="B27" s="545">
        <v>30563.200000000001</v>
      </c>
      <c r="C27" s="354"/>
      <c r="D27" s="354"/>
      <c r="E27" s="354"/>
      <c r="F27" s="293"/>
      <c r="G27" s="293"/>
      <c r="H27" s="293"/>
      <c r="I27" s="293"/>
      <c r="J27" s="293"/>
      <c r="K27" s="293"/>
      <c r="L27" s="293"/>
      <c r="M27" s="293"/>
    </row>
    <row r="28" spans="2:19" ht="15.75" customHeight="1">
      <c r="B28" s="293"/>
      <c r="C28" s="293"/>
      <c r="D28" s="293"/>
      <c r="E28" s="293"/>
      <c r="F28" s="545">
        <v>22036</v>
      </c>
      <c r="G28" s="354"/>
      <c r="H28" s="354"/>
      <c r="I28" s="354"/>
      <c r="J28" s="545">
        <v>23808</v>
      </c>
      <c r="K28" s="354"/>
      <c r="L28" s="354"/>
      <c r="M28" s="354"/>
    </row>
    <row r="29" spans="2:19" ht="15.75" customHeight="1">
      <c r="B29" s="545">
        <v>91689.600000000006</v>
      </c>
      <c r="C29" s="354"/>
      <c r="D29" s="354"/>
      <c r="E29" s="354"/>
      <c r="F29" s="293"/>
      <c r="G29" s="293"/>
      <c r="H29" s="293"/>
      <c r="I29" s="293"/>
      <c r="J29" s="293"/>
      <c r="K29" s="293"/>
      <c r="L29" s="293"/>
      <c r="M29" s="293"/>
    </row>
    <row r="30" spans="2:19" ht="15.75" customHeight="1">
      <c r="B30" s="354"/>
      <c r="C30" s="354"/>
      <c r="D30" s="354"/>
      <c r="E30" s="354"/>
      <c r="F30" s="293"/>
      <c r="G30" s="293"/>
      <c r="H30" s="293"/>
      <c r="I30" s="293"/>
      <c r="J30" s="293"/>
      <c r="K30" s="293"/>
      <c r="L30" s="293"/>
      <c r="M30" s="293"/>
    </row>
    <row r="31" spans="2:19" ht="15.75" customHeight="1">
      <c r="B31" s="545">
        <v>137534.39999999999</v>
      </c>
      <c r="C31" s="354"/>
      <c r="D31" s="354"/>
      <c r="E31" s="354"/>
      <c r="F31" s="297"/>
      <c r="G31" s="293"/>
      <c r="H31" s="293"/>
      <c r="I31" s="293"/>
      <c r="J31" s="293"/>
      <c r="K31" s="293"/>
      <c r="L31" s="293"/>
      <c r="M31" s="293"/>
    </row>
    <row r="32" spans="2:19" ht="15.75" customHeight="1">
      <c r="B32" s="354"/>
      <c r="C32" s="354"/>
      <c r="D32" s="354"/>
      <c r="E32" s="354"/>
      <c r="F32" s="297"/>
      <c r="G32" s="293"/>
      <c r="H32" s="293"/>
      <c r="I32" s="293"/>
      <c r="J32" s="293"/>
      <c r="K32" s="293"/>
      <c r="L32" s="293"/>
      <c r="M32" s="293"/>
    </row>
    <row r="33" spans="2:13" ht="15.75" customHeight="1">
      <c r="B33" s="545">
        <v>76408</v>
      </c>
      <c r="C33" s="354"/>
      <c r="D33" s="354"/>
      <c r="E33" s="354"/>
      <c r="F33" s="545">
        <v>76408</v>
      </c>
      <c r="G33" s="354"/>
      <c r="H33" s="354"/>
      <c r="I33" s="354"/>
      <c r="J33" s="293"/>
      <c r="K33" s="293"/>
      <c r="L33" s="293"/>
      <c r="M33" s="293"/>
    </row>
    <row r="34" spans="2:13" ht="15.75" customHeight="1">
      <c r="B34" s="354"/>
      <c r="C34" s="354"/>
      <c r="D34" s="354"/>
      <c r="E34" s="354"/>
      <c r="F34" s="354"/>
      <c r="G34" s="354"/>
      <c r="H34" s="354"/>
      <c r="I34" s="354"/>
      <c r="J34" s="293"/>
      <c r="K34" s="293"/>
      <c r="L34" s="293"/>
      <c r="M34" s="293"/>
    </row>
    <row r="35" spans="2:13" ht="15.75" customHeight="1">
      <c r="B35" s="354"/>
      <c r="C35" s="354"/>
      <c r="D35" s="354"/>
      <c r="E35" s="354"/>
      <c r="F35" s="354"/>
      <c r="G35" s="354"/>
      <c r="H35" s="354"/>
      <c r="I35" s="354"/>
      <c r="J35" s="293"/>
      <c r="K35" s="293"/>
      <c r="L35" s="293"/>
      <c r="M35" s="293"/>
    </row>
    <row r="36" spans="2:13" ht="15.75" customHeight="1">
      <c r="B36" s="549">
        <v>75174.754166666666</v>
      </c>
      <c r="C36" s="362"/>
      <c r="D36" s="362"/>
      <c r="E36" s="362"/>
      <c r="F36" s="545">
        <v>564267.9916666667</v>
      </c>
      <c r="G36" s="354"/>
      <c r="H36" s="354"/>
      <c r="I36" s="354"/>
      <c r="J36" s="545">
        <v>220400.08124999999</v>
      </c>
      <c r="K36" s="354"/>
      <c r="L36" s="354"/>
      <c r="M36" s="354"/>
    </row>
    <row r="37" spans="2:13" ht="15.75" customHeight="1"/>
    <row r="38" spans="2:13" ht="15.75" customHeight="1"/>
    <row r="39" spans="2:13" ht="15.75" customHeight="1"/>
    <row r="40" spans="2:13" ht="15.75" customHeight="1"/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36:I36"/>
    <mergeCell ref="J36:M36"/>
    <mergeCell ref="E23:E24"/>
    <mergeCell ref="B27:E27"/>
    <mergeCell ref="B29:E30"/>
    <mergeCell ref="B31:E32"/>
    <mergeCell ref="B33:E35"/>
    <mergeCell ref="F33:I35"/>
    <mergeCell ref="B36:E36"/>
    <mergeCell ref="D16:E17"/>
    <mergeCell ref="F18:I19"/>
    <mergeCell ref="J18:K19"/>
    <mergeCell ref="B21:E22"/>
    <mergeCell ref="F23:I24"/>
    <mergeCell ref="J23:M24"/>
    <mergeCell ref="J12:K12"/>
    <mergeCell ref="J13:K13"/>
    <mergeCell ref="L14:M14"/>
    <mergeCell ref="L15:M15"/>
    <mergeCell ref="F28:I28"/>
    <mergeCell ref="J28:M28"/>
    <mergeCell ref="J25:M26"/>
    <mergeCell ref="H6:H7"/>
    <mergeCell ref="F8:G8"/>
    <mergeCell ref="F9:G9"/>
    <mergeCell ref="H10:I10"/>
    <mergeCell ref="H11:I11"/>
    <mergeCell ref="B4:B5"/>
    <mergeCell ref="C4:C5"/>
    <mergeCell ref="D4:D5"/>
    <mergeCell ref="F6:F7"/>
    <mergeCell ref="G6:G7"/>
  </mergeCells>
  <pageMargins left="0.511811024" right="0.511811024" top="0.78740157499999996" bottom="0.78740157499999996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1000"/>
  <sheetViews>
    <sheetView workbookViewId="0"/>
  </sheetViews>
  <sheetFormatPr baseColWidth="10" defaultColWidth="14.42578125" defaultRowHeight="15" customHeight="1"/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W1000"/>
  <sheetViews>
    <sheetView workbookViewId="0"/>
  </sheetViews>
  <sheetFormatPr baseColWidth="10" defaultColWidth="14.42578125" defaultRowHeight="15" customHeight="1"/>
  <cols>
    <col min="2" max="2" width="2.140625" customWidth="1"/>
    <col min="3" max="3" width="31.42578125" customWidth="1"/>
    <col min="4" max="4" width="45.42578125" customWidth="1"/>
    <col min="5" max="5" width="27.42578125" customWidth="1"/>
    <col min="9" max="9" width="18.140625" customWidth="1"/>
    <col min="10" max="10" width="3" customWidth="1"/>
  </cols>
  <sheetData>
    <row r="1" spans="1:23" ht="15.75" customHeight="1"/>
    <row r="2" spans="1:23" ht="15.75" customHeight="1"/>
    <row r="3" spans="1:23" ht="15.75" customHeight="1"/>
    <row r="4" spans="1:23" ht="15.75" customHeight="1"/>
    <row r="5" spans="1:23" ht="15.75" customHeight="1"/>
    <row r="6" spans="1:23" ht="15.75" customHeight="1"/>
    <row r="7" spans="1:23" ht="15.75" customHeight="1"/>
    <row r="8" spans="1:23" ht="15.75" customHeight="1">
      <c r="B8" s="252"/>
      <c r="C8" s="305" t="s">
        <v>5</v>
      </c>
      <c r="D8" s="305" t="s">
        <v>238</v>
      </c>
      <c r="E8" s="305" t="s">
        <v>113</v>
      </c>
      <c r="F8" s="305" t="s">
        <v>130</v>
      </c>
      <c r="G8" s="305" t="s">
        <v>118</v>
      </c>
      <c r="H8" s="305" t="s">
        <v>120</v>
      </c>
      <c r="I8" s="305" t="s">
        <v>123</v>
      </c>
      <c r="J8" s="252"/>
      <c r="K8" s="124" t="s">
        <v>245</v>
      </c>
    </row>
    <row r="9" spans="1:23" ht="15.75" customHeight="1">
      <c r="B9" s="252"/>
      <c r="C9" s="550" t="s">
        <v>59</v>
      </c>
      <c r="D9" s="306" t="s">
        <v>246</v>
      </c>
      <c r="E9" s="307">
        <f>' TIGER V7'!P11</f>
        <v>68767.199999999997</v>
      </c>
      <c r="F9" s="308">
        <f>' TIGER V7'!AA11</f>
        <v>68767.199999999997</v>
      </c>
      <c r="G9" s="308"/>
      <c r="H9" s="308"/>
      <c r="I9" s="308"/>
      <c r="J9" s="252"/>
      <c r="K9" s="309">
        <f t="shared" ref="K9:K11" si="0">F9+G9+H9+I9</f>
        <v>68767.199999999997</v>
      </c>
    </row>
    <row r="10" spans="1:23" ht="15.75" customHeight="1">
      <c r="B10" s="252"/>
      <c r="C10" s="509"/>
      <c r="D10" s="306" t="s">
        <v>247</v>
      </c>
      <c r="E10" s="307">
        <f>'TIGER V5'!H11-E9</f>
        <v>590670.6</v>
      </c>
      <c r="F10" s="308"/>
      <c r="G10" s="308">
        <f>' TIGER V7'!AC13+' TIGER V7'!AC15</f>
        <v>250000</v>
      </c>
      <c r="H10" s="308">
        <f>' TIGER V7'!AG13+' TIGER V7'!AG15</f>
        <v>174236</v>
      </c>
      <c r="I10" s="308">
        <f>' TIGER V7'!AK13+' TIGER V7'!AK15</f>
        <v>80057</v>
      </c>
      <c r="J10" s="252"/>
      <c r="K10" s="309">
        <f t="shared" si="0"/>
        <v>504293</v>
      </c>
    </row>
    <row r="11" spans="1:23" ht="15.75" customHeight="1">
      <c r="B11" s="252"/>
      <c r="C11" s="509"/>
      <c r="D11" s="306" t="s">
        <v>248</v>
      </c>
      <c r="E11" s="307">
        <f>'TIGER V5'!H22</f>
        <v>659437.79999999993</v>
      </c>
      <c r="F11" s="308"/>
      <c r="G11" s="308">
        <f>' TIGER V7'!AC23+' TIGER V7'!AC24</f>
        <v>233243</v>
      </c>
      <c r="H11" s="308">
        <f>' TIGER V7'!AG22+' TIGER V7'!AG23+' TIGER V7'!AG24</f>
        <v>253265</v>
      </c>
      <c r="I11" s="308">
        <f>' TIGER V7'!AK22+' TIGER V7'!AK24</f>
        <v>86551</v>
      </c>
      <c r="J11" s="252"/>
      <c r="K11" s="309">
        <f t="shared" si="0"/>
        <v>573059</v>
      </c>
    </row>
    <row r="12" spans="1:23" ht="15.75" customHeight="1">
      <c r="A12" s="252"/>
      <c r="B12" s="252"/>
      <c r="C12" s="310"/>
      <c r="D12" s="311"/>
      <c r="E12" s="307"/>
      <c r="F12" s="312"/>
      <c r="G12" s="312"/>
      <c r="H12" s="312"/>
      <c r="I12" s="31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</row>
    <row r="13" spans="1:23" ht="15.75" customHeight="1">
      <c r="B13" s="252"/>
      <c r="C13" s="551" t="s">
        <v>249</v>
      </c>
      <c r="D13" s="306" t="s">
        <v>250</v>
      </c>
      <c r="E13" s="307">
        <f>'TIGER V5'!H26+'TIGER V5'!H36</f>
        <v>545135.24800000002</v>
      </c>
      <c r="F13" s="308">
        <f>' TIGER V7'!AA26+' TIGER V7'!AA36</f>
        <v>65603</v>
      </c>
      <c r="G13" s="308">
        <f>' TIGER V7'!AC26+' TIGER V7'!AC27+' TIGER V7'!AC29+' TIGER V7'!AC36</f>
        <v>263621.71999999997</v>
      </c>
      <c r="H13" s="308">
        <f>' TIGER V7'!AG27+' TIGER V7'!AG29</f>
        <v>60000</v>
      </c>
      <c r="I13" s="308">
        <f>' TIGER V7'!AK29</f>
        <v>23379</v>
      </c>
      <c r="J13" s="252"/>
      <c r="K13" s="309">
        <f t="shared" ref="K13:K15" si="1">F13+G13+H13+I13</f>
        <v>412603.72</v>
      </c>
    </row>
    <row r="14" spans="1:23" ht="15.75" customHeight="1">
      <c r="B14" s="252"/>
      <c r="C14" s="509"/>
      <c r="D14" s="306" t="s">
        <v>142</v>
      </c>
      <c r="E14" s="307">
        <f>'TIGER V5'!H32</f>
        <v>158265.07199999999</v>
      </c>
      <c r="F14" s="308"/>
      <c r="G14" s="308">
        <f>' TIGER V7'!AC32+' TIGER V7'!AC34</f>
        <v>135893</v>
      </c>
      <c r="H14" s="308">
        <f>' TIGER V7'!AG32+' TIGER V7'!AG34</f>
        <v>42767</v>
      </c>
      <c r="I14" s="308">
        <f>' TIGER V7'!AK34</f>
        <v>20000</v>
      </c>
      <c r="J14" s="252"/>
      <c r="K14" s="309">
        <f t="shared" si="1"/>
        <v>198660</v>
      </c>
    </row>
    <row r="15" spans="1:23" ht="15.75" customHeight="1">
      <c r="B15" s="252"/>
      <c r="C15" s="509"/>
      <c r="D15" s="306" t="s">
        <v>247</v>
      </c>
      <c r="E15" s="307">
        <f>'TIGER V5'!H40</f>
        <v>175850.08000000002</v>
      </c>
      <c r="F15" s="308">
        <f>' TIGER V7'!AA40</f>
        <v>32474</v>
      </c>
      <c r="G15" s="308">
        <f>' TIGER V7'!AC40</f>
        <v>75930</v>
      </c>
      <c r="H15" s="308">
        <f>' TIGER V7'!AG40</f>
        <v>34000</v>
      </c>
      <c r="I15" s="308">
        <f>' TIGER V7'!AK40</f>
        <v>10413</v>
      </c>
      <c r="J15" s="252"/>
      <c r="K15" s="309">
        <f t="shared" si="1"/>
        <v>152817</v>
      </c>
    </row>
    <row r="16" spans="1:23" ht="15.75" customHeight="1">
      <c r="A16" s="252"/>
      <c r="B16" s="252"/>
      <c r="C16" s="252"/>
      <c r="D16" s="252"/>
      <c r="E16" s="313"/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252"/>
    </row>
    <row r="17" spans="3:11" ht="15.75" customHeight="1">
      <c r="E17" s="314"/>
      <c r="F17" s="114">
        <f t="shared" ref="F17:I17" si="2">SUM(F9:F15)</f>
        <v>166844.20000000001</v>
      </c>
      <c r="G17" s="114">
        <f t="shared" si="2"/>
        <v>958687.72</v>
      </c>
      <c r="H17" s="114">
        <f t="shared" si="2"/>
        <v>564268</v>
      </c>
      <c r="I17" s="114">
        <f t="shared" si="2"/>
        <v>220400</v>
      </c>
      <c r="K17" s="114">
        <f>SUM(K9:K15)</f>
        <v>1910199.92</v>
      </c>
    </row>
    <row r="18" spans="3:11" ht="15.75" customHeight="1">
      <c r="E18" s="314"/>
    </row>
    <row r="19" spans="3:11" ht="15.75" customHeight="1">
      <c r="E19" s="314"/>
    </row>
    <row r="20" spans="3:11" ht="15.75" customHeight="1">
      <c r="C20" s="155"/>
      <c r="D20" s="156" t="s">
        <v>155</v>
      </c>
      <c r="E20" s="434" t="s">
        <v>156</v>
      </c>
      <c r="F20" s="435"/>
      <c r="G20" s="156" t="s">
        <v>157</v>
      </c>
      <c r="H20" s="157" t="s">
        <v>158</v>
      </c>
      <c r="I20" s="156" t="s">
        <v>159</v>
      </c>
    </row>
    <row r="21" spans="3:11" ht="15.75" customHeight="1">
      <c r="C21" s="158" t="s">
        <v>160</v>
      </c>
      <c r="D21" s="159"/>
      <c r="E21" s="459">
        <v>166844</v>
      </c>
      <c r="F21" s="354"/>
      <c r="G21" s="171">
        <v>958688</v>
      </c>
      <c r="H21" s="172">
        <v>564268</v>
      </c>
      <c r="I21" s="171">
        <v>220400</v>
      </c>
    </row>
    <row r="22" spans="3:11" ht="15.75" customHeight="1">
      <c r="E22" s="314"/>
    </row>
    <row r="23" spans="3:11" ht="15.75" customHeight="1"/>
    <row r="24" spans="3:11" ht="15.75" customHeight="1"/>
    <row r="25" spans="3:11" ht="15.75" customHeight="1"/>
    <row r="26" spans="3:11" ht="15.75" customHeight="1"/>
    <row r="27" spans="3:11" ht="15.75" customHeight="1"/>
    <row r="28" spans="3:11" ht="15.75" customHeight="1"/>
    <row r="29" spans="3:11" ht="15.75" customHeight="1"/>
    <row r="30" spans="3:11" ht="15.75" customHeight="1"/>
    <row r="31" spans="3:11" ht="15.75" customHeight="1"/>
    <row r="32" spans="3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9:C11"/>
    <mergeCell ref="C13:C15"/>
    <mergeCell ref="E20:F20"/>
    <mergeCell ref="E21:F21"/>
  </mergeCells>
  <pageMargins left="0.511811024" right="0.511811024" top="0.78740157499999996" bottom="0.78740157499999996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X1000"/>
  <sheetViews>
    <sheetView workbookViewId="0"/>
  </sheetViews>
  <sheetFormatPr baseColWidth="10" defaultColWidth="14.42578125" defaultRowHeight="15" customHeight="1"/>
  <cols>
    <col min="1" max="2" width="0.42578125" customWidth="1"/>
    <col min="3" max="3" width="44.140625" customWidth="1"/>
    <col min="4" max="4" width="47" customWidth="1"/>
    <col min="5" max="5" width="95.42578125" customWidth="1"/>
    <col min="6" max="6" width="50.42578125" customWidth="1"/>
    <col min="7" max="7" width="32.42578125" customWidth="1"/>
    <col min="8" max="9" width="26.140625" customWidth="1"/>
    <col min="10" max="10" width="21.28515625" customWidth="1"/>
    <col min="11" max="11" width="27" customWidth="1"/>
  </cols>
  <sheetData>
    <row r="1" spans="1:24" ht="15.75" customHeight="1">
      <c r="C1" s="240" t="s">
        <v>251</v>
      </c>
      <c r="F1" s="315" t="s">
        <v>252</v>
      </c>
    </row>
    <row r="2" spans="1:24" ht="15.75" customHeight="1">
      <c r="C2" s="31"/>
      <c r="D2" s="31"/>
      <c r="E2" s="31" t="s">
        <v>31</v>
      </c>
      <c r="F2" s="31" t="s">
        <v>253</v>
      </c>
      <c r="G2" s="31" t="s">
        <v>130</v>
      </c>
      <c r="H2" s="31" t="s">
        <v>118</v>
      </c>
      <c r="I2" s="31" t="s">
        <v>120</v>
      </c>
      <c r="J2" s="31" t="s">
        <v>123</v>
      </c>
      <c r="K2" s="31" t="s">
        <v>126</v>
      </c>
    </row>
    <row r="3" spans="1:24" ht="15.75" customHeight="1">
      <c r="C3" s="360" t="s">
        <v>52</v>
      </c>
      <c r="D3" s="396" t="s">
        <v>53</v>
      </c>
      <c r="E3" s="360" t="s">
        <v>54</v>
      </c>
      <c r="F3" s="554" t="s">
        <v>254</v>
      </c>
    </row>
    <row r="4" spans="1:24" ht="15.75" customHeight="1">
      <c r="C4" s="350"/>
      <c r="D4" s="354"/>
      <c r="E4" s="351"/>
      <c r="F4" s="509"/>
    </row>
    <row r="5" spans="1:24" ht="15.75" customHeight="1">
      <c r="C5" s="351"/>
      <c r="D5" s="41" t="s">
        <v>60</v>
      </c>
      <c r="E5" s="40" t="s">
        <v>255</v>
      </c>
      <c r="G5" s="316">
        <v>1</v>
      </c>
    </row>
    <row r="6" spans="1:24" ht="15.75" customHeight="1">
      <c r="C6" s="41" t="s">
        <v>64</v>
      </c>
      <c r="D6" s="88"/>
      <c r="E6" s="40" t="s">
        <v>150</v>
      </c>
      <c r="H6" s="552">
        <v>1</v>
      </c>
      <c r="I6" s="362"/>
      <c r="J6" s="552">
        <v>1</v>
      </c>
      <c r="K6" s="362"/>
    </row>
    <row r="7" spans="1:24" ht="15.75" customHeight="1">
      <c r="A7" s="252"/>
      <c r="B7" s="252"/>
      <c r="C7" s="56"/>
      <c r="D7" s="56"/>
      <c r="E7" s="58"/>
      <c r="F7" s="317"/>
      <c r="G7" s="317"/>
      <c r="H7" s="317"/>
      <c r="I7" s="317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</row>
    <row r="8" spans="1:24" ht="15.75" customHeight="1">
      <c r="C8" s="70" t="s">
        <v>75</v>
      </c>
      <c r="D8" s="71" t="s">
        <v>76</v>
      </c>
      <c r="E8" s="40" t="s">
        <v>77</v>
      </c>
      <c r="F8" s="555" t="s">
        <v>256</v>
      </c>
      <c r="G8" s="380"/>
      <c r="H8" s="380"/>
      <c r="I8" s="380"/>
      <c r="J8" s="380"/>
      <c r="K8" s="380"/>
    </row>
    <row r="9" spans="1:24" ht="15.75" customHeight="1">
      <c r="C9" s="373" t="s">
        <v>78</v>
      </c>
      <c r="D9" s="72" t="s">
        <v>79</v>
      </c>
      <c r="E9" s="40" t="s">
        <v>80</v>
      </c>
      <c r="F9" s="384"/>
      <c r="G9" s="354"/>
      <c r="H9" s="354"/>
      <c r="I9" s="354"/>
      <c r="J9" s="354"/>
      <c r="K9" s="354"/>
    </row>
    <row r="10" spans="1:24" ht="15.75" customHeight="1">
      <c r="C10" s="374"/>
      <c r="D10" s="375" t="s">
        <v>76</v>
      </c>
      <c r="E10" s="40" t="s">
        <v>82</v>
      </c>
      <c r="F10" s="384"/>
      <c r="G10" s="354"/>
      <c r="H10" s="354"/>
      <c r="I10" s="354"/>
      <c r="J10" s="354"/>
      <c r="K10" s="354"/>
    </row>
    <row r="11" spans="1:24" ht="15.75" customHeight="1">
      <c r="C11" s="73" t="s">
        <v>52</v>
      </c>
      <c r="D11" s="376"/>
      <c r="E11" s="40" t="s">
        <v>77</v>
      </c>
      <c r="F11" s="384"/>
      <c r="G11" s="354"/>
      <c r="H11" s="354"/>
      <c r="I11" s="354"/>
      <c r="J11" s="354"/>
      <c r="K11" s="354"/>
    </row>
    <row r="12" spans="1:24" ht="15.75" customHeight="1">
      <c r="A12" s="252"/>
      <c r="B12" s="252"/>
      <c r="C12" s="76"/>
      <c r="D12" s="76"/>
      <c r="E12" s="78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</row>
    <row r="13" spans="1:24" ht="15.75" customHeight="1">
      <c r="C13" s="360" t="s">
        <v>52</v>
      </c>
      <c r="D13" s="88" t="s">
        <v>85</v>
      </c>
      <c r="E13" s="40" t="s">
        <v>86</v>
      </c>
      <c r="F13" s="316" t="s">
        <v>254</v>
      </c>
    </row>
    <row r="14" spans="1:24" ht="15.75" customHeight="1">
      <c r="C14" s="351"/>
      <c r="D14" s="41" t="s">
        <v>88</v>
      </c>
      <c r="E14" s="40" t="s">
        <v>152</v>
      </c>
      <c r="G14" s="316">
        <v>1</v>
      </c>
    </row>
    <row r="15" spans="1:24" ht="15.75" customHeight="1">
      <c r="C15" s="40"/>
      <c r="D15" s="88"/>
      <c r="E15" s="40" t="s">
        <v>153</v>
      </c>
      <c r="H15" s="552">
        <v>1</v>
      </c>
      <c r="I15" s="362"/>
      <c r="J15" s="552">
        <v>1</v>
      </c>
      <c r="K15" s="362"/>
    </row>
    <row r="16" spans="1:24" ht="15.75" customHeight="1">
      <c r="C16" s="95" t="s">
        <v>95</v>
      </c>
      <c r="D16" s="38" t="s">
        <v>96</v>
      </c>
      <c r="E16" s="40" t="s">
        <v>97</v>
      </c>
      <c r="G16" s="552">
        <v>1</v>
      </c>
      <c r="H16" s="362"/>
      <c r="I16" s="362"/>
      <c r="J16" s="362"/>
    </row>
    <row r="17" spans="1:24" ht="15.75" customHeight="1">
      <c r="C17" s="95" t="s">
        <v>95</v>
      </c>
      <c r="D17" s="40" t="s">
        <v>101</v>
      </c>
      <c r="E17" s="40" t="s">
        <v>101</v>
      </c>
      <c r="G17" s="552" t="s">
        <v>257</v>
      </c>
      <c r="H17" s="362"/>
      <c r="I17" s="362"/>
    </row>
    <row r="18" spans="1:24" ht="15.75" customHeight="1">
      <c r="A18" s="252"/>
      <c r="B18" s="252"/>
      <c r="C18" s="58"/>
      <c r="D18" s="58"/>
      <c r="E18" s="58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52"/>
      <c r="X18" s="252"/>
    </row>
    <row r="19" spans="1:24" ht="15.75" customHeight="1">
      <c r="C19" s="360" t="s">
        <v>70</v>
      </c>
      <c r="D19" s="360" t="s">
        <v>103</v>
      </c>
      <c r="E19" s="40" t="s">
        <v>104</v>
      </c>
      <c r="J19" s="553" t="s">
        <v>258</v>
      </c>
      <c r="K19" s="380"/>
    </row>
    <row r="20" spans="1:24" ht="15.75" customHeight="1">
      <c r="C20" s="351"/>
      <c r="D20" s="351"/>
      <c r="E20" s="40" t="s">
        <v>104</v>
      </c>
      <c r="J20" s="384"/>
      <c r="K20" s="354"/>
    </row>
    <row r="21" spans="1:24" ht="15.75" customHeight="1">
      <c r="A21" s="252"/>
      <c r="B21" s="252"/>
      <c r="C21" s="100"/>
      <c r="D21" s="58"/>
      <c r="E21" s="58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52"/>
      <c r="X21" s="252"/>
    </row>
    <row r="22" spans="1:24" ht="15.75" customHeight="1">
      <c r="C22" s="70" t="s">
        <v>75</v>
      </c>
      <c r="D22" s="40" t="s">
        <v>108</v>
      </c>
      <c r="E22" s="40" t="s">
        <v>109</v>
      </c>
      <c r="F22" s="552" t="s">
        <v>259</v>
      </c>
      <c r="G22" s="362"/>
    </row>
    <row r="23" spans="1:24" ht="15.75" customHeight="1">
      <c r="A23" s="252"/>
      <c r="B23" s="252"/>
      <c r="C23" s="252"/>
      <c r="D23" s="252"/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252"/>
      <c r="Q23" s="252"/>
      <c r="R23" s="252"/>
      <c r="S23" s="252"/>
      <c r="T23" s="252"/>
      <c r="U23" s="252"/>
      <c r="V23" s="252"/>
      <c r="W23" s="252"/>
      <c r="X23" s="252"/>
    </row>
    <row r="24" spans="1:24" ht="46.5" customHeight="1">
      <c r="E24" s="318" t="s">
        <v>260</v>
      </c>
      <c r="F24" s="319">
        <v>16</v>
      </c>
      <c r="G24" s="320" t="s">
        <v>261</v>
      </c>
      <c r="H24" s="320">
        <v>1</v>
      </c>
      <c r="I24" s="320"/>
      <c r="J24" s="320"/>
      <c r="K24" s="320"/>
      <c r="L24" s="320"/>
    </row>
    <row r="25" spans="1:24" ht="15.75" customHeight="1">
      <c r="E25" s="558" t="s">
        <v>262</v>
      </c>
      <c r="F25" s="559">
        <v>12</v>
      </c>
      <c r="G25" s="556" t="s">
        <v>88</v>
      </c>
      <c r="H25" s="556">
        <v>7</v>
      </c>
      <c r="I25" s="556"/>
      <c r="J25" s="556"/>
      <c r="K25" s="556"/>
      <c r="L25" s="556"/>
    </row>
    <row r="26" spans="1:24" ht="15.75" customHeight="1">
      <c r="E26" s="509"/>
      <c r="F26" s="509"/>
      <c r="G26" s="509"/>
      <c r="H26" s="509"/>
      <c r="I26" s="509"/>
      <c r="J26" s="509"/>
      <c r="K26" s="509"/>
      <c r="L26" s="509"/>
    </row>
    <row r="27" spans="1:24" ht="15.75" customHeight="1">
      <c r="E27" s="509"/>
      <c r="F27" s="509"/>
      <c r="G27" s="509"/>
      <c r="H27" s="509"/>
      <c r="I27" s="509"/>
      <c r="J27" s="509"/>
      <c r="K27" s="509"/>
      <c r="L27" s="509"/>
    </row>
    <row r="28" spans="1:24" ht="54" customHeight="1">
      <c r="F28" s="321"/>
      <c r="G28" s="556" t="s">
        <v>263</v>
      </c>
      <c r="H28" s="557">
        <v>4</v>
      </c>
    </row>
    <row r="29" spans="1:24" ht="15.75" customHeight="1">
      <c r="G29" s="509"/>
      <c r="H29" s="354"/>
    </row>
    <row r="30" spans="1:24" ht="15.75" customHeight="1">
      <c r="G30" s="509"/>
      <c r="H30" s="354"/>
    </row>
    <row r="31" spans="1:24" ht="15.75" customHeight="1"/>
    <row r="32" spans="1:2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L25:L27"/>
    <mergeCell ref="G28:G30"/>
    <mergeCell ref="H28:H30"/>
    <mergeCell ref="C9:C10"/>
    <mergeCell ref="D10:D11"/>
    <mergeCell ref="C13:C14"/>
    <mergeCell ref="C19:C20"/>
    <mergeCell ref="D19:D20"/>
    <mergeCell ref="E25:E27"/>
    <mergeCell ref="F25:F27"/>
    <mergeCell ref="H6:I6"/>
    <mergeCell ref="J6:K6"/>
    <mergeCell ref="F8:K11"/>
    <mergeCell ref="G25:G27"/>
    <mergeCell ref="H25:H27"/>
    <mergeCell ref="I25:I27"/>
    <mergeCell ref="J25:J27"/>
    <mergeCell ref="K25:K27"/>
    <mergeCell ref="F22:G22"/>
    <mergeCell ref="C3:C5"/>
    <mergeCell ref="D3:D4"/>
    <mergeCell ref="E3:E4"/>
    <mergeCell ref="F3:F4"/>
    <mergeCell ref="H15:I15"/>
    <mergeCell ref="J15:K15"/>
    <mergeCell ref="G16:J16"/>
    <mergeCell ref="G17:I17"/>
    <mergeCell ref="J19:K20"/>
  </mergeCells>
  <pageMargins left="0.511811024" right="0.511811024" top="0.78740157499999996" bottom="0.78740157499999996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X1000"/>
  <sheetViews>
    <sheetView workbookViewId="0"/>
  </sheetViews>
  <sheetFormatPr baseColWidth="10" defaultColWidth="14.42578125" defaultRowHeight="15" customHeight="1"/>
  <cols>
    <col min="1" max="2" width="0.42578125" customWidth="1"/>
    <col min="3" max="3" width="35.42578125" customWidth="1"/>
    <col min="4" max="4" width="38.140625" customWidth="1"/>
    <col min="5" max="5" width="52.7109375" customWidth="1"/>
    <col min="6" max="6" width="35.42578125" customWidth="1"/>
    <col min="7" max="7" width="32.42578125" customWidth="1"/>
    <col min="8" max="9" width="26.140625" customWidth="1"/>
    <col min="10" max="10" width="21.28515625" customWidth="1"/>
    <col min="11" max="11" width="27" customWidth="1"/>
  </cols>
  <sheetData>
    <row r="1" spans="1:24" ht="15.75" customHeight="1">
      <c r="C1" s="315"/>
      <c r="F1" s="315"/>
    </row>
    <row r="2" spans="1:24" ht="15.75" customHeight="1">
      <c r="C2" s="31"/>
      <c r="D2" s="31"/>
      <c r="E2" s="31" t="s">
        <v>31</v>
      </c>
      <c r="F2" s="31" t="s">
        <v>264</v>
      </c>
      <c r="G2" s="31" t="s">
        <v>130</v>
      </c>
      <c r="H2" s="31" t="s">
        <v>118</v>
      </c>
      <c r="I2" s="31" t="s">
        <v>120</v>
      </c>
      <c r="J2" s="31" t="s">
        <v>123</v>
      </c>
      <c r="K2" s="31" t="s">
        <v>126</v>
      </c>
    </row>
    <row r="3" spans="1:24" ht="15.75" customHeight="1">
      <c r="A3" s="252"/>
      <c r="B3" s="252"/>
      <c r="C3" s="56"/>
      <c r="D3" s="56"/>
      <c r="E3" s="58"/>
      <c r="F3" s="317"/>
      <c r="G3" s="317"/>
      <c r="H3" s="317"/>
      <c r="I3" s="317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</row>
    <row r="4" spans="1:24" ht="15.75" customHeight="1">
      <c r="C4" s="70" t="s">
        <v>75</v>
      </c>
      <c r="D4" s="71" t="s">
        <v>76</v>
      </c>
      <c r="E4" s="40" t="s">
        <v>265</v>
      </c>
      <c r="F4" s="322">
        <f>' TIGER V3'!Q21</f>
        <v>145076.31599999999</v>
      </c>
      <c r="G4" s="323"/>
    </row>
    <row r="5" spans="1:24" ht="15.75" customHeight="1">
      <c r="C5" s="373" t="s">
        <v>78</v>
      </c>
      <c r="D5" s="72" t="s">
        <v>79</v>
      </c>
      <c r="E5" s="40" t="s">
        <v>80</v>
      </c>
      <c r="F5" s="322">
        <f>' TIGER V3'!Q22</f>
        <v>230803.22999999995</v>
      </c>
      <c r="G5" s="323"/>
      <c r="H5" s="323"/>
    </row>
    <row r="6" spans="1:24" ht="15.75" customHeight="1">
      <c r="C6" s="374"/>
      <c r="D6" s="375" t="s">
        <v>76</v>
      </c>
      <c r="E6" s="40" t="s">
        <v>82</v>
      </c>
      <c r="F6" s="322">
        <f>' TIGER V3'!Q23</f>
        <v>118698.80399999999</v>
      </c>
      <c r="I6" s="323"/>
      <c r="J6" s="323"/>
    </row>
    <row r="7" spans="1:24" ht="15.75" customHeight="1">
      <c r="C7" s="73" t="s">
        <v>52</v>
      </c>
      <c r="D7" s="376"/>
      <c r="E7" s="40" t="s">
        <v>266</v>
      </c>
      <c r="F7" s="322">
        <f>' TIGER V3'!Q24</f>
        <v>164859.44999999998</v>
      </c>
      <c r="I7" s="323"/>
    </row>
    <row r="8" spans="1:24" ht="15.75" customHeight="1">
      <c r="A8" s="252"/>
      <c r="B8" s="252"/>
      <c r="C8" s="76"/>
      <c r="D8" s="76"/>
      <c r="E8" s="78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</row>
    <row r="9" spans="1:24" ht="15.75" customHeight="1"/>
    <row r="10" spans="1:24" ht="15.75" customHeight="1"/>
    <row r="11" spans="1:24" ht="15.75" customHeight="1"/>
    <row r="12" spans="1:24" ht="15.75" customHeight="1"/>
    <row r="13" spans="1:24" ht="15.75" customHeight="1"/>
    <row r="14" spans="1:24" ht="15.75" customHeight="1"/>
    <row r="15" spans="1:24" ht="15.75" customHeight="1"/>
    <row r="16" spans="1:2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5:C6"/>
    <mergeCell ref="D6:D7"/>
  </mergeCells>
  <pageMargins left="0.511811024" right="0.511811024" top="0.78740157499999996" bottom="0.78740157499999996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9:AL1008"/>
  <sheetViews>
    <sheetView tabSelected="1" workbookViewId="0">
      <selection sqref="A1:V2"/>
    </sheetView>
  </sheetViews>
  <sheetFormatPr baseColWidth="10" defaultColWidth="14.42578125" defaultRowHeight="15" customHeight="1"/>
  <cols>
    <col min="7" max="7" width="24.42578125" customWidth="1"/>
    <col min="8" max="8" width="25.85546875" customWidth="1"/>
    <col min="9" max="9" width="141" customWidth="1"/>
    <col min="13" max="13" width="21.42578125" customWidth="1"/>
    <col min="14" max="14" width="20.7109375" customWidth="1"/>
    <col min="16" max="16" width="17.140625" customWidth="1"/>
    <col min="27" max="27" width="17.7109375" customWidth="1"/>
    <col min="35" max="35" width="22.7109375" customWidth="1"/>
  </cols>
  <sheetData>
    <row r="9" spans="1:38" ht="15.75" customHeight="1">
      <c r="A9" s="560" t="s">
        <v>267</v>
      </c>
      <c r="B9" s="561"/>
      <c r="C9" s="561"/>
      <c r="D9" s="561"/>
      <c r="E9" s="561"/>
      <c r="F9" s="561"/>
      <c r="G9" s="561"/>
      <c r="H9" s="561"/>
      <c r="I9" s="561"/>
      <c r="J9" s="561"/>
      <c r="K9" s="561"/>
      <c r="L9" s="561"/>
      <c r="M9" s="561"/>
      <c r="N9" s="561"/>
      <c r="O9" s="561"/>
      <c r="P9" s="561"/>
      <c r="Q9" s="561"/>
      <c r="R9" s="561"/>
      <c r="S9" s="561"/>
      <c r="T9" s="561"/>
      <c r="U9" s="561"/>
      <c r="V9" s="562"/>
      <c r="W9" s="566" t="s">
        <v>268</v>
      </c>
      <c r="X9" s="561"/>
      <c r="Y9" s="561"/>
      <c r="Z9" s="561"/>
      <c r="AA9" s="561"/>
      <c r="AB9" s="561"/>
      <c r="AC9" s="562"/>
      <c r="AD9" s="567" t="s">
        <v>269</v>
      </c>
      <c r="AE9" s="568"/>
      <c r="AF9" s="569"/>
      <c r="AG9" s="573" t="s">
        <v>270</v>
      </c>
      <c r="AH9" s="561"/>
      <c r="AI9" s="561"/>
      <c r="AJ9" s="561"/>
      <c r="AK9" s="561"/>
      <c r="AL9" s="562"/>
    </row>
    <row r="10" spans="1:38" ht="15.75" customHeight="1">
      <c r="A10" s="563"/>
      <c r="B10" s="564"/>
      <c r="C10" s="564"/>
      <c r="D10" s="564"/>
      <c r="E10" s="564"/>
      <c r="F10" s="564"/>
      <c r="G10" s="564"/>
      <c r="H10" s="564"/>
      <c r="I10" s="564"/>
      <c r="J10" s="564"/>
      <c r="K10" s="564"/>
      <c r="L10" s="564"/>
      <c r="M10" s="564"/>
      <c r="N10" s="564"/>
      <c r="O10" s="564"/>
      <c r="P10" s="564"/>
      <c r="Q10" s="564"/>
      <c r="R10" s="564"/>
      <c r="S10" s="564"/>
      <c r="T10" s="564"/>
      <c r="U10" s="564"/>
      <c r="V10" s="565"/>
      <c r="W10" s="563"/>
      <c r="X10" s="564"/>
      <c r="Y10" s="564"/>
      <c r="Z10" s="564"/>
      <c r="AA10" s="564"/>
      <c r="AB10" s="564"/>
      <c r="AC10" s="565"/>
      <c r="AD10" s="570"/>
      <c r="AE10" s="571"/>
      <c r="AF10" s="572"/>
      <c r="AG10" s="563"/>
      <c r="AH10" s="564"/>
      <c r="AI10" s="564"/>
      <c r="AJ10" s="564"/>
      <c r="AK10" s="564"/>
      <c r="AL10" s="565"/>
    </row>
    <row r="11" spans="1:38" ht="15.75" customHeight="1">
      <c r="A11" s="324" t="s">
        <v>271</v>
      </c>
      <c r="B11" s="325" t="s">
        <v>272</v>
      </c>
      <c r="C11" s="325" t="s">
        <v>273</v>
      </c>
      <c r="D11" s="324" t="s">
        <v>2</v>
      </c>
      <c r="E11" s="325" t="s">
        <v>274</v>
      </c>
      <c r="F11" s="324" t="s">
        <v>275</v>
      </c>
      <c r="G11" s="325" t="s">
        <v>276</v>
      </c>
      <c r="H11" s="325" t="s">
        <v>277</v>
      </c>
      <c r="I11" s="325" t="s">
        <v>278</v>
      </c>
      <c r="J11" s="324" t="s">
        <v>279</v>
      </c>
      <c r="K11" s="325" t="s">
        <v>280</v>
      </c>
      <c r="L11" s="325" t="s">
        <v>281</v>
      </c>
      <c r="M11" s="325" t="s">
        <v>282</v>
      </c>
      <c r="N11" s="325" t="s">
        <v>283</v>
      </c>
      <c r="O11" s="324" t="s">
        <v>284</v>
      </c>
      <c r="P11" s="324" t="s">
        <v>285</v>
      </c>
      <c r="Q11" s="324" t="s">
        <v>286</v>
      </c>
      <c r="R11" s="324" t="s">
        <v>287</v>
      </c>
      <c r="S11" s="324" t="s">
        <v>288</v>
      </c>
      <c r="T11" s="324" t="s">
        <v>289</v>
      </c>
      <c r="U11" s="324" t="s">
        <v>290</v>
      </c>
      <c r="V11" s="325" t="s">
        <v>291</v>
      </c>
      <c r="W11" s="325" t="s">
        <v>292</v>
      </c>
      <c r="X11" s="326" t="s">
        <v>293</v>
      </c>
      <c r="Y11" s="326" t="s">
        <v>294</v>
      </c>
      <c r="Z11" s="326" t="s">
        <v>295</v>
      </c>
      <c r="AA11" s="326" t="s">
        <v>296</v>
      </c>
      <c r="AB11" s="326" t="s">
        <v>297</v>
      </c>
      <c r="AC11" s="326" t="s">
        <v>298</v>
      </c>
      <c r="AD11" s="327" t="s">
        <v>299</v>
      </c>
      <c r="AE11" s="327" t="s">
        <v>300</v>
      </c>
      <c r="AF11" s="328" t="s">
        <v>301</v>
      </c>
      <c r="AG11" s="329" t="s">
        <v>302</v>
      </c>
      <c r="AH11" s="329" t="s">
        <v>303</v>
      </c>
      <c r="AI11" s="328" t="s">
        <v>304</v>
      </c>
      <c r="AJ11" s="329" t="s">
        <v>305</v>
      </c>
      <c r="AK11" s="329" t="s">
        <v>306</v>
      </c>
      <c r="AL11" s="329" t="s">
        <v>307</v>
      </c>
    </row>
    <row r="12" spans="1:38" ht="15.75" customHeight="1">
      <c r="A12" s="330" t="s">
        <v>308</v>
      </c>
      <c r="B12" s="331" t="s">
        <v>309</v>
      </c>
      <c r="C12" s="332" t="s">
        <v>310</v>
      </c>
      <c r="D12" s="333" t="s">
        <v>311</v>
      </c>
      <c r="E12" s="331" t="s">
        <v>312</v>
      </c>
      <c r="F12" s="333" t="s">
        <v>313</v>
      </c>
      <c r="G12" s="331" t="s">
        <v>314</v>
      </c>
      <c r="H12" s="331" t="s">
        <v>314</v>
      </c>
      <c r="I12" s="334" t="s">
        <v>315</v>
      </c>
      <c r="J12" s="334" t="s">
        <v>316</v>
      </c>
      <c r="K12" s="331" t="s">
        <v>87</v>
      </c>
      <c r="L12" s="331" t="s">
        <v>317</v>
      </c>
      <c r="M12" s="335">
        <v>44287</v>
      </c>
      <c r="N12" s="335">
        <v>44377</v>
      </c>
      <c r="O12" s="333"/>
      <c r="P12" s="334" t="s">
        <v>318</v>
      </c>
      <c r="Q12" s="333" t="s">
        <v>319</v>
      </c>
      <c r="R12" s="333" t="s">
        <v>320</v>
      </c>
      <c r="S12" s="333" t="s">
        <v>320</v>
      </c>
      <c r="T12" s="333" t="s">
        <v>320</v>
      </c>
      <c r="U12" s="333" t="s">
        <v>321</v>
      </c>
      <c r="V12" s="336">
        <v>105369</v>
      </c>
      <c r="W12" s="333" t="s">
        <v>42</v>
      </c>
      <c r="X12" s="337"/>
      <c r="Y12" s="338">
        <f t="shared" ref="Y12:Y21" si="0">V12</f>
        <v>105369</v>
      </c>
      <c r="Z12" s="339">
        <f t="shared" ref="Z12:Z21" si="1">Y12/AE12*1000</f>
        <v>5065817.307692308</v>
      </c>
      <c r="AA12" s="333"/>
      <c r="AB12" s="333"/>
      <c r="AC12" s="333"/>
      <c r="AD12" s="333" t="str">
        <f t="shared" ref="AD12:AD13" si="2">W12</f>
        <v>CPM</v>
      </c>
      <c r="AE12" s="338">
        <v>20.8</v>
      </c>
      <c r="AF12" s="340">
        <f t="shared" ref="AF12:AF21" si="3">Z12</f>
        <v>5065817.307692308</v>
      </c>
      <c r="AG12" s="333"/>
      <c r="AH12" s="333"/>
      <c r="AI12" s="333" t="s">
        <v>322</v>
      </c>
      <c r="AJ12" s="333"/>
      <c r="AK12" s="333"/>
      <c r="AL12" s="333"/>
    </row>
    <row r="13" spans="1:38" ht="15.75" customHeight="1">
      <c r="A13" s="330" t="s">
        <v>308</v>
      </c>
      <c r="B13" s="331" t="s">
        <v>309</v>
      </c>
      <c r="C13" s="332" t="s">
        <v>310</v>
      </c>
      <c r="D13" s="333" t="s">
        <v>311</v>
      </c>
      <c r="E13" s="331" t="s">
        <v>312</v>
      </c>
      <c r="F13" s="333" t="s">
        <v>313</v>
      </c>
      <c r="G13" s="331" t="s">
        <v>84</v>
      </c>
      <c r="H13" s="341" t="s">
        <v>323</v>
      </c>
      <c r="I13" s="334" t="s">
        <v>324</v>
      </c>
      <c r="J13" s="334" t="s">
        <v>316</v>
      </c>
      <c r="K13" s="331" t="s">
        <v>87</v>
      </c>
      <c r="L13" s="331" t="s">
        <v>317</v>
      </c>
      <c r="M13" s="335">
        <v>44277</v>
      </c>
      <c r="N13" s="335">
        <v>44561</v>
      </c>
      <c r="O13" s="333"/>
      <c r="P13" s="334" t="s">
        <v>318</v>
      </c>
      <c r="Q13" s="333" t="s">
        <v>319</v>
      </c>
      <c r="R13" s="333" t="s">
        <v>320</v>
      </c>
      <c r="S13" s="333" t="s">
        <v>320</v>
      </c>
      <c r="T13" s="333" t="s">
        <v>320</v>
      </c>
      <c r="U13" s="333" t="s">
        <v>321</v>
      </c>
      <c r="V13" s="336">
        <v>406866.65280000027</v>
      </c>
      <c r="W13" s="333" t="s">
        <v>42</v>
      </c>
      <c r="X13" s="337"/>
      <c r="Y13" s="338">
        <f t="shared" si="0"/>
        <v>406866.65280000027</v>
      </c>
      <c r="Z13" s="339">
        <f t="shared" si="1"/>
        <v>249611443.435583</v>
      </c>
      <c r="AA13" s="333"/>
      <c r="AB13" s="333"/>
      <c r="AC13" s="333"/>
      <c r="AD13" s="333" t="str">
        <f t="shared" si="2"/>
        <v>CPM</v>
      </c>
      <c r="AE13" s="338">
        <v>1.63</v>
      </c>
      <c r="AF13" s="340">
        <f t="shared" si="3"/>
        <v>249611443.435583</v>
      </c>
      <c r="AG13" s="333"/>
      <c r="AH13" s="333"/>
      <c r="AI13" s="342" t="s">
        <v>325</v>
      </c>
      <c r="AJ13" s="333"/>
      <c r="AK13" s="333"/>
      <c r="AL13" s="333"/>
    </row>
    <row r="14" spans="1:38" ht="15.75" customHeight="1">
      <c r="A14" s="330" t="s">
        <v>308</v>
      </c>
      <c r="B14" s="331" t="s">
        <v>309</v>
      </c>
      <c r="C14" s="332" t="s">
        <v>310</v>
      </c>
      <c r="D14" s="333" t="s">
        <v>311</v>
      </c>
      <c r="E14" s="331" t="s">
        <v>312</v>
      </c>
      <c r="F14" s="333" t="s">
        <v>313</v>
      </c>
      <c r="G14" s="331" t="s">
        <v>326</v>
      </c>
      <c r="H14" s="343" t="s">
        <v>326</v>
      </c>
      <c r="I14" s="334" t="s">
        <v>327</v>
      </c>
      <c r="J14" s="334" t="s">
        <v>316</v>
      </c>
      <c r="K14" s="331" t="s">
        <v>87</v>
      </c>
      <c r="L14" s="331" t="s">
        <v>317</v>
      </c>
      <c r="M14" s="335">
        <v>44277</v>
      </c>
      <c r="N14" s="335">
        <v>44469</v>
      </c>
      <c r="O14" s="333"/>
      <c r="P14" s="334" t="s">
        <v>318</v>
      </c>
      <c r="Q14" s="333" t="s">
        <v>319</v>
      </c>
      <c r="R14" s="333" t="s">
        <v>320</v>
      </c>
      <c r="S14" s="333" t="s">
        <v>320</v>
      </c>
      <c r="T14" s="333" t="s">
        <v>320</v>
      </c>
      <c r="U14" s="333" t="s">
        <v>321</v>
      </c>
      <c r="V14" s="336">
        <v>272120</v>
      </c>
      <c r="W14" s="333" t="s">
        <v>42</v>
      </c>
      <c r="X14" s="337"/>
      <c r="Y14" s="338">
        <f t="shared" si="0"/>
        <v>272120</v>
      </c>
      <c r="Z14" s="339">
        <f t="shared" si="1"/>
        <v>18436314.363143634</v>
      </c>
      <c r="AA14" s="333"/>
      <c r="AB14" s="333"/>
      <c r="AC14" s="333"/>
      <c r="AD14" s="333" t="s">
        <v>42</v>
      </c>
      <c r="AE14" s="338">
        <v>14.76</v>
      </c>
      <c r="AF14" s="340">
        <f t="shared" si="3"/>
        <v>18436314.363143634</v>
      </c>
      <c r="AG14" s="333"/>
      <c r="AH14" s="333"/>
      <c r="AI14" s="333" t="s">
        <v>328</v>
      </c>
      <c r="AJ14" s="333"/>
      <c r="AK14" s="333"/>
      <c r="AL14" s="333"/>
    </row>
    <row r="15" spans="1:38" ht="15.75" customHeight="1">
      <c r="A15" s="330" t="s">
        <v>308</v>
      </c>
      <c r="B15" s="331" t="s">
        <v>309</v>
      </c>
      <c r="C15" s="332" t="s">
        <v>310</v>
      </c>
      <c r="D15" s="333" t="s">
        <v>311</v>
      </c>
      <c r="E15" s="331" t="s">
        <v>312</v>
      </c>
      <c r="F15" s="333" t="s">
        <v>313</v>
      </c>
      <c r="G15" s="332" t="s">
        <v>329</v>
      </c>
      <c r="H15" s="332" t="s">
        <v>329</v>
      </c>
      <c r="I15" s="334" t="s">
        <v>330</v>
      </c>
      <c r="J15" s="334" t="s">
        <v>316</v>
      </c>
      <c r="K15" s="331" t="s">
        <v>87</v>
      </c>
      <c r="L15" s="331" t="s">
        <v>317</v>
      </c>
      <c r="M15" s="335">
        <v>44277</v>
      </c>
      <c r="N15" s="335">
        <v>44469</v>
      </c>
      <c r="O15" s="333"/>
      <c r="P15" s="334" t="s">
        <v>318</v>
      </c>
      <c r="Q15" s="333" t="s">
        <v>319</v>
      </c>
      <c r="R15" s="333" t="s">
        <v>320</v>
      </c>
      <c r="S15" s="333" t="s">
        <v>320</v>
      </c>
      <c r="T15" s="333" t="s">
        <v>320</v>
      </c>
      <c r="U15" s="333" t="s">
        <v>321</v>
      </c>
      <c r="V15" s="336">
        <v>345000</v>
      </c>
      <c r="W15" s="333" t="s">
        <v>42</v>
      </c>
      <c r="X15" s="337"/>
      <c r="Y15" s="338">
        <f t="shared" si="0"/>
        <v>345000</v>
      </c>
      <c r="Z15" s="339">
        <f t="shared" si="1"/>
        <v>5750000</v>
      </c>
      <c r="AA15" s="333"/>
      <c r="AB15" s="333"/>
      <c r="AC15" s="333"/>
      <c r="AD15" s="333" t="str">
        <f t="shared" ref="AD15:AD21" si="4">W15</f>
        <v>CPM</v>
      </c>
      <c r="AE15" s="338">
        <v>60</v>
      </c>
      <c r="AF15" s="340">
        <f t="shared" si="3"/>
        <v>5750000</v>
      </c>
      <c r="AG15" s="333"/>
      <c r="AH15" s="333"/>
      <c r="AI15" s="342" t="s">
        <v>331</v>
      </c>
      <c r="AJ15" s="333"/>
      <c r="AK15" s="333"/>
      <c r="AL15" s="333"/>
    </row>
    <row r="16" spans="1:38" ht="15.75" customHeight="1">
      <c r="A16" s="330" t="s">
        <v>308</v>
      </c>
      <c r="B16" s="331" t="s">
        <v>309</v>
      </c>
      <c r="C16" s="332" t="s">
        <v>310</v>
      </c>
      <c r="D16" s="333" t="s">
        <v>311</v>
      </c>
      <c r="E16" s="331" t="s">
        <v>312</v>
      </c>
      <c r="F16" s="333" t="s">
        <v>313</v>
      </c>
      <c r="G16" s="332" t="s">
        <v>332</v>
      </c>
      <c r="H16" s="332" t="s">
        <v>332</v>
      </c>
      <c r="I16" s="334" t="s">
        <v>333</v>
      </c>
      <c r="J16" s="334" t="s">
        <v>316</v>
      </c>
      <c r="K16" s="331" t="s">
        <v>87</v>
      </c>
      <c r="L16" s="331" t="s">
        <v>317</v>
      </c>
      <c r="M16" s="335">
        <v>44277</v>
      </c>
      <c r="N16" s="335">
        <v>44469</v>
      </c>
      <c r="O16" s="333"/>
      <c r="P16" s="334" t="s">
        <v>318</v>
      </c>
      <c r="Q16" s="333" t="s">
        <v>319</v>
      </c>
      <c r="R16" s="333" t="s">
        <v>320</v>
      </c>
      <c r="S16" s="333" t="s">
        <v>320</v>
      </c>
      <c r="T16" s="333" t="s">
        <v>320</v>
      </c>
      <c r="U16" s="333" t="s">
        <v>321</v>
      </c>
      <c r="V16" s="344">
        <v>250000</v>
      </c>
      <c r="W16" s="333" t="s">
        <v>42</v>
      </c>
      <c r="X16" s="337"/>
      <c r="Y16" s="338">
        <f t="shared" si="0"/>
        <v>250000</v>
      </c>
      <c r="Z16" s="339">
        <f t="shared" si="1"/>
        <v>7614986.2930246731</v>
      </c>
      <c r="AA16" s="333"/>
      <c r="AB16" s="333"/>
      <c r="AC16" s="333"/>
      <c r="AD16" s="333" t="str">
        <f t="shared" si="4"/>
        <v>CPM</v>
      </c>
      <c r="AE16" s="338">
        <v>32.83</v>
      </c>
      <c r="AF16" s="340">
        <f t="shared" si="3"/>
        <v>7614986.2930246731</v>
      </c>
      <c r="AG16" s="333"/>
      <c r="AH16" s="333"/>
      <c r="AI16" s="342" t="s">
        <v>334</v>
      </c>
      <c r="AJ16" s="333"/>
      <c r="AK16" s="333"/>
      <c r="AL16" s="333"/>
    </row>
    <row r="17" spans="1:38" ht="15.75" customHeight="1">
      <c r="A17" s="330" t="s">
        <v>308</v>
      </c>
      <c r="B17" s="331" t="s">
        <v>309</v>
      </c>
      <c r="C17" s="332" t="s">
        <v>310</v>
      </c>
      <c r="D17" s="333" t="s">
        <v>311</v>
      </c>
      <c r="E17" s="331" t="s">
        <v>312</v>
      </c>
      <c r="F17" s="333" t="s">
        <v>313</v>
      </c>
      <c r="G17" s="332" t="s">
        <v>335</v>
      </c>
      <c r="H17" s="332" t="s">
        <v>335</v>
      </c>
      <c r="I17" s="334" t="s">
        <v>336</v>
      </c>
      <c r="J17" s="334" t="s">
        <v>316</v>
      </c>
      <c r="K17" s="331" t="s">
        <v>87</v>
      </c>
      <c r="L17" s="331" t="s">
        <v>317</v>
      </c>
      <c r="M17" s="335">
        <v>44277</v>
      </c>
      <c r="N17" s="335">
        <v>44469</v>
      </c>
      <c r="O17" s="333"/>
      <c r="P17" s="334" t="s">
        <v>318</v>
      </c>
      <c r="Q17" s="333" t="s">
        <v>319</v>
      </c>
      <c r="R17" s="333" t="s">
        <v>320</v>
      </c>
      <c r="S17" s="333" t="s">
        <v>320</v>
      </c>
      <c r="T17" s="333" t="s">
        <v>320</v>
      </c>
      <c r="U17" s="333" t="s">
        <v>321</v>
      </c>
      <c r="V17" s="344">
        <v>215000</v>
      </c>
      <c r="W17" s="333" t="s">
        <v>42</v>
      </c>
      <c r="X17" s="337"/>
      <c r="Y17" s="338">
        <f t="shared" si="0"/>
        <v>215000</v>
      </c>
      <c r="Z17" s="339">
        <f t="shared" si="1"/>
        <v>8958333.333333334</v>
      </c>
      <c r="AA17" s="333"/>
      <c r="AB17" s="333"/>
      <c r="AC17" s="333"/>
      <c r="AD17" s="333" t="str">
        <f t="shared" si="4"/>
        <v>CPM</v>
      </c>
      <c r="AE17" s="338">
        <v>24</v>
      </c>
      <c r="AF17" s="340">
        <f t="shared" si="3"/>
        <v>8958333.333333334</v>
      </c>
      <c r="AG17" s="333"/>
      <c r="AH17" s="333"/>
      <c r="AI17" s="342" t="s">
        <v>331</v>
      </c>
      <c r="AJ17" s="333"/>
      <c r="AK17" s="333"/>
      <c r="AL17" s="333"/>
    </row>
    <row r="18" spans="1:38" ht="15.75" customHeight="1">
      <c r="A18" s="330" t="s">
        <v>308</v>
      </c>
      <c r="B18" s="331" t="s">
        <v>309</v>
      </c>
      <c r="C18" s="332" t="s">
        <v>310</v>
      </c>
      <c r="D18" s="333" t="s">
        <v>311</v>
      </c>
      <c r="E18" s="331" t="s">
        <v>312</v>
      </c>
      <c r="F18" s="333" t="s">
        <v>313</v>
      </c>
      <c r="G18" s="331" t="s">
        <v>337</v>
      </c>
      <c r="H18" s="345" t="s">
        <v>337</v>
      </c>
      <c r="I18" s="334" t="s">
        <v>338</v>
      </c>
      <c r="J18" s="334" t="s">
        <v>316</v>
      </c>
      <c r="K18" s="331" t="s">
        <v>87</v>
      </c>
      <c r="L18" s="331" t="s">
        <v>317</v>
      </c>
      <c r="M18" s="335">
        <v>44277</v>
      </c>
      <c r="N18" s="335">
        <v>44469</v>
      </c>
      <c r="O18" s="333"/>
      <c r="P18" s="334" t="s">
        <v>318</v>
      </c>
      <c r="Q18" s="333" t="s">
        <v>319</v>
      </c>
      <c r="R18" s="333" t="s">
        <v>320</v>
      </c>
      <c r="S18" s="333" t="s">
        <v>320</v>
      </c>
      <c r="T18" s="333" t="s">
        <v>320</v>
      </c>
      <c r="U18" s="333" t="s">
        <v>321</v>
      </c>
      <c r="V18" s="344">
        <v>30000</v>
      </c>
      <c r="W18" s="333" t="s">
        <v>42</v>
      </c>
      <c r="X18" s="337"/>
      <c r="Y18" s="338">
        <f t="shared" si="0"/>
        <v>30000</v>
      </c>
      <c r="Z18" s="339">
        <f t="shared" si="1"/>
        <v>3750000</v>
      </c>
      <c r="AA18" s="333"/>
      <c r="AB18" s="333"/>
      <c r="AC18" s="333"/>
      <c r="AD18" s="333" t="str">
        <f t="shared" si="4"/>
        <v>CPM</v>
      </c>
      <c r="AE18" s="338">
        <v>8</v>
      </c>
      <c r="AF18" s="340">
        <f t="shared" si="3"/>
        <v>3750000</v>
      </c>
      <c r="AG18" s="333"/>
      <c r="AH18" s="333"/>
      <c r="AI18" s="342" t="s">
        <v>331</v>
      </c>
      <c r="AJ18" s="333"/>
      <c r="AK18" s="333"/>
      <c r="AL18" s="333"/>
    </row>
    <row r="19" spans="1:38" ht="15.75" customHeight="1">
      <c r="A19" s="330" t="s">
        <v>308</v>
      </c>
      <c r="B19" s="331" t="s">
        <v>309</v>
      </c>
      <c r="C19" s="332" t="s">
        <v>310</v>
      </c>
      <c r="D19" s="333" t="s">
        <v>311</v>
      </c>
      <c r="E19" s="331" t="s">
        <v>312</v>
      </c>
      <c r="F19" s="333" t="s">
        <v>313</v>
      </c>
      <c r="G19" s="331" t="s">
        <v>337</v>
      </c>
      <c r="H19" s="345" t="s">
        <v>107</v>
      </c>
      <c r="I19" s="334" t="s">
        <v>339</v>
      </c>
      <c r="J19" s="334" t="s">
        <v>316</v>
      </c>
      <c r="K19" s="331" t="s">
        <v>87</v>
      </c>
      <c r="L19" s="331" t="s">
        <v>317</v>
      </c>
      <c r="M19" s="335">
        <v>44277</v>
      </c>
      <c r="N19" s="335">
        <v>44561</v>
      </c>
      <c r="O19" s="333"/>
      <c r="P19" s="334" t="s">
        <v>318</v>
      </c>
      <c r="Q19" s="333" t="s">
        <v>319</v>
      </c>
      <c r="R19" s="333" t="s">
        <v>320</v>
      </c>
      <c r="S19" s="333" t="s">
        <v>320</v>
      </c>
      <c r="T19" s="333" t="s">
        <v>320</v>
      </c>
      <c r="U19" s="333" t="s">
        <v>321</v>
      </c>
      <c r="V19" s="344">
        <v>397371</v>
      </c>
      <c r="W19" s="333" t="s">
        <v>42</v>
      </c>
      <c r="X19" s="337"/>
      <c r="Y19" s="338">
        <f t="shared" si="0"/>
        <v>397371</v>
      </c>
      <c r="Z19" s="339">
        <f t="shared" si="1"/>
        <v>45155795.454545446</v>
      </c>
      <c r="AA19" s="333"/>
      <c r="AB19" s="333"/>
      <c r="AC19" s="333"/>
      <c r="AD19" s="333" t="str">
        <f t="shared" si="4"/>
        <v>CPM</v>
      </c>
      <c r="AE19" s="338">
        <v>8.8000000000000007</v>
      </c>
      <c r="AF19" s="340">
        <f t="shared" si="3"/>
        <v>45155795.454545446</v>
      </c>
      <c r="AG19" s="333"/>
      <c r="AH19" s="333"/>
      <c r="AI19" s="342" t="s">
        <v>340</v>
      </c>
      <c r="AJ19" s="333"/>
      <c r="AK19" s="333"/>
      <c r="AL19" s="333"/>
    </row>
    <row r="20" spans="1:38" ht="15.75" customHeight="1">
      <c r="A20" s="330" t="s">
        <v>308</v>
      </c>
      <c r="B20" s="331" t="s">
        <v>309</v>
      </c>
      <c r="C20" s="332" t="s">
        <v>310</v>
      </c>
      <c r="D20" s="333" t="s">
        <v>311</v>
      </c>
      <c r="E20" s="331" t="s">
        <v>312</v>
      </c>
      <c r="F20" s="333" t="s">
        <v>313</v>
      </c>
      <c r="G20" s="332" t="s">
        <v>341</v>
      </c>
      <c r="H20" s="345" t="s">
        <v>341</v>
      </c>
      <c r="I20" s="334" t="s">
        <v>342</v>
      </c>
      <c r="J20" s="334" t="s">
        <v>316</v>
      </c>
      <c r="K20" s="331" t="s">
        <v>87</v>
      </c>
      <c r="L20" s="331" t="s">
        <v>317</v>
      </c>
      <c r="M20" s="335">
        <v>44470</v>
      </c>
      <c r="N20" s="335">
        <v>44561</v>
      </c>
      <c r="O20" s="333"/>
      <c r="P20" s="334" t="s">
        <v>318</v>
      </c>
      <c r="Q20" s="333" t="s">
        <v>319</v>
      </c>
      <c r="R20" s="333" t="s">
        <v>320</v>
      </c>
      <c r="S20" s="333" t="s">
        <v>320</v>
      </c>
      <c r="T20" s="333" t="s">
        <v>320</v>
      </c>
      <c r="U20" s="333" t="s">
        <v>321</v>
      </c>
      <c r="V20" s="344">
        <v>86000</v>
      </c>
      <c r="W20" s="333" t="s">
        <v>42</v>
      </c>
      <c r="X20" s="337"/>
      <c r="Y20" s="338">
        <f t="shared" si="0"/>
        <v>86000</v>
      </c>
      <c r="Z20" s="339">
        <f t="shared" si="1"/>
        <v>9772727.2727272715</v>
      </c>
      <c r="AA20" s="333"/>
      <c r="AB20" s="333"/>
      <c r="AC20" s="333"/>
      <c r="AD20" s="333" t="str">
        <f t="shared" si="4"/>
        <v>CPM</v>
      </c>
      <c r="AE20" s="338">
        <v>8.8000000000000007</v>
      </c>
      <c r="AF20" s="340">
        <f t="shared" si="3"/>
        <v>9772727.2727272715</v>
      </c>
      <c r="AG20" s="333"/>
      <c r="AH20" s="333"/>
      <c r="AI20" s="342" t="s">
        <v>331</v>
      </c>
      <c r="AJ20" s="333"/>
      <c r="AK20" s="333"/>
      <c r="AL20" s="333"/>
    </row>
    <row r="21" spans="1:38" ht="15.75" customHeight="1">
      <c r="A21" s="330" t="s">
        <v>308</v>
      </c>
      <c r="B21" s="331" t="s">
        <v>309</v>
      </c>
      <c r="C21" s="332" t="s">
        <v>310</v>
      </c>
      <c r="D21" s="333" t="s">
        <v>311</v>
      </c>
      <c r="E21" s="331" t="s">
        <v>312</v>
      </c>
      <c r="F21" s="333" t="s">
        <v>313</v>
      </c>
      <c r="G21" s="331" t="s">
        <v>343</v>
      </c>
      <c r="H21" s="331" t="s">
        <v>343</v>
      </c>
      <c r="I21" s="334" t="s">
        <v>344</v>
      </c>
      <c r="J21" s="334" t="s">
        <v>316</v>
      </c>
      <c r="K21" s="331" t="s">
        <v>87</v>
      </c>
      <c r="L21" s="331" t="s">
        <v>317</v>
      </c>
      <c r="M21" s="335">
        <v>44287</v>
      </c>
      <c r="N21" s="335">
        <v>44377</v>
      </c>
      <c r="O21" s="333"/>
      <c r="P21" s="334" t="s">
        <v>318</v>
      </c>
      <c r="Q21" s="333" t="s">
        <v>319</v>
      </c>
      <c r="R21" s="333" t="s">
        <v>320</v>
      </c>
      <c r="S21" s="333" t="s">
        <v>320</v>
      </c>
      <c r="T21" s="333" t="s">
        <v>320</v>
      </c>
      <c r="U21" s="333" t="s">
        <v>321</v>
      </c>
      <c r="V21" s="336">
        <v>387060</v>
      </c>
      <c r="W21" s="333" t="s">
        <v>42</v>
      </c>
      <c r="X21" s="346"/>
      <c r="Y21" s="347">
        <f t="shared" si="0"/>
        <v>387060</v>
      </c>
      <c r="Z21" s="339">
        <f t="shared" si="1"/>
        <v>43984090.909090906</v>
      </c>
      <c r="AA21" s="333"/>
      <c r="AB21" s="333"/>
      <c r="AC21" s="333"/>
      <c r="AD21" s="333" t="str">
        <f t="shared" si="4"/>
        <v>CPM</v>
      </c>
      <c r="AE21" s="338">
        <v>8.8000000000000007</v>
      </c>
      <c r="AF21" s="340">
        <f t="shared" si="3"/>
        <v>43984090.909090906</v>
      </c>
      <c r="AG21" s="333"/>
      <c r="AH21" s="333"/>
      <c r="AI21" s="333" t="s">
        <v>345</v>
      </c>
      <c r="AJ21" s="333"/>
      <c r="AK21" s="333"/>
      <c r="AL21" s="333"/>
    </row>
    <row r="22" spans="1:38" ht="15.75" customHeight="1"/>
    <row r="23" spans="1:38" ht="15.75" customHeight="1"/>
    <row r="24" spans="1:38" ht="15.75" customHeight="1">
      <c r="V24" s="348"/>
    </row>
    <row r="25" spans="1:38" ht="15.75" customHeight="1">
      <c r="V25" s="348"/>
    </row>
    <row r="26" spans="1:38" ht="15.75" customHeight="1"/>
    <row r="27" spans="1:38" ht="15.75" customHeight="1"/>
    <row r="28" spans="1:38" ht="15.75" customHeight="1"/>
    <row r="29" spans="1:38" ht="15.75" customHeight="1"/>
    <row r="30" spans="1:38" ht="15.75" customHeight="1"/>
    <row r="31" spans="1:38" ht="15.75" customHeight="1"/>
    <row r="32" spans="1:3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9:V10"/>
    <mergeCell ref="W9:AC10"/>
    <mergeCell ref="AD9:AF10"/>
    <mergeCell ref="AG9:AL10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Z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8" max="18" width="25.85546875" customWidth="1"/>
    <col min="27" max="50" width="6.140625" customWidth="1"/>
    <col min="51" max="51" width="18.140625" customWidth="1"/>
    <col min="52" max="52" width="6.140625" customWidth="1"/>
  </cols>
  <sheetData>
    <row r="1" spans="1:52" ht="49.5" customHeight="1">
      <c r="A1" s="1"/>
      <c r="B1" s="2"/>
      <c r="C1" s="398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  <c r="AA1" s="362"/>
      <c r="AB1" s="362"/>
    </row>
    <row r="2" spans="1:5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ht="15.75" customHeight="1">
      <c r="A3" s="5" t="s">
        <v>0</v>
      </c>
      <c r="B3" s="6" t="s">
        <v>1</v>
      </c>
      <c r="C3" s="7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5.75" customHeight="1">
      <c r="A4" s="5" t="s">
        <v>2</v>
      </c>
      <c r="B4" s="6" t="s">
        <v>3</v>
      </c>
      <c r="C4" s="8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10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ht="15.75" customHeight="1">
      <c r="A5" s="5" t="s">
        <v>4</v>
      </c>
      <c r="B5" s="11">
        <v>2198126</v>
      </c>
      <c r="C5" s="12">
        <v>2198126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10"/>
      <c r="W5" s="13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ht="15.75" customHeight="1">
      <c r="A6" s="5" t="s">
        <v>5</v>
      </c>
      <c r="B6" s="6" t="s">
        <v>6</v>
      </c>
      <c r="C6" s="1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15"/>
      <c r="V6" s="10"/>
      <c r="W6" s="10"/>
      <c r="X6" s="9"/>
      <c r="Y6" s="9"/>
      <c r="Z6" s="9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ht="15.75" customHeight="1">
      <c r="A7" s="7"/>
      <c r="B7" s="6" t="s">
        <v>7</v>
      </c>
      <c r="C7" s="17" t="s">
        <v>8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399" t="s">
        <v>9</v>
      </c>
      <c r="AB7" s="362"/>
      <c r="AC7" s="362"/>
      <c r="AD7" s="362"/>
      <c r="AE7" s="362"/>
      <c r="AF7" s="362"/>
      <c r="AG7" s="400" t="s">
        <v>10</v>
      </c>
      <c r="AH7" s="362"/>
      <c r="AI7" s="362"/>
      <c r="AJ7" s="362"/>
      <c r="AK7" s="362"/>
      <c r="AL7" s="362"/>
      <c r="AM7" s="362"/>
      <c r="AN7" s="362"/>
      <c r="AO7" s="362"/>
      <c r="AP7" s="362"/>
      <c r="AQ7" s="362"/>
      <c r="AR7" s="362"/>
      <c r="AS7" s="362"/>
      <c r="AT7" s="362"/>
      <c r="AU7" s="362"/>
      <c r="AV7" s="362"/>
      <c r="AW7" s="401" t="s">
        <v>11</v>
      </c>
      <c r="AX7" s="362"/>
      <c r="AY7" s="16"/>
      <c r="AZ7" s="16"/>
    </row>
    <row r="8" spans="1:52" ht="15.75" customHeight="1">
      <c r="A8" s="7"/>
      <c r="B8" s="18" t="s">
        <v>12</v>
      </c>
      <c r="C8" s="19" t="s">
        <v>13</v>
      </c>
      <c r="D8" s="19" t="s">
        <v>14</v>
      </c>
      <c r="E8" s="7"/>
      <c r="F8" s="7"/>
      <c r="G8" s="7"/>
      <c r="H8" s="7"/>
      <c r="I8" s="7"/>
      <c r="J8" s="7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1"/>
      <c r="AB8" s="22"/>
      <c r="AC8" s="22"/>
      <c r="AD8" s="22"/>
      <c r="AE8" s="22"/>
      <c r="AF8" s="23"/>
      <c r="AG8" s="21"/>
      <c r="AH8" s="22"/>
      <c r="AI8" s="22"/>
      <c r="AJ8" s="23"/>
      <c r="AK8" s="21"/>
      <c r="AL8" s="22"/>
      <c r="AM8" s="22"/>
      <c r="AN8" s="23"/>
      <c r="AO8" s="21"/>
      <c r="AP8" s="22"/>
      <c r="AQ8" s="22"/>
      <c r="AR8" s="23"/>
      <c r="AS8" s="21"/>
      <c r="AT8" s="22"/>
      <c r="AU8" s="22"/>
      <c r="AV8" s="23"/>
      <c r="AW8" s="21"/>
      <c r="AX8" s="23"/>
      <c r="AY8" s="24"/>
      <c r="AZ8" s="24"/>
    </row>
    <row r="9" spans="1:52" ht="15.75" customHeight="1">
      <c r="A9" s="7"/>
      <c r="B9" s="25">
        <v>16000000</v>
      </c>
      <c r="C9" s="25">
        <f>B9*D9</f>
        <v>10080000</v>
      </c>
      <c r="D9" s="26">
        <v>0.63</v>
      </c>
      <c r="E9" s="7"/>
      <c r="F9" s="7"/>
      <c r="G9" s="7"/>
      <c r="H9" s="7"/>
      <c r="I9" s="7"/>
      <c r="J9" s="7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 t="s">
        <v>15</v>
      </c>
      <c r="V9" s="20"/>
      <c r="W9" s="20"/>
      <c r="X9" s="20"/>
      <c r="Y9" s="20" t="s">
        <v>16</v>
      </c>
      <c r="Z9" s="20"/>
      <c r="AA9" s="387" t="s">
        <v>17</v>
      </c>
      <c r="AB9" s="362"/>
      <c r="AC9" s="388" t="s">
        <v>18</v>
      </c>
      <c r="AD9" s="362"/>
      <c r="AE9" s="362"/>
      <c r="AF9" s="386"/>
      <c r="AG9" s="387" t="s">
        <v>19</v>
      </c>
      <c r="AH9" s="362"/>
      <c r="AI9" s="362"/>
      <c r="AJ9" s="386"/>
      <c r="AK9" s="387" t="s">
        <v>20</v>
      </c>
      <c r="AL9" s="362"/>
      <c r="AM9" s="362"/>
      <c r="AN9" s="386"/>
      <c r="AO9" s="387" t="s">
        <v>21</v>
      </c>
      <c r="AP9" s="362"/>
      <c r="AQ9" s="362"/>
      <c r="AR9" s="386"/>
      <c r="AS9" s="387" t="s">
        <v>22</v>
      </c>
      <c r="AT9" s="362"/>
      <c r="AU9" s="362"/>
      <c r="AV9" s="386"/>
      <c r="AW9" s="387" t="s">
        <v>23</v>
      </c>
      <c r="AX9" s="386"/>
      <c r="AY9" s="388" t="s">
        <v>24</v>
      </c>
      <c r="AZ9" s="362"/>
    </row>
    <row r="10" spans="1:52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44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3" t="s">
        <v>49</v>
      </c>
      <c r="AP10" s="34" t="s">
        <v>50</v>
      </c>
      <c r="AQ10" s="34" t="s">
        <v>47</v>
      </c>
      <c r="AR10" s="35" t="s">
        <v>48</v>
      </c>
      <c r="AS10" s="33" t="s">
        <v>49</v>
      </c>
      <c r="AT10" s="34" t="s">
        <v>50</v>
      </c>
      <c r="AU10" s="34" t="s">
        <v>47</v>
      </c>
      <c r="AV10" s="35" t="s">
        <v>48</v>
      </c>
      <c r="AW10" s="33" t="s">
        <v>49</v>
      </c>
      <c r="AX10" s="35" t="s">
        <v>50</v>
      </c>
      <c r="AY10" s="389"/>
      <c r="AZ10" s="362"/>
    </row>
    <row r="11" spans="1:52" ht="15.75" customHeight="1">
      <c r="A11" s="36"/>
      <c r="B11" s="37"/>
      <c r="C11" s="38"/>
      <c r="D11" s="39"/>
      <c r="E11" s="40"/>
      <c r="F11" s="360" t="s">
        <v>51</v>
      </c>
      <c r="G11" s="42"/>
      <c r="H11" s="377">
        <f>E13*G13</f>
        <v>659437.79999999993</v>
      </c>
      <c r="I11" s="360" t="s">
        <v>52</v>
      </c>
      <c r="J11" s="396" t="s">
        <v>53</v>
      </c>
      <c r="K11" s="360" t="s">
        <v>54</v>
      </c>
      <c r="L11" s="353" t="s">
        <v>55</v>
      </c>
      <c r="M11" s="43">
        <v>1</v>
      </c>
      <c r="N11" s="43">
        <v>1</v>
      </c>
      <c r="O11" s="43">
        <f t="shared" ref="O11:O16" si="0">M11*N11</f>
        <v>1</v>
      </c>
      <c r="P11" s="355">
        <v>0.2</v>
      </c>
      <c r="Q11" s="365">
        <f>H11*P11</f>
        <v>131887.56</v>
      </c>
      <c r="R11" s="366" t="s">
        <v>56</v>
      </c>
      <c r="S11" s="402"/>
      <c r="T11" s="44"/>
      <c r="U11" s="44"/>
      <c r="V11" s="367">
        <v>4.8499999999999996</v>
      </c>
      <c r="W11" s="44"/>
      <c r="X11" s="44"/>
      <c r="Y11" s="44"/>
      <c r="Z11" s="45">
        <f>Q11*V11</f>
        <v>639654.66599999997</v>
      </c>
      <c r="AA11" s="411">
        <f>Q11</f>
        <v>131887.56</v>
      </c>
      <c r="AB11" s="380"/>
      <c r="AC11" s="395"/>
      <c r="AD11" s="362"/>
      <c r="AE11" s="362"/>
      <c r="AF11" s="386"/>
      <c r="AG11" s="46"/>
      <c r="AH11" s="47"/>
      <c r="AI11" s="47"/>
      <c r="AJ11" s="48"/>
      <c r="AK11" s="46"/>
      <c r="AL11" s="47"/>
      <c r="AM11" s="47"/>
      <c r="AN11" s="48"/>
      <c r="AO11" s="46"/>
      <c r="AP11" s="47"/>
      <c r="AQ11" s="47"/>
      <c r="AR11" s="48"/>
      <c r="AS11" s="46"/>
      <c r="AT11" s="47"/>
      <c r="AU11" s="47"/>
      <c r="AV11" s="48"/>
      <c r="AW11" s="46"/>
      <c r="AX11" s="48"/>
      <c r="AY11" s="390">
        <f>AA11</f>
        <v>131887.56</v>
      </c>
      <c r="AZ11" s="380"/>
    </row>
    <row r="12" spans="1:52" ht="15.75" customHeight="1">
      <c r="A12" s="36"/>
      <c r="B12" s="37"/>
      <c r="C12" s="38"/>
      <c r="D12" s="39"/>
      <c r="E12" s="40"/>
      <c r="F12" s="350"/>
      <c r="G12" s="42"/>
      <c r="H12" s="350"/>
      <c r="I12" s="350"/>
      <c r="J12" s="354"/>
      <c r="K12" s="351"/>
      <c r="L12" s="354"/>
      <c r="M12" s="43">
        <v>1</v>
      </c>
      <c r="N12" s="43">
        <v>1</v>
      </c>
      <c r="O12" s="43">
        <f t="shared" si="0"/>
        <v>1</v>
      </c>
      <c r="P12" s="351"/>
      <c r="Q12" s="351"/>
      <c r="R12" s="351"/>
      <c r="S12" s="351"/>
      <c r="T12" s="44"/>
      <c r="U12" s="44"/>
      <c r="V12" s="351"/>
      <c r="W12" s="44"/>
      <c r="X12" s="44"/>
      <c r="Y12" s="44"/>
      <c r="Z12" s="45"/>
      <c r="AA12" s="381"/>
      <c r="AB12" s="354"/>
      <c r="AC12" s="395"/>
      <c r="AD12" s="362"/>
      <c r="AE12" s="362"/>
      <c r="AF12" s="386"/>
      <c r="AG12" s="46"/>
      <c r="AH12" s="47"/>
      <c r="AI12" s="47"/>
      <c r="AJ12" s="48"/>
      <c r="AK12" s="46"/>
      <c r="AL12" s="47"/>
      <c r="AM12" s="47"/>
      <c r="AN12" s="48"/>
      <c r="AO12" s="46"/>
      <c r="AP12" s="47"/>
      <c r="AQ12" s="47"/>
      <c r="AR12" s="48"/>
      <c r="AS12" s="46"/>
      <c r="AT12" s="47"/>
      <c r="AU12" s="47"/>
      <c r="AV12" s="48"/>
      <c r="AW12" s="46"/>
      <c r="AX12" s="48"/>
      <c r="AY12" s="384"/>
      <c r="AZ12" s="354"/>
    </row>
    <row r="13" spans="1:52" ht="15.75" customHeight="1">
      <c r="A13" s="356" t="s">
        <v>57</v>
      </c>
      <c r="B13" s="357" t="s">
        <v>58</v>
      </c>
      <c r="C13" s="358" t="s">
        <v>59</v>
      </c>
      <c r="D13" s="359">
        <v>0.6</v>
      </c>
      <c r="E13" s="349">
        <f>B5*D13</f>
        <v>1318875.5999999999</v>
      </c>
      <c r="F13" s="350"/>
      <c r="G13" s="352">
        <v>0.5</v>
      </c>
      <c r="H13" s="350"/>
      <c r="I13" s="350"/>
      <c r="J13" s="360" t="s">
        <v>60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55">
        <v>0.2</v>
      </c>
      <c r="Q13" s="365">
        <f>H11*P13</f>
        <v>131887.56</v>
      </c>
      <c r="R13" s="366" t="s">
        <v>43</v>
      </c>
      <c r="S13" s="367">
        <v>0.3</v>
      </c>
      <c r="T13" s="50"/>
      <c r="U13" s="50"/>
      <c r="V13" s="367">
        <v>4.8499999999999996</v>
      </c>
      <c r="W13" s="378">
        <f>Q13/S13</f>
        <v>439625.2</v>
      </c>
      <c r="X13" s="50"/>
      <c r="Y13" s="50"/>
      <c r="Z13" s="368">
        <f>Q13/V13*1000</f>
        <v>27193311.340206187</v>
      </c>
      <c r="AA13" s="379"/>
      <c r="AB13" s="380"/>
      <c r="AC13" s="382">
        <f>Q13</f>
        <v>131887.56</v>
      </c>
      <c r="AD13" s="380"/>
      <c r="AE13" s="380"/>
      <c r="AF13" s="383"/>
      <c r="AG13" s="361"/>
      <c r="AH13" s="362"/>
      <c r="AI13" s="362"/>
      <c r="AJ13" s="386"/>
      <c r="AK13" s="361"/>
      <c r="AL13" s="362"/>
      <c r="AM13" s="362"/>
      <c r="AN13" s="386"/>
      <c r="AO13" s="361"/>
      <c r="AP13" s="362"/>
      <c r="AQ13" s="362"/>
      <c r="AR13" s="386"/>
      <c r="AS13" s="361"/>
      <c r="AT13" s="362"/>
      <c r="AU13" s="362"/>
      <c r="AV13" s="386"/>
      <c r="AW13" s="361"/>
      <c r="AX13" s="386"/>
      <c r="AY13" s="390">
        <f>AC13</f>
        <v>131887.56</v>
      </c>
      <c r="AZ13" s="380"/>
    </row>
    <row r="14" spans="1:52" ht="15.75" customHeight="1">
      <c r="A14" s="350"/>
      <c r="B14" s="350"/>
      <c r="C14" s="350"/>
      <c r="D14" s="350"/>
      <c r="E14" s="350"/>
      <c r="F14" s="350"/>
      <c r="G14" s="350"/>
      <c r="H14" s="350"/>
      <c r="I14" s="351"/>
      <c r="J14" s="350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51"/>
      <c r="Q14" s="351"/>
      <c r="R14" s="351"/>
      <c r="S14" s="351"/>
      <c r="T14" s="50"/>
      <c r="U14" s="50"/>
      <c r="V14" s="351"/>
      <c r="W14" s="351"/>
      <c r="X14" s="50"/>
      <c r="Y14" s="50"/>
      <c r="Z14" s="370"/>
      <c r="AA14" s="381"/>
      <c r="AB14" s="354"/>
      <c r="AC14" s="384"/>
      <c r="AD14" s="354"/>
      <c r="AE14" s="354"/>
      <c r="AF14" s="385"/>
      <c r="AG14" s="361"/>
      <c r="AH14" s="362"/>
      <c r="AI14" s="362"/>
      <c r="AJ14" s="386"/>
      <c r="AK14" s="361"/>
      <c r="AL14" s="362"/>
      <c r="AM14" s="362"/>
      <c r="AN14" s="386"/>
      <c r="AO14" s="361"/>
      <c r="AP14" s="362"/>
      <c r="AQ14" s="362"/>
      <c r="AR14" s="386"/>
      <c r="AS14" s="361"/>
      <c r="AT14" s="362"/>
      <c r="AU14" s="362"/>
      <c r="AV14" s="386"/>
      <c r="AW14" s="361"/>
      <c r="AX14" s="386"/>
      <c r="AY14" s="384"/>
      <c r="AZ14" s="354"/>
    </row>
    <row r="15" spans="1:52" ht="15.75" customHeight="1">
      <c r="A15" s="350"/>
      <c r="B15" s="350"/>
      <c r="C15" s="350"/>
      <c r="D15" s="350"/>
      <c r="E15" s="350"/>
      <c r="F15" s="350"/>
      <c r="G15" s="350"/>
      <c r="H15" s="350"/>
      <c r="I15" s="360" t="s">
        <v>64</v>
      </c>
      <c r="J15" s="350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55">
        <v>0.2</v>
      </c>
      <c r="Q15" s="365">
        <f>H11*P15</f>
        <v>131887.56</v>
      </c>
      <c r="R15" s="366" t="s">
        <v>43</v>
      </c>
      <c r="S15" s="367">
        <v>0.3</v>
      </c>
      <c r="T15" s="50"/>
      <c r="U15" s="50"/>
      <c r="V15" s="367">
        <v>4.8499999999999996</v>
      </c>
      <c r="W15" s="378">
        <f>Q15/S15</f>
        <v>439625.2</v>
      </c>
      <c r="X15" s="50"/>
      <c r="Y15" s="50"/>
      <c r="Z15" s="368">
        <f>Q15/V15*1000</f>
        <v>27193311.340206187</v>
      </c>
      <c r="AA15" s="46"/>
      <c r="AB15" s="47"/>
      <c r="AC15" s="395"/>
      <c r="AD15" s="362"/>
      <c r="AE15" s="362"/>
      <c r="AF15" s="386"/>
      <c r="AG15" s="403">
        <v>42971.89</v>
      </c>
      <c r="AH15" s="380"/>
      <c r="AI15" s="380"/>
      <c r="AJ15" s="383"/>
      <c r="AK15" s="403">
        <v>32971.89</v>
      </c>
      <c r="AL15" s="380"/>
      <c r="AM15" s="380"/>
      <c r="AN15" s="383"/>
      <c r="AO15" s="403">
        <v>32971.89</v>
      </c>
      <c r="AP15" s="380"/>
      <c r="AQ15" s="380"/>
      <c r="AR15" s="383"/>
      <c r="AS15" s="403">
        <v>22971.89</v>
      </c>
      <c r="AT15" s="380"/>
      <c r="AU15" s="380"/>
      <c r="AV15" s="383"/>
      <c r="AW15" s="361"/>
      <c r="AX15" s="386"/>
      <c r="AY15" s="390">
        <f>AG15+AK15+AO15+AS15</f>
        <v>131887.56</v>
      </c>
      <c r="AZ15" s="380"/>
    </row>
    <row r="16" spans="1:52" ht="15.75" customHeight="1">
      <c r="A16" s="350"/>
      <c r="B16" s="350"/>
      <c r="C16" s="350"/>
      <c r="D16" s="350"/>
      <c r="E16" s="350"/>
      <c r="F16" s="350"/>
      <c r="G16" s="350"/>
      <c r="H16" s="350"/>
      <c r="I16" s="350"/>
      <c r="J16" s="350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51"/>
      <c r="Q16" s="351"/>
      <c r="R16" s="351"/>
      <c r="S16" s="351"/>
      <c r="T16" s="50"/>
      <c r="U16" s="50"/>
      <c r="V16" s="351"/>
      <c r="W16" s="351"/>
      <c r="X16" s="50"/>
      <c r="Y16" s="50"/>
      <c r="Z16" s="370"/>
      <c r="AA16" s="361"/>
      <c r="AB16" s="362"/>
      <c r="AC16" s="395"/>
      <c r="AD16" s="362"/>
      <c r="AE16" s="362"/>
      <c r="AF16" s="386"/>
      <c r="AG16" s="381"/>
      <c r="AH16" s="354"/>
      <c r="AI16" s="354"/>
      <c r="AJ16" s="385"/>
      <c r="AK16" s="381"/>
      <c r="AL16" s="354"/>
      <c r="AM16" s="354"/>
      <c r="AN16" s="385"/>
      <c r="AO16" s="381"/>
      <c r="AP16" s="354"/>
      <c r="AQ16" s="354"/>
      <c r="AR16" s="385"/>
      <c r="AS16" s="381"/>
      <c r="AT16" s="354"/>
      <c r="AU16" s="354"/>
      <c r="AV16" s="385"/>
      <c r="AW16" s="361"/>
      <c r="AX16" s="386"/>
      <c r="AY16" s="384"/>
      <c r="AZ16" s="354"/>
    </row>
    <row r="17" spans="1:52" ht="15.75" customHeight="1">
      <c r="A17" s="350"/>
      <c r="B17" s="350"/>
      <c r="C17" s="350"/>
      <c r="D17" s="350"/>
      <c r="E17" s="350"/>
      <c r="F17" s="350"/>
      <c r="G17" s="350"/>
      <c r="H17" s="350"/>
      <c r="I17" s="351"/>
      <c r="J17" s="350"/>
      <c r="K17" s="40" t="s">
        <v>132</v>
      </c>
      <c r="L17" s="49" t="s">
        <v>72</v>
      </c>
      <c r="M17" s="43" t="s">
        <v>69</v>
      </c>
      <c r="N17" s="43" t="s">
        <v>69</v>
      </c>
      <c r="O17" s="43" t="s">
        <v>69</v>
      </c>
      <c r="P17" s="51">
        <v>0.28000000000000003</v>
      </c>
      <c r="Q17" s="52">
        <f>H11*P17</f>
        <v>184642.584</v>
      </c>
      <c r="R17" s="53" t="s">
        <v>43</v>
      </c>
      <c r="S17" s="54">
        <v>0.3</v>
      </c>
      <c r="T17" s="50"/>
      <c r="U17" s="50"/>
      <c r="V17" s="54">
        <v>4.8499999999999996</v>
      </c>
      <c r="W17" s="43">
        <f t="shared" ref="W17:W18" si="1">Q17/S17</f>
        <v>615475.28</v>
      </c>
      <c r="X17" s="50"/>
      <c r="Y17" s="50"/>
      <c r="Z17" s="55">
        <f t="shared" ref="Z17:Z18" si="2">Q17/V17*1000</f>
        <v>38070635.876288667</v>
      </c>
      <c r="AA17" s="361"/>
      <c r="AB17" s="362"/>
      <c r="AC17" s="395"/>
      <c r="AD17" s="362"/>
      <c r="AE17" s="362"/>
      <c r="AF17" s="386"/>
      <c r="AG17" s="397">
        <v>61547.527999999998</v>
      </c>
      <c r="AH17" s="362"/>
      <c r="AI17" s="362"/>
      <c r="AJ17" s="386"/>
      <c r="AK17" s="397">
        <v>51547.527999999998</v>
      </c>
      <c r="AL17" s="362"/>
      <c r="AM17" s="362"/>
      <c r="AN17" s="386"/>
      <c r="AO17" s="397">
        <v>51547.527999999998</v>
      </c>
      <c r="AP17" s="362"/>
      <c r="AQ17" s="362"/>
      <c r="AR17" s="386"/>
      <c r="AS17" s="397">
        <v>20000</v>
      </c>
      <c r="AT17" s="362"/>
      <c r="AU17" s="362"/>
      <c r="AV17" s="386"/>
      <c r="AW17" s="361"/>
      <c r="AX17" s="386"/>
      <c r="AY17" s="391">
        <f>AK17+AO17+AS17+AG17</f>
        <v>184642.584</v>
      </c>
      <c r="AZ17" s="362"/>
    </row>
    <row r="18" spans="1:52" ht="15.75" customHeight="1">
      <c r="A18" s="350"/>
      <c r="B18" s="350"/>
      <c r="C18" s="350"/>
      <c r="D18" s="350"/>
      <c r="E18" s="350"/>
      <c r="F18" s="350"/>
      <c r="G18" s="350"/>
      <c r="H18" s="350"/>
      <c r="I18" s="360" t="s">
        <v>70</v>
      </c>
      <c r="J18" s="350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55">
        <v>0.12</v>
      </c>
      <c r="Q18" s="365">
        <f>H11*P18</f>
        <v>79132.535999999993</v>
      </c>
      <c r="R18" s="366" t="s">
        <v>43</v>
      </c>
      <c r="S18" s="367">
        <v>0.3</v>
      </c>
      <c r="T18" s="50"/>
      <c r="U18" s="50"/>
      <c r="V18" s="367">
        <v>4.8499999999999996</v>
      </c>
      <c r="W18" s="378">
        <f t="shared" si="1"/>
        <v>263775.12</v>
      </c>
      <c r="X18" s="50"/>
      <c r="Y18" s="50"/>
      <c r="Z18" s="368">
        <f t="shared" si="2"/>
        <v>16315986.804123711</v>
      </c>
      <c r="AA18" s="361"/>
      <c r="AB18" s="362"/>
      <c r="AC18" s="395"/>
      <c r="AD18" s="362"/>
      <c r="AE18" s="362"/>
      <c r="AF18" s="386"/>
      <c r="AG18" s="361"/>
      <c r="AH18" s="362"/>
      <c r="AI18" s="362"/>
      <c r="AJ18" s="386"/>
      <c r="AK18" s="404">
        <f>Q18/2</f>
        <v>39566.267999999996</v>
      </c>
      <c r="AL18" s="380"/>
      <c r="AM18" s="380"/>
      <c r="AN18" s="383"/>
      <c r="AO18" s="404">
        <f>Q18/2</f>
        <v>39566.267999999996</v>
      </c>
      <c r="AP18" s="380"/>
      <c r="AQ18" s="380"/>
      <c r="AR18" s="383"/>
      <c r="AS18" s="361"/>
      <c r="AT18" s="362"/>
      <c r="AU18" s="362"/>
      <c r="AV18" s="386"/>
      <c r="AW18" s="361"/>
      <c r="AX18" s="386"/>
      <c r="AY18" s="390">
        <f>AK18+AO18</f>
        <v>79132.535999999993</v>
      </c>
      <c r="AZ18" s="380"/>
    </row>
    <row r="19" spans="1:52" ht="15.75" customHeight="1">
      <c r="A19" s="350"/>
      <c r="B19" s="350"/>
      <c r="C19" s="350"/>
      <c r="D19" s="350"/>
      <c r="E19" s="350"/>
      <c r="F19" s="351"/>
      <c r="G19" s="351"/>
      <c r="H19" s="351"/>
      <c r="I19" s="351"/>
      <c r="J19" s="351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51"/>
      <c r="Q19" s="351"/>
      <c r="R19" s="351"/>
      <c r="S19" s="351"/>
      <c r="T19" s="50"/>
      <c r="U19" s="50"/>
      <c r="V19" s="351"/>
      <c r="W19" s="351"/>
      <c r="X19" s="50"/>
      <c r="Y19" s="50"/>
      <c r="Z19" s="370"/>
      <c r="AA19" s="361"/>
      <c r="AB19" s="362"/>
      <c r="AC19" s="395"/>
      <c r="AD19" s="362"/>
      <c r="AE19" s="362"/>
      <c r="AF19" s="386"/>
      <c r="AG19" s="361"/>
      <c r="AH19" s="362"/>
      <c r="AI19" s="362"/>
      <c r="AJ19" s="386"/>
      <c r="AK19" s="381"/>
      <c r="AL19" s="354"/>
      <c r="AM19" s="354"/>
      <c r="AN19" s="385"/>
      <c r="AO19" s="381"/>
      <c r="AP19" s="354"/>
      <c r="AQ19" s="354"/>
      <c r="AR19" s="385"/>
      <c r="AS19" s="361"/>
      <c r="AT19" s="362"/>
      <c r="AU19" s="362"/>
      <c r="AV19" s="386"/>
      <c r="AW19" s="361"/>
      <c r="AX19" s="386"/>
      <c r="AY19" s="384"/>
      <c r="AZ19" s="354"/>
    </row>
    <row r="20" spans="1:52" ht="6.75" customHeight="1">
      <c r="A20" s="350"/>
      <c r="B20" s="350"/>
      <c r="C20" s="350"/>
      <c r="D20" s="350"/>
      <c r="E20" s="350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65"/>
      <c r="AP20" s="66"/>
      <c r="AQ20" s="66"/>
      <c r="AR20" s="67"/>
      <c r="AS20" s="65"/>
      <c r="AT20" s="66"/>
      <c r="AU20" s="66"/>
      <c r="AV20" s="67"/>
      <c r="AW20" s="65"/>
      <c r="AX20" s="67"/>
      <c r="AY20" s="66"/>
      <c r="AZ20" s="66"/>
    </row>
    <row r="21" spans="1:52" ht="15.75" customHeight="1">
      <c r="A21" s="350"/>
      <c r="B21" s="350"/>
      <c r="C21" s="350"/>
      <c r="D21" s="350"/>
      <c r="E21" s="350"/>
      <c r="F21" s="371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43</v>
      </c>
      <c r="S21" s="54">
        <v>0.34</v>
      </c>
      <c r="T21" s="50"/>
      <c r="U21" s="50"/>
      <c r="V21" s="54">
        <f t="shared" ref="V21:V24" si="4">189/4</f>
        <v>47.25</v>
      </c>
      <c r="W21" s="43">
        <f t="shared" ref="W21:W24" si="5">Q21/S21</f>
        <v>426695.04705882346</v>
      </c>
      <c r="X21" s="50"/>
      <c r="Y21" s="50"/>
      <c r="Z21" s="55">
        <f t="shared" ref="Z21:Z24" si="6">Q21/V21*1000</f>
        <v>3070398.222222222</v>
      </c>
      <c r="AA21" s="361"/>
      <c r="AB21" s="362"/>
      <c r="AC21" s="405">
        <v>145076.31599999999</v>
      </c>
      <c r="AD21" s="362"/>
      <c r="AE21" s="362"/>
      <c r="AF21" s="386"/>
      <c r="AG21" s="361"/>
      <c r="AH21" s="362"/>
      <c r="AI21" s="362"/>
      <c r="AJ21" s="386"/>
      <c r="AK21" s="361"/>
      <c r="AL21" s="362"/>
      <c r="AM21" s="362"/>
      <c r="AN21" s="386"/>
      <c r="AO21" s="361"/>
      <c r="AP21" s="362"/>
      <c r="AQ21" s="362"/>
      <c r="AR21" s="386"/>
      <c r="AS21" s="361"/>
      <c r="AT21" s="362"/>
      <c r="AU21" s="362"/>
      <c r="AV21" s="386"/>
      <c r="AW21" s="361"/>
      <c r="AX21" s="386"/>
      <c r="AY21" s="391">
        <f>AC21</f>
        <v>145076.31599999999</v>
      </c>
      <c r="AZ21" s="362"/>
    </row>
    <row r="22" spans="1:52" ht="15.75" customHeight="1">
      <c r="A22" s="350"/>
      <c r="B22" s="350"/>
      <c r="C22" s="350"/>
      <c r="D22" s="350"/>
      <c r="E22" s="350"/>
      <c r="F22" s="350"/>
      <c r="G22" s="68"/>
      <c r="H22" s="372">
        <f>E13*G24</f>
        <v>659437.79999999993</v>
      </c>
      <c r="I22" s="373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43</v>
      </c>
      <c r="S22" s="54">
        <v>0.34</v>
      </c>
      <c r="T22" s="50"/>
      <c r="U22" s="50"/>
      <c r="V22" s="54">
        <f t="shared" si="4"/>
        <v>47.25</v>
      </c>
      <c r="W22" s="43">
        <f t="shared" si="5"/>
        <v>678833.02941176447</v>
      </c>
      <c r="X22" s="50"/>
      <c r="Y22" s="50"/>
      <c r="Z22" s="55">
        <f t="shared" si="6"/>
        <v>4884724.4444444431</v>
      </c>
      <c r="AA22" s="361"/>
      <c r="AB22" s="362"/>
      <c r="AC22" s="412">
        <v>100401.61500000001</v>
      </c>
      <c r="AD22" s="362"/>
      <c r="AE22" s="362"/>
      <c r="AF22" s="386"/>
      <c r="AG22" s="406">
        <v>130401.61500000001</v>
      </c>
      <c r="AH22" s="362"/>
      <c r="AI22" s="362"/>
      <c r="AJ22" s="386"/>
      <c r="AK22" s="361"/>
      <c r="AL22" s="362"/>
      <c r="AM22" s="362"/>
      <c r="AN22" s="386"/>
      <c r="AO22" s="361"/>
      <c r="AP22" s="362"/>
      <c r="AQ22" s="362"/>
      <c r="AR22" s="386"/>
      <c r="AS22" s="361"/>
      <c r="AT22" s="362"/>
      <c r="AU22" s="362"/>
      <c r="AV22" s="386"/>
      <c r="AW22" s="361"/>
      <c r="AX22" s="386"/>
      <c r="AY22" s="391">
        <f>AC22+AG22</f>
        <v>230803.23</v>
      </c>
      <c r="AZ22" s="362"/>
    </row>
    <row r="23" spans="1:52" ht="15.75" customHeight="1">
      <c r="A23" s="350"/>
      <c r="B23" s="350"/>
      <c r="C23" s="350"/>
      <c r="D23" s="350"/>
      <c r="E23" s="350"/>
      <c r="F23" s="350"/>
      <c r="G23" s="68"/>
      <c r="H23" s="369"/>
      <c r="I23" s="374"/>
      <c r="J23" s="375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7">M23*N23</f>
        <v>9</v>
      </c>
      <c r="P23" s="51">
        <v>0.18</v>
      </c>
      <c r="Q23" s="52">
        <f>H22*P23</f>
        <v>118698.80399999999</v>
      </c>
      <c r="R23" s="53" t="s">
        <v>43</v>
      </c>
      <c r="S23" s="54">
        <v>0.34</v>
      </c>
      <c r="T23" s="50"/>
      <c r="U23" s="50"/>
      <c r="V23" s="54">
        <f t="shared" si="4"/>
        <v>47.25</v>
      </c>
      <c r="W23" s="43">
        <f t="shared" si="5"/>
        <v>349114.12941176468</v>
      </c>
      <c r="X23" s="50"/>
      <c r="Y23" s="50"/>
      <c r="Z23" s="55">
        <f t="shared" si="6"/>
        <v>2512144</v>
      </c>
      <c r="AA23" s="361"/>
      <c r="AB23" s="362"/>
      <c r="AC23" s="395"/>
      <c r="AD23" s="362"/>
      <c r="AE23" s="362"/>
      <c r="AF23" s="386"/>
      <c r="AG23" s="361"/>
      <c r="AH23" s="362"/>
      <c r="AI23" s="362"/>
      <c r="AJ23" s="386"/>
      <c r="AK23" s="406">
        <f>(Q23/3)*2</f>
        <v>79132.535999999993</v>
      </c>
      <c r="AL23" s="362"/>
      <c r="AM23" s="362"/>
      <c r="AN23" s="386"/>
      <c r="AO23" s="406">
        <v>39566.267999999996</v>
      </c>
      <c r="AP23" s="362"/>
      <c r="AQ23" s="362"/>
      <c r="AR23" s="386"/>
      <c r="AS23" s="361"/>
      <c r="AT23" s="362"/>
      <c r="AU23" s="362"/>
      <c r="AV23" s="386"/>
      <c r="AW23" s="361"/>
      <c r="AX23" s="386"/>
      <c r="AY23" s="391">
        <f>AK23+AO23+AS23</f>
        <v>118698.80399999999</v>
      </c>
      <c r="AZ23" s="362"/>
    </row>
    <row r="24" spans="1:52" ht="15.75" customHeight="1">
      <c r="A24" s="350"/>
      <c r="B24" s="350"/>
      <c r="C24" s="351"/>
      <c r="D24" s="351"/>
      <c r="E24" s="351"/>
      <c r="F24" s="350"/>
      <c r="G24" s="68">
        <v>0.5</v>
      </c>
      <c r="H24" s="369"/>
      <c r="I24" s="73" t="s">
        <v>52</v>
      </c>
      <c r="J24" s="376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7"/>
        <v>6</v>
      </c>
      <c r="P24" s="51">
        <v>0.25</v>
      </c>
      <c r="Q24" s="52">
        <f>H22*P24</f>
        <v>164859.44999999998</v>
      </c>
      <c r="R24" s="53" t="s">
        <v>43</v>
      </c>
      <c r="S24" s="54">
        <v>0.34</v>
      </c>
      <c r="T24" s="50"/>
      <c r="U24" s="50"/>
      <c r="V24" s="54">
        <f t="shared" si="4"/>
        <v>47.25</v>
      </c>
      <c r="W24" s="43">
        <f t="shared" si="5"/>
        <v>484880.73529411753</v>
      </c>
      <c r="X24" s="50"/>
      <c r="Y24" s="50"/>
      <c r="Z24" s="55">
        <f t="shared" si="6"/>
        <v>3489088.8888888885</v>
      </c>
      <c r="AA24" s="361"/>
      <c r="AB24" s="362"/>
      <c r="AC24" s="395"/>
      <c r="AD24" s="362"/>
      <c r="AE24" s="362"/>
      <c r="AF24" s="386"/>
      <c r="AG24" s="405">
        <v>164859.44999999998</v>
      </c>
      <c r="AH24" s="362"/>
      <c r="AI24" s="362"/>
      <c r="AJ24" s="386"/>
      <c r="AK24" s="46"/>
      <c r="AL24" s="47"/>
      <c r="AM24" s="47"/>
      <c r="AN24" s="48"/>
      <c r="AO24" s="46"/>
      <c r="AP24" s="47"/>
      <c r="AQ24" s="47"/>
      <c r="AR24" s="48"/>
      <c r="AS24" s="46"/>
      <c r="AT24" s="47"/>
      <c r="AU24" s="47"/>
      <c r="AV24" s="48"/>
      <c r="AW24" s="46"/>
      <c r="AX24" s="48"/>
      <c r="AY24" s="391">
        <f>AG24</f>
        <v>164859.44999999998</v>
      </c>
      <c r="AZ24" s="362"/>
    </row>
    <row r="25" spans="1:52" ht="7.5" customHeight="1">
      <c r="A25" s="350"/>
      <c r="B25" s="350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85"/>
      <c r="AP25" s="86"/>
      <c r="AQ25" s="86"/>
      <c r="AR25" s="87"/>
      <c r="AS25" s="85"/>
      <c r="AT25" s="86"/>
      <c r="AU25" s="86"/>
      <c r="AV25" s="87"/>
      <c r="AW25" s="85"/>
      <c r="AX25" s="87"/>
      <c r="AY25" s="86"/>
      <c r="AZ25" s="86"/>
    </row>
    <row r="26" spans="1:52" ht="15.75" customHeight="1">
      <c r="A26" s="350"/>
      <c r="B26" s="350"/>
      <c r="C26" s="358" t="s">
        <v>83</v>
      </c>
      <c r="D26" s="359">
        <v>0.4</v>
      </c>
      <c r="E26" s="349">
        <f>B5*D26</f>
        <v>879250.4</v>
      </c>
      <c r="F26" s="414" t="s">
        <v>129</v>
      </c>
      <c r="G26" s="352">
        <v>0.46</v>
      </c>
      <c r="H26" s="377">
        <f>E26*G26</f>
        <v>404455.18400000001</v>
      </c>
      <c r="I26" s="360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8">M26*N26</f>
        <v>1</v>
      </c>
      <c r="P26" s="51">
        <v>0.2</v>
      </c>
      <c r="Q26" s="52">
        <f>H26*P26</f>
        <v>80891.036800000002</v>
      </c>
      <c r="R26" s="89" t="s">
        <v>87</v>
      </c>
      <c r="S26" s="50"/>
      <c r="T26" s="50"/>
      <c r="U26" s="50"/>
      <c r="V26" s="54">
        <v>2.5</v>
      </c>
      <c r="W26" s="50"/>
      <c r="X26" s="50"/>
      <c r="Y26" s="50"/>
      <c r="Z26" s="55">
        <f t="shared" ref="Z26:Z27" si="9">Q26/V26*1000</f>
        <v>32356414.719999999</v>
      </c>
      <c r="AA26" s="413">
        <f>Q26</f>
        <v>80891.036800000002</v>
      </c>
      <c r="AB26" s="362"/>
      <c r="AC26" s="90"/>
      <c r="AD26" s="90"/>
      <c r="AE26" s="90"/>
      <c r="AF26" s="91"/>
      <c r="AG26" s="46"/>
      <c r="AH26" s="47"/>
      <c r="AI26" s="47"/>
      <c r="AJ26" s="48"/>
      <c r="AK26" s="46"/>
      <c r="AL26" s="47"/>
      <c r="AM26" s="47"/>
      <c r="AN26" s="48"/>
      <c r="AO26" s="46"/>
      <c r="AP26" s="47"/>
      <c r="AQ26" s="47"/>
      <c r="AR26" s="48"/>
      <c r="AS26" s="46"/>
      <c r="AT26" s="47"/>
      <c r="AU26" s="47"/>
      <c r="AV26" s="48"/>
      <c r="AW26" s="46"/>
      <c r="AX26" s="48"/>
      <c r="AY26" s="92">
        <f>AA26</f>
        <v>80891.036800000002</v>
      </c>
      <c r="AZ26" s="47"/>
    </row>
    <row r="27" spans="1:52" ht="15.75" customHeight="1">
      <c r="A27" s="350"/>
      <c r="B27" s="350"/>
      <c r="C27" s="350"/>
      <c r="D27" s="350"/>
      <c r="E27" s="350"/>
      <c r="F27" s="350"/>
      <c r="G27" s="350"/>
      <c r="H27" s="350"/>
      <c r="I27" s="350"/>
      <c r="J27" s="360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8"/>
        <v>2</v>
      </c>
      <c r="P27" s="355">
        <v>0.2</v>
      </c>
      <c r="Q27" s="365">
        <f>H26*P27</f>
        <v>80891.036800000002</v>
      </c>
      <c r="R27" s="407" t="s">
        <v>90</v>
      </c>
      <c r="S27" s="367">
        <v>0.5</v>
      </c>
      <c r="T27" s="50"/>
      <c r="U27" s="50"/>
      <c r="V27" s="367">
        <v>2.5</v>
      </c>
      <c r="W27" s="378">
        <f>Q27/S27</f>
        <v>161782.0736</v>
      </c>
      <c r="X27" s="50"/>
      <c r="Y27" s="50"/>
      <c r="Z27" s="368">
        <f t="shared" si="9"/>
        <v>32356414.719999999</v>
      </c>
      <c r="AA27" s="379"/>
      <c r="AB27" s="380"/>
      <c r="AC27" s="382">
        <f>Q27</f>
        <v>80891.036800000002</v>
      </c>
      <c r="AD27" s="380"/>
      <c r="AE27" s="380"/>
      <c r="AF27" s="383"/>
      <c r="AG27" s="46"/>
      <c r="AH27" s="47"/>
      <c r="AI27" s="47"/>
      <c r="AJ27" s="48"/>
      <c r="AK27" s="46"/>
      <c r="AL27" s="47"/>
      <c r="AM27" s="47"/>
      <c r="AN27" s="48"/>
      <c r="AO27" s="46"/>
      <c r="AP27" s="47"/>
      <c r="AQ27" s="47"/>
      <c r="AR27" s="48"/>
      <c r="AS27" s="46"/>
      <c r="AT27" s="47"/>
      <c r="AU27" s="47"/>
      <c r="AV27" s="48"/>
      <c r="AW27" s="46"/>
      <c r="AX27" s="48"/>
      <c r="AY27" s="390">
        <f>AC27</f>
        <v>80891.036800000002</v>
      </c>
      <c r="AZ27" s="380"/>
    </row>
    <row r="28" spans="1:52" ht="15.75" customHeight="1">
      <c r="A28" s="350"/>
      <c r="B28" s="350"/>
      <c r="C28" s="350"/>
      <c r="D28" s="350"/>
      <c r="E28" s="350"/>
      <c r="F28" s="350"/>
      <c r="G28" s="350"/>
      <c r="H28" s="350"/>
      <c r="I28" s="351"/>
      <c r="J28" s="350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8"/>
        <v>2</v>
      </c>
      <c r="P28" s="351"/>
      <c r="Q28" s="351"/>
      <c r="R28" s="351"/>
      <c r="S28" s="351"/>
      <c r="T28" s="50"/>
      <c r="U28" s="50"/>
      <c r="V28" s="351"/>
      <c r="W28" s="351"/>
      <c r="X28" s="50"/>
      <c r="Y28" s="50"/>
      <c r="Z28" s="370"/>
      <c r="AA28" s="381"/>
      <c r="AB28" s="354"/>
      <c r="AC28" s="384"/>
      <c r="AD28" s="354"/>
      <c r="AE28" s="354"/>
      <c r="AF28" s="385"/>
      <c r="AG28" s="46"/>
      <c r="AH28" s="47"/>
      <c r="AI28" s="47"/>
      <c r="AJ28" s="48"/>
      <c r="AK28" s="46"/>
      <c r="AL28" s="47"/>
      <c r="AM28" s="47"/>
      <c r="AN28" s="48"/>
      <c r="AO28" s="46"/>
      <c r="AP28" s="47"/>
      <c r="AQ28" s="47"/>
      <c r="AR28" s="48"/>
      <c r="AS28" s="46"/>
      <c r="AT28" s="47"/>
      <c r="AU28" s="47"/>
      <c r="AV28" s="48"/>
      <c r="AW28" s="46"/>
      <c r="AX28" s="48"/>
      <c r="AY28" s="384"/>
      <c r="AZ28" s="354"/>
    </row>
    <row r="29" spans="1:52" ht="15.75" customHeight="1">
      <c r="A29" s="350"/>
      <c r="B29" s="350"/>
      <c r="C29" s="350"/>
      <c r="D29" s="350"/>
      <c r="E29" s="350"/>
      <c r="F29" s="350"/>
      <c r="G29" s="350"/>
      <c r="H29" s="350"/>
      <c r="I29" s="360" t="s">
        <v>64</v>
      </c>
      <c r="J29" s="350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8"/>
        <v>4</v>
      </c>
      <c r="P29" s="355">
        <v>0.3</v>
      </c>
      <c r="Q29" s="365">
        <f>H26*P29</f>
        <v>121336.5552</v>
      </c>
      <c r="R29" s="407" t="s">
        <v>90</v>
      </c>
      <c r="S29" s="367">
        <v>0.5</v>
      </c>
      <c r="T29" s="50"/>
      <c r="U29" s="50"/>
      <c r="V29" s="367">
        <v>2.5</v>
      </c>
      <c r="W29" s="378">
        <f>Q29/S29</f>
        <v>242673.11040000001</v>
      </c>
      <c r="X29" s="50"/>
      <c r="Y29" s="50"/>
      <c r="Z29" s="368">
        <f>Q29/V29*1000</f>
        <v>48534622.079999998</v>
      </c>
      <c r="AA29" s="46"/>
      <c r="AB29" s="47"/>
      <c r="AC29" s="47"/>
      <c r="AD29" s="47"/>
      <c r="AE29" s="47"/>
      <c r="AF29" s="48"/>
      <c r="AG29" s="403">
        <v>30334.138800000001</v>
      </c>
      <c r="AH29" s="380"/>
      <c r="AI29" s="380"/>
      <c r="AJ29" s="383"/>
      <c r="AK29" s="403">
        <v>40334.138800000001</v>
      </c>
      <c r="AL29" s="380"/>
      <c r="AM29" s="380"/>
      <c r="AN29" s="383"/>
      <c r="AO29" s="403">
        <v>30334.138800000001</v>
      </c>
      <c r="AP29" s="380"/>
      <c r="AQ29" s="380"/>
      <c r="AR29" s="383"/>
      <c r="AS29" s="403">
        <v>20334.138800000001</v>
      </c>
      <c r="AT29" s="380"/>
      <c r="AU29" s="380"/>
      <c r="AV29" s="383"/>
      <c r="AW29" s="46"/>
      <c r="AX29" s="48"/>
      <c r="AY29" s="390">
        <f>AG29+AK29+AO29+AS29</f>
        <v>121336.5552</v>
      </c>
      <c r="AZ29" s="380"/>
    </row>
    <row r="30" spans="1:52" ht="15.75" customHeight="1">
      <c r="A30" s="350"/>
      <c r="B30" s="350"/>
      <c r="C30" s="350"/>
      <c r="D30" s="350"/>
      <c r="E30" s="350"/>
      <c r="F30" s="350"/>
      <c r="G30" s="350"/>
      <c r="H30" s="350"/>
      <c r="I30" s="350"/>
      <c r="J30" s="350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8"/>
        <v>4</v>
      </c>
      <c r="P30" s="351"/>
      <c r="Q30" s="351"/>
      <c r="R30" s="351"/>
      <c r="S30" s="351"/>
      <c r="T30" s="50"/>
      <c r="U30" s="50"/>
      <c r="V30" s="351"/>
      <c r="W30" s="351"/>
      <c r="X30" s="50"/>
      <c r="Y30" s="50"/>
      <c r="Z30" s="370"/>
      <c r="AA30" s="46"/>
      <c r="AB30" s="47"/>
      <c r="AC30" s="47"/>
      <c r="AD30" s="47"/>
      <c r="AE30" s="47"/>
      <c r="AF30" s="48"/>
      <c r="AG30" s="381"/>
      <c r="AH30" s="354"/>
      <c r="AI30" s="354"/>
      <c r="AJ30" s="385"/>
      <c r="AK30" s="381"/>
      <c r="AL30" s="354"/>
      <c r="AM30" s="354"/>
      <c r="AN30" s="385"/>
      <c r="AO30" s="381"/>
      <c r="AP30" s="354"/>
      <c r="AQ30" s="354"/>
      <c r="AR30" s="385"/>
      <c r="AS30" s="381"/>
      <c r="AT30" s="354"/>
      <c r="AU30" s="354"/>
      <c r="AV30" s="385"/>
      <c r="AW30" s="46"/>
      <c r="AX30" s="48"/>
      <c r="AY30" s="384"/>
      <c r="AZ30" s="354"/>
    </row>
    <row r="31" spans="1:52" ht="28.5" customHeight="1">
      <c r="A31" s="350"/>
      <c r="B31" s="350"/>
      <c r="C31" s="350"/>
      <c r="D31" s="350"/>
      <c r="E31" s="350"/>
      <c r="F31" s="350"/>
      <c r="G31" s="351"/>
      <c r="H31" s="351"/>
      <c r="I31" s="351"/>
      <c r="J31" s="350"/>
      <c r="K31" s="40" t="s">
        <v>133</v>
      </c>
      <c r="L31" s="49">
        <v>15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121336.5552</v>
      </c>
      <c r="R31" s="89" t="s">
        <v>90</v>
      </c>
      <c r="S31" s="54">
        <v>0.5</v>
      </c>
      <c r="T31" s="50"/>
      <c r="U31" s="50"/>
      <c r="V31" s="54">
        <v>2.5</v>
      </c>
      <c r="W31" s="43">
        <f>Q31/S31</f>
        <v>242673.11040000001</v>
      </c>
      <c r="X31" s="50"/>
      <c r="Y31" s="50"/>
      <c r="Z31" s="55">
        <f>Q31/V31*1000</f>
        <v>48534622.079999998</v>
      </c>
      <c r="AA31" s="46"/>
      <c r="AB31" s="47"/>
      <c r="AC31" s="47"/>
      <c r="AD31" s="47"/>
      <c r="AE31" s="47"/>
      <c r="AF31" s="48"/>
      <c r="AG31" s="397">
        <f>Q31/3</f>
        <v>40445.518400000001</v>
      </c>
      <c r="AH31" s="362"/>
      <c r="AI31" s="362"/>
      <c r="AJ31" s="386"/>
      <c r="AK31" s="397">
        <f>Q31/3</f>
        <v>40445.518400000001</v>
      </c>
      <c r="AL31" s="362"/>
      <c r="AM31" s="362"/>
      <c r="AN31" s="386"/>
      <c r="AO31" s="397">
        <v>40445.518400000001</v>
      </c>
      <c r="AP31" s="362"/>
      <c r="AQ31" s="362"/>
      <c r="AR31" s="386"/>
      <c r="AS31" s="361"/>
      <c r="AT31" s="362"/>
      <c r="AU31" s="362"/>
      <c r="AV31" s="386"/>
      <c r="AW31" s="46"/>
      <c r="AX31" s="48"/>
      <c r="AY31" s="391">
        <f>AK31+AO31+AS31+AG31</f>
        <v>121336.5552</v>
      </c>
      <c r="AZ31" s="362"/>
    </row>
    <row r="32" spans="1:52" ht="15.75" customHeight="1">
      <c r="A32" s="350"/>
      <c r="B32" s="350"/>
      <c r="C32" s="350"/>
      <c r="D32" s="350"/>
      <c r="E32" s="350"/>
      <c r="F32" s="70" t="s">
        <v>94</v>
      </c>
      <c r="G32" s="93">
        <v>0.2</v>
      </c>
      <c r="H32" s="94">
        <f>E26*G32</f>
        <v>175850.08000000002</v>
      </c>
      <c r="I32" s="95" t="s">
        <v>95</v>
      </c>
      <c r="J32" s="38" t="s">
        <v>96</v>
      </c>
      <c r="K32" s="40" t="s">
        <v>97</v>
      </c>
      <c r="L32" s="53" t="s">
        <v>98</v>
      </c>
      <c r="M32" s="43">
        <v>1</v>
      </c>
      <c r="N32" s="43">
        <v>5</v>
      </c>
      <c r="O32" s="43">
        <f t="shared" ref="O32:O33" si="10">M32*N32</f>
        <v>5</v>
      </c>
      <c r="P32" s="51">
        <v>1</v>
      </c>
      <c r="Q32" s="52">
        <f t="shared" ref="Q32:Q33" si="11">H32*P32</f>
        <v>175850.08000000002</v>
      </c>
      <c r="R32" s="53" t="s">
        <v>99</v>
      </c>
      <c r="S32" s="50"/>
      <c r="T32" s="50"/>
      <c r="U32" s="54">
        <v>1.2</v>
      </c>
      <c r="V32" s="50"/>
      <c r="W32" s="96"/>
      <c r="X32" s="50"/>
      <c r="Y32" s="43">
        <f t="shared" ref="Y32:Y33" si="12">Q32/U32</f>
        <v>146541.73333333337</v>
      </c>
      <c r="Z32" s="50"/>
      <c r="AA32" s="361"/>
      <c r="AB32" s="362"/>
      <c r="AC32" s="409">
        <v>55340</v>
      </c>
      <c r="AD32" s="362"/>
      <c r="AE32" s="362"/>
      <c r="AF32" s="386"/>
      <c r="AG32" s="408">
        <v>50170.016000000003</v>
      </c>
      <c r="AH32" s="362"/>
      <c r="AI32" s="362"/>
      <c r="AJ32" s="386"/>
      <c r="AK32" s="408">
        <v>35170.016000000003</v>
      </c>
      <c r="AL32" s="362"/>
      <c r="AM32" s="362"/>
      <c r="AN32" s="386"/>
      <c r="AO32" s="408">
        <v>35170.016000000003</v>
      </c>
      <c r="AP32" s="362"/>
      <c r="AQ32" s="362"/>
      <c r="AR32" s="386"/>
      <c r="AS32" s="395"/>
      <c r="AT32" s="362"/>
      <c r="AU32" s="362"/>
      <c r="AV32" s="362"/>
      <c r="AW32" s="46"/>
      <c r="AX32" s="48"/>
      <c r="AY32" s="391">
        <f>AC32+AG32+AK32+AO32+AS32</f>
        <v>175850.04800000001</v>
      </c>
      <c r="AZ32" s="362"/>
    </row>
    <row r="33" spans="1:52" ht="15.75" customHeight="1">
      <c r="A33" s="350"/>
      <c r="B33" s="350"/>
      <c r="C33" s="350"/>
      <c r="D33" s="350"/>
      <c r="E33" s="350"/>
      <c r="F33" s="38" t="s">
        <v>100</v>
      </c>
      <c r="G33" s="97">
        <v>0.08</v>
      </c>
      <c r="H33" s="94">
        <f>E26*G33</f>
        <v>70340.032000000007</v>
      </c>
      <c r="I33" s="95" t="s">
        <v>95</v>
      </c>
      <c r="J33" s="40" t="s">
        <v>101</v>
      </c>
      <c r="K33" s="40" t="s">
        <v>101</v>
      </c>
      <c r="L33" s="53" t="s">
        <v>98</v>
      </c>
      <c r="M33" s="43">
        <v>1</v>
      </c>
      <c r="N33" s="43">
        <v>5</v>
      </c>
      <c r="O33" s="43">
        <f t="shared" si="10"/>
        <v>5</v>
      </c>
      <c r="P33" s="51">
        <v>1</v>
      </c>
      <c r="Q33" s="52">
        <f t="shared" si="11"/>
        <v>70340.032000000007</v>
      </c>
      <c r="R33" s="53" t="s">
        <v>99</v>
      </c>
      <c r="S33" s="50"/>
      <c r="T33" s="50"/>
      <c r="U33" s="54">
        <v>0.45</v>
      </c>
      <c r="V33" s="50"/>
      <c r="W33" s="96"/>
      <c r="X33" s="50"/>
      <c r="Y33" s="43">
        <f t="shared" si="12"/>
        <v>156311.18222222224</v>
      </c>
      <c r="Z33" s="50"/>
      <c r="AA33" s="46"/>
      <c r="AB33" s="47"/>
      <c r="AC33" s="409">
        <f>Q33/3</f>
        <v>23446.677333333337</v>
      </c>
      <c r="AD33" s="362"/>
      <c r="AE33" s="362"/>
      <c r="AF33" s="386"/>
      <c r="AG33" s="408">
        <v>23446.677333333337</v>
      </c>
      <c r="AH33" s="362"/>
      <c r="AI33" s="362"/>
      <c r="AJ33" s="386"/>
      <c r="AK33" s="408">
        <v>23446.677333333337</v>
      </c>
      <c r="AL33" s="362"/>
      <c r="AM33" s="362"/>
      <c r="AN33" s="386"/>
      <c r="AO33" s="46"/>
      <c r="AP33" s="47"/>
      <c r="AQ33" s="47"/>
      <c r="AR33" s="48"/>
      <c r="AS33" s="46"/>
      <c r="AT33" s="47"/>
      <c r="AU33" s="47"/>
      <c r="AV33" s="48"/>
      <c r="AW33" s="46"/>
      <c r="AX33" s="48"/>
      <c r="AY33" s="92">
        <f>AG33+AK33+AC33</f>
        <v>70340.032000000007</v>
      </c>
      <c r="AZ33" s="47"/>
    </row>
    <row r="34" spans="1:52" ht="10.5" customHeight="1">
      <c r="A34" s="350"/>
      <c r="B34" s="350"/>
      <c r="C34" s="350"/>
      <c r="D34" s="350"/>
      <c r="E34" s="350"/>
      <c r="F34" s="58"/>
      <c r="G34" s="98"/>
      <c r="H34" s="99"/>
      <c r="I34" s="58"/>
      <c r="J34" s="58"/>
      <c r="K34" s="58"/>
      <c r="L34" s="62"/>
      <c r="M34" s="60"/>
      <c r="N34" s="60"/>
      <c r="O34" s="60"/>
      <c r="P34" s="59"/>
      <c r="Q34" s="61"/>
      <c r="R34" s="62"/>
      <c r="S34" s="63"/>
      <c r="T34" s="63"/>
      <c r="U34" s="63"/>
      <c r="V34" s="63"/>
      <c r="W34" s="60"/>
      <c r="X34" s="63"/>
      <c r="Y34" s="63"/>
      <c r="Z34" s="64"/>
      <c r="AA34" s="65"/>
      <c r="AB34" s="66"/>
      <c r="AC34" s="66"/>
      <c r="AD34" s="66"/>
      <c r="AE34" s="66"/>
      <c r="AF34" s="67"/>
      <c r="AG34" s="65"/>
      <c r="AH34" s="66"/>
      <c r="AI34" s="66"/>
      <c r="AJ34" s="67"/>
      <c r="AK34" s="65"/>
      <c r="AL34" s="66"/>
      <c r="AM34" s="66"/>
      <c r="AN34" s="67"/>
      <c r="AO34" s="65"/>
      <c r="AP34" s="66"/>
      <c r="AQ34" s="66"/>
      <c r="AR34" s="67"/>
      <c r="AS34" s="65"/>
      <c r="AT34" s="66"/>
      <c r="AU34" s="66"/>
      <c r="AV34" s="67"/>
      <c r="AW34" s="65"/>
      <c r="AX34" s="67"/>
      <c r="AY34" s="66"/>
      <c r="AZ34" s="66"/>
    </row>
    <row r="35" spans="1:52" ht="15.75" customHeight="1">
      <c r="A35" s="350"/>
      <c r="B35" s="350"/>
      <c r="C35" s="350"/>
      <c r="D35" s="350"/>
      <c r="E35" s="350"/>
      <c r="F35" s="360" t="s">
        <v>102</v>
      </c>
      <c r="G35" s="352">
        <v>0.06</v>
      </c>
      <c r="H35" s="377">
        <f>E26*G35</f>
        <v>52755.023999999998</v>
      </c>
      <c r="I35" s="360" t="s">
        <v>70</v>
      </c>
      <c r="J35" s="360" t="s">
        <v>103</v>
      </c>
      <c r="K35" s="40" t="s">
        <v>104</v>
      </c>
      <c r="L35" s="53" t="s">
        <v>105</v>
      </c>
      <c r="M35" s="43">
        <v>2</v>
      </c>
      <c r="N35" s="43">
        <v>3</v>
      </c>
      <c r="O35" s="43">
        <f t="shared" ref="O35:O37" si="13">M35*N35</f>
        <v>6</v>
      </c>
      <c r="P35" s="355">
        <v>1</v>
      </c>
      <c r="Q35" s="365">
        <f>H35*P35</f>
        <v>52755.023999999998</v>
      </c>
      <c r="R35" s="366" t="s">
        <v>58</v>
      </c>
      <c r="S35" s="50"/>
      <c r="T35" s="50"/>
      <c r="U35" s="50"/>
      <c r="V35" s="367">
        <f>45/18.77</f>
        <v>2.3974427277570594</v>
      </c>
      <c r="W35" s="96"/>
      <c r="X35" s="50"/>
      <c r="Y35" s="50"/>
      <c r="Z35" s="368">
        <f>Q35/V35*1000</f>
        <v>22004706.677333333</v>
      </c>
      <c r="AA35" s="361"/>
      <c r="AB35" s="362"/>
      <c r="AC35" s="395"/>
      <c r="AD35" s="362"/>
      <c r="AE35" s="362"/>
      <c r="AF35" s="386"/>
      <c r="AG35" s="361"/>
      <c r="AH35" s="362"/>
      <c r="AI35" s="362"/>
      <c r="AJ35" s="386"/>
      <c r="AK35" s="394">
        <v>36377.512000000002</v>
      </c>
      <c r="AL35" s="380"/>
      <c r="AM35" s="380"/>
      <c r="AN35" s="383"/>
      <c r="AO35" s="361"/>
      <c r="AP35" s="362"/>
      <c r="AQ35" s="362"/>
      <c r="AR35" s="386"/>
      <c r="AS35" s="394">
        <v>10377.512000000001</v>
      </c>
      <c r="AT35" s="380"/>
      <c r="AU35" s="380"/>
      <c r="AV35" s="383"/>
      <c r="AW35" s="394">
        <v>6378</v>
      </c>
      <c r="AX35" s="383"/>
      <c r="AY35" s="390">
        <f>AK35+AS35+AW35</f>
        <v>53133.024000000005</v>
      </c>
      <c r="AZ35" s="380"/>
    </row>
    <row r="36" spans="1:52" ht="15.75" customHeight="1">
      <c r="A36" s="350"/>
      <c r="B36" s="350"/>
      <c r="C36" s="350"/>
      <c r="D36" s="350"/>
      <c r="E36" s="350"/>
      <c r="F36" s="350"/>
      <c r="G36" s="350"/>
      <c r="H36" s="350"/>
      <c r="I36" s="350"/>
      <c r="J36" s="350"/>
      <c r="K36" s="40" t="s">
        <v>104</v>
      </c>
      <c r="L36" s="53" t="s">
        <v>105</v>
      </c>
      <c r="M36" s="43">
        <v>2</v>
      </c>
      <c r="N36" s="43">
        <v>3</v>
      </c>
      <c r="O36" s="43">
        <f t="shared" si="13"/>
        <v>6</v>
      </c>
      <c r="P36" s="350"/>
      <c r="Q36" s="350"/>
      <c r="R36" s="350"/>
      <c r="S36" s="50"/>
      <c r="T36" s="50"/>
      <c r="U36" s="50"/>
      <c r="V36" s="350"/>
      <c r="W36" s="96"/>
      <c r="X36" s="50"/>
      <c r="Y36" s="50"/>
      <c r="Z36" s="369"/>
      <c r="AA36" s="361"/>
      <c r="AB36" s="362"/>
      <c r="AC36" s="395"/>
      <c r="AD36" s="362"/>
      <c r="AE36" s="362"/>
      <c r="AF36" s="386"/>
      <c r="AG36" s="361"/>
      <c r="AH36" s="362"/>
      <c r="AI36" s="362"/>
      <c r="AJ36" s="386"/>
      <c r="AK36" s="381"/>
      <c r="AL36" s="354"/>
      <c r="AM36" s="354"/>
      <c r="AN36" s="385"/>
      <c r="AO36" s="361"/>
      <c r="AP36" s="362"/>
      <c r="AQ36" s="362"/>
      <c r="AR36" s="386"/>
      <c r="AS36" s="381"/>
      <c r="AT36" s="354"/>
      <c r="AU36" s="354"/>
      <c r="AV36" s="385"/>
      <c r="AW36" s="381"/>
      <c r="AX36" s="385"/>
      <c r="AY36" s="384"/>
      <c r="AZ36" s="354"/>
    </row>
    <row r="37" spans="1:52" ht="15.75" customHeight="1">
      <c r="A37" s="350"/>
      <c r="B37" s="350"/>
      <c r="C37" s="350"/>
      <c r="D37" s="350"/>
      <c r="E37" s="350"/>
      <c r="F37" s="351"/>
      <c r="G37" s="351"/>
      <c r="H37" s="351"/>
      <c r="I37" s="351"/>
      <c r="J37" s="351"/>
      <c r="K37" s="40" t="s">
        <v>106</v>
      </c>
      <c r="L37" s="53" t="s">
        <v>105</v>
      </c>
      <c r="M37" s="43">
        <v>2</v>
      </c>
      <c r="N37" s="43">
        <v>3</v>
      </c>
      <c r="O37" s="43">
        <f t="shared" si="13"/>
        <v>6</v>
      </c>
      <c r="P37" s="351"/>
      <c r="Q37" s="351"/>
      <c r="R37" s="351"/>
      <c r="S37" s="50"/>
      <c r="T37" s="50"/>
      <c r="U37" s="50"/>
      <c r="V37" s="351"/>
      <c r="W37" s="96"/>
      <c r="X37" s="50"/>
      <c r="Y37" s="50"/>
      <c r="Z37" s="370"/>
      <c r="AA37" s="363"/>
      <c r="AB37" s="364"/>
      <c r="AC37" s="410"/>
      <c r="AD37" s="364"/>
      <c r="AE37" s="364"/>
      <c r="AF37" s="392"/>
      <c r="AG37" s="361"/>
      <c r="AH37" s="362"/>
      <c r="AI37" s="362"/>
      <c r="AJ37" s="386"/>
      <c r="AK37" s="381"/>
      <c r="AL37" s="354"/>
      <c r="AM37" s="354"/>
      <c r="AN37" s="385"/>
      <c r="AO37" s="361"/>
      <c r="AP37" s="362"/>
      <c r="AQ37" s="362"/>
      <c r="AR37" s="386"/>
      <c r="AS37" s="381"/>
      <c r="AT37" s="354"/>
      <c r="AU37" s="354"/>
      <c r="AV37" s="385"/>
      <c r="AW37" s="381"/>
      <c r="AX37" s="385"/>
      <c r="AY37" s="384"/>
      <c r="AZ37" s="354"/>
    </row>
    <row r="38" spans="1:52" ht="12" customHeight="1">
      <c r="A38" s="350"/>
      <c r="B38" s="350"/>
      <c r="C38" s="350"/>
      <c r="D38" s="350"/>
      <c r="E38" s="350"/>
      <c r="F38" s="58"/>
      <c r="G38" s="98"/>
      <c r="H38" s="99"/>
      <c r="I38" s="100"/>
      <c r="J38" s="58"/>
      <c r="K38" s="58"/>
      <c r="L38" s="62"/>
      <c r="M38" s="60"/>
      <c r="N38" s="60"/>
      <c r="O38" s="60"/>
      <c r="P38" s="59"/>
      <c r="Q38" s="61"/>
      <c r="R38" s="62"/>
      <c r="S38" s="63"/>
      <c r="T38" s="63"/>
      <c r="U38" s="63"/>
      <c r="V38" s="63"/>
      <c r="W38" s="60"/>
      <c r="X38" s="63"/>
      <c r="Y38" s="60"/>
      <c r="Z38" s="60"/>
      <c r="AA38" s="66"/>
      <c r="AB38" s="66"/>
      <c r="AC38" s="66"/>
      <c r="AD38" s="66"/>
      <c r="AE38" s="66"/>
      <c r="AF38" s="66"/>
      <c r="AG38" s="65"/>
      <c r="AH38" s="66"/>
      <c r="AI38" s="66"/>
      <c r="AJ38" s="67"/>
      <c r="AK38" s="65"/>
      <c r="AL38" s="66"/>
      <c r="AM38" s="66"/>
      <c r="AN38" s="67"/>
      <c r="AO38" s="65"/>
      <c r="AP38" s="66"/>
      <c r="AQ38" s="66"/>
      <c r="AR38" s="67"/>
      <c r="AS38" s="65"/>
      <c r="AT38" s="66"/>
      <c r="AU38" s="66"/>
      <c r="AV38" s="67"/>
      <c r="AW38" s="65"/>
      <c r="AX38" s="67"/>
      <c r="AY38" s="66"/>
      <c r="AZ38" s="66"/>
    </row>
    <row r="39" spans="1:52" ht="15.75" customHeight="1">
      <c r="A39" s="351"/>
      <c r="B39" s="351"/>
      <c r="C39" s="351"/>
      <c r="D39" s="351"/>
      <c r="E39" s="351"/>
      <c r="F39" s="40" t="s">
        <v>107</v>
      </c>
      <c r="G39" s="97">
        <v>0.2</v>
      </c>
      <c r="H39" s="94">
        <f>E26*G39</f>
        <v>175850.08000000002</v>
      </c>
      <c r="I39" s="70" t="s">
        <v>75</v>
      </c>
      <c r="J39" s="40" t="s">
        <v>108</v>
      </c>
      <c r="K39" s="40" t="s">
        <v>109</v>
      </c>
      <c r="L39" s="53" t="s">
        <v>110</v>
      </c>
      <c r="M39" s="43">
        <v>2</v>
      </c>
      <c r="N39" s="43">
        <v>2</v>
      </c>
      <c r="O39" s="43">
        <f>M39*N39</f>
        <v>4</v>
      </c>
      <c r="P39" s="51">
        <v>1</v>
      </c>
      <c r="Q39" s="52">
        <f>H39*P39</f>
        <v>175850.08000000002</v>
      </c>
      <c r="R39" s="53" t="s">
        <v>111</v>
      </c>
      <c r="S39" s="50"/>
      <c r="T39" s="50"/>
      <c r="U39" s="50"/>
      <c r="V39" s="54">
        <v>4.8499999999999996</v>
      </c>
      <c r="W39" s="96"/>
      <c r="X39" s="50"/>
      <c r="Y39" s="50"/>
      <c r="Z39" s="43">
        <f>Q39/V39*1000</f>
        <v>36257748.453608252</v>
      </c>
      <c r="AA39" s="405">
        <f>Q39/2</f>
        <v>87925.040000000008</v>
      </c>
      <c r="AB39" s="362"/>
      <c r="AC39" s="405">
        <v>87925.040000000008</v>
      </c>
      <c r="AD39" s="362"/>
      <c r="AE39" s="362"/>
      <c r="AF39" s="362"/>
      <c r="AG39" s="363"/>
      <c r="AH39" s="364"/>
      <c r="AI39" s="364"/>
      <c r="AJ39" s="392"/>
      <c r="AK39" s="363"/>
      <c r="AL39" s="364"/>
      <c r="AM39" s="364"/>
      <c r="AN39" s="392"/>
      <c r="AO39" s="363"/>
      <c r="AP39" s="364"/>
      <c r="AQ39" s="364"/>
      <c r="AR39" s="392"/>
      <c r="AS39" s="363"/>
      <c r="AT39" s="364"/>
      <c r="AU39" s="364"/>
      <c r="AV39" s="392"/>
      <c r="AW39" s="363"/>
      <c r="AX39" s="392"/>
      <c r="AY39" s="391">
        <f>AA39+AC39</f>
        <v>175850.08000000002</v>
      </c>
      <c r="AZ39" s="362"/>
    </row>
    <row r="40" spans="1:52" ht="15.75" customHeight="1">
      <c r="A40" s="101" t="s">
        <v>112</v>
      </c>
      <c r="B40" s="101"/>
      <c r="C40" s="101"/>
      <c r="D40" s="101"/>
      <c r="E40" s="102">
        <f>SUM(E13:E39)</f>
        <v>2198126</v>
      </c>
      <c r="F40" s="101"/>
      <c r="G40" s="101"/>
      <c r="H40" s="101"/>
      <c r="I40" s="101"/>
      <c r="J40" s="101"/>
      <c r="K40" s="101"/>
      <c r="L40" s="103"/>
      <c r="M40" s="103"/>
      <c r="N40" s="103"/>
      <c r="O40" s="104">
        <f>O13+O14+O15+O16+O18+O19+O21+O23+O24+O27+O28+O29+O30+O32+O35+O36+O37+O39</f>
        <v>74</v>
      </c>
      <c r="P40" s="103"/>
      <c r="Q40" s="105">
        <f>SUM(Q13:Q39)+Q11</f>
        <v>2198126</v>
      </c>
      <c r="R40" s="103"/>
      <c r="S40" s="106"/>
      <c r="T40" s="106"/>
      <c r="U40" s="106"/>
      <c r="V40" s="106"/>
      <c r="W40" s="107">
        <f>W13+W15+W17+W18+W27+W29+W31</f>
        <v>2405629.0944000003</v>
      </c>
      <c r="X40" s="108"/>
      <c r="Y40" s="107">
        <f>Y32+Y33</f>
        <v>302852.91555555561</v>
      </c>
      <c r="Z40" s="107">
        <f>Z13+Z15+Z17+Z18+Z21+Z22+Z23+Z24+Z27+Z29+Z31+Z35+Z39+Z26+Z11</f>
        <v>343413784.31332195</v>
      </c>
      <c r="AA40" s="393">
        <f>AA39+AA26+AA11</f>
        <v>300703.63679999998</v>
      </c>
      <c r="AB40" s="362"/>
      <c r="AC40" s="393">
        <f>AC13+AC21+AC22+AC24+AC27+AC32+AC33+AC39</f>
        <v>624968.24513333337</v>
      </c>
      <c r="AD40" s="362"/>
      <c r="AE40" s="362"/>
      <c r="AF40" s="362"/>
      <c r="AG40" s="393">
        <f>AG15+AG17+AG22+AG24+AG29+AG31+AG32+AG33</f>
        <v>544176.83353333338</v>
      </c>
      <c r="AH40" s="362"/>
      <c r="AI40" s="362"/>
      <c r="AJ40" s="362"/>
      <c r="AK40" s="393">
        <f>AK15+AK17+AK18+AK23+AK29+AK31+AK32+AK35+AK33</f>
        <v>378992.08453333337</v>
      </c>
      <c r="AL40" s="362"/>
      <c r="AM40" s="362"/>
      <c r="AN40" s="362"/>
      <c r="AO40" s="393">
        <f>AO15+AO17+AO23+AO29+AO31+AO32</f>
        <v>230035.35920000001</v>
      </c>
      <c r="AP40" s="362"/>
      <c r="AQ40" s="362"/>
      <c r="AR40" s="362"/>
      <c r="AS40" s="393">
        <f>AS15+AS22+AS29+AS32+AS17+AS23+AS31</f>
        <v>63306.0288</v>
      </c>
      <c r="AT40" s="362"/>
      <c r="AU40" s="362"/>
      <c r="AV40" s="362"/>
      <c r="AW40" s="393">
        <f>AW35</f>
        <v>6378</v>
      </c>
      <c r="AX40" s="362"/>
      <c r="AY40" s="393">
        <f>AY11+AY13+AY15+AY17+AY18+AY21+AY22+AY23+AY24+AY26+AY27+AY29+AY31+AY32+AY33+AY35+AY39</f>
        <v>2198503.9679999999</v>
      </c>
      <c r="AZ40" s="362"/>
    </row>
    <row r="41" spans="1:52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109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7"/>
      <c r="T43" s="117"/>
      <c r="U43" s="117"/>
      <c r="V43" s="117"/>
      <c r="W43" s="116"/>
      <c r="X43" s="116"/>
      <c r="Y43" s="116"/>
      <c r="Z43" s="116"/>
      <c r="AA43" s="116"/>
      <c r="AB43" s="116"/>
      <c r="AC43" s="116"/>
      <c r="AD43" s="3"/>
      <c r="AE43" s="3"/>
      <c r="AF43" s="3"/>
      <c r="AG43" s="3"/>
      <c r="AH43" s="415"/>
      <c r="AI43" s="354"/>
      <c r="AJ43" s="354"/>
      <c r="AK43" s="354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16"/>
      <c r="R44" s="116"/>
      <c r="S44" s="117"/>
      <c r="T44" s="117"/>
      <c r="U44" s="117"/>
      <c r="V44" s="117"/>
      <c r="W44" s="116"/>
      <c r="X44" s="116"/>
      <c r="Y44" s="116"/>
      <c r="Z44" s="116"/>
      <c r="AA44" s="116"/>
      <c r="AB44" s="116"/>
      <c r="AC44" s="116"/>
      <c r="AD44" s="117"/>
      <c r="AE44" s="3"/>
      <c r="AF44" s="3"/>
      <c r="AG44" s="3"/>
      <c r="AH44" s="354"/>
      <c r="AI44" s="354"/>
      <c r="AJ44" s="354"/>
      <c r="AK44" s="354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t="15.75" customHeight="1">
      <c r="A45" s="3"/>
      <c r="B45" s="3"/>
      <c r="C45" s="3"/>
      <c r="D45" s="3"/>
      <c r="E45" s="3"/>
      <c r="F45" s="110"/>
      <c r="G45" s="3"/>
      <c r="H45" s="3"/>
      <c r="I45" s="3"/>
      <c r="J45" s="3"/>
      <c r="K45" s="3"/>
      <c r="L45" s="3"/>
      <c r="M45" s="3"/>
      <c r="N45" s="3"/>
      <c r="O45" s="3"/>
      <c r="P45" s="3"/>
      <c r="Q45" s="116"/>
      <c r="R45" s="116"/>
      <c r="S45" s="117"/>
      <c r="T45" s="117"/>
      <c r="U45" s="117"/>
      <c r="V45" s="117"/>
      <c r="W45" s="116"/>
      <c r="X45" s="116"/>
      <c r="Y45" s="116"/>
      <c r="Z45" s="116"/>
      <c r="AA45" s="417" t="s">
        <v>113</v>
      </c>
      <c r="AB45" s="354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t="15.75" customHeight="1">
      <c r="A46" s="3"/>
      <c r="B46" s="3"/>
      <c r="C46" s="3"/>
      <c r="D46" s="1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16"/>
      <c r="R46" s="116"/>
      <c r="S46" s="117"/>
      <c r="T46" s="117"/>
      <c r="U46" s="117"/>
      <c r="V46" s="117"/>
      <c r="W46" s="116"/>
      <c r="X46" s="116"/>
      <c r="Y46" s="116"/>
      <c r="Z46" s="116" t="s">
        <v>114</v>
      </c>
      <c r="AA46" s="416">
        <f>AA40</f>
        <v>300703.63679999998</v>
      </c>
      <c r="AB46" s="354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ht="15.75" customHeight="1">
      <c r="A47" s="3"/>
      <c r="B47" s="3"/>
      <c r="C47" s="3"/>
      <c r="D47" s="112"/>
      <c r="E47" s="3"/>
      <c r="F47" s="3"/>
      <c r="G47" s="3"/>
      <c r="H47" s="3"/>
      <c r="I47" s="3"/>
      <c r="J47" s="3"/>
      <c r="K47" s="3"/>
      <c r="L47" s="3"/>
      <c r="M47" s="3" t="s">
        <v>9</v>
      </c>
      <c r="N47" s="3"/>
      <c r="O47" s="3"/>
      <c r="P47" s="3"/>
      <c r="Q47" s="118">
        <f>Q13+Q14+Q21+Q27+Q28+Q39+Q24</f>
        <v>698564.44279999996</v>
      </c>
      <c r="R47" s="116" t="s">
        <v>115</v>
      </c>
      <c r="S47" s="119">
        <f>Q47+Q48</f>
        <v>1607269.7311999998</v>
      </c>
      <c r="T47" s="117"/>
      <c r="U47" s="117"/>
      <c r="V47" s="117"/>
      <c r="W47" s="116"/>
      <c r="X47" s="116"/>
      <c r="Y47" s="116"/>
      <c r="Z47" s="120" t="s">
        <v>130</v>
      </c>
      <c r="AA47" s="416">
        <f>AC40</f>
        <v>624968.24513333337</v>
      </c>
      <c r="AB47" s="354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t="15.75" customHeight="1">
      <c r="A48" s="3"/>
      <c r="B48" s="111"/>
      <c r="C48" s="111"/>
      <c r="D48" s="112"/>
      <c r="E48" s="3"/>
      <c r="F48" s="3"/>
      <c r="G48" s="3"/>
      <c r="H48" s="3"/>
      <c r="I48" s="3"/>
      <c r="J48" s="3"/>
      <c r="K48" s="3"/>
      <c r="L48" s="3"/>
      <c r="M48" s="3" t="s">
        <v>116</v>
      </c>
      <c r="N48" s="3"/>
      <c r="O48" s="3"/>
      <c r="P48" s="3"/>
      <c r="Q48" s="118">
        <f>Q15+Q16+Q17+Q22+Q23+Q2+Q29+Q30+Q31</f>
        <v>908705.28839999996</v>
      </c>
      <c r="R48" s="116" t="s">
        <v>117</v>
      </c>
      <c r="S48" s="117"/>
      <c r="T48" s="117"/>
      <c r="U48" s="117"/>
      <c r="V48" s="117"/>
      <c r="W48" s="116"/>
      <c r="X48" s="116"/>
      <c r="Y48" s="116"/>
      <c r="Z48" s="116" t="s">
        <v>118</v>
      </c>
      <c r="AA48" s="416">
        <f>AG40</f>
        <v>544176.83353333338</v>
      </c>
      <c r="AB48" s="354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t="15.75" customHeight="1">
      <c r="A49" s="3"/>
      <c r="B49" s="115"/>
      <c r="C49" s="115"/>
      <c r="D49" s="109"/>
      <c r="E49" s="3"/>
      <c r="F49" s="3"/>
      <c r="G49" s="112"/>
      <c r="H49" s="3"/>
      <c r="I49" s="3"/>
      <c r="J49" s="3"/>
      <c r="K49" s="3"/>
      <c r="L49" s="3"/>
      <c r="M49" s="3" t="s">
        <v>119</v>
      </c>
      <c r="N49" s="3"/>
      <c r="O49" s="3"/>
      <c r="P49" s="3"/>
      <c r="Q49" s="118">
        <f>Q18+Q19</f>
        <v>79132.535999999993</v>
      </c>
      <c r="R49" s="116"/>
      <c r="S49" s="119">
        <f>Q48</f>
        <v>908705.28839999996</v>
      </c>
      <c r="T49" s="117"/>
      <c r="U49" s="117"/>
      <c r="V49" s="117"/>
      <c r="W49" s="116"/>
      <c r="X49" s="116"/>
      <c r="Y49" s="116"/>
      <c r="Z49" s="116" t="s">
        <v>120</v>
      </c>
      <c r="AA49" s="416">
        <f>AK40</f>
        <v>378992.08453333337</v>
      </c>
      <c r="AB49" s="354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t="15.75" customHeight="1">
      <c r="A50" s="3"/>
      <c r="B50" s="115"/>
      <c r="C50" s="115"/>
      <c r="D50" s="109"/>
      <c r="E50" s="3"/>
      <c r="F50" s="3"/>
      <c r="G50" s="109"/>
      <c r="H50" s="3"/>
      <c r="I50" s="3"/>
      <c r="J50" s="3"/>
      <c r="K50" s="3"/>
      <c r="L50" s="3"/>
      <c r="M50" s="3" t="s">
        <v>121</v>
      </c>
      <c r="N50" s="3"/>
      <c r="O50" s="3"/>
      <c r="P50" s="3"/>
      <c r="Q50" s="118">
        <f>Q35+Q36+Q37</f>
        <v>52755.023999999998</v>
      </c>
      <c r="R50" s="116" t="s">
        <v>122</v>
      </c>
      <c r="S50" s="117"/>
      <c r="T50" s="117"/>
      <c r="U50" s="117"/>
      <c r="V50" s="117"/>
      <c r="W50" s="116"/>
      <c r="X50" s="116"/>
      <c r="Y50" s="116"/>
      <c r="Z50" s="116" t="s">
        <v>123</v>
      </c>
      <c r="AA50" s="416">
        <f>AO40</f>
        <v>230035.35920000001</v>
      </c>
      <c r="AB50" s="354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124</v>
      </c>
      <c r="N51" s="3"/>
      <c r="O51" s="3"/>
      <c r="P51" s="3"/>
      <c r="Q51" s="118">
        <f>Q32</f>
        <v>175850.08000000002</v>
      </c>
      <c r="R51" s="116" t="s">
        <v>125</v>
      </c>
      <c r="S51" s="117"/>
      <c r="T51" s="117"/>
      <c r="U51" s="117"/>
      <c r="V51" s="117"/>
      <c r="W51" s="116"/>
      <c r="X51" s="116"/>
      <c r="Y51" s="116"/>
      <c r="Z51" s="116" t="s">
        <v>126</v>
      </c>
      <c r="AA51" s="416">
        <f>AS40</f>
        <v>63306.0288</v>
      </c>
      <c r="AB51" s="354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3"/>
      <c r="Q52" s="121">
        <f>Q47+Q48+Q49+Q50+Q51</f>
        <v>1915007.3711999999</v>
      </c>
      <c r="R52" s="116"/>
      <c r="S52" s="117"/>
      <c r="T52" s="117"/>
      <c r="U52" s="117"/>
      <c r="V52" s="117"/>
      <c r="W52" s="116"/>
      <c r="X52" s="116"/>
      <c r="Y52" s="116"/>
      <c r="Z52" s="116" t="s">
        <v>127</v>
      </c>
      <c r="AA52" s="416">
        <f>AW40</f>
        <v>6378</v>
      </c>
      <c r="AB52" s="354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ht="15.75" customHeight="1">
      <c r="A53" s="3"/>
      <c r="B53" s="111"/>
      <c r="C53" s="111"/>
      <c r="D53" s="3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16"/>
      <c r="R53" s="116"/>
      <c r="S53" s="117"/>
      <c r="T53" s="117"/>
      <c r="U53" s="117"/>
      <c r="V53" s="117"/>
      <c r="W53" s="116"/>
      <c r="X53" s="116"/>
      <c r="Y53" s="116"/>
      <c r="Z53" s="116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t="15.75" customHeight="1">
      <c r="A54" s="3"/>
      <c r="B54" s="111"/>
      <c r="C54" s="11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16"/>
      <c r="R54" s="117"/>
      <c r="S54" s="117"/>
      <c r="T54" s="117"/>
      <c r="U54" s="117"/>
      <c r="V54" s="117"/>
      <c r="W54" s="116"/>
      <c r="X54" s="116"/>
      <c r="Y54" s="116"/>
      <c r="Z54" s="116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 t="s">
        <v>131</v>
      </c>
      <c r="AC60" s="117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 ht="15.75" customHeight="1"/>
    <row r="262" spans="1:52" ht="15.75" customHeight="1"/>
    <row r="263" spans="1:52" ht="15.75" customHeight="1"/>
    <row r="264" spans="1:52" ht="15.75" customHeight="1"/>
    <row r="265" spans="1:52" ht="15.75" customHeight="1"/>
    <row r="266" spans="1:52" ht="15.75" customHeight="1"/>
    <row r="267" spans="1:52" ht="15.75" customHeight="1"/>
    <row r="268" spans="1:52" ht="15.75" customHeight="1"/>
    <row r="269" spans="1:52" ht="15.75" customHeight="1"/>
    <row r="270" spans="1:52" ht="15.75" customHeight="1"/>
    <row r="271" spans="1:52" ht="15.75" customHeight="1"/>
    <row r="272" spans="1:5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AY23:AZ23"/>
    <mergeCell ref="AY24:AZ24"/>
    <mergeCell ref="AY27:AZ28"/>
    <mergeCell ref="AY29:AZ30"/>
    <mergeCell ref="AY31:AZ31"/>
    <mergeCell ref="AY32:AZ32"/>
    <mergeCell ref="AS18:AV18"/>
    <mergeCell ref="AW18:AX18"/>
    <mergeCell ref="AY18:AZ19"/>
    <mergeCell ref="AS19:AV19"/>
    <mergeCell ref="AW19:AX19"/>
    <mergeCell ref="AY21:AZ21"/>
    <mergeCell ref="AY22:AZ22"/>
    <mergeCell ref="AS21:AV21"/>
    <mergeCell ref="AW21:AX21"/>
    <mergeCell ref="AS22:AV22"/>
    <mergeCell ref="AW22:AX22"/>
    <mergeCell ref="V18:V19"/>
    <mergeCell ref="W18:W19"/>
    <mergeCell ref="Z18:Z19"/>
    <mergeCell ref="AS13:AV13"/>
    <mergeCell ref="AS14:AV14"/>
    <mergeCell ref="AO15:AR16"/>
    <mergeCell ref="AS15:AV16"/>
    <mergeCell ref="AS17:AV17"/>
    <mergeCell ref="AW17:AX17"/>
    <mergeCell ref="AO18:AR19"/>
    <mergeCell ref="AA18:AB18"/>
    <mergeCell ref="P18:P19"/>
    <mergeCell ref="AA19:AB19"/>
    <mergeCell ref="AC19:AF19"/>
    <mergeCell ref="AK9:AN9"/>
    <mergeCell ref="AO9:AR9"/>
    <mergeCell ref="F11:F19"/>
    <mergeCell ref="H11:H19"/>
    <mergeCell ref="I11:I14"/>
    <mergeCell ref="J11:J12"/>
    <mergeCell ref="AO17:AR17"/>
    <mergeCell ref="AG19:AJ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AY15:AZ16"/>
    <mergeCell ref="AW16:AX16"/>
    <mergeCell ref="AY17:AZ17"/>
    <mergeCell ref="AS9:AV9"/>
    <mergeCell ref="AW9:AX9"/>
    <mergeCell ref="AY9:AZ9"/>
    <mergeCell ref="AY10:AZ10"/>
    <mergeCell ref="AY11:AZ12"/>
    <mergeCell ref="AW13:AX13"/>
    <mergeCell ref="AY13:AZ14"/>
    <mergeCell ref="AG13:AJ13"/>
    <mergeCell ref="AG14:AJ14"/>
    <mergeCell ref="AK13:AN13"/>
    <mergeCell ref="AO13:AR13"/>
    <mergeCell ref="AK14:AN14"/>
    <mergeCell ref="AO14:AR14"/>
    <mergeCell ref="P15:P16"/>
    <mergeCell ref="Q15:Q16"/>
    <mergeCell ref="AW14:AX14"/>
    <mergeCell ref="AW15:AX15"/>
    <mergeCell ref="AA47:AB47"/>
    <mergeCell ref="AA48:AB48"/>
    <mergeCell ref="AA49:AB49"/>
    <mergeCell ref="AA50:AB50"/>
    <mergeCell ref="AA51:AB51"/>
    <mergeCell ref="AA52:AB52"/>
    <mergeCell ref="AA26:AB26"/>
    <mergeCell ref="AA32:AB32"/>
    <mergeCell ref="AA35:AB35"/>
    <mergeCell ref="AA36:AB36"/>
    <mergeCell ref="AA37:AB37"/>
    <mergeCell ref="AA45:AB45"/>
    <mergeCell ref="AA46:AB46"/>
    <mergeCell ref="AA27:AB28"/>
    <mergeCell ref="AH43:AK44"/>
    <mergeCell ref="AC32:AF32"/>
    <mergeCell ref="AG32:AJ32"/>
    <mergeCell ref="AC33:AF33"/>
    <mergeCell ref="AG33:AJ33"/>
    <mergeCell ref="AC35:AF35"/>
    <mergeCell ref="AG35:AJ35"/>
    <mergeCell ref="AK35:AN37"/>
    <mergeCell ref="AC40:AF40"/>
    <mergeCell ref="AG40:AJ40"/>
    <mergeCell ref="AK40:AN40"/>
    <mergeCell ref="AA24:AB24"/>
    <mergeCell ref="AC24:AF24"/>
    <mergeCell ref="AG24:AJ24"/>
    <mergeCell ref="AC27:AF28"/>
    <mergeCell ref="AG29:AJ30"/>
    <mergeCell ref="AG31:AJ31"/>
    <mergeCell ref="AO35:AR35"/>
    <mergeCell ref="AS35:AV37"/>
    <mergeCell ref="AW35:AX37"/>
    <mergeCell ref="AO36:AR36"/>
    <mergeCell ref="AO37:AR37"/>
    <mergeCell ref="AC36:AF36"/>
    <mergeCell ref="AG36:AJ36"/>
    <mergeCell ref="AA39:AB39"/>
    <mergeCell ref="AA40:AB40"/>
    <mergeCell ref="AW39:AX39"/>
    <mergeCell ref="AY39:AZ39"/>
    <mergeCell ref="AC37:AF37"/>
    <mergeCell ref="AG37:AJ37"/>
    <mergeCell ref="AC39:AF39"/>
    <mergeCell ref="AG39:AJ39"/>
    <mergeCell ref="AK39:AN39"/>
    <mergeCell ref="AO39:AR39"/>
    <mergeCell ref="AS39:AV39"/>
    <mergeCell ref="AY35:AZ37"/>
    <mergeCell ref="AO40:AR40"/>
    <mergeCell ref="AS40:AV40"/>
    <mergeCell ref="AW40:AX40"/>
    <mergeCell ref="AY40:AZ40"/>
    <mergeCell ref="J27:J31"/>
    <mergeCell ref="I29:I31"/>
    <mergeCell ref="R29:R30"/>
    <mergeCell ref="S29:S30"/>
    <mergeCell ref="V29:V30"/>
    <mergeCell ref="W29:W30"/>
    <mergeCell ref="Z29:Z30"/>
    <mergeCell ref="H35:H37"/>
    <mergeCell ref="I35:I37"/>
    <mergeCell ref="Q35:Q37"/>
    <mergeCell ref="R35:R37"/>
    <mergeCell ref="V35:V37"/>
    <mergeCell ref="Z35:Z37"/>
    <mergeCell ref="Q27:Q28"/>
    <mergeCell ref="Q29:Q30"/>
    <mergeCell ref="P27:P28"/>
    <mergeCell ref="R27:R28"/>
    <mergeCell ref="S27:S28"/>
    <mergeCell ref="V27:V28"/>
    <mergeCell ref="W27:W28"/>
    <mergeCell ref="Z27:Z28"/>
    <mergeCell ref="AK33:AN33"/>
    <mergeCell ref="E13:E24"/>
    <mergeCell ref="G35:G37"/>
    <mergeCell ref="P29:P30"/>
    <mergeCell ref="P35:P37"/>
    <mergeCell ref="L11:L12"/>
    <mergeCell ref="P11:P12"/>
    <mergeCell ref="A13:A39"/>
    <mergeCell ref="B13:B39"/>
    <mergeCell ref="C13:C24"/>
    <mergeCell ref="D13:D24"/>
    <mergeCell ref="J35:J37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AW23:AX23"/>
    <mergeCell ref="AO32:AR32"/>
    <mergeCell ref="AS32:AV32"/>
    <mergeCell ref="AK29:AN30"/>
    <mergeCell ref="AO29:AR30"/>
    <mergeCell ref="AS29:AV30"/>
    <mergeCell ref="AK31:AN31"/>
    <mergeCell ref="AO31:AR31"/>
    <mergeCell ref="AS31:AV31"/>
    <mergeCell ref="AK32:AN32"/>
    <mergeCell ref="AG15:AJ16"/>
    <mergeCell ref="AK15:AN16"/>
    <mergeCell ref="AK18:AN19"/>
    <mergeCell ref="AA22:AB22"/>
    <mergeCell ref="AC23:AF23"/>
    <mergeCell ref="AG23:AJ23"/>
    <mergeCell ref="AK23:AN23"/>
    <mergeCell ref="AO23:AR23"/>
    <mergeCell ref="AS23:AV23"/>
    <mergeCell ref="AC18:AF18"/>
    <mergeCell ref="AG18:AJ18"/>
    <mergeCell ref="AA23:AB23"/>
    <mergeCell ref="AC21:AF21"/>
    <mergeCell ref="AG21:AJ21"/>
    <mergeCell ref="AK21:AN21"/>
    <mergeCell ref="AO21:AR21"/>
    <mergeCell ref="AA21:AB21"/>
    <mergeCell ref="AC22:AF22"/>
    <mergeCell ref="AG22:AJ22"/>
    <mergeCell ref="AK22:AN22"/>
    <mergeCell ref="AO22:AR22"/>
    <mergeCell ref="P13:P14"/>
    <mergeCell ref="Q13:Q14"/>
    <mergeCell ref="R15:R16"/>
    <mergeCell ref="S15:S16"/>
    <mergeCell ref="V15:V16"/>
    <mergeCell ref="W15:W16"/>
    <mergeCell ref="Z15:Z16"/>
    <mergeCell ref="AA11:AB12"/>
    <mergeCell ref="AC11:AF11"/>
    <mergeCell ref="AC12:AF12"/>
    <mergeCell ref="AC15:AF15"/>
    <mergeCell ref="R13:R14"/>
    <mergeCell ref="S13:S14"/>
    <mergeCell ref="V13:V14"/>
    <mergeCell ref="W13:W14"/>
    <mergeCell ref="Z13:Z14"/>
    <mergeCell ref="AA13:AB14"/>
    <mergeCell ref="AC13:AF14"/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K11:K12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A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8" max="18" width="25.85546875" customWidth="1"/>
    <col min="27" max="27" width="23.28515625" customWidth="1"/>
    <col min="28" max="51" width="6.140625" customWidth="1"/>
    <col min="52" max="52" width="18.140625" customWidth="1"/>
    <col min="53" max="53" width="6.140625" customWidth="1"/>
  </cols>
  <sheetData>
    <row r="1" spans="1:53" ht="49.5" customHeight="1">
      <c r="A1" s="1"/>
      <c r="B1" s="2"/>
      <c r="C1" s="398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  <c r="AA1" s="362"/>
      <c r="AB1" s="362"/>
      <c r="AC1" s="362"/>
    </row>
    <row r="2" spans="1:53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15.75" customHeight="1">
      <c r="A3" s="122" t="s">
        <v>0</v>
      </c>
      <c r="B3" s="123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t="15.75" customHeight="1">
      <c r="A4" s="122" t="s">
        <v>2</v>
      </c>
      <c r="B4" s="123" t="s">
        <v>134</v>
      </c>
      <c r="C4" s="125"/>
      <c r="D4" s="124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9"/>
      <c r="W4" s="10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spans="1:53" ht="15.75" customHeight="1">
      <c r="A5" s="122" t="s">
        <v>4</v>
      </c>
      <c r="B5" s="126">
        <v>2198126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9"/>
      <c r="W5" s="10"/>
      <c r="X5" s="13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3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9"/>
      <c r="V6" s="15"/>
      <c r="W6" s="10"/>
      <c r="X6" s="10"/>
      <c r="Y6" s="9"/>
      <c r="Z6" s="9"/>
      <c r="AA6" s="9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3" ht="15.75" customHeight="1">
      <c r="A7" s="9"/>
      <c r="B7" s="123" t="s">
        <v>7</v>
      </c>
      <c r="C7" s="129" t="s">
        <v>135</v>
      </c>
      <c r="D7" s="124"/>
      <c r="E7" s="7"/>
      <c r="F7" s="123" t="s">
        <v>7</v>
      </c>
      <c r="G7" s="130" t="s">
        <v>8</v>
      </c>
      <c r="H7" s="124"/>
      <c r="I7" s="423" t="s">
        <v>136</v>
      </c>
      <c r="J7" s="380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9"/>
      <c r="AB7" s="399" t="s">
        <v>9</v>
      </c>
      <c r="AC7" s="362"/>
      <c r="AD7" s="362"/>
      <c r="AE7" s="362"/>
      <c r="AF7" s="362"/>
      <c r="AG7" s="362"/>
      <c r="AH7" s="400" t="s">
        <v>10</v>
      </c>
      <c r="AI7" s="362"/>
      <c r="AJ7" s="362"/>
      <c r="AK7" s="362"/>
      <c r="AL7" s="362"/>
      <c r="AM7" s="362"/>
      <c r="AN7" s="362"/>
      <c r="AO7" s="362"/>
      <c r="AP7" s="362"/>
      <c r="AQ7" s="362"/>
      <c r="AR7" s="362"/>
      <c r="AS7" s="362"/>
      <c r="AT7" s="362"/>
      <c r="AU7" s="362"/>
      <c r="AV7" s="362"/>
      <c r="AW7" s="362"/>
      <c r="AX7" s="401" t="s">
        <v>11</v>
      </c>
      <c r="AY7" s="362"/>
      <c r="AZ7" s="16"/>
      <c r="BA7" s="16"/>
    </row>
    <row r="8" spans="1:53" ht="15.75" customHeight="1">
      <c r="A8" s="9"/>
      <c r="B8" s="131" t="s">
        <v>12</v>
      </c>
      <c r="C8" s="132" t="s">
        <v>13</v>
      </c>
      <c r="D8" s="132" t="s">
        <v>14</v>
      </c>
      <c r="E8" s="133" t="s">
        <v>137</v>
      </c>
      <c r="F8" s="131" t="s">
        <v>12</v>
      </c>
      <c r="G8" s="132" t="s">
        <v>13</v>
      </c>
      <c r="H8" s="132" t="s">
        <v>14</v>
      </c>
      <c r="I8" s="384"/>
      <c r="J8" s="354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0"/>
      <c r="AB8" s="21"/>
      <c r="AC8" s="22"/>
      <c r="AD8" s="22"/>
      <c r="AE8" s="22"/>
      <c r="AF8" s="22"/>
      <c r="AG8" s="23"/>
      <c r="AH8" s="21"/>
      <c r="AI8" s="22"/>
      <c r="AJ8" s="22"/>
      <c r="AK8" s="23"/>
      <c r="AL8" s="21"/>
      <c r="AM8" s="22"/>
      <c r="AN8" s="22"/>
      <c r="AO8" s="23"/>
      <c r="AP8" s="21"/>
      <c r="AQ8" s="22"/>
      <c r="AR8" s="22"/>
      <c r="AS8" s="23"/>
      <c r="AT8" s="21"/>
      <c r="AU8" s="22"/>
      <c r="AV8" s="22"/>
      <c r="AW8" s="23"/>
      <c r="AX8" s="21"/>
      <c r="AY8" s="23"/>
      <c r="AZ8" s="24"/>
      <c r="BA8" s="24"/>
    </row>
    <row r="9" spans="1:53" ht="15.75" customHeight="1">
      <c r="A9" s="9"/>
      <c r="B9" s="134">
        <v>38000000</v>
      </c>
      <c r="C9" s="134">
        <f>B9*D9</f>
        <v>15580000</v>
      </c>
      <c r="D9" s="135">
        <v>0.41</v>
      </c>
      <c r="E9" s="7"/>
      <c r="F9" s="134">
        <v>16000000</v>
      </c>
      <c r="G9" s="134">
        <f>F9*H9</f>
        <v>10080000</v>
      </c>
      <c r="H9" s="135">
        <v>0.63</v>
      </c>
      <c r="I9" s="384"/>
      <c r="J9" s="354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/>
      <c r="V9" s="20" t="s">
        <v>15</v>
      </c>
      <c r="W9" s="20"/>
      <c r="X9" s="20"/>
      <c r="Y9" s="20"/>
      <c r="Z9" s="20" t="s">
        <v>16</v>
      </c>
      <c r="AA9" s="20"/>
      <c r="AB9" s="387" t="s">
        <v>17</v>
      </c>
      <c r="AC9" s="362"/>
      <c r="AD9" s="388" t="s">
        <v>18</v>
      </c>
      <c r="AE9" s="362"/>
      <c r="AF9" s="362"/>
      <c r="AG9" s="386"/>
      <c r="AH9" s="387" t="s">
        <v>19</v>
      </c>
      <c r="AI9" s="362"/>
      <c r="AJ9" s="362"/>
      <c r="AK9" s="386"/>
      <c r="AL9" s="387" t="s">
        <v>20</v>
      </c>
      <c r="AM9" s="362"/>
      <c r="AN9" s="362"/>
      <c r="AO9" s="386"/>
      <c r="AP9" s="387" t="s">
        <v>21</v>
      </c>
      <c r="AQ9" s="362"/>
      <c r="AR9" s="362"/>
      <c r="AS9" s="386"/>
      <c r="AT9" s="387" t="s">
        <v>22</v>
      </c>
      <c r="AU9" s="362"/>
      <c r="AV9" s="362"/>
      <c r="AW9" s="386"/>
      <c r="AX9" s="387" t="s">
        <v>23</v>
      </c>
      <c r="AY9" s="386"/>
      <c r="AZ9" s="388" t="s">
        <v>24</v>
      </c>
      <c r="BA9" s="362"/>
    </row>
    <row r="10" spans="1:53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138</v>
      </c>
      <c r="U10" s="32" t="s">
        <v>40</v>
      </c>
      <c r="V10" s="32" t="s">
        <v>41</v>
      </c>
      <c r="W10" s="32" t="s">
        <v>42</v>
      </c>
      <c r="X10" s="32" t="s">
        <v>43</v>
      </c>
      <c r="Y10" s="32" t="s">
        <v>139</v>
      </c>
      <c r="Z10" s="32" t="s">
        <v>45</v>
      </c>
      <c r="AA10" s="32" t="s">
        <v>46</v>
      </c>
      <c r="AB10" s="33" t="s">
        <v>47</v>
      </c>
      <c r="AC10" s="34" t="s">
        <v>48</v>
      </c>
      <c r="AD10" s="34" t="s">
        <v>49</v>
      </c>
      <c r="AE10" s="34" t="s">
        <v>50</v>
      </c>
      <c r="AF10" s="34" t="s">
        <v>47</v>
      </c>
      <c r="AG10" s="35" t="s">
        <v>48</v>
      </c>
      <c r="AH10" s="33" t="s">
        <v>49</v>
      </c>
      <c r="AI10" s="34" t="s">
        <v>50</v>
      </c>
      <c r="AJ10" s="34" t="s">
        <v>47</v>
      </c>
      <c r="AK10" s="35" t="s">
        <v>48</v>
      </c>
      <c r="AL10" s="33" t="s">
        <v>49</v>
      </c>
      <c r="AM10" s="34" t="s">
        <v>50</v>
      </c>
      <c r="AN10" s="34" t="s">
        <v>47</v>
      </c>
      <c r="AO10" s="35" t="s">
        <v>48</v>
      </c>
      <c r="AP10" s="33" t="s">
        <v>49</v>
      </c>
      <c r="AQ10" s="34" t="s">
        <v>50</v>
      </c>
      <c r="AR10" s="34" t="s">
        <v>47</v>
      </c>
      <c r="AS10" s="35" t="s">
        <v>48</v>
      </c>
      <c r="AT10" s="33" t="s">
        <v>49</v>
      </c>
      <c r="AU10" s="34" t="s">
        <v>50</v>
      </c>
      <c r="AV10" s="34" t="s">
        <v>47</v>
      </c>
      <c r="AW10" s="35" t="s">
        <v>48</v>
      </c>
      <c r="AX10" s="33" t="s">
        <v>49</v>
      </c>
      <c r="AY10" s="35" t="s">
        <v>50</v>
      </c>
      <c r="AZ10" s="389"/>
      <c r="BA10" s="362"/>
    </row>
    <row r="11" spans="1:53" ht="15.75" customHeight="1">
      <c r="A11" s="36"/>
      <c r="B11" s="37"/>
      <c r="C11" s="38"/>
      <c r="D11" s="39"/>
      <c r="E11" s="40"/>
      <c r="F11" s="360" t="s">
        <v>51</v>
      </c>
      <c r="G11" s="42"/>
      <c r="H11" s="377">
        <f>E13*G13</f>
        <v>659437.79999999993</v>
      </c>
      <c r="I11" s="360" t="s">
        <v>52</v>
      </c>
      <c r="J11" s="396" t="s">
        <v>140</v>
      </c>
      <c r="K11" s="360" t="s">
        <v>54</v>
      </c>
      <c r="L11" s="353" t="s">
        <v>55</v>
      </c>
      <c r="M11" s="43">
        <v>1</v>
      </c>
      <c r="N11" s="43">
        <v>1</v>
      </c>
      <c r="O11" s="43">
        <f t="shared" ref="O11:O16" si="0">M11*N11</f>
        <v>1</v>
      </c>
      <c r="P11" s="355">
        <v>0.11</v>
      </c>
      <c r="Q11" s="365">
        <f>H11*P11</f>
        <v>72538.157999999996</v>
      </c>
      <c r="R11" s="366" t="s">
        <v>56</v>
      </c>
      <c r="S11" s="402"/>
      <c r="T11" s="44"/>
      <c r="U11" s="44"/>
      <c r="V11" s="44"/>
      <c r="W11" s="367">
        <v>4.8499999999999996</v>
      </c>
      <c r="X11" s="44"/>
      <c r="Y11" s="44"/>
      <c r="Z11" s="44"/>
      <c r="AA11" s="45">
        <f>Q11*W11</f>
        <v>351810.06629999995</v>
      </c>
      <c r="AB11" s="411">
        <f>Q11</f>
        <v>72538.157999999996</v>
      </c>
      <c r="AC11" s="380"/>
      <c r="AD11" s="395"/>
      <c r="AE11" s="362"/>
      <c r="AF11" s="362"/>
      <c r="AG11" s="386"/>
      <c r="AH11" s="46"/>
      <c r="AI11" s="47"/>
      <c r="AJ11" s="47"/>
      <c r="AK11" s="48"/>
      <c r="AL11" s="46"/>
      <c r="AM11" s="47"/>
      <c r="AN11" s="47"/>
      <c r="AO11" s="48"/>
      <c r="AP11" s="46"/>
      <c r="AQ11" s="47"/>
      <c r="AR11" s="47"/>
      <c r="AS11" s="48"/>
      <c r="AT11" s="46"/>
      <c r="AU11" s="47"/>
      <c r="AV11" s="47"/>
      <c r="AW11" s="48"/>
      <c r="AX11" s="46"/>
      <c r="AY11" s="48"/>
      <c r="AZ11" s="420">
        <f>SUM(AB11:AY12)</f>
        <v>72538.157999999996</v>
      </c>
      <c r="BA11" s="380"/>
    </row>
    <row r="12" spans="1:53" ht="15.75" customHeight="1">
      <c r="A12" s="36"/>
      <c r="B12" s="37"/>
      <c r="C12" s="38"/>
      <c r="D12" s="39"/>
      <c r="E12" s="40"/>
      <c r="F12" s="350"/>
      <c r="G12" s="42"/>
      <c r="H12" s="350"/>
      <c r="I12" s="350"/>
      <c r="J12" s="354"/>
      <c r="K12" s="351"/>
      <c r="L12" s="354"/>
      <c r="M12" s="43">
        <v>1</v>
      </c>
      <c r="N12" s="43">
        <v>1</v>
      </c>
      <c r="O12" s="43">
        <f t="shared" si="0"/>
        <v>1</v>
      </c>
      <c r="P12" s="351"/>
      <c r="Q12" s="351"/>
      <c r="R12" s="351"/>
      <c r="S12" s="351"/>
      <c r="T12" s="44"/>
      <c r="U12" s="44"/>
      <c r="V12" s="44"/>
      <c r="W12" s="351"/>
      <c r="X12" s="44"/>
      <c r="Y12" s="44"/>
      <c r="Z12" s="44"/>
      <c r="AA12" s="45"/>
      <c r="AB12" s="381"/>
      <c r="AC12" s="354"/>
      <c r="AD12" s="395"/>
      <c r="AE12" s="362"/>
      <c r="AF12" s="362"/>
      <c r="AG12" s="386"/>
      <c r="AH12" s="46"/>
      <c r="AI12" s="47"/>
      <c r="AJ12" s="47"/>
      <c r="AK12" s="48"/>
      <c r="AL12" s="46"/>
      <c r="AM12" s="47"/>
      <c r="AN12" s="47"/>
      <c r="AO12" s="48"/>
      <c r="AP12" s="46"/>
      <c r="AQ12" s="47"/>
      <c r="AR12" s="47"/>
      <c r="AS12" s="48"/>
      <c r="AT12" s="46"/>
      <c r="AU12" s="47"/>
      <c r="AV12" s="47"/>
      <c r="AW12" s="48"/>
      <c r="AX12" s="46"/>
      <c r="AY12" s="48"/>
      <c r="AZ12" s="384"/>
      <c r="BA12" s="354"/>
    </row>
    <row r="13" spans="1:53" ht="15.75" customHeight="1">
      <c r="A13" s="356" t="s">
        <v>134</v>
      </c>
      <c r="B13" s="357" t="s">
        <v>58</v>
      </c>
      <c r="C13" s="358" t="s">
        <v>59</v>
      </c>
      <c r="D13" s="359">
        <v>0.6</v>
      </c>
      <c r="E13" s="349">
        <f>B5*D13</f>
        <v>1318875.5999999999</v>
      </c>
      <c r="F13" s="350"/>
      <c r="G13" s="352">
        <v>0.5</v>
      </c>
      <c r="H13" s="350"/>
      <c r="I13" s="350"/>
      <c r="J13" s="414" t="s">
        <v>141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55">
        <v>0.38</v>
      </c>
      <c r="Q13" s="365">
        <f>H11*P13</f>
        <v>250586.36399999997</v>
      </c>
      <c r="R13" s="366" t="s">
        <v>43</v>
      </c>
      <c r="S13" s="367">
        <v>0.3</v>
      </c>
      <c r="T13" s="50"/>
      <c r="U13" s="50"/>
      <c r="V13" s="50"/>
      <c r="W13" s="367">
        <v>4.8499999999999996</v>
      </c>
      <c r="X13" s="378">
        <f>Q13/S13</f>
        <v>835287.87999999989</v>
      </c>
      <c r="Y13" s="50"/>
      <c r="Z13" s="50"/>
      <c r="AA13" s="368">
        <f>Q13/W13*1000</f>
        <v>51667291.546391755</v>
      </c>
      <c r="AB13" s="379"/>
      <c r="AC13" s="380"/>
      <c r="AD13" s="382">
        <v>100000</v>
      </c>
      <c r="AE13" s="380"/>
      <c r="AF13" s="380"/>
      <c r="AG13" s="383"/>
      <c r="AH13" s="382">
        <v>50586</v>
      </c>
      <c r="AI13" s="380"/>
      <c r="AJ13" s="380"/>
      <c r="AK13" s="383"/>
      <c r="AL13" s="382">
        <v>50000</v>
      </c>
      <c r="AM13" s="380"/>
      <c r="AN13" s="380"/>
      <c r="AO13" s="383"/>
      <c r="AP13" s="382">
        <v>50000</v>
      </c>
      <c r="AQ13" s="380"/>
      <c r="AR13" s="380"/>
      <c r="AS13" s="383"/>
      <c r="AT13" s="361"/>
      <c r="AU13" s="362"/>
      <c r="AV13" s="362"/>
      <c r="AW13" s="386"/>
      <c r="AX13" s="361"/>
      <c r="AY13" s="386"/>
      <c r="AZ13" s="420">
        <f>SUM(AB13:AY14)</f>
        <v>250586</v>
      </c>
      <c r="BA13" s="380"/>
    </row>
    <row r="14" spans="1:53" ht="15.75" customHeight="1">
      <c r="A14" s="350"/>
      <c r="B14" s="350"/>
      <c r="C14" s="350"/>
      <c r="D14" s="350"/>
      <c r="E14" s="350"/>
      <c r="F14" s="350"/>
      <c r="G14" s="350"/>
      <c r="H14" s="350"/>
      <c r="I14" s="351"/>
      <c r="J14" s="350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51"/>
      <c r="Q14" s="351"/>
      <c r="R14" s="351"/>
      <c r="S14" s="351"/>
      <c r="T14" s="50"/>
      <c r="U14" s="50"/>
      <c r="V14" s="50"/>
      <c r="W14" s="351"/>
      <c r="X14" s="351"/>
      <c r="Y14" s="50"/>
      <c r="Z14" s="50"/>
      <c r="AA14" s="370"/>
      <c r="AB14" s="381"/>
      <c r="AC14" s="354"/>
      <c r="AD14" s="384"/>
      <c r="AE14" s="354"/>
      <c r="AF14" s="354"/>
      <c r="AG14" s="385"/>
      <c r="AH14" s="384"/>
      <c r="AI14" s="354"/>
      <c r="AJ14" s="354"/>
      <c r="AK14" s="385"/>
      <c r="AL14" s="384"/>
      <c r="AM14" s="354"/>
      <c r="AN14" s="354"/>
      <c r="AO14" s="385"/>
      <c r="AP14" s="384"/>
      <c r="AQ14" s="354"/>
      <c r="AR14" s="354"/>
      <c r="AS14" s="385"/>
      <c r="AT14" s="361"/>
      <c r="AU14" s="362"/>
      <c r="AV14" s="362"/>
      <c r="AW14" s="386"/>
      <c r="AX14" s="361"/>
      <c r="AY14" s="386"/>
      <c r="AZ14" s="384"/>
      <c r="BA14" s="354"/>
    </row>
    <row r="15" spans="1:53" ht="15.75" customHeight="1">
      <c r="A15" s="350"/>
      <c r="B15" s="350"/>
      <c r="C15" s="350"/>
      <c r="D15" s="350"/>
      <c r="E15" s="350"/>
      <c r="F15" s="350"/>
      <c r="G15" s="350"/>
      <c r="H15" s="350"/>
      <c r="I15" s="360" t="s">
        <v>64</v>
      </c>
      <c r="J15" s="350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55">
        <v>0.2</v>
      </c>
      <c r="Q15" s="365">
        <f>H11*P15</f>
        <v>131887.56</v>
      </c>
      <c r="R15" s="366" t="s">
        <v>43</v>
      </c>
      <c r="S15" s="367">
        <v>0.3</v>
      </c>
      <c r="T15" s="50"/>
      <c r="U15" s="50"/>
      <c r="V15" s="50"/>
      <c r="W15" s="367">
        <v>4.8499999999999996</v>
      </c>
      <c r="X15" s="378">
        <f>Q15/S15</f>
        <v>439625.2</v>
      </c>
      <c r="Y15" s="50"/>
      <c r="Z15" s="50"/>
      <c r="AA15" s="368">
        <f>Q15/W15*1000</f>
        <v>27193311.340206187</v>
      </c>
      <c r="AB15" s="46"/>
      <c r="AC15" s="47"/>
      <c r="AD15" s="395"/>
      <c r="AE15" s="362"/>
      <c r="AF15" s="362"/>
      <c r="AG15" s="386"/>
      <c r="AH15" s="403">
        <f>42971.89-78</f>
        <v>42893.89</v>
      </c>
      <c r="AI15" s="380"/>
      <c r="AJ15" s="380"/>
      <c r="AK15" s="383"/>
      <c r="AL15" s="403">
        <f>22971.89+78</f>
        <v>23049.89</v>
      </c>
      <c r="AM15" s="380"/>
      <c r="AN15" s="380"/>
      <c r="AO15" s="383"/>
      <c r="AP15" s="403">
        <v>32971.89</v>
      </c>
      <c r="AQ15" s="380"/>
      <c r="AR15" s="380"/>
      <c r="AS15" s="383"/>
      <c r="AT15" s="403">
        <v>32971.89</v>
      </c>
      <c r="AU15" s="380"/>
      <c r="AV15" s="380"/>
      <c r="AW15" s="383"/>
      <c r="AX15" s="361"/>
      <c r="AY15" s="386"/>
      <c r="AZ15" s="420">
        <f>AH15+AL15+AP15+AT15</f>
        <v>131887.56</v>
      </c>
      <c r="BA15" s="380"/>
    </row>
    <row r="16" spans="1:53" ht="15.75" customHeight="1">
      <c r="A16" s="350"/>
      <c r="B16" s="350"/>
      <c r="C16" s="350"/>
      <c r="D16" s="350"/>
      <c r="E16" s="350"/>
      <c r="F16" s="350"/>
      <c r="G16" s="350"/>
      <c r="H16" s="350"/>
      <c r="I16" s="350"/>
      <c r="J16" s="350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51"/>
      <c r="Q16" s="351"/>
      <c r="R16" s="351"/>
      <c r="S16" s="351"/>
      <c r="T16" s="50"/>
      <c r="U16" s="50"/>
      <c r="V16" s="50"/>
      <c r="W16" s="351"/>
      <c r="X16" s="351"/>
      <c r="Y16" s="50"/>
      <c r="Z16" s="50"/>
      <c r="AA16" s="370"/>
      <c r="AB16" s="361"/>
      <c r="AC16" s="362"/>
      <c r="AD16" s="395"/>
      <c r="AE16" s="362"/>
      <c r="AF16" s="362"/>
      <c r="AG16" s="386"/>
      <c r="AH16" s="381"/>
      <c r="AI16" s="354"/>
      <c r="AJ16" s="354"/>
      <c r="AK16" s="385"/>
      <c r="AL16" s="381"/>
      <c r="AM16" s="354"/>
      <c r="AN16" s="354"/>
      <c r="AO16" s="385"/>
      <c r="AP16" s="381"/>
      <c r="AQ16" s="354"/>
      <c r="AR16" s="354"/>
      <c r="AS16" s="385"/>
      <c r="AT16" s="381"/>
      <c r="AU16" s="354"/>
      <c r="AV16" s="354"/>
      <c r="AW16" s="385"/>
      <c r="AX16" s="361"/>
      <c r="AY16" s="386"/>
      <c r="AZ16" s="384"/>
      <c r="BA16" s="354"/>
    </row>
    <row r="17" spans="1:53" ht="15.75" customHeight="1">
      <c r="A17" s="350"/>
      <c r="B17" s="350"/>
      <c r="C17" s="350"/>
      <c r="D17" s="350"/>
      <c r="E17" s="350"/>
      <c r="F17" s="350"/>
      <c r="G17" s="350"/>
      <c r="H17" s="350"/>
      <c r="I17" s="351"/>
      <c r="J17" s="350"/>
      <c r="K17" s="40" t="s">
        <v>132</v>
      </c>
      <c r="L17" s="49" t="s">
        <v>72</v>
      </c>
      <c r="M17" s="43" t="s">
        <v>69</v>
      </c>
      <c r="N17" s="43" t="s">
        <v>69</v>
      </c>
      <c r="O17" s="43" t="s">
        <v>69</v>
      </c>
      <c r="P17" s="51">
        <v>0.2</v>
      </c>
      <c r="Q17" s="52">
        <f>H11*P17</f>
        <v>131887.56</v>
      </c>
      <c r="R17" s="53" t="s">
        <v>43</v>
      </c>
      <c r="S17" s="54">
        <v>0.3</v>
      </c>
      <c r="T17" s="50"/>
      <c r="U17" s="50"/>
      <c r="V17" s="50"/>
      <c r="W17" s="54">
        <v>4.8499999999999996</v>
      </c>
      <c r="X17" s="43">
        <f t="shared" ref="X17:X18" si="1">Q17/S17</f>
        <v>439625.2</v>
      </c>
      <c r="Y17" s="50"/>
      <c r="Z17" s="50"/>
      <c r="AA17" s="55">
        <f t="shared" ref="AA17:AA18" si="2">Q17/W17*1000</f>
        <v>27193311.340206187</v>
      </c>
      <c r="AB17" s="361"/>
      <c r="AC17" s="362"/>
      <c r="AD17" s="395"/>
      <c r="AE17" s="362"/>
      <c r="AF17" s="362"/>
      <c r="AG17" s="386"/>
      <c r="AH17" s="397">
        <f>Q17/3</f>
        <v>43962.52</v>
      </c>
      <c r="AI17" s="362"/>
      <c r="AJ17" s="362"/>
      <c r="AK17" s="386"/>
      <c r="AL17" s="397">
        <v>33962.519999999997</v>
      </c>
      <c r="AM17" s="362"/>
      <c r="AN17" s="362"/>
      <c r="AO17" s="386"/>
      <c r="AP17" s="397">
        <v>33962.519999999997</v>
      </c>
      <c r="AQ17" s="362"/>
      <c r="AR17" s="362"/>
      <c r="AS17" s="386"/>
      <c r="AT17" s="397">
        <v>20000</v>
      </c>
      <c r="AU17" s="362"/>
      <c r="AV17" s="362"/>
      <c r="AW17" s="386"/>
      <c r="AX17" s="361"/>
      <c r="AY17" s="386"/>
      <c r="AZ17" s="418">
        <f>AL17+AP17+AT17+AH17</f>
        <v>131887.56</v>
      </c>
      <c r="BA17" s="362"/>
    </row>
    <row r="18" spans="1:53" ht="15.75" customHeight="1">
      <c r="A18" s="350"/>
      <c r="B18" s="350"/>
      <c r="C18" s="350"/>
      <c r="D18" s="350"/>
      <c r="E18" s="350"/>
      <c r="F18" s="350"/>
      <c r="G18" s="350"/>
      <c r="H18" s="350"/>
      <c r="I18" s="360" t="s">
        <v>70</v>
      </c>
      <c r="J18" s="350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55">
        <v>0.11</v>
      </c>
      <c r="Q18" s="365">
        <f>H11*P18</f>
        <v>72538.157999999996</v>
      </c>
      <c r="R18" s="366" t="s">
        <v>43</v>
      </c>
      <c r="S18" s="367">
        <v>0.3</v>
      </c>
      <c r="T18" s="50"/>
      <c r="U18" s="50"/>
      <c r="V18" s="50"/>
      <c r="W18" s="367">
        <v>4.8499999999999996</v>
      </c>
      <c r="X18" s="378">
        <f t="shared" si="1"/>
        <v>241793.86</v>
      </c>
      <c r="Y18" s="50"/>
      <c r="Z18" s="50"/>
      <c r="AA18" s="368">
        <f t="shared" si="2"/>
        <v>14956321.237113403</v>
      </c>
      <c r="AB18" s="361"/>
      <c r="AC18" s="362"/>
      <c r="AD18" s="395"/>
      <c r="AE18" s="362"/>
      <c r="AF18" s="362"/>
      <c r="AG18" s="386"/>
      <c r="AH18" s="361"/>
      <c r="AI18" s="362"/>
      <c r="AJ18" s="362"/>
      <c r="AK18" s="386"/>
      <c r="AL18" s="379"/>
      <c r="AM18" s="380"/>
      <c r="AN18" s="380"/>
      <c r="AO18" s="383"/>
      <c r="AP18" s="404">
        <f>Q18/2</f>
        <v>36269.078999999998</v>
      </c>
      <c r="AQ18" s="380"/>
      <c r="AR18" s="380"/>
      <c r="AS18" s="383"/>
      <c r="AT18" s="404">
        <v>36269.078999999998</v>
      </c>
      <c r="AU18" s="380"/>
      <c r="AV18" s="380"/>
      <c r="AW18" s="383"/>
      <c r="AX18" s="361"/>
      <c r="AY18" s="386"/>
      <c r="AZ18" s="420">
        <f>AL18+AP18+AT18</f>
        <v>72538.157999999996</v>
      </c>
      <c r="BA18" s="380"/>
    </row>
    <row r="19" spans="1:53" ht="15.75" customHeight="1">
      <c r="A19" s="350"/>
      <c r="B19" s="350"/>
      <c r="C19" s="350"/>
      <c r="D19" s="350"/>
      <c r="E19" s="350"/>
      <c r="F19" s="351"/>
      <c r="G19" s="351"/>
      <c r="H19" s="351"/>
      <c r="I19" s="351"/>
      <c r="J19" s="351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51"/>
      <c r="Q19" s="351"/>
      <c r="R19" s="351"/>
      <c r="S19" s="351"/>
      <c r="T19" s="50"/>
      <c r="U19" s="50"/>
      <c r="V19" s="50"/>
      <c r="W19" s="351"/>
      <c r="X19" s="351"/>
      <c r="Y19" s="50"/>
      <c r="Z19" s="50"/>
      <c r="AA19" s="370"/>
      <c r="AB19" s="361"/>
      <c r="AC19" s="362"/>
      <c r="AD19" s="395"/>
      <c r="AE19" s="362"/>
      <c r="AF19" s="362"/>
      <c r="AG19" s="386"/>
      <c r="AH19" s="361"/>
      <c r="AI19" s="362"/>
      <c r="AJ19" s="362"/>
      <c r="AK19" s="386"/>
      <c r="AL19" s="381"/>
      <c r="AM19" s="354"/>
      <c r="AN19" s="354"/>
      <c r="AO19" s="385"/>
      <c r="AP19" s="381"/>
      <c r="AQ19" s="354"/>
      <c r="AR19" s="354"/>
      <c r="AS19" s="385"/>
      <c r="AT19" s="381"/>
      <c r="AU19" s="354"/>
      <c r="AV19" s="354"/>
      <c r="AW19" s="385"/>
      <c r="AX19" s="361"/>
      <c r="AY19" s="386"/>
      <c r="AZ19" s="384"/>
      <c r="BA19" s="354"/>
    </row>
    <row r="20" spans="1:53" ht="6.75" customHeight="1">
      <c r="A20" s="350"/>
      <c r="B20" s="350"/>
      <c r="C20" s="350"/>
      <c r="D20" s="350"/>
      <c r="E20" s="350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3"/>
      <c r="X20" s="60"/>
      <c r="Y20" s="63"/>
      <c r="Z20" s="63"/>
      <c r="AA20" s="64"/>
      <c r="AB20" s="65"/>
      <c r="AC20" s="66"/>
      <c r="AD20" s="66"/>
      <c r="AE20" s="66"/>
      <c r="AF20" s="66"/>
      <c r="AG20" s="67"/>
      <c r="AH20" s="65"/>
      <c r="AI20" s="66"/>
      <c r="AJ20" s="66"/>
      <c r="AK20" s="67"/>
      <c r="AL20" s="65"/>
      <c r="AM20" s="66"/>
      <c r="AN20" s="66"/>
      <c r="AO20" s="67"/>
      <c r="AP20" s="65"/>
      <c r="AQ20" s="66"/>
      <c r="AR20" s="66"/>
      <c r="AS20" s="67"/>
      <c r="AT20" s="65"/>
      <c r="AU20" s="66"/>
      <c r="AV20" s="66"/>
      <c r="AW20" s="67"/>
      <c r="AX20" s="65"/>
      <c r="AY20" s="67"/>
      <c r="AZ20" s="136"/>
      <c r="BA20" s="136"/>
    </row>
    <row r="21" spans="1:53" ht="15.75" customHeight="1">
      <c r="A21" s="350"/>
      <c r="B21" s="350"/>
      <c r="C21" s="350"/>
      <c r="D21" s="350"/>
      <c r="E21" s="350"/>
      <c r="F21" s="371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138</v>
      </c>
      <c r="S21" s="50"/>
      <c r="T21" s="54">
        <v>0.1</v>
      </c>
      <c r="U21" s="50"/>
      <c r="V21" s="50"/>
      <c r="W21" s="50"/>
      <c r="X21" s="50"/>
      <c r="Y21" s="43">
        <f>Q21/T21</f>
        <v>1450763.16</v>
      </c>
      <c r="Z21" s="50"/>
      <c r="AA21" s="50"/>
      <c r="AB21" s="361"/>
      <c r="AC21" s="362"/>
      <c r="AD21" s="405">
        <v>145076.31599999999</v>
      </c>
      <c r="AE21" s="362"/>
      <c r="AF21" s="362"/>
      <c r="AG21" s="386"/>
      <c r="AH21" s="361"/>
      <c r="AI21" s="362"/>
      <c r="AJ21" s="362"/>
      <c r="AK21" s="386"/>
      <c r="AL21" s="361"/>
      <c r="AM21" s="362"/>
      <c r="AN21" s="362"/>
      <c r="AO21" s="386"/>
      <c r="AP21" s="361"/>
      <c r="AQ21" s="362"/>
      <c r="AR21" s="362"/>
      <c r="AS21" s="386"/>
      <c r="AT21" s="361"/>
      <c r="AU21" s="362"/>
      <c r="AV21" s="362"/>
      <c r="AW21" s="386"/>
      <c r="AX21" s="361"/>
      <c r="AY21" s="386"/>
      <c r="AZ21" s="418">
        <f>AD21</f>
        <v>145076.31599999999</v>
      </c>
      <c r="BA21" s="362"/>
    </row>
    <row r="22" spans="1:53" ht="15.75" customHeight="1">
      <c r="A22" s="350"/>
      <c r="B22" s="350"/>
      <c r="C22" s="350"/>
      <c r="D22" s="350"/>
      <c r="E22" s="350"/>
      <c r="F22" s="350"/>
      <c r="G22" s="68"/>
      <c r="H22" s="372">
        <f>E13*G24</f>
        <v>659437.79999999993</v>
      </c>
      <c r="I22" s="373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42</v>
      </c>
      <c r="S22" s="50"/>
      <c r="T22" s="50"/>
      <c r="U22" s="50"/>
      <c r="V22" s="50"/>
      <c r="W22" s="52">
        <v>37</v>
      </c>
      <c r="X22" s="50"/>
      <c r="Y22" s="50"/>
      <c r="Z22" s="50"/>
      <c r="AA22" s="55">
        <f>Q22/W22*1000</f>
        <v>6237925.1351351338</v>
      </c>
      <c r="AB22" s="361"/>
      <c r="AC22" s="362"/>
      <c r="AD22" s="412">
        <v>100401.61500000001</v>
      </c>
      <c r="AE22" s="362"/>
      <c r="AF22" s="362"/>
      <c r="AG22" s="386"/>
      <c r="AH22" s="406">
        <v>130401.61500000001</v>
      </c>
      <c r="AI22" s="362"/>
      <c r="AJ22" s="362"/>
      <c r="AK22" s="386"/>
      <c r="AL22" s="361"/>
      <c r="AM22" s="362"/>
      <c r="AN22" s="362"/>
      <c r="AO22" s="386"/>
      <c r="AP22" s="361"/>
      <c r="AQ22" s="362"/>
      <c r="AR22" s="362"/>
      <c r="AS22" s="386"/>
      <c r="AT22" s="361"/>
      <c r="AU22" s="362"/>
      <c r="AV22" s="362"/>
      <c r="AW22" s="386"/>
      <c r="AX22" s="361"/>
      <c r="AY22" s="386"/>
      <c r="AZ22" s="418">
        <f>AD22+AH22</f>
        <v>230803.23</v>
      </c>
      <c r="BA22" s="362"/>
    </row>
    <row r="23" spans="1:53" ht="15.75" customHeight="1">
      <c r="A23" s="350"/>
      <c r="B23" s="350"/>
      <c r="C23" s="350"/>
      <c r="D23" s="350"/>
      <c r="E23" s="350"/>
      <c r="F23" s="350"/>
      <c r="G23" s="68"/>
      <c r="H23" s="369"/>
      <c r="I23" s="374"/>
      <c r="J23" s="375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4">M23*N23</f>
        <v>9</v>
      </c>
      <c r="P23" s="51">
        <v>0.18</v>
      </c>
      <c r="Q23" s="52">
        <f>H22*P23</f>
        <v>118698.80399999999</v>
      </c>
      <c r="R23" s="53" t="s">
        <v>138</v>
      </c>
      <c r="S23" s="50"/>
      <c r="T23" s="54">
        <v>0.1</v>
      </c>
      <c r="U23" s="50"/>
      <c r="V23" s="50"/>
      <c r="W23" s="50"/>
      <c r="X23" s="50"/>
      <c r="Y23" s="43">
        <f t="shared" ref="Y23:Y24" si="5">Q23/T23</f>
        <v>1186988.0399999998</v>
      </c>
      <c r="Z23" s="50"/>
      <c r="AA23" s="50"/>
      <c r="AB23" s="361"/>
      <c r="AC23" s="362"/>
      <c r="AD23" s="395"/>
      <c r="AE23" s="362"/>
      <c r="AF23" s="362"/>
      <c r="AG23" s="386"/>
      <c r="AH23" s="361"/>
      <c r="AI23" s="362"/>
      <c r="AJ23" s="362"/>
      <c r="AK23" s="386"/>
      <c r="AL23" s="406">
        <f>Q23/2</f>
        <v>59349.401999999995</v>
      </c>
      <c r="AM23" s="362"/>
      <c r="AN23" s="362"/>
      <c r="AO23" s="386"/>
      <c r="AP23" s="406">
        <v>59349.401999999995</v>
      </c>
      <c r="AQ23" s="362"/>
      <c r="AR23" s="362"/>
      <c r="AS23" s="386"/>
      <c r="AT23" s="361"/>
      <c r="AU23" s="362"/>
      <c r="AV23" s="362"/>
      <c r="AW23" s="386"/>
      <c r="AX23" s="361"/>
      <c r="AY23" s="386"/>
      <c r="AZ23" s="418">
        <f>AL23+AP23+AT23</f>
        <v>118698.80399999999</v>
      </c>
      <c r="BA23" s="362"/>
    </row>
    <row r="24" spans="1:53" ht="15.75" customHeight="1">
      <c r="A24" s="350"/>
      <c r="B24" s="350"/>
      <c r="C24" s="351"/>
      <c r="D24" s="351"/>
      <c r="E24" s="351"/>
      <c r="F24" s="350"/>
      <c r="G24" s="68">
        <v>0.5</v>
      </c>
      <c r="H24" s="369"/>
      <c r="I24" s="73" t="s">
        <v>52</v>
      </c>
      <c r="J24" s="376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4"/>
        <v>6</v>
      </c>
      <c r="P24" s="51">
        <v>0.25</v>
      </c>
      <c r="Q24" s="52">
        <f>H22*P24</f>
        <v>164859.44999999998</v>
      </c>
      <c r="R24" s="53" t="s">
        <v>138</v>
      </c>
      <c r="S24" s="50"/>
      <c r="T24" s="54">
        <v>0.1</v>
      </c>
      <c r="U24" s="50"/>
      <c r="V24" s="50"/>
      <c r="W24" s="50"/>
      <c r="X24" s="50"/>
      <c r="Y24" s="43">
        <f t="shared" si="5"/>
        <v>1648594.4999999998</v>
      </c>
      <c r="Z24" s="50"/>
      <c r="AA24" s="50"/>
      <c r="AB24" s="361"/>
      <c r="AC24" s="362"/>
      <c r="AD24" s="395"/>
      <c r="AE24" s="362"/>
      <c r="AF24" s="362"/>
      <c r="AG24" s="386"/>
      <c r="AH24" s="361"/>
      <c r="AI24" s="362"/>
      <c r="AJ24" s="362"/>
      <c r="AK24" s="386"/>
      <c r="AL24" s="405">
        <v>164859.44999999998</v>
      </c>
      <c r="AM24" s="362"/>
      <c r="AN24" s="362"/>
      <c r="AO24" s="386"/>
      <c r="AP24" s="46"/>
      <c r="AQ24" s="47"/>
      <c r="AR24" s="47"/>
      <c r="AS24" s="48"/>
      <c r="AT24" s="46"/>
      <c r="AU24" s="47"/>
      <c r="AV24" s="47"/>
      <c r="AW24" s="48"/>
      <c r="AX24" s="46"/>
      <c r="AY24" s="48"/>
      <c r="AZ24" s="418">
        <f>AL24</f>
        <v>164859.44999999998</v>
      </c>
      <c r="BA24" s="362"/>
    </row>
    <row r="25" spans="1:53" ht="7.5" customHeight="1">
      <c r="A25" s="350"/>
      <c r="B25" s="350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3"/>
      <c r="X25" s="80"/>
      <c r="Y25" s="83"/>
      <c r="Z25" s="83"/>
      <c r="AA25" s="84"/>
      <c r="AB25" s="85"/>
      <c r="AC25" s="86"/>
      <c r="AD25" s="86"/>
      <c r="AE25" s="86"/>
      <c r="AF25" s="86"/>
      <c r="AG25" s="87"/>
      <c r="AH25" s="85"/>
      <c r="AI25" s="86"/>
      <c r="AJ25" s="86"/>
      <c r="AK25" s="87"/>
      <c r="AL25" s="85"/>
      <c r="AM25" s="86"/>
      <c r="AN25" s="86"/>
      <c r="AO25" s="87"/>
      <c r="AP25" s="85"/>
      <c r="AQ25" s="86"/>
      <c r="AR25" s="86"/>
      <c r="AS25" s="87"/>
      <c r="AT25" s="85"/>
      <c r="AU25" s="86"/>
      <c r="AV25" s="86"/>
      <c r="AW25" s="87"/>
      <c r="AX25" s="85"/>
      <c r="AY25" s="87"/>
      <c r="AZ25" s="137"/>
      <c r="BA25" s="137"/>
    </row>
    <row r="26" spans="1:53" ht="15.75" customHeight="1">
      <c r="A26" s="350"/>
      <c r="B26" s="350"/>
      <c r="C26" s="358" t="s">
        <v>83</v>
      </c>
      <c r="D26" s="359">
        <v>0.4</v>
      </c>
      <c r="E26" s="349">
        <f>B5*D26</f>
        <v>879250.4</v>
      </c>
      <c r="F26" s="414" t="s">
        <v>129</v>
      </c>
      <c r="G26" s="352">
        <v>0.56000000000000005</v>
      </c>
      <c r="H26" s="377">
        <f>E26*G26</f>
        <v>492380.22400000005</v>
      </c>
      <c r="I26" s="360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6">M26*N26</f>
        <v>1</v>
      </c>
      <c r="P26" s="51">
        <v>0.2</v>
      </c>
      <c r="Q26" s="52">
        <f>H26*P26</f>
        <v>98476.044800000018</v>
      </c>
      <c r="R26" s="89" t="s">
        <v>87</v>
      </c>
      <c r="S26" s="50"/>
      <c r="T26" s="50"/>
      <c r="U26" s="50"/>
      <c r="V26" s="50"/>
      <c r="W26" s="54">
        <v>2.5</v>
      </c>
      <c r="X26" s="50"/>
      <c r="Y26" s="50"/>
      <c r="Z26" s="50"/>
      <c r="AA26" s="55">
        <f t="shared" ref="AA26:AA27" si="7">Q26/W26*1000</f>
        <v>39390417.920000009</v>
      </c>
      <c r="AB26" s="413">
        <f>Q26</f>
        <v>98476.044800000018</v>
      </c>
      <c r="AC26" s="362"/>
      <c r="AD26" s="90"/>
      <c r="AE26" s="90"/>
      <c r="AF26" s="90"/>
      <c r="AG26" s="91"/>
      <c r="AH26" s="46"/>
      <c r="AI26" s="47"/>
      <c r="AJ26" s="47"/>
      <c r="AK26" s="48"/>
      <c r="AL26" s="46"/>
      <c r="AM26" s="47"/>
      <c r="AN26" s="47"/>
      <c r="AO26" s="48"/>
      <c r="AP26" s="46"/>
      <c r="AQ26" s="47"/>
      <c r="AR26" s="47"/>
      <c r="AS26" s="48"/>
      <c r="AT26" s="46"/>
      <c r="AU26" s="47"/>
      <c r="AV26" s="47"/>
      <c r="AW26" s="48"/>
      <c r="AX26" s="46"/>
      <c r="AY26" s="48"/>
      <c r="AZ26" s="138">
        <f>AB26</f>
        <v>98476.044800000018</v>
      </c>
      <c r="BA26" s="139"/>
    </row>
    <row r="27" spans="1:53" ht="15.75" customHeight="1">
      <c r="A27" s="350"/>
      <c r="B27" s="350"/>
      <c r="C27" s="350"/>
      <c r="D27" s="350"/>
      <c r="E27" s="350"/>
      <c r="F27" s="350"/>
      <c r="G27" s="350"/>
      <c r="H27" s="350"/>
      <c r="I27" s="350"/>
      <c r="J27" s="360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6"/>
        <v>2</v>
      </c>
      <c r="P27" s="355">
        <v>0.2</v>
      </c>
      <c r="Q27" s="365">
        <f>H26*P27</f>
        <v>98476.044800000018</v>
      </c>
      <c r="R27" s="407" t="s">
        <v>90</v>
      </c>
      <c r="S27" s="367">
        <v>0.5</v>
      </c>
      <c r="T27" s="50"/>
      <c r="U27" s="50"/>
      <c r="V27" s="50"/>
      <c r="W27" s="367">
        <v>2.5</v>
      </c>
      <c r="X27" s="378">
        <f>Q27/S27</f>
        <v>196952.08960000004</v>
      </c>
      <c r="Y27" s="50"/>
      <c r="Z27" s="50"/>
      <c r="AA27" s="368">
        <f t="shared" si="7"/>
        <v>39390417.920000009</v>
      </c>
      <c r="AB27" s="379"/>
      <c r="AC27" s="380"/>
      <c r="AD27" s="382">
        <f>Q27</f>
        <v>98476.044800000018</v>
      </c>
      <c r="AE27" s="380"/>
      <c r="AF27" s="380"/>
      <c r="AG27" s="383"/>
      <c r="AH27" s="46"/>
      <c r="AI27" s="47"/>
      <c r="AJ27" s="47"/>
      <c r="AK27" s="48"/>
      <c r="AL27" s="46"/>
      <c r="AM27" s="47"/>
      <c r="AN27" s="47"/>
      <c r="AO27" s="48"/>
      <c r="AP27" s="46"/>
      <c r="AQ27" s="47"/>
      <c r="AR27" s="47"/>
      <c r="AS27" s="48"/>
      <c r="AT27" s="46"/>
      <c r="AU27" s="47"/>
      <c r="AV27" s="47"/>
      <c r="AW27" s="48"/>
      <c r="AX27" s="46"/>
      <c r="AY27" s="48"/>
      <c r="AZ27" s="420">
        <f>AD27</f>
        <v>98476.044800000018</v>
      </c>
      <c r="BA27" s="380"/>
    </row>
    <row r="28" spans="1:53" ht="15.75" customHeight="1">
      <c r="A28" s="350"/>
      <c r="B28" s="350"/>
      <c r="C28" s="350"/>
      <c r="D28" s="350"/>
      <c r="E28" s="350"/>
      <c r="F28" s="350"/>
      <c r="G28" s="350"/>
      <c r="H28" s="350"/>
      <c r="I28" s="351"/>
      <c r="J28" s="350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6"/>
        <v>2</v>
      </c>
      <c r="P28" s="351"/>
      <c r="Q28" s="351"/>
      <c r="R28" s="351"/>
      <c r="S28" s="351"/>
      <c r="T28" s="50"/>
      <c r="U28" s="50"/>
      <c r="V28" s="50"/>
      <c r="W28" s="351"/>
      <c r="X28" s="351"/>
      <c r="Y28" s="50"/>
      <c r="Z28" s="50"/>
      <c r="AA28" s="370"/>
      <c r="AB28" s="381"/>
      <c r="AC28" s="354"/>
      <c r="AD28" s="384"/>
      <c r="AE28" s="354"/>
      <c r="AF28" s="354"/>
      <c r="AG28" s="385"/>
      <c r="AH28" s="46"/>
      <c r="AI28" s="47"/>
      <c r="AJ28" s="47"/>
      <c r="AK28" s="48"/>
      <c r="AL28" s="46"/>
      <c r="AM28" s="47"/>
      <c r="AN28" s="47"/>
      <c r="AO28" s="48"/>
      <c r="AP28" s="46"/>
      <c r="AQ28" s="47"/>
      <c r="AR28" s="47"/>
      <c r="AS28" s="48"/>
      <c r="AT28" s="46"/>
      <c r="AU28" s="47"/>
      <c r="AV28" s="47"/>
      <c r="AW28" s="48"/>
      <c r="AX28" s="46"/>
      <c r="AY28" s="48"/>
      <c r="AZ28" s="384"/>
      <c r="BA28" s="354"/>
    </row>
    <row r="29" spans="1:53" ht="15.75" customHeight="1">
      <c r="A29" s="350"/>
      <c r="B29" s="350"/>
      <c r="C29" s="350"/>
      <c r="D29" s="350"/>
      <c r="E29" s="350"/>
      <c r="F29" s="350"/>
      <c r="G29" s="350"/>
      <c r="H29" s="350"/>
      <c r="I29" s="360" t="s">
        <v>64</v>
      </c>
      <c r="J29" s="350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6"/>
        <v>4</v>
      </c>
      <c r="P29" s="355">
        <v>0.3</v>
      </c>
      <c r="Q29" s="365">
        <f>H26*P29</f>
        <v>147714.06720000002</v>
      </c>
      <c r="R29" s="407" t="s">
        <v>90</v>
      </c>
      <c r="S29" s="367">
        <v>0.5</v>
      </c>
      <c r="T29" s="50"/>
      <c r="U29" s="50"/>
      <c r="V29" s="50"/>
      <c r="W29" s="367">
        <v>2.5</v>
      </c>
      <c r="X29" s="378">
        <f>Q29/S29</f>
        <v>295428.13440000004</v>
      </c>
      <c r="Y29" s="50"/>
      <c r="Z29" s="50"/>
      <c r="AA29" s="368">
        <f>Q29/W29*1000</f>
        <v>59085626.88000001</v>
      </c>
      <c r="AB29" s="46"/>
      <c r="AC29" s="47"/>
      <c r="AD29" s="47"/>
      <c r="AE29" s="47"/>
      <c r="AF29" s="47"/>
      <c r="AG29" s="48"/>
      <c r="AH29" s="403">
        <v>46928.516799999998</v>
      </c>
      <c r="AI29" s="380"/>
      <c r="AJ29" s="380"/>
      <c r="AK29" s="383"/>
      <c r="AL29" s="403">
        <v>26928.516800000001</v>
      </c>
      <c r="AM29" s="380"/>
      <c r="AN29" s="380"/>
      <c r="AO29" s="383"/>
      <c r="AP29" s="403">
        <v>36928.516800000005</v>
      </c>
      <c r="AQ29" s="380"/>
      <c r="AR29" s="380"/>
      <c r="AS29" s="383"/>
      <c r="AT29" s="403">
        <v>36928.516799999998</v>
      </c>
      <c r="AU29" s="380"/>
      <c r="AV29" s="380"/>
      <c r="AW29" s="383"/>
      <c r="AX29" s="46"/>
      <c r="AY29" s="48"/>
      <c r="AZ29" s="420">
        <f>AH29+AL29+AP29+AT29</f>
        <v>147714.06719999999</v>
      </c>
      <c r="BA29" s="380"/>
    </row>
    <row r="30" spans="1:53" ht="15.75" customHeight="1">
      <c r="A30" s="350"/>
      <c r="B30" s="350"/>
      <c r="C30" s="350"/>
      <c r="D30" s="350"/>
      <c r="E30" s="350"/>
      <c r="F30" s="350"/>
      <c r="G30" s="350"/>
      <c r="H30" s="350"/>
      <c r="I30" s="350"/>
      <c r="J30" s="350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6"/>
        <v>4</v>
      </c>
      <c r="P30" s="351"/>
      <c r="Q30" s="351"/>
      <c r="R30" s="351"/>
      <c r="S30" s="351"/>
      <c r="T30" s="50"/>
      <c r="U30" s="50"/>
      <c r="V30" s="50"/>
      <c r="W30" s="351"/>
      <c r="X30" s="351"/>
      <c r="Y30" s="50"/>
      <c r="Z30" s="50"/>
      <c r="AA30" s="370"/>
      <c r="AB30" s="46"/>
      <c r="AC30" s="47"/>
      <c r="AD30" s="47"/>
      <c r="AE30" s="47"/>
      <c r="AF30" s="47"/>
      <c r="AG30" s="48"/>
      <c r="AH30" s="381"/>
      <c r="AI30" s="354"/>
      <c r="AJ30" s="354"/>
      <c r="AK30" s="385"/>
      <c r="AL30" s="381"/>
      <c r="AM30" s="354"/>
      <c r="AN30" s="354"/>
      <c r="AO30" s="385"/>
      <c r="AP30" s="381"/>
      <c r="AQ30" s="354"/>
      <c r="AR30" s="354"/>
      <c r="AS30" s="385"/>
      <c r="AT30" s="381"/>
      <c r="AU30" s="354"/>
      <c r="AV30" s="354"/>
      <c r="AW30" s="385"/>
      <c r="AX30" s="46"/>
      <c r="AY30" s="48"/>
      <c r="AZ30" s="384"/>
      <c r="BA30" s="354"/>
    </row>
    <row r="31" spans="1:53" ht="36" customHeight="1">
      <c r="A31" s="350"/>
      <c r="B31" s="350"/>
      <c r="C31" s="350"/>
      <c r="D31" s="350"/>
      <c r="E31" s="350"/>
      <c r="F31" s="350"/>
      <c r="G31" s="351"/>
      <c r="H31" s="351"/>
      <c r="I31" s="351"/>
      <c r="J31" s="350"/>
      <c r="K31" s="40" t="s">
        <v>133</v>
      </c>
      <c r="L31" s="49">
        <v>15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147714.06720000002</v>
      </c>
      <c r="R31" s="89" t="s">
        <v>90</v>
      </c>
      <c r="S31" s="54">
        <v>0.5</v>
      </c>
      <c r="T31" s="50"/>
      <c r="U31" s="50"/>
      <c r="V31" s="50"/>
      <c r="W31" s="54">
        <v>2.5</v>
      </c>
      <c r="X31" s="43">
        <f>Q31/S31</f>
        <v>295428.13440000004</v>
      </c>
      <c r="Y31" s="50"/>
      <c r="Z31" s="50"/>
      <c r="AA31" s="55">
        <f>Q31/W31*1000</f>
        <v>59085626.88000001</v>
      </c>
      <c r="AB31" s="46"/>
      <c r="AC31" s="47"/>
      <c r="AD31" s="47"/>
      <c r="AE31" s="47"/>
      <c r="AF31" s="47"/>
      <c r="AG31" s="48"/>
      <c r="AH31" s="397">
        <v>59238.022400000002</v>
      </c>
      <c r="AI31" s="362"/>
      <c r="AJ31" s="362"/>
      <c r="AK31" s="386"/>
      <c r="AL31" s="397">
        <v>29238.022400000002</v>
      </c>
      <c r="AM31" s="362"/>
      <c r="AN31" s="362"/>
      <c r="AO31" s="386"/>
      <c r="AP31" s="397">
        <v>39238.022400000002</v>
      </c>
      <c r="AQ31" s="362"/>
      <c r="AR31" s="362"/>
      <c r="AS31" s="386"/>
      <c r="AT31" s="397">
        <v>20000</v>
      </c>
      <c r="AU31" s="362"/>
      <c r="AV31" s="362"/>
      <c r="AW31" s="386"/>
      <c r="AX31" s="46"/>
      <c r="AY31" s="48"/>
      <c r="AZ31" s="418">
        <f>AL31+AP31+AT31+AH31</f>
        <v>147714.06719999999</v>
      </c>
      <c r="BA31" s="362"/>
    </row>
    <row r="32" spans="1:53" ht="15.75" customHeight="1">
      <c r="A32" s="350"/>
      <c r="B32" s="350"/>
      <c r="C32" s="350"/>
      <c r="D32" s="350"/>
      <c r="E32" s="350"/>
      <c r="F32" s="425" t="s">
        <v>142</v>
      </c>
      <c r="G32" s="352">
        <v>0.18</v>
      </c>
      <c r="H32" s="377">
        <f>E26*G32</f>
        <v>158265.07199999999</v>
      </c>
      <c r="I32" s="373" t="s">
        <v>75</v>
      </c>
      <c r="J32" s="360" t="s">
        <v>143</v>
      </c>
      <c r="K32" s="360" t="s">
        <v>101</v>
      </c>
      <c r="L32" s="366" t="s">
        <v>98</v>
      </c>
      <c r="M32" s="378">
        <v>1</v>
      </c>
      <c r="N32" s="378">
        <v>5</v>
      </c>
      <c r="O32" s="378">
        <f>M33*N33</f>
        <v>0</v>
      </c>
      <c r="P32" s="355">
        <v>0.5</v>
      </c>
      <c r="Q32" s="365">
        <f>H32*P32</f>
        <v>79132.535999999993</v>
      </c>
      <c r="R32" s="366" t="s">
        <v>42</v>
      </c>
      <c r="S32" s="402"/>
      <c r="T32" s="50"/>
      <c r="U32" s="402"/>
      <c r="V32" s="402"/>
      <c r="W32" s="367">
        <v>6</v>
      </c>
      <c r="X32" s="424"/>
      <c r="Y32" s="402"/>
      <c r="Z32" s="402"/>
      <c r="AA32" s="424">
        <f>Q32*W32</f>
        <v>474795.21599999996</v>
      </c>
      <c r="AB32" s="361"/>
      <c r="AC32" s="362"/>
      <c r="AD32" s="427">
        <v>29566.268</v>
      </c>
      <c r="AE32" s="380"/>
      <c r="AF32" s="380"/>
      <c r="AG32" s="383"/>
      <c r="AH32" s="427">
        <v>49566.267999999996</v>
      </c>
      <c r="AI32" s="380"/>
      <c r="AJ32" s="380"/>
      <c r="AK32" s="383"/>
      <c r="AL32" s="422"/>
      <c r="AM32" s="380"/>
      <c r="AN32" s="380"/>
      <c r="AO32" s="383"/>
      <c r="AP32" s="422"/>
      <c r="AQ32" s="380"/>
      <c r="AR32" s="380"/>
      <c r="AS32" s="383"/>
      <c r="AT32" s="422"/>
      <c r="AU32" s="380"/>
      <c r="AV32" s="380"/>
      <c r="AW32" s="383"/>
      <c r="AX32" s="46"/>
      <c r="AY32" s="48"/>
      <c r="AZ32" s="421"/>
      <c r="BA32" s="362"/>
    </row>
    <row r="33" spans="1:53" ht="15.75" customHeight="1">
      <c r="A33" s="350"/>
      <c r="B33" s="350"/>
      <c r="C33" s="350"/>
      <c r="D33" s="350"/>
      <c r="E33" s="350"/>
      <c r="F33" s="350"/>
      <c r="G33" s="350"/>
      <c r="H33" s="350"/>
      <c r="I33" s="374"/>
      <c r="J33" s="350"/>
      <c r="K33" s="350"/>
      <c r="L33" s="350"/>
      <c r="M33" s="350"/>
      <c r="N33" s="350"/>
      <c r="O33" s="350"/>
      <c r="P33" s="351"/>
      <c r="Q33" s="351"/>
      <c r="R33" s="351"/>
      <c r="S33" s="351"/>
      <c r="T33" s="50"/>
      <c r="U33" s="351"/>
      <c r="V33" s="351"/>
      <c r="W33" s="351"/>
      <c r="X33" s="351"/>
      <c r="Y33" s="351"/>
      <c r="Z33" s="351"/>
      <c r="AA33" s="351"/>
      <c r="AB33" s="46"/>
      <c r="AC33" s="47"/>
      <c r="AD33" s="384"/>
      <c r="AE33" s="354"/>
      <c r="AF33" s="354"/>
      <c r="AG33" s="385"/>
      <c r="AH33" s="384"/>
      <c r="AI33" s="354"/>
      <c r="AJ33" s="354"/>
      <c r="AK33" s="385"/>
      <c r="AL33" s="381"/>
      <c r="AM33" s="354"/>
      <c r="AN33" s="354"/>
      <c r="AO33" s="385"/>
      <c r="AP33" s="381"/>
      <c r="AQ33" s="354"/>
      <c r="AR33" s="354"/>
      <c r="AS33" s="385"/>
      <c r="AT33" s="381"/>
      <c r="AU33" s="354"/>
      <c r="AV33" s="354"/>
      <c r="AW33" s="385"/>
      <c r="AX33" s="46"/>
      <c r="AY33" s="48"/>
      <c r="AZ33" s="138">
        <f>AD32+AH32+AL32+AP32+AT32</f>
        <v>79132.535999999993</v>
      </c>
      <c r="BA33" s="139"/>
    </row>
    <row r="34" spans="1:53" ht="43.5" customHeight="1">
      <c r="A34" s="350"/>
      <c r="B34" s="350"/>
      <c r="C34" s="350"/>
      <c r="D34" s="350"/>
      <c r="E34" s="350"/>
      <c r="F34" s="351"/>
      <c r="G34" s="351"/>
      <c r="H34" s="351"/>
      <c r="I34" s="426"/>
      <c r="J34" s="351"/>
      <c r="K34" s="140" t="s">
        <v>144</v>
      </c>
      <c r="L34" s="351"/>
      <c r="M34" s="351"/>
      <c r="N34" s="351"/>
      <c r="O34" s="351"/>
      <c r="P34" s="51">
        <v>0.5</v>
      </c>
      <c r="Q34" s="52">
        <f>H32*P34</f>
        <v>79132.535999999993</v>
      </c>
      <c r="R34" s="141" t="s">
        <v>41</v>
      </c>
      <c r="S34" s="50"/>
      <c r="T34" s="50"/>
      <c r="U34" s="50"/>
      <c r="V34" s="54">
        <v>0.8</v>
      </c>
      <c r="W34" s="50"/>
      <c r="X34" s="96"/>
      <c r="Y34" s="50"/>
      <c r="Z34" s="43">
        <f>Q34/V34</f>
        <v>98915.669999999984</v>
      </c>
      <c r="AA34" s="142"/>
      <c r="AB34" s="46"/>
      <c r="AC34" s="47"/>
      <c r="AD34" s="143"/>
      <c r="AE34" s="143"/>
      <c r="AF34" s="143"/>
      <c r="AG34" s="144"/>
      <c r="AH34" s="143"/>
      <c r="AI34" s="143"/>
      <c r="AJ34" s="143"/>
      <c r="AK34" s="144"/>
      <c r="AL34" s="409">
        <v>29566.268</v>
      </c>
      <c r="AM34" s="362"/>
      <c r="AN34" s="362"/>
      <c r="AO34" s="386"/>
      <c r="AP34" s="409">
        <v>29566.268</v>
      </c>
      <c r="AQ34" s="362"/>
      <c r="AR34" s="362"/>
      <c r="AS34" s="386"/>
      <c r="AT34" s="409">
        <v>20000</v>
      </c>
      <c r="AU34" s="362"/>
      <c r="AV34" s="362"/>
      <c r="AW34" s="386"/>
      <c r="AX34" s="46"/>
      <c r="AY34" s="48"/>
      <c r="AZ34" s="138">
        <f>AL34+AP34+AT34</f>
        <v>79132.535999999993</v>
      </c>
      <c r="BA34" s="139"/>
    </row>
    <row r="35" spans="1:53" ht="10.5" customHeight="1">
      <c r="A35" s="350"/>
      <c r="B35" s="350"/>
      <c r="C35" s="350"/>
      <c r="D35" s="350"/>
      <c r="E35" s="350"/>
      <c r="F35" s="58"/>
      <c r="G35" s="98"/>
      <c r="H35" s="99"/>
      <c r="I35" s="58"/>
      <c r="J35" s="58"/>
      <c r="K35" s="58"/>
      <c r="L35" s="62"/>
      <c r="M35" s="60"/>
      <c r="N35" s="60"/>
      <c r="O35" s="60"/>
      <c r="P35" s="59"/>
      <c r="Q35" s="61"/>
      <c r="R35" s="62"/>
      <c r="S35" s="63"/>
      <c r="T35" s="63"/>
      <c r="U35" s="63"/>
      <c r="V35" s="63"/>
      <c r="W35" s="63"/>
      <c r="X35" s="60"/>
      <c r="Y35" s="63"/>
      <c r="Z35" s="63"/>
      <c r="AA35" s="64"/>
      <c r="AB35" s="65"/>
      <c r="AC35" s="66"/>
      <c r="AD35" s="66"/>
      <c r="AE35" s="66"/>
      <c r="AF35" s="66"/>
      <c r="AG35" s="67"/>
      <c r="AH35" s="65"/>
      <c r="AI35" s="66"/>
      <c r="AJ35" s="66"/>
      <c r="AK35" s="67"/>
      <c r="AL35" s="65"/>
      <c r="AM35" s="66"/>
      <c r="AN35" s="66"/>
      <c r="AO35" s="67"/>
      <c r="AP35" s="65"/>
      <c r="AQ35" s="66"/>
      <c r="AR35" s="66"/>
      <c r="AS35" s="67"/>
      <c r="AT35" s="65"/>
      <c r="AU35" s="66"/>
      <c r="AV35" s="66"/>
      <c r="AW35" s="67"/>
      <c r="AX35" s="65"/>
      <c r="AY35" s="67"/>
      <c r="AZ35" s="136"/>
      <c r="BA35" s="136"/>
    </row>
    <row r="36" spans="1:53" ht="15.75" customHeight="1">
      <c r="A36" s="350"/>
      <c r="B36" s="350"/>
      <c r="C36" s="350"/>
      <c r="D36" s="350"/>
      <c r="E36" s="350"/>
      <c r="F36" s="360" t="s">
        <v>102</v>
      </c>
      <c r="G36" s="352">
        <v>0.06</v>
      </c>
      <c r="H36" s="377">
        <f>E26*G36</f>
        <v>52755.023999999998</v>
      </c>
      <c r="I36" s="360" t="s">
        <v>70</v>
      </c>
      <c r="J36" s="360" t="s">
        <v>103</v>
      </c>
      <c r="K36" s="40" t="s">
        <v>104</v>
      </c>
      <c r="L36" s="53" t="s">
        <v>105</v>
      </c>
      <c r="M36" s="43">
        <v>2</v>
      </c>
      <c r="N36" s="43">
        <v>3</v>
      </c>
      <c r="O36" s="43">
        <f t="shared" ref="O36:O38" si="8">M36*N36</f>
        <v>6</v>
      </c>
      <c r="P36" s="355">
        <v>1</v>
      </c>
      <c r="Q36" s="365">
        <f>H36*P36</f>
        <v>52755.023999999998</v>
      </c>
      <c r="R36" s="366" t="s">
        <v>58</v>
      </c>
      <c r="S36" s="50"/>
      <c r="T36" s="50"/>
      <c r="U36" s="50"/>
      <c r="V36" s="50"/>
      <c r="W36" s="367">
        <f>45/18.77</f>
        <v>2.3974427277570594</v>
      </c>
      <c r="X36" s="96"/>
      <c r="Y36" s="50"/>
      <c r="Z36" s="50"/>
      <c r="AA36" s="368">
        <f>Q36/W36*1000</f>
        <v>22004706.677333333</v>
      </c>
      <c r="AB36" s="361"/>
      <c r="AC36" s="362"/>
      <c r="AD36" s="395"/>
      <c r="AE36" s="362"/>
      <c r="AF36" s="362"/>
      <c r="AG36" s="386"/>
      <c r="AH36" s="361"/>
      <c r="AI36" s="362"/>
      <c r="AJ36" s="362"/>
      <c r="AK36" s="386"/>
      <c r="AL36" s="379"/>
      <c r="AM36" s="380"/>
      <c r="AN36" s="380"/>
      <c r="AO36" s="383"/>
      <c r="AP36" s="394">
        <v>36377.512000000002</v>
      </c>
      <c r="AQ36" s="380"/>
      <c r="AR36" s="380"/>
      <c r="AS36" s="383"/>
      <c r="AT36" s="394">
        <v>10000</v>
      </c>
      <c r="AU36" s="380"/>
      <c r="AV36" s="380"/>
      <c r="AW36" s="383"/>
      <c r="AX36" s="394">
        <v>6377</v>
      </c>
      <c r="AY36" s="383"/>
      <c r="AZ36" s="420">
        <f>AL36+AT36+AX36+AP36</f>
        <v>52754.512000000002</v>
      </c>
      <c r="BA36" s="380"/>
    </row>
    <row r="37" spans="1:53" ht="15.75" customHeight="1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40" t="s">
        <v>104</v>
      </c>
      <c r="L37" s="53" t="s">
        <v>105</v>
      </c>
      <c r="M37" s="43">
        <v>2</v>
      </c>
      <c r="N37" s="43">
        <v>3</v>
      </c>
      <c r="O37" s="43">
        <f t="shared" si="8"/>
        <v>6</v>
      </c>
      <c r="P37" s="350"/>
      <c r="Q37" s="350"/>
      <c r="R37" s="350"/>
      <c r="S37" s="50"/>
      <c r="T37" s="50"/>
      <c r="U37" s="50"/>
      <c r="V37" s="50"/>
      <c r="W37" s="350"/>
      <c r="X37" s="96"/>
      <c r="Y37" s="50"/>
      <c r="Z37" s="50"/>
      <c r="AA37" s="369"/>
      <c r="AB37" s="361"/>
      <c r="AC37" s="362"/>
      <c r="AD37" s="395"/>
      <c r="AE37" s="362"/>
      <c r="AF37" s="362"/>
      <c r="AG37" s="386"/>
      <c r="AH37" s="361"/>
      <c r="AI37" s="362"/>
      <c r="AJ37" s="362"/>
      <c r="AK37" s="386"/>
      <c r="AL37" s="381"/>
      <c r="AM37" s="354"/>
      <c r="AN37" s="354"/>
      <c r="AO37" s="385"/>
      <c r="AP37" s="381"/>
      <c r="AQ37" s="354"/>
      <c r="AR37" s="354"/>
      <c r="AS37" s="385"/>
      <c r="AT37" s="381"/>
      <c r="AU37" s="354"/>
      <c r="AV37" s="354"/>
      <c r="AW37" s="385"/>
      <c r="AX37" s="381"/>
      <c r="AY37" s="385"/>
      <c r="AZ37" s="384"/>
      <c r="BA37" s="354"/>
    </row>
    <row r="38" spans="1:53" ht="15.75" customHeight="1">
      <c r="A38" s="350"/>
      <c r="B38" s="350"/>
      <c r="C38" s="350"/>
      <c r="D38" s="350"/>
      <c r="E38" s="350"/>
      <c r="F38" s="351"/>
      <c r="G38" s="351"/>
      <c r="H38" s="351"/>
      <c r="I38" s="351"/>
      <c r="J38" s="351"/>
      <c r="K38" s="40" t="s">
        <v>106</v>
      </c>
      <c r="L38" s="53" t="s">
        <v>105</v>
      </c>
      <c r="M38" s="43">
        <v>2</v>
      </c>
      <c r="N38" s="43">
        <v>3</v>
      </c>
      <c r="O38" s="43">
        <f t="shared" si="8"/>
        <v>6</v>
      </c>
      <c r="P38" s="351"/>
      <c r="Q38" s="351"/>
      <c r="R38" s="351"/>
      <c r="S38" s="50"/>
      <c r="T38" s="50"/>
      <c r="U38" s="50"/>
      <c r="V38" s="50"/>
      <c r="W38" s="351"/>
      <c r="X38" s="96"/>
      <c r="Y38" s="50"/>
      <c r="Z38" s="50"/>
      <c r="AA38" s="370"/>
      <c r="AB38" s="363"/>
      <c r="AC38" s="364"/>
      <c r="AD38" s="410"/>
      <c r="AE38" s="364"/>
      <c r="AF38" s="364"/>
      <c r="AG38" s="392"/>
      <c r="AH38" s="361"/>
      <c r="AI38" s="362"/>
      <c r="AJ38" s="362"/>
      <c r="AK38" s="386"/>
      <c r="AL38" s="381"/>
      <c r="AM38" s="354"/>
      <c r="AN38" s="354"/>
      <c r="AO38" s="385"/>
      <c r="AP38" s="381"/>
      <c r="AQ38" s="354"/>
      <c r="AR38" s="354"/>
      <c r="AS38" s="385"/>
      <c r="AT38" s="381"/>
      <c r="AU38" s="354"/>
      <c r="AV38" s="354"/>
      <c r="AW38" s="385"/>
      <c r="AX38" s="381"/>
      <c r="AY38" s="385"/>
      <c r="AZ38" s="384"/>
      <c r="BA38" s="354"/>
    </row>
    <row r="39" spans="1:53" ht="12" customHeight="1">
      <c r="A39" s="350"/>
      <c r="B39" s="350"/>
      <c r="C39" s="350"/>
      <c r="D39" s="350"/>
      <c r="E39" s="350"/>
      <c r="F39" s="58"/>
      <c r="G39" s="98"/>
      <c r="H39" s="99"/>
      <c r="I39" s="100"/>
      <c r="J39" s="58"/>
      <c r="K39" s="58"/>
      <c r="L39" s="62"/>
      <c r="M39" s="60"/>
      <c r="N39" s="60"/>
      <c r="O39" s="60"/>
      <c r="P39" s="59"/>
      <c r="Q39" s="61"/>
      <c r="R39" s="62"/>
      <c r="S39" s="63"/>
      <c r="T39" s="63"/>
      <c r="U39" s="63"/>
      <c r="V39" s="63"/>
      <c r="W39" s="63"/>
      <c r="X39" s="60"/>
      <c r="Y39" s="63"/>
      <c r="Z39" s="60"/>
      <c r="AA39" s="60"/>
      <c r="AB39" s="66"/>
      <c r="AC39" s="66"/>
      <c r="AD39" s="66"/>
      <c r="AE39" s="66"/>
      <c r="AF39" s="66"/>
      <c r="AG39" s="66"/>
      <c r="AH39" s="65"/>
      <c r="AI39" s="66"/>
      <c r="AJ39" s="66"/>
      <c r="AK39" s="67"/>
      <c r="AL39" s="65"/>
      <c r="AM39" s="66"/>
      <c r="AN39" s="66"/>
      <c r="AO39" s="67"/>
      <c r="AP39" s="65"/>
      <c r="AQ39" s="66"/>
      <c r="AR39" s="66"/>
      <c r="AS39" s="67"/>
      <c r="AT39" s="65"/>
      <c r="AU39" s="66"/>
      <c r="AV39" s="66"/>
      <c r="AW39" s="67"/>
      <c r="AX39" s="65"/>
      <c r="AY39" s="67"/>
      <c r="AZ39" s="136"/>
      <c r="BA39" s="136"/>
    </row>
    <row r="40" spans="1:53" ht="15.75" customHeight="1">
      <c r="A40" s="351"/>
      <c r="B40" s="351"/>
      <c r="C40" s="351"/>
      <c r="D40" s="351"/>
      <c r="E40" s="351"/>
      <c r="F40" s="40" t="s">
        <v>107</v>
      </c>
      <c r="G40" s="97">
        <v>0.2</v>
      </c>
      <c r="H40" s="94">
        <f>E26*G40</f>
        <v>175850.08000000002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2</v>
      </c>
      <c r="N40" s="43">
        <v>2</v>
      </c>
      <c r="O40" s="43">
        <f>M40*N40</f>
        <v>4</v>
      </c>
      <c r="P40" s="51">
        <v>1</v>
      </c>
      <c r="Q40" s="52">
        <f>H40*P40</f>
        <v>175850.08000000002</v>
      </c>
      <c r="R40" s="53" t="s">
        <v>111</v>
      </c>
      <c r="S40" s="50"/>
      <c r="T40" s="50"/>
      <c r="U40" s="50"/>
      <c r="V40" s="50"/>
      <c r="W40" s="54">
        <v>4.8499999999999996</v>
      </c>
      <c r="X40" s="96"/>
      <c r="Y40" s="50"/>
      <c r="Z40" s="50"/>
      <c r="AA40" s="43">
        <f>Q40/W40*1000</f>
        <v>36257748.453608252</v>
      </c>
      <c r="AB40" s="405">
        <f>Q40/4</f>
        <v>43962.520000000004</v>
      </c>
      <c r="AC40" s="362"/>
      <c r="AD40" s="405">
        <v>33963</v>
      </c>
      <c r="AE40" s="362"/>
      <c r="AF40" s="362"/>
      <c r="AG40" s="362"/>
      <c r="AH40" s="405">
        <v>53963</v>
      </c>
      <c r="AI40" s="362"/>
      <c r="AJ40" s="362"/>
      <c r="AK40" s="362"/>
      <c r="AL40" s="405">
        <v>43961</v>
      </c>
      <c r="AM40" s="362"/>
      <c r="AN40" s="362"/>
      <c r="AO40" s="362"/>
      <c r="AP40" s="363"/>
      <c r="AQ40" s="364"/>
      <c r="AR40" s="364"/>
      <c r="AS40" s="392"/>
      <c r="AT40" s="363"/>
      <c r="AU40" s="364"/>
      <c r="AV40" s="364"/>
      <c r="AW40" s="392"/>
      <c r="AX40" s="363"/>
      <c r="AY40" s="392"/>
      <c r="AZ40" s="418">
        <f>AB40+AD40+AH40+AL40</f>
        <v>175849.52000000002</v>
      </c>
      <c r="BA40" s="362"/>
    </row>
    <row r="41" spans="1:53" ht="15.75" customHeight="1">
      <c r="A41" s="145" t="s">
        <v>112</v>
      </c>
      <c r="B41" s="145"/>
      <c r="C41" s="145"/>
      <c r="D41" s="145"/>
      <c r="E41" s="146">
        <f>SUM(E13:E40)</f>
        <v>2198126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7">
        <f>O13+O14+O15+O16+O18+O19+O21+O23+O24+O27+O28+O29+O30+O32+O36+O37+O38+O40</f>
        <v>69</v>
      </c>
      <c r="P41" s="145"/>
      <c r="Q41" s="146">
        <f>SUM(Q13:Q40)+Q11</f>
        <v>2198125.9999999995</v>
      </c>
      <c r="R41" s="145"/>
      <c r="S41" s="148"/>
      <c r="T41" s="148"/>
      <c r="U41" s="148"/>
      <c r="V41" s="148"/>
      <c r="W41" s="148"/>
      <c r="X41" s="107">
        <f>X13+X15+X17+X18+X27+X29+X31</f>
        <v>2744140.4983999995</v>
      </c>
      <c r="Y41" s="107">
        <f>Y21+Y23+Y24</f>
        <v>4286345.6999999993</v>
      </c>
      <c r="Z41" s="107">
        <f>Z34</f>
        <v>98915.669999999984</v>
      </c>
      <c r="AA41" s="107">
        <f>AA13+AA15+AA17+AA18+AA21+AA22+AA23+AA24+AA27+AA29+AA31+AA36+AA40+AA26+AA11</f>
        <v>382814515.3962943</v>
      </c>
      <c r="AB41" s="419">
        <f>SUM(AB11:AC40)</f>
        <v>214976.72280000005</v>
      </c>
      <c r="AC41" s="362"/>
      <c r="AD41" s="419">
        <f>SUM(AD11:AG40)</f>
        <v>507483.2438</v>
      </c>
      <c r="AE41" s="362"/>
      <c r="AF41" s="362"/>
      <c r="AG41" s="362"/>
      <c r="AH41" s="419">
        <f>SUM(AH11:AK40)</f>
        <v>477539.8322</v>
      </c>
      <c r="AI41" s="362"/>
      <c r="AJ41" s="362"/>
      <c r="AK41" s="362"/>
      <c r="AL41" s="419">
        <f>SUM(AL11:AO40)</f>
        <v>460915.06919999997</v>
      </c>
      <c r="AM41" s="362"/>
      <c r="AN41" s="362"/>
      <c r="AO41" s="362"/>
      <c r="AP41" s="419">
        <f>SUM(AP11:AS40)</f>
        <v>354663.21019999997</v>
      </c>
      <c r="AQ41" s="362"/>
      <c r="AR41" s="362"/>
      <c r="AS41" s="362"/>
      <c r="AT41" s="419">
        <f>SUM(AT11:AW40)</f>
        <v>176169.48579999999</v>
      </c>
      <c r="AU41" s="362"/>
      <c r="AV41" s="362"/>
      <c r="AW41" s="362"/>
      <c r="AX41" s="419">
        <f>SUM(AX11:AY40)</f>
        <v>6377</v>
      </c>
      <c r="AY41" s="362"/>
      <c r="AZ41" s="419">
        <f>SUM(AZ11:BA40)</f>
        <v>2198124.5640000002</v>
      </c>
      <c r="BA41" s="362"/>
    </row>
    <row r="42" spans="1:5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116"/>
      <c r="S43" s="116"/>
      <c r="T43" s="116"/>
      <c r="U43" s="116"/>
      <c r="V43" s="116"/>
      <c r="W43" s="116"/>
      <c r="X43" s="149"/>
      <c r="Y43" s="116"/>
      <c r="Z43" s="116"/>
      <c r="AA43" s="116"/>
      <c r="AB43" s="116"/>
      <c r="AC43" s="116"/>
      <c r="AD43" s="116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ht="15.75" customHeight="1">
      <c r="A44" s="3"/>
      <c r="B44" s="3"/>
      <c r="C44" s="3"/>
      <c r="D44" s="3"/>
      <c r="E44" s="3"/>
      <c r="P44" s="3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3"/>
      <c r="AF44" s="3"/>
      <c r="AG44" s="3"/>
      <c r="AH44" s="3"/>
      <c r="AI44" s="415"/>
      <c r="AJ44" s="354"/>
      <c r="AK44" s="354"/>
      <c r="AL44" s="354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ht="15.75" customHeight="1">
      <c r="A45" s="3"/>
      <c r="B45" s="3"/>
      <c r="C45" s="3"/>
      <c r="D45" s="3"/>
      <c r="E45" s="3"/>
      <c r="P45" s="3"/>
      <c r="Q45" s="116"/>
      <c r="R45" s="116"/>
      <c r="S45" s="116"/>
      <c r="T45" s="116"/>
      <c r="U45" s="116"/>
      <c r="V45" s="116"/>
      <c r="W45" s="116"/>
      <c r="X45" s="116"/>
      <c r="Y45" s="116"/>
      <c r="Z45" s="150"/>
      <c r="AA45" s="150"/>
      <c r="AB45" s="150"/>
      <c r="AC45" s="150"/>
      <c r="AD45" s="116"/>
      <c r="AE45" s="117"/>
      <c r="AF45" s="3"/>
      <c r="AG45" s="3"/>
      <c r="AH45" s="3"/>
      <c r="AI45" s="354"/>
      <c r="AJ45" s="354"/>
      <c r="AK45" s="354"/>
      <c r="AL45" s="354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ht="15.75" customHeight="1">
      <c r="A46" s="3"/>
      <c r="B46" s="3"/>
      <c r="C46" s="3"/>
      <c r="D46" s="3"/>
      <c r="E46" s="3"/>
      <c r="P46" s="3"/>
      <c r="Q46" s="116"/>
      <c r="R46" s="116"/>
      <c r="S46" s="116"/>
      <c r="T46" s="116"/>
      <c r="U46" s="116"/>
      <c r="V46" s="116"/>
      <c r="W46" s="116"/>
      <c r="X46" s="116"/>
      <c r="Y46" s="116"/>
      <c r="Z46" s="150"/>
      <c r="AA46" s="150"/>
      <c r="AB46" s="429" t="s">
        <v>113</v>
      </c>
      <c r="AC46" s="354"/>
      <c r="AD46" s="116"/>
      <c r="AE46" s="117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116"/>
      <c r="R47" s="116"/>
      <c r="S47" s="116"/>
      <c r="T47" s="116"/>
      <c r="U47" s="116"/>
      <c r="V47" s="116"/>
      <c r="W47" s="116"/>
      <c r="X47" s="116"/>
      <c r="Y47" s="116"/>
      <c r="Z47" s="150"/>
      <c r="AA47" s="150" t="s">
        <v>114</v>
      </c>
      <c r="AB47" s="428">
        <f>AB41</f>
        <v>214976.72280000005</v>
      </c>
      <c r="AC47" s="354"/>
      <c r="AD47" s="116"/>
      <c r="AE47" s="117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 t="s">
        <v>9</v>
      </c>
      <c r="N48" s="3"/>
      <c r="O48" s="3"/>
      <c r="P48" s="3"/>
      <c r="Q48" s="118">
        <f>Q13+Q14+Q21+Q27+Q28+Q40+Q24</f>
        <v>834848.2548</v>
      </c>
      <c r="R48" s="116" t="s">
        <v>115</v>
      </c>
      <c r="S48" s="118">
        <f>Q48+Q49</f>
        <v>1743553.5432000002</v>
      </c>
      <c r="T48" s="116"/>
      <c r="U48" s="116"/>
      <c r="V48" s="116"/>
      <c r="W48" s="116"/>
      <c r="X48" s="116"/>
      <c r="Y48" s="116"/>
      <c r="Z48" s="150"/>
      <c r="AA48" s="151" t="s">
        <v>130</v>
      </c>
      <c r="AB48" s="428">
        <f>AD41</f>
        <v>507483.2438</v>
      </c>
      <c r="AC48" s="354"/>
      <c r="AD48" s="116"/>
      <c r="AE48" s="117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 t="s">
        <v>116</v>
      </c>
      <c r="N49" s="3"/>
      <c r="O49" s="3"/>
      <c r="P49" s="3"/>
      <c r="Q49" s="118">
        <f>Q15+Q16+Q17+Q22+Q23+Q2+Q29+Q30+Q31</f>
        <v>908705.28840000008</v>
      </c>
      <c r="R49" s="116" t="s">
        <v>117</v>
      </c>
      <c r="S49" s="116"/>
      <c r="T49" s="116"/>
      <c r="U49" s="116"/>
      <c r="V49" s="116"/>
      <c r="W49" s="116"/>
      <c r="X49" s="116"/>
      <c r="Y49" s="116"/>
      <c r="Z49" s="150"/>
      <c r="AA49" s="150" t="s">
        <v>118</v>
      </c>
      <c r="AB49" s="428">
        <f>AH41</f>
        <v>477539.8322</v>
      </c>
      <c r="AC49" s="354"/>
      <c r="AD49" s="116"/>
      <c r="AE49" s="117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 t="s">
        <v>119</v>
      </c>
      <c r="N50" s="3"/>
      <c r="O50" s="3"/>
      <c r="P50" s="3"/>
      <c r="Q50" s="118">
        <f>Q18+Q19</f>
        <v>72538.157999999996</v>
      </c>
      <c r="R50" s="116"/>
      <c r="S50" s="118">
        <f>Q49</f>
        <v>908705.28840000008</v>
      </c>
      <c r="T50" s="116"/>
      <c r="U50" s="116"/>
      <c r="V50" s="116"/>
      <c r="W50" s="116"/>
      <c r="X50" s="116"/>
      <c r="Y50" s="116"/>
      <c r="Z50" s="150"/>
      <c r="AA50" s="150" t="s">
        <v>120</v>
      </c>
      <c r="AB50" s="428">
        <f>AL41</f>
        <v>460915.06919999997</v>
      </c>
      <c r="AC50" s="354"/>
      <c r="AD50" s="116"/>
      <c r="AE50" s="117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121</v>
      </c>
      <c r="N51" s="3"/>
      <c r="O51" s="3"/>
      <c r="P51" s="3"/>
      <c r="Q51" s="118">
        <f>Q36+Q37+Q38</f>
        <v>52755.023999999998</v>
      </c>
      <c r="R51" s="116" t="s">
        <v>122</v>
      </c>
      <c r="S51" s="116"/>
      <c r="T51" s="116"/>
      <c r="U51" s="116"/>
      <c r="V51" s="116"/>
      <c r="W51" s="116"/>
      <c r="X51" s="116"/>
      <c r="Y51" s="116"/>
      <c r="Z51" s="150"/>
      <c r="AA51" s="150" t="s">
        <v>123</v>
      </c>
      <c r="AB51" s="428">
        <f>AP41</f>
        <v>354663.21019999997</v>
      </c>
      <c r="AC51" s="354"/>
      <c r="AD51" s="116"/>
      <c r="AE51" s="117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 t="s">
        <v>124</v>
      </c>
      <c r="N52" s="3"/>
      <c r="O52" s="3"/>
      <c r="P52" s="3"/>
      <c r="Q52" s="118">
        <f>Q32</f>
        <v>79132.535999999993</v>
      </c>
      <c r="R52" s="116" t="s">
        <v>125</v>
      </c>
      <c r="S52" s="116"/>
      <c r="T52" s="116"/>
      <c r="U52" s="116"/>
      <c r="V52" s="116">
        <v>1200000</v>
      </c>
      <c r="W52" s="116"/>
      <c r="X52" s="116"/>
      <c r="Y52" s="116"/>
      <c r="Z52" s="150"/>
      <c r="AA52" s="150" t="s">
        <v>126</v>
      </c>
      <c r="AB52" s="428">
        <f>AT41</f>
        <v>176169.48579999999</v>
      </c>
      <c r="AC52" s="354"/>
      <c r="AD52" s="116"/>
      <c r="AE52" s="117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21">
        <f>Q48+Q49+Q50+Q51+Q52</f>
        <v>1947979.2612000003</v>
      </c>
      <c r="R53" s="116"/>
      <c r="S53" s="116"/>
      <c r="T53" s="116"/>
      <c r="U53" s="116"/>
      <c r="V53" s="116">
        <v>179414</v>
      </c>
      <c r="W53" s="116"/>
      <c r="X53" s="116"/>
      <c r="Y53" s="116"/>
      <c r="Z53" s="150"/>
      <c r="AA53" s="150" t="s">
        <v>127</v>
      </c>
      <c r="AB53" s="428">
        <f>AX41</f>
        <v>6377</v>
      </c>
      <c r="AC53" s="354"/>
      <c r="AD53" s="116"/>
      <c r="AE53" s="117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3"/>
      <c r="P54" s="3"/>
      <c r="Q54" s="116"/>
      <c r="R54" s="116"/>
      <c r="S54" s="116"/>
      <c r="T54" s="116"/>
      <c r="U54" s="116"/>
      <c r="V54" s="116"/>
      <c r="W54" s="116"/>
      <c r="X54" s="116"/>
      <c r="Y54" s="116"/>
      <c r="Z54" s="150"/>
      <c r="AA54" s="150"/>
      <c r="AB54" s="150"/>
      <c r="AC54" s="150"/>
      <c r="AD54" s="116"/>
      <c r="AE54" s="117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6"/>
      <c r="S55" s="116"/>
      <c r="T55" s="116"/>
      <c r="U55" s="116"/>
      <c r="V55" s="116"/>
      <c r="W55" s="116"/>
      <c r="X55" s="116"/>
      <c r="Y55" s="116"/>
      <c r="Z55" s="150"/>
      <c r="AA55" s="150"/>
      <c r="AB55" s="150"/>
      <c r="AC55" s="150"/>
      <c r="AD55" s="116"/>
      <c r="AE55" s="117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6"/>
      <c r="S56" s="116"/>
      <c r="T56" s="116"/>
      <c r="U56" s="116"/>
      <c r="V56" s="116"/>
      <c r="W56" s="116"/>
      <c r="X56" s="116"/>
      <c r="Y56" s="116"/>
      <c r="Z56" s="150"/>
      <c r="AA56" s="150"/>
      <c r="AB56" s="150"/>
      <c r="AC56" s="150"/>
      <c r="AD56" s="116"/>
      <c r="AE56" s="117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7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6"/>
      <c r="AA58" s="116"/>
      <c r="AB58" s="116"/>
      <c r="AC58" s="116"/>
      <c r="AD58" s="116"/>
      <c r="AE58" s="117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6"/>
      <c r="AA59" s="116"/>
      <c r="AB59" s="116"/>
      <c r="AC59" s="116"/>
      <c r="AD59" s="116"/>
      <c r="AE59" s="117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6"/>
      <c r="AA60" s="116"/>
      <c r="AB60" s="116"/>
      <c r="AC60" s="116"/>
      <c r="AD60" s="116"/>
      <c r="AE60" s="117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6"/>
      <c r="AA61" s="116"/>
      <c r="AB61" s="116"/>
      <c r="AC61" s="116" t="s">
        <v>131</v>
      </c>
      <c r="AD61" s="116"/>
      <c r="AE61" s="117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1:5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6"/>
      <c r="AA62" s="116"/>
      <c r="AB62" s="116"/>
      <c r="AC62" s="116"/>
      <c r="AD62" s="116"/>
      <c r="AE62" s="117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1:5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6"/>
      <c r="AA63" s="116"/>
      <c r="AB63" s="116"/>
      <c r="AC63" s="116"/>
      <c r="AD63" s="116"/>
      <c r="AE63" s="117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6"/>
      <c r="AA64" s="116"/>
      <c r="AB64" s="116"/>
      <c r="AC64" s="116"/>
      <c r="AD64" s="116"/>
      <c r="AE64" s="117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116"/>
      <c r="R65" s="117"/>
      <c r="S65" s="117"/>
      <c r="T65" s="117"/>
      <c r="U65" s="117"/>
      <c r="V65" s="117"/>
      <c r="W65" s="117"/>
      <c r="X65" s="117"/>
      <c r="Y65" s="117"/>
      <c r="Z65" s="116"/>
      <c r="AA65" s="116"/>
      <c r="AB65" s="116"/>
      <c r="AC65" s="116"/>
      <c r="AD65" s="116"/>
      <c r="AE65" s="117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6"/>
      <c r="AA66" s="116"/>
      <c r="AB66" s="116"/>
      <c r="AC66" s="116"/>
      <c r="AD66" s="116"/>
      <c r="AE66" s="117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6"/>
      <c r="AA67" s="116"/>
      <c r="AB67" s="116"/>
      <c r="AC67" s="116"/>
      <c r="AD67" s="116"/>
      <c r="AE67" s="117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1:5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spans="1:5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1:5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1:5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spans="1:5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spans="1:5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1:5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1:5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spans="1:5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spans="1:5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1:5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spans="1:5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spans="1:5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spans="1:5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spans="1:5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spans="1:5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spans="1:5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spans="1:5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spans="1:5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spans="1:5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spans="1:5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spans="1:5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1:5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spans="1:5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spans="1:5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spans="1:5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spans="1:5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spans="1:5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spans="1:5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spans="1:5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spans="1:5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spans="1:5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spans="1:5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spans="1:5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spans="1:5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spans="1:5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spans="1:5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spans="1:5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spans="1:5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spans="1:5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spans="1:5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spans="1:5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spans="1:5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spans="1:5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spans="1:5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spans="1:5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spans="1:5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spans="1:5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spans="1:5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spans="1:5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spans="1:5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spans="1:5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spans="1:5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spans="1:5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spans="1:5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spans="1:5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spans="1:5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spans="1:5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spans="1:5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spans="1:5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spans="1:5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spans="1:5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spans="1:5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spans="1:5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spans="1:5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spans="1:5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spans="1:5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spans="1:5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spans="1:5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spans="1:5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spans="1:5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spans="1:5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spans="1:5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spans="1:5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1:5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spans="1:5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spans="1:5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spans="1:5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spans="1:5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spans="1:5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spans="1:5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spans="1:5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spans="1:5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spans="1:5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spans="1:5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spans="1:5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spans="1:5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spans="1:5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spans="1:5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spans="1:5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spans="1:5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spans="1:5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spans="1:5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spans="1:5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spans="1:5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spans="1:5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1:5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spans="1:5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spans="1:5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spans="1:5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1:5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1:5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spans="1:5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spans="1:5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spans="1:5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spans="1:5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spans="1:5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spans="1:5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1:5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spans="1:5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1:5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spans="1:5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spans="1:5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spans="1:5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spans="1:5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spans="1:5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spans="1:5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spans="1:5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spans="1:5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spans="1:5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spans="1:5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spans="1:5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spans="1:5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spans="1:5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spans="1:5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spans="1:5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spans="1:5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 spans="1:5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 spans="1:5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1:5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spans="1:5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spans="1:5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 spans="1:5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 spans="1:5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 spans="1:5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 spans="1:5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 spans="1:5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 spans="1:5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spans="1:5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 spans="1:5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spans="1:5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1:5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 spans="1: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1:5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1:5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 spans="1:5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1:5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 spans="1:5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 spans="1:5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1:5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 ht="15.75" customHeight="1"/>
    <row r="263" spans="1:53" ht="15.75" customHeight="1"/>
    <row r="264" spans="1:53" ht="15.75" customHeight="1"/>
    <row r="265" spans="1:53" ht="15.75" customHeight="1"/>
    <row r="266" spans="1:53" ht="15.75" customHeight="1"/>
    <row r="267" spans="1:53" ht="15.75" customHeight="1"/>
    <row r="268" spans="1:53" ht="15.75" customHeight="1"/>
    <row r="269" spans="1:53" ht="15.75" customHeight="1"/>
    <row r="270" spans="1:53" ht="15.75" customHeight="1"/>
    <row r="271" spans="1:53" ht="15.75" customHeight="1"/>
    <row r="272" spans="1:5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9">
    <mergeCell ref="AB48:AC48"/>
    <mergeCell ref="AB49:AC49"/>
    <mergeCell ref="AB50:AC50"/>
    <mergeCell ref="AB51:AC51"/>
    <mergeCell ref="AB52:AC52"/>
    <mergeCell ref="AB53:AC53"/>
    <mergeCell ref="AD40:AG40"/>
    <mergeCell ref="AH40:AK40"/>
    <mergeCell ref="AL40:AO40"/>
    <mergeCell ref="AL41:AO41"/>
    <mergeCell ref="AI44:AL45"/>
    <mergeCell ref="AB46:AC46"/>
    <mergeCell ref="AB47:AC47"/>
    <mergeCell ref="AH31:AK31"/>
    <mergeCell ref="AL31:AO31"/>
    <mergeCell ref="AL34:AO34"/>
    <mergeCell ref="AL36:AO38"/>
    <mergeCell ref="AB32:AC32"/>
    <mergeCell ref="AD32:AG33"/>
    <mergeCell ref="AH32:AK33"/>
    <mergeCell ref="AL32:AO33"/>
    <mergeCell ref="AB36:AC36"/>
    <mergeCell ref="AD36:AG36"/>
    <mergeCell ref="AH36:AK36"/>
    <mergeCell ref="AL24:AO24"/>
    <mergeCell ref="AB24:AC24"/>
    <mergeCell ref="AB26:AC26"/>
    <mergeCell ref="W27:W28"/>
    <mergeCell ref="X27:X28"/>
    <mergeCell ref="AA27:AA28"/>
    <mergeCell ref="AB27:AC28"/>
    <mergeCell ref="AD27:AG28"/>
    <mergeCell ref="W29:W30"/>
    <mergeCell ref="X29:X30"/>
    <mergeCell ref="AA29:AA30"/>
    <mergeCell ref="AH29:AK30"/>
    <mergeCell ref="AL29:AO30"/>
    <mergeCell ref="AL21:AO21"/>
    <mergeCell ref="AB22:AC22"/>
    <mergeCell ref="AL22:AO22"/>
    <mergeCell ref="AD22:AG22"/>
    <mergeCell ref="AH22:AK22"/>
    <mergeCell ref="AB23:AC23"/>
    <mergeCell ref="AD23:AG23"/>
    <mergeCell ref="AH23:AK23"/>
    <mergeCell ref="AL23:AO23"/>
    <mergeCell ref="AB41:AC41"/>
    <mergeCell ref="AD41:AG41"/>
    <mergeCell ref="AH41:AK41"/>
    <mergeCell ref="AP41:AS41"/>
    <mergeCell ref="AT41:AW41"/>
    <mergeCell ref="AX41:AY41"/>
    <mergeCell ref="AB37:AC37"/>
    <mergeCell ref="AD37:AG37"/>
    <mergeCell ref="AH37:AK37"/>
    <mergeCell ref="AB38:AC38"/>
    <mergeCell ref="AD38:AG38"/>
    <mergeCell ref="AH38:AK38"/>
    <mergeCell ref="AB40:AC40"/>
    <mergeCell ref="J23:J24"/>
    <mergeCell ref="C26:C40"/>
    <mergeCell ref="D26:D40"/>
    <mergeCell ref="G26:G31"/>
    <mergeCell ref="H26:H31"/>
    <mergeCell ref="I26:I28"/>
    <mergeCell ref="J27:J31"/>
    <mergeCell ref="I29:I31"/>
    <mergeCell ref="G32:G34"/>
    <mergeCell ref="H32:H34"/>
    <mergeCell ref="I32:I34"/>
    <mergeCell ref="J32:J34"/>
    <mergeCell ref="A13:A40"/>
    <mergeCell ref="B13:B40"/>
    <mergeCell ref="C13:C24"/>
    <mergeCell ref="D13:D24"/>
    <mergeCell ref="E13:E24"/>
    <mergeCell ref="I18:I19"/>
    <mergeCell ref="F21:F24"/>
    <mergeCell ref="H22:H24"/>
    <mergeCell ref="I22:I23"/>
    <mergeCell ref="P32:P33"/>
    <mergeCell ref="Q32:Q33"/>
    <mergeCell ref="R32:R33"/>
    <mergeCell ref="S32:S33"/>
    <mergeCell ref="U32:U33"/>
    <mergeCell ref="E26:E40"/>
    <mergeCell ref="F26:F31"/>
    <mergeCell ref="F32:F34"/>
    <mergeCell ref="F36:F38"/>
    <mergeCell ref="K32:K33"/>
    <mergeCell ref="L32:L34"/>
    <mergeCell ref="M32:M34"/>
    <mergeCell ref="N32:N34"/>
    <mergeCell ref="O32:O34"/>
    <mergeCell ref="G36:G38"/>
    <mergeCell ref="H36:H38"/>
    <mergeCell ref="I36:I38"/>
    <mergeCell ref="J36:J38"/>
    <mergeCell ref="P36:P38"/>
    <mergeCell ref="Q36:Q38"/>
    <mergeCell ref="R36:R38"/>
    <mergeCell ref="V32:V33"/>
    <mergeCell ref="W32:W33"/>
    <mergeCell ref="X32:X33"/>
    <mergeCell ref="Y32:Y33"/>
    <mergeCell ref="Z32:Z33"/>
    <mergeCell ref="AA32:AA33"/>
    <mergeCell ref="W36:W38"/>
    <mergeCell ref="AA36:AA38"/>
    <mergeCell ref="Q29:Q30"/>
    <mergeCell ref="R29:R30"/>
    <mergeCell ref="AD24:AG24"/>
    <mergeCell ref="AH24:AK24"/>
    <mergeCell ref="P11:P12"/>
    <mergeCell ref="P18:P19"/>
    <mergeCell ref="P27:P28"/>
    <mergeCell ref="Q27:Q28"/>
    <mergeCell ref="R27:R28"/>
    <mergeCell ref="S27:S28"/>
    <mergeCell ref="P29:P30"/>
    <mergeCell ref="S29:S30"/>
    <mergeCell ref="AA13:AA14"/>
    <mergeCell ref="AB13:AC14"/>
    <mergeCell ref="AB21:AC21"/>
    <mergeCell ref="AD21:AG21"/>
    <mergeCell ref="AH21:AK21"/>
    <mergeCell ref="AL15:AO16"/>
    <mergeCell ref="AD16:AG16"/>
    <mergeCell ref="G13:G19"/>
    <mergeCell ref="J13:J19"/>
    <mergeCell ref="I15:I17"/>
    <mergeCell ref="R13:R14"/>
    <mergeCell ref="S13:S14"/>
    <mergeCell ref="W13:W14"/>
    <mergeCell ref="X13:X14"/>
    <mergeCell ref="AD13:AG14"/>
    <mergeCell ref="AH13:AK14"/>
    <mergeCell ref="Q15:Q16"/>
    <mergeCell ref="R15:R16"/>
    <mergeCell ref="S15:S16"/>
    <mergeCell ref="W15:W16"/>
    <mergeCell ref="C1:AC1"/>
    <mergeCell ref="I7:J9"/>
    <mergeCell ref="AB7:AG7"/>
    <mergeCell ref="AH7:AW7"/>
    <mergeCell ref="AX7:AY7"/>
    <mergeCell ref="AB9:AC9"/>
    <mergeCell ref="AD9:AG9"/>
    <mergeCell ref="AX9:AY9"/>
    <mergeCell ref="Q11:Q12"/>
    <mergeCell ref="R11:R12"/>
    <mergeCell ref="S11:S12"/>
    <mergeCell ref="W11:W12"/>
    <mergeCell ref="AB11:AC12"/>
    <mergeCell ref="AD11:AG11"/>
    <mergeCell ref="AD12:AG12"/>
    <mergeCell ref="L11:L12"/>
    <mergeCell ref="AD18:AG18"/>
    <mergeCell ref="AH18:AK18"/>
    <mergeCell ref="AL18:AO19"/>
    <mergeCell ref="AH19:AK19"/>
    <mergeCell ref="AB19:AC19"/>
    <mergeCell ref="AD19:AG19"/>
    <mergeCell ref="AH9:AK9"/>
    <mergeCell ref="AL9:AO9"/>
    <mergeCell ref="F11:F19"/>
    <mergeCell ref="H11:H19"/>
    <mergeCell ref="I11:I14"/>
    <mergeCell ref="J11:J12"/>
    <mergeCell ref="AL13:AO14"/>
    <mergeCell ref="X15:X16"/>
    <mergeCell ref="AA15:AA16"/>
    <mergeCell ref="P13:P14"/>
    <mergeCell ref="Q13:Q14"/>
    <mergeCell ref="AB16:AC16"/>
    <mergeCell ref="AB17:AC17"/>
    <mergeCell ref="AD17:AG17"/>
    <mergeCell ref="AH17:AK17"/>
    <mergeCell ref="AL17:AO17"/>
    <mergeCell ref="AD15:AG15"/>
    <mergeCell ref="AH15:AK16"/>
    <mergeCell ref="K11:K12"/>
    <mergeCell ref="P15:P16"/>
    <mergeCell ref="Q18:Q19"/>
    <mergeCell ref="R18:R19"/>
    <mergeCell ref="S18:S19"/>
    <mergeCell ref="W18:W19"/>
    <mergeCell ref="X18:X19"/>
    <mergeCell ref="AA18:AA19"/>
    <mergeCell ref="AB18:AC18"/>
    <mergeCell ref="AZ23:BA23"/>
    <mergeCell ref="AZ24:BA24"/>
    <mergeCell ref="AZ27:BA28"/>
    <mergeCell ref="AZ29:BA30"/>
    <mergeCell ref="AZ31:BA31"/>
    <mergeCell ref="AZ32:BA32"/>
    <mergeCell ref="AP22:AS22"/>
    <mergeCell ref="AT22:AW22"/>
    <mergeCell ref="AX22:AY22"/>
    <mergeCell ref="AZ22:BA22"/>
    <mergeCell ref="AP23:AS23"/>
    <mergeCell ref="AT23:AW23"/>
    <mergeCell ref="AX23:AY23"/>
    <mergeCell ref="AP29:AS30"/>
    <mergeCell ref="AT29:AW30"/>
    <mergeCell ref="AP31:AS31"/>
    <mergeCell ref="AT31:AW31"/>
    <mergeCell ref="AP32:AS33"/>
    <mergeCell ref="AT32:AW33"/>
    <mergeCell ref="AX21:AY21"/>
    <mergeCell ref="AZ21:BA21"/>
    <mergeCell ref="AP18:AS19"/>
    <mergeCell ref="AT18:AW19"/>
    <mergeCell ref="AX18:AY18"/>
    <mergeCell ref="AZ18:BA19"/>
    <mergeCell ref="AX19:AY19"/>
    <mergeCell ref="AP21:AS21"/>
    <mergeCell ref="AT21:AW21"/>
    <mergeCell ref="AZ11:BA12"/>
    <mergeCell ref="AZ13:BA14"/>
    <mergeCell ref="AZ15:BA16"/>
    <mergeCell ref="AX16:AY16"/>
    <mergeCell ref="AZ17:BA17"/>
    <mergeCell ref="AP9:AS9"/>
    <mergeCell ref="AT9:AW9"/>
    <mergeCell ref="AZ9:BA9"/>
    <mergeCell ref="AZ10:BA10"/>
    <mergeCell ref="AP13:AS14"/>
    <mergeCell ref="AT13:AW13"/>
    <mergeCell ref="AX13:AY13"/>
    <mergeCell ref="AT14:AW14"/>
    <mergeCell ref="AX14:AY14"/>
    <mergeCell ref="AP15:AS16"/>
    <mergeCell ref="AT15:AW16"/>
    <mergeCell ref="AX15:AY15"/>
    <mergeCell ref="AP17:AS17"/>
    <mergeCell ref="AT17:AW17"/>
    <mergeCell ref="AX17:AY17"/>
    <mergeCell ref="AX40:AY40"/>
    <mergeCell ref="AZ40:BA40"/>
    <mergeCell ref="AZ41:BA41"/>
    <mergeCell ref="AP34:AS34"/>
    <mergeCell ref="AP36:AS38"/>
    <mergeCell ref="AT36:AW38"/>
    <mergeCell ref="AX36:AY38"/>
    <mergeCell ref="AZ36:BA38"/>
    <mergeCell ref="AP40:AS40"/>
    <mergeCell ref="AT40:AW40"/>
    <mergeCell ref="AT34:AW34"/>
  </mergeCells>
  <pageMargins left="0.511811024" right="0.511811024" top="0.78740157499999996" bottom="0.78740157499999996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Y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0.42578125" customWidth="1"/>
    <col min="6" max="6" width="27.140625" customWidth="1"/>
    <col min="7" max="7" width="22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6" max="16" width="25.85546875" customWidth="1"/>
    <col min="25" max="25" width="23.28515625" customWidth="1"/>
    <col min="26" max="49" width="6.140625" customWidth="1"/>
    <col min="50" max="50" width="18.140625" customWidth="1"/>
    <col min="51" max="51" width="6.140625" customWidth="1"/>
  </cols>
  <sheetData>
    <row r="1" spans="1:51" ht="49.5" customHeight="1">
      <c r="A1" s="1"/>
      <c r="B1" s="2"/>
      <c r="C1" s="398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  <c r="AA1" s="362"/>
    </row>
    <row r="2" spans="1:51" ht="15.75" customHeight="1">
      <c r="A2" s="3"/>
      <c r="B2" s="3"/>
      <c r="C2" s="3"/>
      <c r="D2" s="152"/>
      <c r="E2" s="152"/>
      <c r="F2" s="152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ht="15.75" customHeight="1">
      <c r="A3" s="122" t="s">
        <v>0</v>
      </c>
      <c r="B3" s="123" t="s">
        <v>1</v>
      </c>
      <c r="C3" s="9"/>
      <c r="D3" s="153"/>
      <c r="E3" s="154" t="s">
        <v>145</v>
      </c>
      <c r="F3" s="15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 ht="15.75" customHeight="1">
      <c r="A4" s="122" t="s">
        <v>2</v>
      </c>
      <c r="B4" s="123" t="s">
        <v>134</v>
      </c>
      <c r="C4" s="125"/>
      <c r="D4" s="153"/>
      <c r="E4" s="154" t="s">
        <v>146</v>
      </c>
      <c r="F4" s="152" t="s">
        <v>147</v>
      </c>
      <c r="G4" s="3"/>
      <c r="H4" s="3"/>
      <c r="I4" s="3"/>
      <c r="J4" s="3"/>
      <c r="K4" s="3"/>
      <c r="L4" s="3"/>
      <c r="M4" s="3"/>
      <c r="N4" s="3"/>
      <c r="O4" s="3"/>
      <c r="P4" s="3"/>
      <c r="Q4" s="9"/>
      <c r="R4" s="9"/>
      <c r="S4" s="9"/>
      <c r="T4" s="9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ht="15.75" customHeight="1">
      <c r="A5" s="122" t="s">
        <v>4</v>
      </c>
      <c r="B5" s="126">
        <v>2198126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9"/>
      <c r="R5" s="9"/>
      <c r="S5" s="9"/>
      <c r="T5" s="9"/>
      <c r="U5" s="10"/>
      <c r="V5" s="13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9"/>
      <c r="R6" s="9"/>
      <c r="S6" s="9"/>
      <c r="T6" s="15"/>
      <c r="U6" s="10"/>
      <c r="V6" s="10"/>
      <c r="W6" s="9"/>
      <c r="X6" s="9"/>
      <c r="Y6" s="9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 spans="1:51" ht="15.75" customHeight="1">
      <c r="A7" s="9"/>
      <c r="B7" s="123" t="s">
        <v>7</v>
      </c>
      <c r="C7" s="129" t="s">
        <v>135</v>
      </c>
      <c r="D7" s="124"/>
      <c r="E7" s="7"/>
      <c r="F7" s="123" t="s">
        <v>7</v>
      </c>
      <c r="G7" s="130" t="s">
        <v>8</v>
      </c>
      <c r="H7" s="124"/>
      <c r="I7" s="423" t="s">
        <v>136</v>
      </c>
      <c r="J7" s="380"/>
      <c r="K7" s="3"/>
      <c r="L7" s="3"/>
      <c r="M7" s="3"/>
      <c r="N7" s="3"/>
      <c r="O7" s="3"/>
      <c r="P7" s="3"/>
      <c r="Q7" s="9"/>
      <c r="R7" s="9"/>
      <c r="S7" s="9"/>
      <c r="T7" s="9"/>
      <c r="U7" s="9"/>
      <c r="V7" s="9"/>
      <c r="W7" s="9"/>
      <c r="X7" s="9"/>
      <c r="Y7" s="9"/>
      <c r="Z7" s="399" t="s">
        <v>9</v>
      </c>
      <c r="AA7" s="362"/>
      <c r="AB7" s="362"/>
      <c r="AC7" s="362"/>
      <c r="AD7" s="362"/>
      <c r="AE7" s="362"/>
      <c r="AF7" s="400" t="s">
        <v>10</v>
      </c>
      <c r="AG7" s="362"/>
      <c r="AH7" s="362"/>
      <c r="AI7" s="362"/>
      <c r="AJ7" s="362"/>
      <c r="AK7" s="362"/>
      <c r="AL7" s="362"/>
      <c r="AM7" s="362"/>
      <c r="AN7" s="362"/>
      <c r="AO7" s="362"/>
      <c r="AP7" s="362"/>
      <c r="AQ7" s="362"/>
      <c r="AR7" s="362"/>
      <c r="AS7" s="362"/>
      <c r="AT7" s="362"/>
      <c r="AU7" s="362"/>
      <c r="AV7" s="401" t="s">
        <v>11</v>
      </c>
      <c r="AW7" s="362"/>
      <c r="AX7" s="16"/>
      <c r="AY7" s="16"/>
    </row>
    <row r="8" spans="1:51" ht="15.75" customHeight="1">
      <c r="A8" s="9"/>
      <c r="B8" s="131" t="s">
        <v>12</v>
      </c>
      <c r="C8" s="132" t="s">
        <v>13</v>
      </c>
      <c r="D8" s="132" t="s">
        <v>14</v>
      </c>
      <c r="E8" s="133" t="s">
        <v>137</v>
      </c>
      <c r="F8" s="131" t="s">
        <v>12</v>
      </c>
      <c r="G8" s="132" t="s">
        <v>13</v>
      </c>
      <c r="H8" s="132" t="s">
        <v>14</v>
      </c>
      <c r="I8" s="384"/>
      <c r="J8" s="354"/>
      <c r="K8" s="7"/>
      <c r="L8" s="9"/>
      <c r="M8" s="9"/>
      <c r="N8" s="9"/>
      <c r="O8" s="9"/>
      <c r="P8" s="9"/>
      <c r="Q8" s="20"/>
      <c r="R8" s="20"/>
      <c r="S8" s="20"/>
      <c r="T8" s="20"/>
      <c r="U8" s="20"/>
      <c r="V8" s="20"/>
      <c r="W8" s="20"/>
      <c r="X8" s="20"/>
      <c r="Y8" s="20"/>
      <c r="Z8" s="21"/>
      <c r="AA8" s="22"/>
      <c r="AB8" s="22"/>
      <c r="AC8" s="22"/>
      <c r="AD8" s="22"/>
      <c r="AE8" s="23"/>
      <c r="AF8" s="21"/>
      <c r="AG8" s="22"/>
      <c r="AH8" s="22"/>
      <c r="AI8" s="23"/>
      <c r="AJ8" s="21"/>
      <c r="AK8" s="22"/>
      <c r="AL8" s="22"/>
      <c r="AM8" s="23"/>
      <c r="AN8" s="21"/>
      <c r="AO8" s="22"/>
      <c r="AP8" s="22"/>
      <c r="AQ8" s="23"/>
      <c r="AR8" s="21"/>
      <c r="AS8" s="22"/>
      <c r="AT8" s="22"/>
      <c r="AU8" s="23"/>
      <c r="AV8" s="21"/>
      <c r="AW8" s="23"/>
      <c r="AX8" s="24"/>
      <c r="AY8" s="24"/>
    </row>
    <row r="9" spans="1:51" ht="15.75" customHeight="1">
      <c r="A9" s="9"/>
      <c r="B9" s="134">
        <v>38000000</v>
      </c>
      <c r="C9" s="134">
        <f>B9*D9</f>
        <v>15580000</v>
      </c>
      <c r="D9" s="135">
        <v>0.41</v>
      </c>
      <c r="E9" s="7"/>
      <c r="F9" s="134">
        <v>16000000</v>
      </c>
      <c r="G9" s="134">
        <f>F9*H9</f>
        <v>10080000</v>
      </c>
      <c r="H9" s="135">
        <v>0.63</v>
      </c>
      <c r="I9" s="384"/>
      <c r="J9" s="354"/>
      <c r="K9" s="7"/>
      <c r="L9" s="9"/>
      <c r="M9" s="9"/>
      <c r="N9" s="9"/>
      <c r="O9" s="9"/>
      <c r="P9" s="9"/>
      <c r="Q9" s="20"/>
      <c r="R9" s="20"/>
      <c r="S9" s="20"/>
      <c r="T9" s="20" t="s">
        <v>15</v>
      </c>
      <c r="U9" s="20"/>
      <c r="V9" s="20"/>
      <c r="W9" s="20"/>
      <c r="X9" s="20" t="s">
        <v>16</v>
      </c>
      <c r="Y9" s="20"/>
      <c r="Z9" s="387" t="s">
        <v>17</v>
      </c>
      <c r="AA9" s="362"/>
      <c r="AB9" s="388" t="s">
        <v>18</v>
      </c>
      <c r="AC9" s="362"/>
      <c r="AD9" s="362"/>
      <c r="AE9" s="386"/>
      <c r="AF9" s="387" t="s">
        <v>19</v>
      </c>
      <c r="AG9" s="362"/>
      <c r="AH9" s="362"/>
      <c r="AI9" s="386"/>
      <c r="AJ9" s="387" t="s">
        <v>20</v>
      </c>
      <c r="AK9" s="362"/>
      <c r="AL9" s="362"/>
      <c r="AM9" s="386"/>
      <c r="AN9" s="387" t="s">
        <v>21</v>
      </c>
      <c r="AO9" s="362"/>
      <c r="AP9" s="362"/>
      <c r="AQ9" s="386"/>
      <c r="AR9" s="387" t="s">
        <v>22</v>
      </c>
      <c r="AS9" s="362"/>
      <c r="AT9" s="362"/>
      <c r="AU9" s="386"/>
      <c r="AV9" s="387" t="s">
        <v>23</v>
      </c>
      <c r="AW9" s="386"/>
      <c r="AX9" s="388" t="s">
        <v>24</v>
      </c>
      <c r="AY9" s="362"/>
    </row>
    <row r="10" spans="1:51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36</v>
      </c>
      <c r="O10" s="32" t="s">
        <v>37</v>
      </c>
      <c r="P10" s="32" t="s">
        <v>38</v>
      </c>
      <c r="Q10" s="32" t="s">
        <v>39</v>
      </c>
      <c r="R10" s="32" t="s">
        <v>138</v>
      </c>
      <c r="S10" s="32" t="s">
        <v>40</v>
      </c>
      <c r="T10" s="32" t="s">
        <v>41</v>
      </c>
      <c r="U10" s="32" t="s">
        <v>42</v>
      </c>
      <c r="V10" s="32" t="s">
        <v>43</v>
      </c>
      <c r="W10" s="32" t="s">
        <v>139</v>
      </c>
      <c r="X10" s="32" t="s">
        <v>45</v>
      </c>
      <c r="Y10" s="32" t="s">
        <v>46</v>
      </c>
      <c r="Z10" s="33" t="s">
        <v>47</v>
      </c>
      <c r="AA10" s="34" t="s">
        <v>48</v>
      </c>
      <c r="AB10" s="34" t="s">
        <v>49</v>
      </c>
      <c r="AC10" s="34" t="s">
        <v>50</v>
      </c>
      <c r="AD10" s="34" t="s">
        <v>47</v>
      </c>
      <c r="AE10" s="35" t="s">
        <v>48</v>
      </c>
      <c r="AF10" s="33" t="s">
        <v>49</v>
      </c>
      <c r="AG10" s="34" t="s">
        <v>50</v>
      </c>
      <c r="AH10" s="34" t="s">
        <v>47</v>
      </c>
      <c r="AI10" s="35" t="s">
        <v>48</v>
      </c>
      <c r="AJ10" s="33" t="s">
        <v>49</v>
      </c>
      <c r="AK10" s="34" t="s">
        <v>50</v>
      </c>
      <c r="AL10" s="34" t="s">
        <v>47</v>
      </c>
      <c r="AM10" s="35" t="s">
        <v>48</v>
      </c>
      <c r="AN10" s="33" t="s">
        <v>49</v>
      </c>
      <c r="AO10" s="34" t="s">
        <v>50</v>
      </c>
      <c r="AP10" s="34" t="s">
        <v>47</v>
      </c>
      <c r="AQ10" s="35" t="s">
        <v>48</v>
      </c>
      <c r="AR10" s="33" t="s">
        <v>49</v>
      </c>
      <c r="AS10" s="34" t="s">
        <v>50</v>
      </c>
      <c r="AT10" s="34" t="s">
        <v>47</v>
      </c>
      <c r="AU10" s="35" t="s">
        <v>48</v>
      </c>
      <c r="AV10" s="33" t="s">
        <v>49</v>
      </c>
      <c r="AW10" s="35" t="s">
        <v>50</v>
      </c>
      <c r="AX10" s="389"/>
      <c r="AY10" s="362"/>
    </row>
    <row r="11" spans="1:51" ht="15.75" customHeight="1">
      <c r="A11" s="36"/>
      <c r="B11" s="37"/>
      <c r="C11" s="38"/>
      <c r="D11" s="39"/>
      <c r="E11" s="40"/>
      <c r="F11" s="360" t="s">
        <v>51</v>
      </c>
      <c r="G11" s="42"/>
      <c r="H11" s="377">
        <f>E13*G13</f>
        <v>659437.79999999993</v>
      </c>
      <c r="I11" s="360" t="s">
        <v>52</v>
      </c>
      <c r="J11" s="396" t="s">
        <v>140</v>
      </c>
      <c r="K11" s="360" t="s">
        <v>54</v>
      </c>
      <c r="L11" s="353" t="s">
        <v>55</v>
      </c>
      <c r="M11" s="378">
        <v>1</v>
      </c>
      <c r="N11" s="355">
        <v>0.11</v>
      </c>
      <c r="O11" s="365">
        <f>H11*N11</f>
        <v>72538.157999999996</v>
      </c>
      <c r="P11" s="366" t="s">
        <v>56</v>
      </c>
      <c r="Q11" s="402"/>
      <c r="R11" s="44"/>
      <c r="S11" s="44"/>
      <c r="T11" s="44"/>
      <c r="U11" s="367">
        <v>4.8499999999999996</v>
      </c>
      <c r="V11" s="44"/>
      <c r="W11" s="44"/>
      <c r="X11" s="44"/>
      <c r="Y11" s="432">
        <f>O11/U11*1000</f>
        <v>14956321.237113403</v>
      </c>
      <c r="Z11" s="411">
        <f>O11</f>
        <v>72538.157999999996</v>
      </c>
      <c r="AA11" s="380"/>
      <c r="AB11" s="395"/>
      <c r="AC11" s="362"/>
      <c r="AD11" s="362"/>
      <c r="AE11" s="386"/>
      <c r="AF11" s="46"/>
      <c r="AG11" s="47"/>
      <c r="AH11" s="47"/>
      <c r="AI11" s="48"/>
      <c r="AJ11" s="46"/>
      <c r="AK11" s="47"/>
      <c r="AL11" s="47"/>
      <c r="AM11" s="48"/>
      <c r="AN11" s="46"/>
      <c r="AO11" s="47"/>
      <c r="AP11" s="47"/>
      <c r="AQ11" s="48"/>
      <c r="AR11" s="46"/>
      <c r="AS11" s="47"/>
      <c r="AT11" s="47"/>
      <c r="AU11" s="48"/>
      <c r="AV11" s="46"/>
      <c r="AW11" s="48"/>
      <c r="AX11" s="420">
        <f>SUM(Z11:AW12)</f>
        <v>72538.157999999996</v>
      </c>
      <c r="AY11" s="380"/>
    </row>
    <row r="12" spans="1:51" ht="15.75" customHeight="1">
      <c r="A12" s="36"/>
      <c r="B12" s="37"/>
      <c r="C12" s="38"/>
      <c r="D12" s="39"/>
      <c r="E12" s="40"/>
      <c r="F12" s="350"/>
      <c r="G12" s="42"/>
      <c r="H12" s="350"/>
      <c r="I12" s="350"/>
      <c r="J12" s="354"/>
      <c r="K12" s="351"/>
      <c r="L12" s="354"/>
      <c r="M12" s="351"/>
      <c r="N12" s="351"/>
      <c r="O12" s="351"/>
      <c r="P12" s="351"/>
      <c r="Q12" s="351"/>
      <c r="R12" s="44"/>
      <c r="S12" s="44"/>
      <c r="T12" s="44"/>
      <c r="U12" s="351"/>
      <c r="V12" s="44"/>
      <c r="W12" s="44"/>
      <c r="X12" s="44"/>
      <c r="Y12" s="354"/>
      <c r="Z12" s="381"/>
      <c r="AA12" s="354"/>
      <c r="AB12" s="395"/>
      <c r="AC12" s="362"/>
      <c r="AD12" s="362"/>
      <c r="AE12" s="386"/>
      <c r="AF12" s="46"/>
      <c r="AG12" s="47"/>
      <c r="AH12" s="47"/>
      <c r="AI12" s="48"/>
      <c r="AJ12" s="46"/>
      <c r="AK12" s="47"/>
      <c r="AL12" s="47"/>
      <c r="AM12" s="48"/>
      <c r="AN12" s="46"/>
      <c r="AO12" s="47"/>
      <c r="AP12" s="47"/>
      <c r="AQ12" s="48"/>
      <c r="AR12" s="46"/>
      <c r="AS12" s="47"/>
      <c r="AT12" s="47"/>
      <c r="AU12" s="48"/>
      <c r="AV12" s="46"/>
      <c r="AW12" s="48"/>
      <c r="AX12" s="384"/>
      <c r="AY12" s="354"/>
    </row>
    <row r="13" spans="1:51" ht="15.75" customHeight="1">
      <c r="A13" s="356" t="s">
        <v>134</v>
      </c>
      <c r="B13" s="357" t="s">
        <v>58</v>
      </c>
      <c r="C13" s="358" t="s">
        <v>59</v>
      </c>
      <c r="D13" s="359">
        <v>0.6</v>
      </c>
      <c r="E13" s="349">
        <f>B5*D13</f>
        <v>1318875.5999999999</v>
      </c>
      <c r="F13" s="350"/>
      <c r="G13" s="352">
        <v>0.5</v>
      </c>
      <c r="H13" s="350"/>
      <c r="I13" s="350"/>
      <c r="J13" s="414" t="s">
        <v>141</v>
      </c>
      <c r="K13" s="360" t="s">
        <v>148</v>
      </c>
      <c r="L13" s="430" t="s">
        <v>149</v>
      </c>
      <c r="M13" s="378">
        <v>1</v>
      </c>
      <c r="N13" s="355">
        <v>0.44</v>
      </c>
      <c r="O13" s="365">
        <f>H11*N13</f>
        <v>290152.63199999998</v>
      </c>
      <c r="P13" s="366" t="s">
        <v>43</v>
      </c>
      <c r="Q13" s="367">
        <v>7.0000000000000007E-2</v>
      </c>
      <c r="R13" s="50"/>
      <c r="S13" s="50"/>
      <c r="T13" s="50"/>
      <c r="U13" s="367">
        <v>4.8499999999999996</v>
      </c>
      <c r="V13" s="378">
        <f>O13/Q13</f>
        <v>4145037.5999999992</v>
      </c>
      <c r="W13" s="50"/>
      <c r="X13" s="50"/>
      <c r="Y13" s="368">
        <f>O13/U13*1000</f>
        <v>59825284.948453613</v>
      </c>
      <c r="Z13" s="379"/>
      <c r="AA13" s="380"/>
      <c r="AB13" s="382">
        <v>100000</v>
      </c>
      <c r="AC13" s="380"/>
      <c r="AD13" s="380"/>
      <c r="AE13" s="383"/>
      <c r="AF13" s="382">
        <v>50586</v>
      </c>
      <c r="AG13" s="380"/>
      <c r="AH13" s="380"/>
      <c r="AI13" s="383"/>
      <c r="AJ13" s="382">
        <v>70000</v>
      </c>
      <c r="AK13" s="380"/>
      <c r="AL13" s="380"/>
      <c r="AM13" s="383"/>
      <c r="AN13" s="382">
        <v>69567</v>
      </c>
      <c r="AO13" s="380"/>
      <c r="AP13" s="380"/>
      <c r="AQ13" s="383"/>
      <c r="AR13" s="361"/>
      <c r="AS13" s="362"/>
      <c r="AT13" s="362"/>
      <c r="AU13" s="386"/>
      <c r="AV13" s="361"/>
      <c r="AW13" s="386"/>
      <c r="AX13" s="420">
        <f>SUM(Z13:AW14)</f>
        <v>290153</v>
      </c>
      <c r="AY13" s="380"/>
    </row>
    <row r="14" spans="1:51" ht="15.75" customHeight="1">
      <c r="A14" s="350"/>
      <c r="B14" s="350"/>
      <c r="C14" s="350"/>
      <c r="D14" s="350"/>
      <c r="E14" s="350"/>
      <c r="F14" s="350"/>
      <c r="G14" s="350"/>
      <c r="H14" s="350"/>
      <c r="I14" s="351"/>
      <c r="J14" s="350"/>
      <c r="K14" s="351"/>
      <c r="L14" s="351"/>
      <c r="M14" s="351"/>
      <c r="N14" s="351"/>
      <c r="O14" s="351"/>
      <c r="P14" s="351"/>
      <c r="Q14" s="351"/>
      <c r="R14" s="50"/>
      <c r="S14" s="50"/>
      <c r="T14" s="50"/>
      <c r="U14" s="351"/>
      <c r="V14" s="351"/>
      <c r="W14" s="50"/>
      <c r="X14" s="50"/>
      <c r="Y14" s="370"/>
      <c r="Z14" s="381"/>
      <c r="AA14" s="354"/>
      <c r="AB14" s="384"/>
      <c r="AC14" s="354"/>
      <c r="AD14" s="354"/>
      <c r="AE14" s="385"/>
      <c r="AF14" s="384"/>
      <c r="AG14" s="354"/>
      <c r="AH14" s="354"/>
      <c r="AI14" s="385"/>
      <c r="AJ14" s="384"/>
      <c r="AK14" s="354"/>
      <c r="AL14" s="354"/>
      <c r="AM14" s="385"/>
      <c r="AN14" s="384"/>
      <c r="AO14" s="354"/>
      <c r="AP14" s="354"/>
      <c r="AQ14" s="385"/>
      <c r="AR14" s="361"/>
      <c r="AS14" s="362"/>
      <c r="AT14" s="362"/>
      <c r="AU14" s="386"/>
      <c r="AV14" s="361"/>
      <c r="AW14" s="386"/>
      <c r="AX14" s="384"/>
      <c r="AY14" s="354"/>
    </row>
    <row r="15" spans="1:51" ht="15.75" customHeight="1">
      <c r="A15" s="350"/>
      <c r="B15" s="350"/>
      <c r="C15" s="350"/>
      <c r="D15" s="350"/>
      <c r="E15" s="350"/>
      <c r="F15" s="350"/>
      <c r="G15" s="350"/>
      <c r="H15" s="350"/>
      <c r="I15" s="360" t="s">
        <v>64</v>
      </c>
      <c r="J15" s="350"/>
      <c r="K15" s="360" t="s">
        <v>150</v>
      </c>
      <c r="L15" s="430" t="s">
        <v>149</v>
      </c>
      <c r="M15" s="378">
        <v>2</v>
      </c>
      <c r="N15" s="355">
        <v>0.45</v>
      </c>
      <c r="O15" s="365">
        <f>H11*N15</f>
        <v>296747.00999999995</v>
      </c>
      <c r="P15" s="366" t="s">
        <v>43</v>
      </c>
      <c r="Q15" s="367">
        <v>7.0000000000000007E-2</v>
      </c>
      <c r="R15" s="50"/>
      <c r="S15" s="50"/>
      <c r="T15" s="50"/>
      <c r="U15" s="367">
        <v>4.8499999999999996</v>
      </c>
      <c r="V15" s="378">
        <f>O15/Q15</f>
        <v>4239242.9999999991</v>
      </c>
      <c r="W15" s="50"/>
      <c r="X15" s="50"/>
      <c r="Y15" s="368">
        <f>O15/U15*1000</f>
        <v>61184950.515463911</v>
      </c>
      <c r="Z15" s="379"/>
      <c r="AA15" s="380"/>
      <c r="AB15" s="433"/>
      <c r="AC15" s="380"/>
      <c r="AD15" s="380"/>
      <c r="AE15" s="383"/>
      <c r="AF15" s="403">
        <v>86857</v>
      </c>
      <c r="AG15" s="380"/>
      <c r="AH15" s="380"/>
      <c r="AI15" s="383"/>
      <c r="AJ15" s="403">
        <v>57012</v>
      </c>
      <c r="AK15" s="380"/>
      <c r="AL15" s="380"/>
      <c r="AM15" s="383"/>
      <c r="AN15" s="403">
        <v>66934</v>
      </c>
      <c r="AO15" s="380"/>
      <c r="AP15" s="380"/>
      <c r="AQ15" s="383"/>
      <c r="AR15" s="403">
        <v>85944</v>
      </c>
      <c r="AS15" s="380"/>
      <c r="AT15" s="380"/>
      <c r="AU15" s="383"/>
      <c r="AV15" s="379"/>
      <c r="AW15" s="383"/>
      <c r="AX15" s="420">
        <f>Z15+AB15+AF15+AJ15+AN15+AR15+AV15</f>
        <v>296747</v>
      </c>
      <c r="AY15" s="380"/>
    </row>
    <row r="16" spans="1:51" ht="15.75" customHeight="1">
      <c r="A16" s="350"/>
      <c r="B16" s="350"/>
      <c r="C16" s="350"/>
      <c r="D16" s="350"/>
      <c r="E16" s="350"/>
      <c r="F16" s="350"/>
      <c r="G16" s="350"/>
      <c r="H16" s="350"/>
      <c r="I16" s="350"/>
      <c r="J16" s="350"/>
      <c r="K16" s="350"/>
      <c r="L16" s="350"/>
      <c r="M16" s="350"/>
      <c r="N16" s="350"/>
      <c r="O16" s="350"/>
      <c r="P16" s="350"/>
      <c r="Q16" s="350"/>
      <c r="R16" s="50"/>
      <c r="S16" s="50"/>
      <c r="T16" s="50"/>
      <c r="U16" s="350"/>
      <c r="V16" s="350"/>
      <c r="W16" s="50"/>
      <c r="X16" s="50"/>
      <c r="Y16" s="369"/>
      <c r="Z16" s="381"/>
      <c r="AA16" s="354"/>
      <c r="AB16" s="384"/>
      <c r="AC16" s="354"/>
      <c r="AD16" s="354"/>
      <c r="AE16" s="385"/>
      <c r="AF16" s="381"/>
      <c r="AG16" s="354"/>
      <c r="AH16" s="354"/>
      <c r="AI16" s="385"/>
      <c r="AJ16" s="381"/>
      <c r="AK16" s="354"/>
      <c r="AL16" s="354"/>
      <c r="AM16" s="385"/>
      <c r="AN16" s="381"/>
      <c r="AO16" s="354"/>
      <c r="AP16" s="354"/>
      <c r="AQ16" s="385"/>
      <c r="AR16" s="381"/>
      <c r="AS16" s="354"/>
      <c r="AT16" s="354"/>
      <c r="AU16" s="385"/>
      <c r="AV16" s="381"/>
      <c r="AW16" s="385"/>
      <c r="AX16" s="384"/>
      <c r="AY16" s="354"/>
    </row>
    <row r="17" spans="1:51" ht="15.75" customHeight="1">
      <c r="A17" s="350"/>
      <c r="B17" s="350"/>
      <c r="C17" s="350"/>
      <c r="D17" s="350"/>
      <c r="E17" s="350"/>
      <c r="F17" s="350"/>
      <c r="G17" s="350"/>
      <c r="H17" s="350"/>
      <c r="I17" s="350"/>
      <c r="J17" s="350"/>
      <c r="K17" s="350"/>
      <c r="L17" s="350"/>
      <c r="M17" s="350"/>
      <c r="N17" s="350"/>
      <c r="O17" s="350"/>
      <c r="P17" s="350"/>
      <c r="Q17" s="350"/>
      <c r="R17" s="50"/>
      <c r="S17" s="50"/>
      <c r="T17" s="50"/>
      <c r="U17" s="350"/>
      <c r="V17" s="350"/>
      <c r="W17" s="50"/>
      <c r="X17" s="50"/>
      <c r="Y17" s="369"/>
      <c r="Z17" s="381"/>
      <c r="AA17" s="354"/>
      <c r="AB17" s="384"/>
      <c r="AC17" s="354"/>
      <c r="AD17" s="354"/>
      <c r="AE17" s="385"/>
      <c r="AF17" s="381"/>
      <c r="AG17" s="354"/>
      <c r="AH17" s="354"/>
      <c r="AI17" s="385"/>
      <c r="AJ17" s="381"/>
      <c r="AK17" s="354"/>
      <c r="AL17" s="354"/>
      <c r="AM17" s="385"/>
      <c r="AN17" s="381"/>
      <c r="AO17" s="354"/>
      <c r="AP17" s="354"/>
      <c r="AQ17" s="385"/>
      <c r="AR17" s="381"/>
      <c r="AS17" s="354"/>
      <c r="AT17" s="354"/>
      <c r="AU17" s="385"/>
      <c r="AV17" s="381"/>
      <c r="AW17" s="385"/>
      <c r="AX17" s="384"/>
      <c r="AY17" s="354"/>
    </row>
    <row r="18" spans="1:51" ht="15.75" customHeight="1">
      <c r="A18" s="350"/>
      <c r="B18" s="350"/>
      <c r="C18" s="350"/>
      <c r="D18" s="350"/>
      <c r="E18" s="350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50"/>
      <c r="Q18" s="350"/>
      <c r="R18" s="50"/>
      <c r="S18" s="50"/>
      <c r="T18" s="50"/>
      <c r="U18" s="350"/>
      <c r="V18" s="350"/>
      <c r="W18" s="50"/>
      <c r="X18" s="50"/>
      <c r="Y18" s="369"/>
      <c r="Z18" s="381"/>
      <c r="AA18" s="354"/>
      <c r="AB18" s="384"/>
      <c r="AC18" s="354"/>
      <c r="AD18" s="354"/>
      <c r="AE18" s="385"/>
      <c r="AF18" s="381"/>
      <c r="AG18" s="354"/>
      <c r="AH18" s="354"/>
      <c r="AI18" s="385"/>
      <c r="AJ18" s="381"/>
      <c r="AK18" s="354"/>
      <c r="AL18" s="354"/>
      <c r="AM18" s="385"/>
      <c r="AN18" s="381"/>
      <c r="AO18" s="354"/>
      <c r="AP18" s="354"/>
      <c r="AQ18" s="385"/>
      <c r="AR18" s="381"/>
      <c r="AS18" s="354"/>
      <c r="AT18" s="354"/>
      <c r="AU18" s="385"/>
      <c r="AV18" s="381"/>
      <c r="AW18" s="385"/>
      <c r="AX18" s="384"/>
      <c r="AY18" s="354"/>
    </row>
    <row r="19" spans="1:51" ht="15.75" customHeight="1">
      <c r="A19" s="350"/>
      <c r="B19" s="350"/>
      <c r="C19" s="350"/>
      <c r="D19" s="350"/>
      <c r="E19" s="350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50"/>
      <c r="S19" s="50"/>
      <c r="T19" s="50"/>
      <c r="U19" s="351"/>
      <c r="V19" s="351"/>
      <c r="W19" s="50"/>
      <c r="X19" s="50"/>
      <c r="Y19" s="370"/>
      <c r="Z19" s="381"/>
      <c r="AA19" s="354"/>
      <c r="AB19" s="384"/>
      <c r="AC19" s="354"/>
      <c r="AD19" s="354"/>
      <c r="AE19" s="385"/>
      <c r="AF19" s="381"/>
      <c r="AG19" s="354"/>
      <c r="AH19" s="354"/>
      <c r="AI19" s="385"/>
      <c r="AJ19" s="381"/>
      <c r="AK19" s="354"/>
      <c r="AL19" s="354"/>
      <c r="AM19" s="385"/>
      <c r="AN19" s="381"/>
      <c r="AO19" s="354"/>
      <c r="AP19" s="354"/>
      <c r="AQ19" s="385"/>
      <c r="AR19" s="381"/>
      <c r="AS19" s="354"/>
      <c r="AT19" s="354"/>
      <c r="AU19" s="385"/>
      <c r="AV19" s="381"/>
      <c r="AW19" s="385"/>
      <c r="AX19" s="384"/>
      <c r="AY19" s="354"/>
    </row>
    <row r="20" spans="1:51" ht="6.75" customHeight="1">
      <c r="A20" s="350"/>
      <c r="B20" s="350"/>
      <c r="C20" s="350"/>
      <c r="D20" s="350"/>
      <c r="E20" s="350"/>
      <c r="F20" s="56"/>
      <c r="G20" s="57"/>
      <c r="H20" s="56"/>
      <c r="I20" s="56"/>
      <c r="J20" s="56"/>
      <c r="K20" s="58"/>
      <c r="L20" s="59"/>
      <c r="M20" s="60"/>
      <c r="N20" s="59"/>
      <c r="O20" s="61"/>
      <c r="P20" s="62"/>
      <c r="Q20" s="63"/>
      <c r="R20" s="63"/>
      <c r="S20" s="63"/>
      <c r="T20" s="63"/>
      <c r="U20" s="63"/>
      <c r="V20" s="60"/>
      <c r="W20" s="63"/>
      <c r="X20" s="63"/>
      <c r="Y20" s="64"/>
      <c r="Z20" s="65"/>
      <c r="AA20" s="66"/>
      <c r="AB20" s="66"/>
      <c r="AC20" s="66"/>
      <c r="AD20" s="66"/>
      <c r="AE20" s="67"/>
      <c r="AF20" s="65"/>
      <c r="AG20" s="66"/>
      <c r="AH20" s="66"/>
      <c r="AI20" s="67"/>
      <c r="AJ20" s="65"/>
      <c r="AK20" s="66"/>
      <c r="AL20" s="66"/>
      <c r="AM20" s="67"/>
      <c r="AN20" s="65"/>
      <c r="AO20" s="66"/>
      <c r="AP20" s="66"/>
      <c r="AQ20" s="67"/>
      <c r="AR20" s="65"/>
      <c r="AS20" s="66"/>
      <c r="AT20" s="66"/>
      <c r="AU20" s="67"/>
      <c r="AV20" s="65"/>
      <c r="AW20" s="67"/>
      <c r="AX20" s="136"/>
      <c r="AY20" s="136"/>
    </row>
    <row r="21" spans="1:51" ht="15.75" customHeight="1">
      <c r="A21" s="350"/>
      <c r="B21" s="350"/>
      <c r="C21" s="350"/>
      <c r="D21" s="350"/>
      <c r="E21" s="350"/>
      <c r="F21" s="371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1" t="s">
        <v>151</v>
      </c>
      <c r="N21" s="51">
        <v>0.22</v>
      </c>
      <c r="O21" s="52">
        <f>H22*N21</f>
        <v>145076.31599999999</v>
      </c>
      <c r="P21" s="53" t="s">
        <v>138</v>
      </c>
      <c r="Q21" s="50"/>
      <c r="R21" s="54">
        <v>0.1</v>
      </c>
      <c r="S21" s="50"/>
      <c r="T21" s="50"/>
      <c r="U21" s="50"/>
      <c r="V21" s="50"/>
      <c r="W21" s="43">
        <f>O21/R21</f>
        <v>1450763.16</v>
      </c>
      <c r="X21" s="50"/>
      <c r="Y21" s="50"/>
      <c r="Z21" s="361"/>
      <c r="AA21" s="362"/>
      <c r="AB21" s="405">
        <v>145076.31599999999</v>
      </c>
      <c r="AC21" s="362"/>
      <c r="AD21" s="362"/>
      <c r="AE21" s="386"/>
      <c r="AF21" s="361"/>
      <c r="AG21" s="362"/>
      <c r="AH21" s="362"/>
      <c r="AI21" s="386"/>
      <c r="AJ21" s="361"/>
      <c r="AK21" s="362"/>
      <c r="AL21" s="362"/>
      <c r="AM21" s="386"/>
      <c r="AN21" s="361"/>
      <c r="AO21" s="362"/>
      <c r="AP21" s="362"/>
      <c r="AQ21" s="386"/>
      <c r="AR21" s="361"/>
      <c r="AS21" s="362"/>
      <c r="AT21" s="362"/>
      <c r="AU21" s="386"/>
      <c r="AV21" s="361"/>
      <c r="AW21" s="386"/>
      <c r="AX21" s="418">
        <f>AB21</f>
        <v>145076.31599999999</v>
      </c>
      <c r="AY21" s="362"/>
    </row>
    <row r="22" spans="1:51" ht="15.75" customHeight="1">
      <c r="A22" s="350"/>
      <c r="B22" s="350"/>
      <c r="C22" s="350"/>
      <c r="D22" s="350"/>
      <c r="E22" s="350"/>
      <c r="F22" s="350"/>
      <c r="G22" s="68"/>
      <c r="H22" s="372">
        <f>E13*G24</f>
        <v>659437.79999999993</v>
      </c>
      <c r="I22" s="373" t="s">
        <v>78</v>
      </c>
      <c r="J22" s="72" t="s">
        <v>79</v>
      </c>
      <c r="K22" s="40" t="s">
        <v>80</v>
      </c>
      <c r="L22" s="53" t="s">
        <v>81</v>
      </c>
      <c r="M22" s="350"/>
      <c r="N22" s="51">
        <v>0.35</v>
      </c>
      <c r="O22" s="52">
        <f>H22*N22</f>
        <v>230803.22999999995</v>
      </c>
      <c r="P22" s="53" t="s">
        <v>42</v>
      </c>
      <c r="Q22" s="50"/>
      <c r="R22" s="50"/>
      <c r="S22" s="50"/>
      <c r="T22" s="50"/>
      <c r="U22" s="52">
        <v>37</v>
      </c>
      <c r="V22" s="50"/>
      <c r="W22" s="50"/>
      <c r="X22" s="50"/>
      <c r="Y22" s="55">
        <f>O22/U22*1000</f>
        <v>6237925.1351351338</v>
      </c>
      <c r="Z22" s="361"/>
      <c r="AA22" s="362"/>
      <c r="AB22" s="412">
        <v>100401.61500000001</v>
      </c>
      <c r="AC22" s="362"/>
      <c r="AD22" s="362"/>
      <c r="AE22" s="386"/>
      <c r="AF22" s="406">
        <v>130401.61500000001</v>
      </c>
      <c r="AG22" s="362"/>
      <c r="AH22" s="362"/>
      <c r="AI22" s="386"/>
      <c r="AJ22" s="361"/>
      <c r="AK22" s="362"/>
      <c r="AL22" s="362"/>
      <c r="AM22" s="386"/>
      <c r="AN22" s="361"/>
      <c r="AO22" s="362"/>
      <c r="AP22" s="362"/>
      <c r="AQ22" s="386"/>
      <c r="AR22" s="361"/>
      <c r="AS22" s="362"/>
      <c r="AT22" s="362"/>
      <c r="AU22" s="386"/>
      <c r="AV22" s="361"/>
      <c r="AW22" s="386"/>
      <c r="AX22" s="418">
        <f>AB22+AF22</f>
        <v>230803.23</v>
      </c>
      <c r="AY22" s="362"/>
    </row>
    <row r="23" spans="1:51" ht="15.75" customHeight="1">
      <c r="A23" s="350"/>
      <c r="B23" s="350"/>
      <c r="C23" s="350"/>
      <c r="D23" s="350"/>
      <c r="E23" s="350"/>
      <c r="F23" s="350"/>
      <c r="G23" s="68"/>
      <c r="H23" s="369"/>
      <c r="I23" s="374"/>
      <c r="J23" s="375" t="s">
        <v>76</v>
      </c>
      <c r="K23" s="40" t="s">
        <v>82</v>
      </c>
      <c r="L23" s="49" t="s">
        <v>62</v>
      </c>
      <c r="M23" s="350"/>
      <c r="N23" s="51">
        <v>0.18</v>
      </c>
      <c r="O23" s="52">
        <f>H22*N23</f>
        <v>118698.80399999999</v>
      </c>
      <c r="P23" s="53" t="s">
        <v>138</v>
      </c>
      <c r="Q23" s="50"/>
      <c r="R23" s="54">
        <v>0.1</v>
      </c>
      <c r="S23" s="50"/>
      <c r="T23" s="50"/>
      <c r="U23" s="50"/>
      <c r="V23" s="50"/>
      <c r="W23" s="43">
        <f t="shared" ref="W23:W24" si="0">O23/R23</f>
        <v>1186988.0399999998</v>
      </c>
      <c r="X23" s="50"/>
      <c r="Y23" s="50"/>
      <c r="Z23" s="361"/>
      <c r="AA23" s="362"/>
      <c r="AB23" s="395"/>
      <c r="AC23" s="362"/>
      <c r="AD23" s="362"/>
      <c r="AE23" s="386"/>
      <c r="AF23" s="361"/>
      <c r="AG23" s="362"/>
      <c r="AH23" s="362"/>
      <c r="AI23" s="386"/>
      <c r="AJ23" s="406">
        <f>O23/2</f>
        <v>59349.401999999995</v>
      </c>
      <c r="AK23" s="362"/>
      <c r="AL23" s="362"/>
      <c r="AM23" s="386"/>
      <c r="AN23" s="406">
        <v>59349.401999999995</v>
      </c>
      <c r="AO23" s="362"/>
      <c r="AP23" s="362"/>
      <c r="AQ23" s="386"/>
      <c r="AR23" s="361"/>
      <c r="AS23" s="362"/>
      <c r="AT23" s="362"/>
      <c r="AU23" s="386"/>
      <c r="AV23" s="361"/>
      <c r="AW23" s="386"/>
      <c r="AX23" s="418">
        <f>AJ23+AN23+AR23</f>
        <v>118698.80399999999</v>
      </c>
      <c r="AY23" s="362"/>
    </row>
    <row r="24" spans="1:51" ht="15.75" customHeight="1">
      <c r="A24" s="350"/>
      <c r="B24" s="350"/>
      <c r="C24" s="351"/>
      <c r="D24" s="351"/>
      <c r="E24" s="351"/>
      <c r="F24" s="350"/>
      <c r="G24" s="68">
        <v>0.5</v>
      </c>
      <c r="H24" s="369"/>
      <c r="I24" s="73" t="s">
        <v>52</v>
      </c>
      <c r="J24" s="376"/>
      <c r="K24" s="40" t="s">
        <v>77</v>
      </c>
      <c r="L24" s="49" t="s">
        <v>62</v>
      </c>
      <c r="M24" s="351"/>
      <c r="N24" s="51">
        <v>0.25</v>
      </c>
      <c r="O24" s="52">
        <f>H22*N24</f>
        <v>164859.44999999998</v>
      </c>
      <c r="P24" s="53" t="s">
        <v>138</v>
      </c>
      <c r="Q24" s="50"/>
      <c r="R24" s="54">
        <v>0.1</v>
      </c>
      <c r="S24" s="50"/>
      <c r="T24" s="50"/>
      <c r="U24" s="50"/>
      <c r="V24" s="50"/>
      <c r="W24" s="43">
        <f t="shared" si="0"/>
        <v>1648594.4999999998</v>
      </c>
      <c r="X24" s="50"/>
      <c r="Y24" s="50"/>
      <c r="Z24" s="361"/>
      <c r="AA24" s="362"/>
      <c r="AB24" s="395"/>
      <c r="AC24" s="362"/>
      <c r="AD24" s="362"/>
      <c r="AE24" s="386"/>
      <c r="AF24" s="361"/>
      <c r="AG24" s="362"/>
      <c r="AH24" s="362"/>
      <c r="AI24" s="386"/>
      <c r="AJ24" s="405">
        <v>164859.44999999998</v>
      </c>
      <c r="AK24" s="362"/>
      <c r="AL24" s="362"/>
      <c r="AM24" s="386"/>
      <c r="AN24" s="46"/>
      <c r="AO24" s="47"/>
      <c r="AP24" s="47"/>
      <c r="AQ24" s="48"/>
      <c r="AR24" s="46"/>
      <c r="AS24" s="47"/>
      <c r="AT24" s="47"/>
      <c r="AU24" s="48"/>
      <c r="AV24" s="46"/>
      <c r="AW24" s="48"/>
      <c r="AX24" s="418">
        <f>AJ24</f>
        <v>164859.44999999998</v>
      </c>
      <c r="AY24" s="362"/>
    </row>
    <row r="25" spans="1:51" ht="7.5" customHeight="1">
      <c r="A25" s="350"/>
      <c r="B25" s="350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60"/>
      <c r="N25" s="79"/>
      <c r="O25" s="81"/>
      <c r="P25" s="82"/>
      <c r="Q25" s="83"/>
      <c r="R25" s="83"/>
      <c r="S25" s="83"/>
      <c r="T25" s="83"/>
      <c r="U25" s="83"/>
      <c r="V25" s="80"/>
      <c r="W25" s="83"/>
      <c r="X25" s="83"/>
      <c r="Y25" s="84"/>
      <c r="Z25" s="85"/>
      <c r="AA25" s="86"/>
      <c r="AB25" s="86"/>
      <c r="AC25" s="86"/>
      <c r="AD25" s="86"/>
      <c r="AE25" s="87"/>
      <c r="AF25" s="85"/>
      <c r="AG25" s="86"/>
      <c r="AH25" s="86"/>
      <c r="AI25" s="87"/>
      <c r="AJ25" s="85"/>
      <c r="AK25" s="86"/>
      <c r="AL25" s="86"/>
      <c r="AM25" s="87"/>
      <c r="AN25" s="85"/>
      <c r="AO25" s="86"/>
      <c r="AP25" s="86"/>
      <c r="AQ25" s="87"/>
      <c r="AR25" s="85"/>
      <c r="AS25" s="86"/>
      <c r="AT25" s="86"/>
      <c r="AU25" s="87"/>
      <c r="AV25" s="85"/>
      <c r="AW25" s="87"/>
      <c r="AX25" s="137"/>
      <c r="AY25" s="137"/>
    </row>
    <row r="26" spans="1:51" ht="15.75" customHeight="1">
      <c r="A26" s="350"/>
      <c r="B26" s="350"/>
      <c r="C26" s="358" t="s">
        <v>83</v>
      </c>
      <c r="D26" s="359">
        <v>0.4</v>
      </c>
      <c r="E26" s="349">
        <f>B5*D26</f>
        <v>879250.4</v>
      </c>
      <c r="F26" s="414" t="s">
        <v>129</v>
      </c>
      <c r="G26" s="352">
        <v>0.56000000000000005</v>
      </c>
      <c r="H26" s="377">
        <f>E26*G26</f>
        <v>492380.22400000005</v>
      </c>
      <c r="I26" s="360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51">
        <v>0.2</v>
      </c>
      <c r="O26" s="52">
        <f>H26*N26</f>
        <v>98476.044800000018</v>
      </c>
      <c r="P26" s="89" t="s">
        <v>87</v>
      </c>
      <c r="Q26" s="50"/>
      <c r="R26" s="50"/>
      <c r="S26" s="50"/>
      <c r="T26" s="50"/>
      <c r="U26" s="54">
        <v>2.5</v>
      </c>
      <c r="V26" s="50"/>
      <c r="W26" s="50"/>
      <c r="X26" s="50"/>
      <c r="Y26" s="55">
        <f t="shared" ref="Y26:Y27" si="1">O26/U26*1000</f>
        <v>39390417.920000009</v>
      </c>
      <c r="Z26" s="413">
        <f>O26</f>
        <v>98476.044800000018</v>
      </c>
      <c r="AA26" s="362"/>
      <c r="AB26" s="90"/>
      <c r="AC26" s="90"/>
      <c r="AD26" s="90"/>
      <c r="AE26" s="91"/>
      <c r="AF26" s="46"/>
      <c r="AG26" s="47"/>
      <c r="AH26" s="47"/>
      <c r="AI26" s="48"/>
      <c r="AJ26" s="46"/>
      <c r="AK26" s="47"/>
      <c r="AL26" s="47"/>
      <c r="AM26" s="48"/>
      <c r="AN26" s="46"/>
      <c r="AO26" s="47"/>
      <c r="AP26" s="47"/>
      <c r="AQ26" s="48"/>
      <c r="AR26" s="46"/>
      <c r="AS26" s="47"/>
      <c r="AT26" s="47"/>
      <c r="AU26" s="48"/>
      <c r="AV26" s="46"/>
      <c r="AW26" s="48"/>
      <c r="AX26" s="138">
        <f>Z26</f>
        <v>98476.044800000018</v>
      </c>
      <c r="AY26" s="139"/>
    </row>
    <row r="27" spans="1:51" ht="15.75" customHeight="1">
      <c r="A27" s="350"/>
      <c r="B27" s="350"/>
      <c r="C27" s="350"/>
      <c r="D27" s="350"/>
      <c r="E27" s="350"/>
      <c r="F27" s="350"/>
      <c r="G27" s="350"/>
      <c r="H27" s="350"/>
      <c r="I27" s="350"/>
      <c r="J27" s="360" t="s">
        <v>88</v>
      </c>
      <c r="K27" s="360" t="s">
        <v>152</v>
      </c>
      <c r="L27" s="430" t="s">
        <v>149</v>
      </c>
      <c r="M27" s="378">
        <v>1</v>
      </c>
      <c r="N27" s="355">
        <v>0.2</v>
      </c>
      <c r="O27" s="365">
        <f>H26*N27</f>
        <v>98476.044800000018</v>
      </c>
      <c r="P27" s="407" t="s">
        <v>90</v>
      </c>
      <c r="Q27" s="367">
        <v>0.5</v>
      </c>
      <c r="R27" s="50"/>
      <c r="S27" s="50"/>
      <c r="T27" s="50"/>
      <c r="U27" s="367">
        <v>2.5</v>
      </c>
      <c r="V27" s="378">
        <f>O27/Q27</f>
        <v>196952.08960000004</v>
      </c>
      <c r="W27" s="50"/>
      <c r="X27" s="50"/>
      <c r="Y27" s="368">
        <f t="shared" si="1"/>
        <v>39390417.920000009</v>
      </c>
      <c r="Z27" s="379"/>
      <c r="AA27" s="380"/>
      <c r="AB27" s="382">
        <f>O27</f>
        <v>98476.044800000018</v>
      </c>
      <c r="AC27" s="380"/>
      <c r="AD27" s="380"/>
      <c r="AE27" s="383"/>
      <c r="AF27" s="46"/>
      <c r="AG27" s="47"/>
      <c r="AH27" s="47"/>
      <c r="AI27" s="48"/>
      <c r="AJ27" s="46"/>
      <c r="AK27" s="47"/>
      <c r="AL27" s="47"/>
      <c r="AM27" s="48"/>
      <c r="AN27" s="46"/>
      <c r="AO27" s="47"/>
      <c r="AP27" s="47"/>
      <c r="AQ27" s="48"/>
      <c r="AR27" s="46"/>
      <c r="AS27" s="47"/>
      <c r="AT27" s="47"/>
      <c r="AU27" s="48"/>
      <c r="AV27" s="46"/>
      <c r="AW27" s="48"/>
      <c r="AX27" s="420">
        <f>AB27</f>
        <v>98476.044800000018</v>
      </c>
      <c r="AY27" s="380"/>
    </row>
    <row r="28" spans="1:51" ht="15.75" customHeight="1">
      <c r="A28" s="350"/>
      <c r="B28" s="350"/>
      <c r="C28" s="350"/>
      <c r="D28" s="350"/>
      <c r="E28" s="350"/>
      <c r="F28" s="350"/>
      <c r="G28" s="350"/>
      <c r="H28" s="350"/>
      <c r="I28" s="351"/>
      <c r="J28" s="350"/>
      <c r="K28" s="351"/>
      <c r="L28" s="351"/>
      <c r="M28" s="351"/>
      <c r="N28" s="351"/>
      <c r="O28" s="351"/>
      <c r="P28" s="351"/>
      <c r="Q28" s="351"/>
      <c r="R28" s="50"/>
      <c r="S28" s="50"/>
      <c r="T28" s="50"/>
      <c r="U28" s="351"/>
      <c r="V28" s="351"/>
      <c r="W28" s="50"/>
      <c r="X28" s="50"/>
      <c r="Y28" s="370"/>
      <c r="Z28" s="381"/>
      <c r="AA28" s="354"/>
      <c r="AB28" s="384"/>
      <c r="AC28" s="354"/>
      <c r="AD28" s="354"/>
      <c r="AE28" s="385"/>
      <c r="AF28" s="46"/>
      <c r="AG28" s="47"/>
      <c r="AH28" s="47"/>
      <c r="AI28" s="48"/>
      <c r="AJ28" s="46"/>
      <c r="AK28" s="47"/>
      <c r="AL28" s="47"/>
      <c r="AM28" s="48"/>
      <c r="AN28" s="46"/>
      <c r="AO28" s="47"/>
      <c r="AP28" s="47"/>
      <c r="AQ28" s="48"/>
      <c r="AR28" s="46"/>
      <c r="AS28" s="47"/>
      <c r="AT28" s="47"/>
      <c r="AU28" s="48"/>
      <c r="AV28" s="46"/>
      <c r="AW28" s="48"/>
      <c r="AX28" s="384"/>
      <c r="AY28" s="354"/>
    </row>
    <row r="29" spans="1:51" ht="15.75" customHeight="1">
      <c r="A29" s="350"/>
      <c r="B29" s="350"/>
      <c r="C29" s="350"/>
      <c r="D29" s="350"/>
      <c r="E29" s="350"/>
      <c r="F29" s="350"/>
      <c r="G29" s="350"/>
      <c r="H29" s="350"/>
      <c r="I29" s="360" t="s">
        <v>64</v>
      </c>
      <c r="J29" s="350"/>
      <c r="K29" s="360" t="s">
        <v>153</v>
      </c>
      <c r="L29" s="430" t="s">
        <v>149</v>
      </c>
      <c r="M29" s="378">
        <v>2</v>
      </c>
      <c r="N29" s="355">
        <v>0.6</v>
      </c>
      <c r="O29" s="365">
        <f>H26*N29</f>
        <v>295428.13440000004</v>
      </c>
      <c r="P29" s="407" t="s">
        <v>90</v>
      </c>
      <c r="Q29" s="367">
        <v>0.5</v>
      </c>
      <c r="R29" s="50"/>
      <c r="S29" s="50"/>
      <c r="T29" s="50"/>
      <c r="U29" s="367">
        <v>2.5</v>
      </c>
      <c r="V29" s="378">
        <f>O29/Q29</f>
        <v>590856.26880000008</v>
      </c>
      <c r="W29" s="50"/>
      <c r="X29" s="50"/>
      <c r="Y29" s="368">
        <f>O29/U29*1000</f>
        <v>118171253.76000002</v>
      </c>
      <c r="Z29" s="379"/>
      <c r="AA29" s="380"/>
      <c r="AB29" s="433"/>
      <c r="AC29" s="380"/>
      <c r="AD29" s="380"/>
      <c r="AE29" s="383"/>
      <c r="AF29" s="403">
        <v>106166</v>
      </c>
      <c r="AG29" s="380"/>
      <c r="AH29" s="380"/>
      <c r="AI29" s="383"/>
      <c r="AJ29" s="403">
        <v>56167</v>
      </c>
      <c r="AK29" s="380"/>
      <c r="AL29" s="380"/>
      <c r="AM29" s="383"/>
      <c r="AN29" s="403">
        <v>76167</v>
      </c>
      <c r="AO29" s="380"/>
      <c r="AP29" s="380"/>
      <c r="AQ29" s="383"/>
      <c r="AR29" s="403">
        <v>56928</v>
      </c>
      <c r="AS29" s="380"/>
      <c r="AT29" s="380"/>
      <c r="AU29" s="383"/>
      <c r="AV29" s="379"/>
      <c r="AW29" s="383"/>
      <c r="AX29" s="420">
        <f>Z29+AB29+AF29+AJ29+AN29+AR29+AV29</f>
        <v>295428</v>
      </c>
      <c r="AY29" s="380"/>
    </row>
    <row r="30" spans="1:51" ht="15.75" customHeight="1">
      <c r="A30" s="350"/>
      <c r="B30" s="350"/>
      <c r="C30" s="350"/>
      <c r="D30" s="350"/>
      <c r="E30" s="350"/>
      <c r="F30" s="350"/>
      <c r="G30" s="350"/>
      <c r="H30" s="350"/>
      <c r="I30" s="350"/>
      <c r="J30" s="350"/>
      <c r="K30" s="350"/>
      <c r="L30" s="350"/>
      <c r="M30" s="350"/>
      <c r="N30" s="350"/>
      <c r="O30" s="350"/>
      <c r="P30" s="350"/>
      <c r="Q30" s="350"/>
      <c r="R30" s="50"/>
      <c r="S30" s="50"/>
      <c r="T30" s="50"/>
      <c r="U30" s="350"/>
      <c r="V30" s="350"/>
      <c r="W30" s="50"/>
      <c r="X30" s="50"/>
      <c r="Y30" s="369"/>
      <c r="Z30" s="381"/>
      <c r="AA30" s="354"/>
      <c r="AB30" s="384"/>
      <c r="AC30" s="354"/>
      <c r="AD30" s="354"/>
      <c r="AE30" s="385"/>
      <c r="AF30" s="381"/>
      <c r="AG30" s="354"/>
      <c r="AH30" s="354"/>
      <c r="AI30" s="385"/>
      <c r="AJ30" s="381"/>
      <c r="AK30" s="354"/>
      <c r="AL30" s="354"/>
      <c r="AM30" s="385"/>
      <c r="AN30" s="381"/>
      <c r="AO30" s="354"/>
      <c r="AP30" s="354"/>
      <c r="AQ30" s="385"/>
      <c r="AR30" s="381"/>
      <c r="AS30" s="354"/>
      <c r="AT30" s="354"/>
      <c r="AU30" s="385"/>
      <c r="AV30" s="381"/>
      <c r="AW30" s="385"/>
      <c r="AX30" s="384"/>
      <c r="AY30" s="354"/>
    </row>
    <row r="31" spans="1:51" ht="36" customHeight="1">
      <c r="A31" s="350"/>
      <c r="B31" s="350"/>
      <c r="C31" s="350"/>
      <c r="D31" s="350"/>
      <c r="E31" s="350"/>
      <c r="F31" s="350"/>
      <c r="G31" s="351"/>
      <c r="H31" s="351"/>
      <c r="I31" s="351"/>
      <c r="J31" s="350"/>
      <c r="K31" s="351"/>
      <c r="L31" s="351"/>
      <c r="M31" s="351"/>
      <c r="N31" s="351"/>
      <c r="O31" s="351"/>
      <c r="P31" s="351"/>
      <c r="Q31" s="351"/>
      <c r="R31" s="50"/>
      <c r="S31" s="50"/>
      <c r="T31" s="50"/>
      <c r="U31" s="351"/>
      <c r="V31" s="351"/>
      <c r="W31" s="50"/>
      <c r="X31" s="50"/>
      <c r="Y31" s="370"/>
      <c r="Z31" s="381"/>
      <c r="AA31" s="354"/>
      <c r="AB31" s="384"/>
      <c r="AC31" s="354"/>
      <c r="AD31" s="354"/>
      <c r="AE31" s="385"/>
      <c r="AF31" s="381"/>
      <c r="AG31" s="354"/>
      <c r="AH31" s="354"/>
      <c r="AI31" s="385"/>
      <c r="AJ31" s="381"/>
      <c r="AK31" s="354"/>
      <c r="AL31" s="354"/>
      <c r="AM31" s="385"/>
      <c r="AN31" s="381"/>
      <c r="AO31" s="354"/>
      <c r="AP31" s="354"/>
      <c r="AQ31" s="385"/>
      <c r="AR31" s="381"/>
      <c r="AS31" s="354"/>
      <c r="AT31" s="354"/>
      <c r="AU31" s="385"/>
      <c r="AV31" s="381"/>
      <c r="AW31" s="385"/>
      <c r="AX31" s="384"/>
      <c r="AY31" s="354"/>
    </row>
    <row r="32" spans="1:51" ht="15.75" customHeight="1">
      <c r="A32" s="350"/>
      <c r="B32" s="350"/>
      <c r="C32" s="350"/>
      <c r="D32" s="350"/>
      <c r="E32" s="350"/>
      <c r="F32" s="425" t="s">
        <v>142</v>
      </c>
      <c r="G32" s="352">
        <v>0.18</v>
      </c>
      <c r="H32" s="377">
        <f>E26*G32</f>
        <v>158265.07199999999</v>
      </c>
      <c r="I32" s="373" t="s">
        <v>75</v>
      </c>
      <c r="J32" s="360" t="s">
        <v>143</v>
      </c>
      <c r="K32" s="360" t="s">
        <v>101</v>
      </c>
      <c r="L32" s="430" t="s">
        <v>55</v>
      </c>
      <c r="M32" s="378">
        <v>1</v>
      </c>
      <c r="N32" s="355">
        <v>0.5</v>
      </c>
      <c r="O32" s="365">
        <f>H32*N32</f>
        <v>79132.535999999993</v>
      </c>
      <c r="P32" s="366" t="s">
        <v>42</v>
      </c>
      <c r="Q32" s="402"/>
      <c r="R32" s="50"/>
      <c r="S32" s="402"/>
      <c r="T32" s="402"/>
      <c r="U32" s="367">
        <v>6</v>
      </c>
      <c r="V32" s="424"/>
      <c r="W32" s="402"/>
      <c r="X32" s="402"/>
      <c r="Y32" s="368">
        <f>O32/U32*1000</f>
        <v>13188756</v>
      </c>
      <c r="Z32" s="361"/>
      <c r="AA32" s="362"/>
      <c r="AB32" s="427">
        <v>29566.268</v>
      </c>
      <c r="AC32" s="380"/>
      <c r="AD32" s="380"/>
      <c r="AE32" s="383"/>
      <c r="AF32" s="427">
        <v>49566.267999999996</v>
      </c>
      <c r="AG32" s="380"/>
      <c r="AH32" s="380"/>
      <c r="AI32" s="383"/>
      <c r="AJ32" s="422"/>
      <c r="AK32" s="380"/>
      <c r="AL32" s="380"/>
      <c r="AM32" s="383"/>
      <c r="AN32" s="422"/>
      <c r="AO32" s="380"/>
      <c r="AP32" s="380"/>
      <c r="AQ32" s="383"/>
      <c r="AR32" s="422"/>
      <c r="AS32" s="380"/>
      <c r="AT32" s="380"/>
      <c r="AU32" s="383"/>
      <c r="AV32" s="46"/>
      <c r="AW32" s="48"/>
      <c r="AX32" s="421"/>
      <c r="AY32" s="362"/>
    </row>
    <row r="33" spans="1:51" ht="15.75" customHeight="1">
      <c r="A33" s="350"/>
      <c r="B33" s="350"/>
      <c r="C33" s="350"/>
      <c r="D33" s="350"/>
      <c r="E33" s="350"/>
      <c r="F33" s="350"/>
      <c r="G33" s="350"/>
      <c r="H33" s="350"/>
      <c r="I33" s="374"/>
      <c r="J33" s="350"/>
      <c r="K33" s="350"/>
      <c r="L33" s="350"/>
      <c r="M33" s="350"/>
      <c r="N33" s="351"/>
      <c r="O33" s="351"/>
      <c r="P33" s="351"/>
      <c r="Q33" s="351"/>
      <c r="R33" s="50"/>
      <c r="S33" s="351"/>
      <c r="T33" s="351"/>
      <c r="U33" s="351"/>
      <c r="V33" s="351"/>
      <c r="W33" s="351"/>
      <c r="X33" s="351"/>
      <c r="Y33" s="370"/>
      <c r="Z33" s="46"/>
      <c r="AA33" s="47"/>
      <c r="AB33" s="384"/>
      <c r="AC33" s="354"/>
      <c r="AD33" s="354"/>
      <c r="AE33" s="385"/>
      <c r="AF33" s="384"/>
      <c r="AG33" s="354"/>
      <c r="AH33" s="354"/>
      <c r="AI33" s="385"/>
      <c r="AJ33" s="381"/>
      <c r="AK33" s="354"/>
      <c r="AL33" s="354"/>
      <c r="AM33" s="385"/>
      <c r="AN33" s="381"/>
      <c r="AO33" s="354"/>
      <c r="AP33" s="354"/>
      <c r="AQ33" s="385"/>
      <c r="AR33" s="381"/>
      <c r="AS33" s="354"/>
      <c r="AT33" s="354"/>
      <c r="AU33" s="385"/>
      <c r="AV33" s="46"/>
      <c r="AW33" s="48"/>
      <c r="AX33" s="138">
        <f>AB32+AF32+AJ32+AN32+AR32</f>
        <v>79132.535999999993</v>
      </c>
      <c r="AY33" s="139"/>
    </row>
    <row r="34" spans="1:51" ht="43.5" customHeight="1">
      <c r="A34" s="350"/>
      <c r="B34" s="350"/>
      <c r="C34" s="350"/>
      <c r="D34" s="350"/>
      <c r="E34" s="350"/>
      <c r="F34" s="351"/>
      <c r="G34" s="351"/>
      <c r="H34" s="351"/>
      <c r="I34" s="426"/>
      <c r="J34" s="351"/>
      <c r="K34" s="140" t="s">
        <v>144</v>
      </c>
      <c r="L34" s="351"/>
      <c r="M34" s="351"/>
      <c r="N34" s="51">
        <v>0.5</v>
      </c>
      <c r="O34" s="52">
        <f>H32*N34</f>
        <v>79132.535999999993</v>
      </c>
      <c r="P34" s="141" t="s">
        <v>41</v>
      </c>
      <c r="Q34" s="50"/>
      <c r="R34" s="50"/>
      <c r="S34" s="50"/>
      <c r="T34" s="54">
        <v>0.8</v>
      </c>
      <c r="U34" s="50"/>
      <c r="V34" s="96"/>
      <c r="W34" s="50"/>
      <c r="X34" s="43">
        <f>O34/T34</f>
        <v>98915.669999999984</v>
      </c>
      <c r="Y34" s="142"/>
      <c r="Z34" s="46"/>
      <c r="AA34" s="47"/>
      <c r="AB34" s="143"/>
      <c r="AC34" s="143"/>
      <c r="AD34" s="143"/>
      <c r="AE34" s="144"/>
      <c r="AF34" s="143"/>
      <c r="AG34" s="143"/>
      <c r="AH34" s="143"/>
      <c r="AI34" s="144"/>
      <c r="AJ34" s="409">
        <v>29566.268</v>
      </c>
      <c r="AK34" s="362"/>
      <c r="AL34" s="362"/>
      <c r="AM34" s="386"/>
      <c r="AN34" s="409">
        <v>29566.268</v>
      </c>
      <c r="AO34" s="362"/>
      <c r="AP34" s="362"/>
      <c r="AQ34" s="386"/>
      <c r="AR34" s="409">
        <v>20000</v>
      </c>
      <c r="AS34" s="362"/>
      <c r="AT34" s="362"/>
      <c r="AU34" s="386"/>
      <c r="AV34" s="46"/>
      <c r="AW34" s="48"/>
      <c r="AX34" s="138">
        <f>AJ34+AN34+AR34</f>
        <v>79132.535999999993</v>
      </c>
      <c r="AY34" s="139"/>
    </row>
    <row r="35" spans="1:51" ht="10.5" customHeight="1">
      <c r="A35" s="350"/>
      <c r="B35" s="350"/>
      <c r="C35" s="350"/>
      <c r="D35" s="350"/>
      <c r="E35" s="350"/>
      <c r="F35" s="58"/>
      <c r="G35" s="98"/>
      <c r="H35" s="99"/>
      <c r="I35" s="58"/>
      <c r="J35" s="58"/>
      <c r="K35" s="58"/>
      <c r="L35" s="62"/>
      <c r="M35" s="60"/>
      <c r="N35" s="59"/>
      <c r="O35" s="61"/>
      <c r="P35" s="62"/>
      <c r="Q35" s="63"/>
      <c r="R35" s="63"/>
      <c r="S35" s="63"/>
      <c r="T35" s="63"/>
      <c r="U35" s="63"/>
      <c r="V35" s="60"/>
      <c r="W35" s="63"/>
      <c r="X35" s="63"/>
      <c r="Y35" s="64"/>
      <c r="Z35" s="65"/>
      <c r="AA35" s="66"/>
      <c r="AB35" s="66"/>
      <c r="AC35" s="66"/>
      <c r="AD35" s="66"/>
      <c r="AE35" s="67"/>
      <c r="AF35" s="65"/>
      <c r="AG35" s="66"/>
      <c r="AH35" s="66"/>
      <c r="AI35" s="67"/>
      <c r="AJ35" s="65"/>
      <c r="AK35" s="66"/>
      <c r="AL35" s="66"/>
      <c r="AM35" s="67"/>
      <c r="AN35" s="65"/>
      <c r="AO35" s="66"/>
      <c r="AP35" s="66"/>
      <c r="AQ35" s="67"/>
      <c r="AR35" s="65"/>
      <c r="AS35" s="66"/>
      <c r="AT35" s="66"/>
      <c r="AU35" s="67"/>
      <c r="AV35" s="65"/>
      <c r="AW35" s="67"/>
      <c r="AX35" s="136"/>
      <c r="AY35" s="136"/>
    </row>
    <row r="36" spans="1:51" ht="15.75" customHeight="1">
      <c r="A36" s="350"/>
      <c r="B36" s="350"/>
      <c r="C36" s="350"/>
      <c r="D36" s="350"/>
      <c r="E36" s="350"/>
      <c r="F36" s="360" t="s">
        <v>102</v>
      </c>
      <c r="G36" s="352">
        <v>0.06</v>
      </c>
      <c r="H36" s="377">
        <f>E26*G36</f>
        <v>52755.023999999998</v>
      </c>
      <c r="I36" s="360" t="s">
        <v>70</v>
      </c>
      <c r="J36" s="360" t="s">
        <v>103</v>
      </c>
      <c r="K36" s="40" t="s">
        <v>104</v>
      </c>
      <c r="L36" s="53" t="s">
        <v>154</v>
      </c>
      <c r="M36" s="43">
        <v>1</v>
      </c>
      <c r="N36" s="355">
        <v>1</v>
      </c>
      <c r="O36" s="365">
        <f>H36*N36</f>
        <v>52755.023999999998</v>
      </c>
      <c r="P36" s="366" t="s">
        <v>58</v>
      </c>
      <c r="Q36" s="50"/>
      <c r="R36" s="50"/>
      <c r="S36" s="50"/>
      <c r="T36" s="50"/>
      <c r="U36" s="367">
        <f>45/18.77</f>
        <v>2.3974427277570594</v>
      </c>
      <c r="V36" s="96"/>
      <c r="W36" s="50"/>
      <c r="X36" s="50"/>
      <c r="Y36" s="368">
        <f>O36/U36*1000</f>
        <v>22004706.677333333</v>
      </c>
      <c r="Z36" s="361"/>
      <c r="AA36" s="362"/>
      <c r="AB36" s="395"/>
      <c r="AC36" s="362"/>
      <c r="AD36" s="362"/>
      <c r="AE36" s="386"/>
      <c r="AF36" s="361"/>
      <c r="AG36" s="362"/>
      <c r="AH36" s="362"/>
      <c r="AI36" s="386"/>
      <c r="AJ36" s="379"/>
      <c r="AK36" s="380"/>
      <c r="AL36" s="380"/>
      <c r="AM36" s="383"/>
      <c r="AN36" s="394">
        <v>36377.512000000002</v>
      </c>
      <c r="AO36" s="380"/>
      <c r="AP36" s="380"/>
      <c r="AQ36" s="383"/>
      <c r="AR36" s="394">
        <v>10000</v>
      </c>
      <c r="AS36" s="380"/>
      <c r="AT36" s="380"/>
      <c r="AU36" s="383"/>
      <c r="AV36" s="394">
        <v>6377</v>
      </c>
      <c r="AW36" s="383"/>
      <c r="AX36" s="420">
        <f>AJ36+AR36+AV36+AN36</f>
        <v>52754.512000000002</v>
      </c>
      <c r="AY36" s="380"/>
    </row>
    <row r="37" spans="1:51" ht="15.75" customHeight="1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40" t="s">
        <v>104</v>
      </c>
      <c r="L37" s="53" t="s">
        <v>154</v>
      </c>
      <c r="M37" s="43">
        <v>1</v>
      </c>
      <c r="N37" s="350"/>
      <c r="O37" s="350"/>
      <c r="P37" s="350"/>
      <c r="Q37" s="50"/>
      <c r="R37" s="50"/>
      <c r="S37" s="50"/>
      <c r="T37" s="50"/>
      <c r="U37" s="350"/>
      <c r="V37" s="96"/>
      <c r="W37" s="50"/>
      <c r="X37" s="50"/>
      <c r="Y37" s="369"/>
      <c r="Z37" s="361"/>
      <c r="AA37" s="362"/>
      <c r="AB37" s="395"/>
      <c r="AC37" s="362"/>
      <c r="AD37" s="362"/>
      <c r="AE37" s="386"/>
      <c r="AF37" s="361"/>
      <c r="AG37" s="362"/>
      <c r="AH37" s="362"/>
      <c r="AI37" s="386"/>
      <c r="AJ37" s="381"/>
      <c r="AK37" s="354"/>
      <c r="AL37" s="354"/>
      <c r="AM37" s="385"/>
      <c r="AN37" s="381"/>
      <c r="AO37" s="354"/>
      <c r="AP37" s="354"/>
      <c r="AQ37" s="385"/>
      <c r="AR37" s="381"/>
      <c r="AS37" s="354"/>
      <c r="AT37" s="354"/>
      <c r="AU37" s="385"/>
      <c r="AV37" s="381"/>
      <c r="AW37" s="385"/>
      <c r="AX37" s="384"/>
      <c r="AY37" s="354"/>
    </row>
    <row r="38" spans="1:51" ht="15.75" customHeight="1">
      <c r="A38" s="350"/>
      <c r="B38" s="350"/>
      <c r="C38" s="350"/>
      <c r="D38" s="350"/>
      <c r="E38" s="350"/>
      <c r="F38" s="351"/>
      <c r="G38" s="351"/>
      <c r="H38" s="351"/>
      <c r="I38" s="351"/>
      <c r="J38" s="351"/>
      <c r="K38" s="40"/>
      <c r="L38" s="53"/>
      <c r="M38" s="43"/>
      <c r="N38" s="351"/>
      <c r="O38" s="351"/>
      <c r="P38" s="351"/>
      <c r="Q38" s="50"/>
      <c r="R38" s="50"/>
      <c r="S38" s="50"/>
      <c r="T38" s="50"/>
      <c r="U38" s="351"/>
      <c r="V38" s="96"/>
      <c r="W38" s="50"/>
      <c r="X38" s="50"/>
      <c r="Y38" s="370"/>
      <c r="Z38" s="363"/>
      <c r="AA38" s="364"/>
      <c r="AB38" s="410"/>
      <c r="AC38" s="364"/>
      <c r="AD38" s="364"/>
      <c r="AE38" s="392"/>
      <c r="AF38" s="361"/>
      <c r="AG38" s="362"/>
      <c r="AH38" s="362"/>
      <c r="AI38" s="386"/>
      <c r="AJ38" s="381"/>
      <c r="AK38" s="354"/>
      <c r="AL38" s="354"/>
      <c r="AM38" s="385"/>
      <c r="AN38" s="381"/>
      <c r="AO38" s="354"/>
      <c r="AP38" s="354"/>
      <c r="AQ38" s="385"/>
      <c r="AR38" s="381"/>
      <c r="AS38" s="354"/>
      <c r="AT38" s="354"/>
      <c r="AU38" s="385"/>
      <c r="AV38" s="381"/>
      <c r="AW38" s="385"/>
      <c r="AX38" s="384"/>
      <c r="AY38" s="354"/>
    </row>
    <row r="39" spans="1:51" ht="12" customHeight="1">
      <c r="A39" s="350"/>
      <c r="B39" s="350"/>
      <c r="C39" s="350"/>
      <c r="D39" s="350"/>
      <c r="E39" s="350"/>
      <c r="F39" s="58"/>
      <c r="G39" s="98"/>
      <c r="H39" s="99"/>
      <c r="I39" s="100"/>
      <c r="J39" s="58"/>
      <c r="K39" s="58"/>
      <c r="L39" s="62"/>
      <c r="M39" s="60"/>
      <c r="N39" s="59"/>
      <c r="O39" s="61"/>
      <c r="P39" s="62"/>
      <c r="Q39" s="63"/>
      <c r="R39" s="63"/>
      <c r="S39" s="63"/>
      <c r="T39" s="63"/>
      <c r="U39" s="63"/>
      <c r="V39" s="60"/>
      <c r="W39" s="63"/>
      <c r="X39" s="60"/>
      <c r="Y39" s="60"/>
      <c r="Z39" s="66"/>
      <c r="AA39" s="66"/>
      <c r="AB39" s="66"/>
      <c r="AC39" s="66"/>
      <c r="AD39" s="66"/>
      <c r="AE39" s="66"/>
      <c r="AF39" s="65"/>
      <c r="AG39" s="66"/>
      <c r="AH39" s="66"/>
      <c r="AI39" s="67"/>
      <c r="AJ39" s="65"/>
      <c r="AK39" s="66"/>
      <c r="AL39" s="66"/>
      <c r="AM39" s="67"/>
      <c r="AN39" s="65"/>
      <c r="AO39" s="66"/>
      <c r="AP39" s="66"/>
      <c r="AQ39" s="67"/>
      <c r="AR39" s="65"/>
      <c r="AS39" s="66"/>
      <c r="AT39" s="66"/>
      <c r="AU39" s="67"/>
      <c r="AV39" s="65"/>
      <c r="AW39" s="67"/>
      <c r="AX39" s="136"/>
      <c r="AY39" s="136"/>
    </row>
    <row r="40" spans="1:51" ht="15.75" customHeight="1">
      <c r="A40" s="351"/>
      <c r="B40" s="351"/>
      <c r="C40" s="351"/>
      <c r="D40" s="351"/>
      <c r="E40" s="351"/>
      <c r="F40" s="40" t="s">
        <v>107</v>
      </c>
      <c r="G40" s="97">
        <v>0.2</v>
      </c>
      <c r="H40" s="94">
        <f>E26*G40</f>
        <v>175850.08000000002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1</v>
      </c>
      <c r="N40" s="51">
        <v>1</v>
      </c>
      <c r="O40" s="52">
        <f>H40*N40</f>
        <v>175850.08000000002</v>
      </c>
      <c r="P40" s="53" t="s">
        <v>111</v>
      </c>
      <c r="Q40" s="50"/>
      <c r="R40" s="50"/>
      <c r="S40" s="50"/>
      <c r="T40" s="50"/>
      <c r="U40" s="54">
        <v>4.8499999999999996</v>
      </c>
      <c r="V40" s="96"/>
      <c r="W40" s="50"/>
      <c r="X40" s="50"/>
      <c r="Y40" s="43">
        <f>O40/U40*1000</f>
        <v>36257748.453608252</v>
      </c>
      <c r="Z40" s="405">
        <f>O40/4</f>
        <v>43962.520000000004</v>
      </c>
      <c r="AA40" s="362"/>
      <c r="AB40" s="405">
        <v>33963</v>
      </c>
      <c r="AC40" s="362"/>
      <c r="AD40" s="362"/>
      <c r="AE40" s="362"/>
      <c r="AF40" s="405">
        <v>53963</v>
      </c>
      <c r="AG40" s="362"/>
      <c r="AH40" s="362"/>
      <c r="AI40" s="362"/>
      <c r="AJ40" s="405">
        <v>43961</v>
      </c>
      <c r="AK40" s="362"/>
      <c r="AL40" s="362"/>
      <c r="AM40" s="362"/>
      <c r="AN40" s="363"/>
      <c r="AO40" s="364"/>
      <c r="AP40" s="364"/>
      <c r="AQ40" s="392"/>
      <c r="AR40" s="363"/>
      <c r="AS40" s="364"/>
      <c r="AT40" s="364"/>
      <c r="AU40" s="392"/>
      <c r="AV40" s="363"/>
      <c r="AW40" s="392"/>
      <c r="AX40" s="418">
        <f>Z40+AB40+AF40+AJ40</f>
        <v>175849.52000000002</v>
      </c>
      <c r="AY40" s="362"/>
    </row>
    <row r="41" spans="1:51" ht="15.75" customHeight="1">
      <c r="A41" s="145" t="s">
        <v>112</v>
      </c>
      <c r="B41" s="145"/>
      <c r="C41" s="145"/>
      <c r="D41" s="145"/>
      <c r="E41" s="146">
        <f>SUM(E13:E40)</f>
        <v>2198126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6">
        <f>SUM(O13:O40)+O11</f>
        <v>2198126</v>
      </c>
      <c r="P41" s="145"/>
      <c r="Q41" s="148"/>
      <c r="R41" s="148"/>
      <c r="S41" s="148"/>
      <c r="T41" s="148"/>
      <c r="U41" s="148"/>
      <c r="V41" s="107">
        <f>V13+V15+V17+V18+V27+V29+V31</f>
        <v>9172088.958399998</v>
      </c>
      <c r="W41" s="107">
        <f>W21+W23+W24</f>
        <v>4286345.6999999993</v>
      </c>
      <c r="X41" s="107">
        <f>X34</f>
        <v>98915.669999999984</v>
      </c>
      <c r="Y41" s="107">
        <f>Y13+Y15+Y17+Y18+Y21+Y22+Y23+Y24+Y27+Y29+Y31+Y36+Y40+Y26+Y11</f>
        <v>397419026.56710774</v>
      </c>
      <c r="Z41" s="419">
        <f>SUM(Z11:AA40)</f>
        <v>214976.72280000005</v>
      </c>
      <c r="AA41" s="362"/>
      <c r="AB41" s="419">
        <f>SUM(AB11:AE40)</f>
        <v>507483.2438</v>
      </c>
      <c r="AC41" s="362"/>
      <c r="AD41" s="362"/>
      <c r="AE41" s="362"/>
      <c r="AF41" s="419">
        <f>SUM(AF11:AI40)</f>
        <v>477539.88299999997</v>
      </c>
      <c r="AG41" s="362"/>
      <c r="AH41" s="362"/>
      <c r="AI41" s="362"/>
      <c r="AJ41" s="419">
        <f>SUM(AJ11:AM40)</f>
        <v>480915.11999999994</v>
      </c>
      <c r="AK41" s="362"/>
      <c r="AL41" s="362"/>
      <c r="AM41" s="362"/>
      <c r="AN41" s="419">
        <f>SUM(AN11:AQ40)</f>
        <v>337961.18199999997</v>
      </c>
      <c r="AO41" s="362"/>
      <c r="AP41" s="362"/>
      <c r="AQ41" s="362"/>
      <c r="AR41" s="419">
        <f>SUM(AR11:AU40)</f>
        <v>172872</v>
      </c>
      <c r="AS41" s="362"/>
      <c r="AT41" s="362"/>
      <c r="AU41" s="362"/>
      <c r="AV41" s="419">
        <f>SUM(AV11:AW40)</f>
        <v>6377</v>
      </c>
      <c r="AW41" s="362"/>
      <c r="AX41" s="419">
        <f>SUM(AX11:AY40)</f>
        <v>2198125.1516000004</v>
      </c>
      <c r="AY41" s="362"/>
    </row>
    <row r="42" spans="1:5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1:5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16"/>
      <c r="Q43" s="116"/>
      <c r="R43" s="116"/>
      <c r="S43" s="116"/>
      <c r="T43" s="116"/>
      <c r="U43" s="116"/>
      <c r="V43" s="149"/>
      <c r="W43" s="116"/>
      <c r="X43" s="116"/>
      <c r="Y43" s="116"/>
      <c r="Z43" s="116"/>
      <c r="AA43" s="116"/>
      <c r="AB43" s="116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415"/>
      <c r="AR43" s="354"/>
      <c r="AS43" s="354"/>
      <c r="AT43" s="354"/>
      <c r="AU43" s="354"/>
      <c r="AV43" s="3"/>
      <c r="AW43" s="3"/>
      <c r="AX43" s="3"/>
      <c r="AY43" s="3"/>
    </row>
    <row r="44" spans="1:51" ht="15.75" customHeight="1">
      <c r="A44" s="3"/>
      <c r="B44" s="3"/>
      <c r="C44" s="3"/>
      <c r="D44" s="3"/>
      <c r="E44" s="3"/>
      <c r="N44" s="3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3"/>
      <c r="AD44" s="3"/>
      <c r="AE44" s="3"/>
      <c r="AF44" s="3"/>
      <c r="AG44" s="415"/>
      <c r="AH44" s="354"/>
      <c r="AI44" s="354"/>
      <c r="AJ44" s="354"/>
      <c r="AK44" s="3"/>
      <c r="AL44" s="3"/>
      <c r="AM44" s="3"/>
      <c r="AN44" s="3"/>
      <c r="AO44" s="3"/>
      <c r="AP44" s="3"/>
      <c r="AQ44" s="354"/>
      <c r="AR44" s="354"/>
      <c r="AS44" s="354"/>
      <c r="AT44" s="354"/>
      <c r="AU44" s="354"/>
      <c r="AV44" s="3"/>
      <c r="AW44" s="3"/>
      <c r="AX44" s="3"/>
      <c r="AY44" s="3"/>
    </row>
    <row r="45" spans="1:51" ht="15.75" customHeight="1">
      <c r="A45" s="3"/>
      <c r="B45" s="3"/>
      <c r="C45" s="3"/>
      <c r="D45" s="3"/>
      <c r="E45" s="3"/>
      <c r="N45" s="3"/>
      <c r="O45" s="116"/>
      <c r="P45" s="116"/>
      <c r="Q45" s="116"/>
      <c r="R45" s="116"/>
      <c r="S45" s="116"/>
      <c r="T45" s="116"/>
      <c r="U45" s="116"/>
      <c r="V45" s="116"/>
      <c r="W45" s="116"/>
      <c r="X45" s="150"/>
      <c r="Y45" s="150"/>
      <c r="Z45" s="150"/>
      <c r="AA45" s="150"/>
      <c r="AB45" s="116"/>
      <c r="AC45" s="117"/>
      <c r="AD45" s="3"/>
      <c r="AE45" s="3"/>
      <c r="AF45" s="3"/>
      <c r="AG45" s="354"/>
      <c r="AH45" s="354"/>
      <c r="AI45" s="354"/>
      <c r="AJ45" s="354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1:51" ht="15.75" customHeight="1">
      <c r="A46" s="3"/>
      <c r="B46" s="3"/>
      <c r="C46" s="3"/>
      <c r="D46" s="3"/>
      <c r="E46" s="3"/>
      <c r="N46" s="3"/>
      <c r="O46" s="116"/>
      <c r="P46" s="116"/>
      <c r="Q46" s="116"/>
      <c r="R46" s="116"/>
      <c r="S46" s="116"/>
      <c r="T46" s="116"/>
      <c r="U46" s="116"/>
      <c r="V46" s="116"/>
      <c r="W46" s="116"/>
      <c r="X46" s="150"/>
      <c r="Y46" s="150"/>
      <c r="Z46" s="429" t="s">
        <v>113</v>
      </c>
      <c r="AA46" s="354"/>
      <c r="AB46" s="116"/>
      <c r="AC46" s="117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1:51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155"/>
      <c r="O47" s="156" t="s">
        <v>155</v>
      </c>
      <c r="P47" s="434" t="s">
        <v>156</v>
      </c>
      <c r="Q47" s="435"/>
      <c r="R47" s="156" t="s">
        <v>157</v>
      </c>
      <c r="S47" s="157" t="s">
        <v>158</v>
      </c>
      <c r="T47" s="156" t="s">
        <v>159</v>
      </c>
      <c r="U47" s="116"/>
      <c r="V47" s="116"/>
      <c r="W47" s="116"/>
      <c r="X47" s="150"/>
      <c r="Y47" s="150" t="s">
        <v>114</v>
      </c>
      <c r="Z47" s="428">
        <f>Z41</f>
        <v>214976.72280000005</v>
      </c>
      <c r="AA47" s="354"/>
      <c r="AB47" s="116"/>
      <c r="AC47" s="117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1:51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/>
      <c r="N48" s="158" t="s">
        <v>160</v>
      </c>
      <c r="O48" s="159"/>
      <c r="P48" s="436" t="s">
        <v>161</v>
      </c>
      <c r="Q48" s="354"/>
      <c r="R48" s="160" t="s">
        <v>162</v>
      </c>
      <c r="S48" s="161" t="s">
        <v>163</v>
      </c>
      <c r="T48" s="160" t="s">
        <v>164</v>
      </c>
      <c r="U48" s="116"/>
      <c r="V48" s="116"/>
      <c r="W48" s="116"/>
      <c r="X48" s="150"/>
      <c r="Y48" s="151" t="s">
        <v>130</v>
      </c>
      <c r="Z48" s="428">
        <f>AB41</f>
        <v>507483.2438</v>
      </c>
      <c r="AA48" s="354"/>
      <c r="AB48" s="116"/>
      <c r="AC48" s="117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1:51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/>
      <c r="N49" s="3"/>
      <c r="O49" s="118">
        <f>O15+O16+O17+O22+O23+O2+O29+O30+O31</f>
        <v>941677.17839999986</v>
      </c>
      <c r="P49" s="116" t="s">
        <v>117</v>
      </c>
      <c r="Q49" s="116"/>
      <c r="R49" s="116"/>
      <c r="S49" s="116"/>
      <c r="T49" s="116"/>
      <c r="U49" s="116"/>
      <c r="V49" s="116"/>
      <c r="W49" s="116"/>
      <c r="X49" s="150"/>
      <c r="Y49" s="150" t="s">
        <v>118</v>
      </c>
      <c r="Z49" s="428">
        <f>AF41</f>
        <v>477539.88299999997</v>
      </c>
      <c r="AA49" s="354"/>
      <c r="AB49" s="116"/>
      <c r="AC49" s="117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1:51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/>
      <c r="N50" s="3"/>
      <c r="O50" s="116">
        <f>O18+O19</f>
        <v>0</v>
      </c>
      <c r="P50" s="116"/>
      <c r="Q50" s="118">
        <f>O49</f>
        <v>941677.17839999986</v>
      </c>
      <c r="R50" s="116"/>
      <c r="S50" s="116"/>
      <c r="T50" s="116"/>
      <c r="U50" s="116"/>
      <c r="V50" s="116"/>
      <c r="W50" s="116"/>
      <c r="X50" s="150"/>
      <c r="Y50" s="150" t="s">
        <v>120</v>
      </c>
      <c r="Z50" s="428">
        <f>AJ41</f>
        <v>480915.11999999994</v>
      </c>
      <c r="AA50" s="354"/>
      <c r="AB50" s="116"/>
      <c r="AC50" s="117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1:51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/>
      <c r="N51" s="3"/>
      <c r="O51" s="118">
        <f>O36+O37+O38</f>
        <v>52755.023999999998</v>
      </c>
      <c r="P51" s="116" t="s">
        <v>122</v>
      </c>
      <c r="Q51" s="116"/>
      <c r="R51" s="116"/>
      <c r="S51" s="116"/>
      <c r="T51" s="116"/>
      <c r="U51" s="116"/>
      <c r="V51" s="116"/>
      <c r="W51" s="116"/>
      <c r="X51" s="150"/>
      <c r="Y51" s="150" t="s">
        <v>123</v>
      </c>
      <c r="Z51" s="428">
        <f>AN41</f>
        <v>337961.18199999997</v>
      </c>
      <c r="AA51" s="354"/>
      <c r="AB51" s="116"/>
      <c r="AC51" s="117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1:51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118">
        <f>O32</f>
        <v>79132.535999999993</v>
      </c>
      <c r="P52" s="116" t="s">
        <v>125</v>
      </c>
      <c r="Q52" s="116"/>
      <c r="R52" s="116"/>
      <c r="S52" s="116"/>
      <c r="T52" s="116">
        <v>1200000</v>
      </c>
      <c r="U52" s="116"/>
      <c r="V52" s="116"/>
      <c r="W52" s="116"/>
      <c r="X52" s="150"/>
      <c r="Y52" s="150" t="s">
        <v>126</v>
      </c>
      <c r="Z52" s="428">
        <f>AR41</f>
        <v>172872</v>
      </c>
      <c r="AA52" s="354"/>
      <c r="AB52" s="116"/>
      <c r="AC52" s="117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1:51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121">
        <f>O48+O49+O50+O51+O52</f>
        <v>1073564.7383999999</v>
      </c>
      <c r="P53" s="116"/>
      <c r="Q53" s="116"/>
      <c r="R53" s="116"/>
      <c r="S53" s="116"/>
      <c r="T53" s="116">
        <v>179414</v>
      </c>
      <c r="U53" s="116"/>
      <c r="V53" s="116"/>
      <c r="W53" s="116"/>
      <c r="X53" s="150"/>
      <c r="Y53" s="150" t="s">
        <v>127</v>
      </c>
      <c r="Z53" s="428">
        <f>AV41</f>
        <v>6377</v>
      </c>
      <c r="AA53" s="354"/>
      <c r="AB53" s="116"/>
      <c r="AC53" s="117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1:51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116"/>
      <c r="P54" s="116"/>
      <c r="Q54" s="116"/>
      <c r="R54" s="116"/>
      <c r="S54" s="116"/>
      <c r="T54" s="116"/>
      <c r="U54" s="116"/>
      <c r="V54" s="116"/>
      <c r="W54" s="116"/>
      <c r="X54" s="150"/>
      <c r="Y54" s="150"/>
      <c r="Z54" s="150"/>
      <c r="AA54" s="150"/>
      <c r="AB54" s="116"/>
      <c r="AC54" s="117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1:51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16"/>
      <c r="P55" s="116"/>
      <c r="Q55" s="116"/>
      <c r="R55" s="116"/>
      <c r="S55" s="116"/>
      <c r="T55" s="116"/>
      <c r="U55" s="116"/>
      <c r="V55" s="116"/>
      <c r="W55" s="116"/>
      <c r="X55" s="150"/>
      <c r="Y55" s="150"/>
      <c r="Z55" s="150"/>
      <c r="AA55" s="150"/>
      <c r="AB55" s="116"/>
      <c r="AC55" s="117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1:51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16"/>
      <c r="P56" s="116"/>
      <c r="Q56" s="116"/>
      <c r="R56" s="116"/>
      <c r="S56" s="116"/>
      <c r="T56" s="116"/>
      <c r="U56" s="116"/>
      <c r="V56" s="116"/>
      <c r="W56" s="116"/>
      <c r="X56" s="150"/>
      <c r="Y56" s="150"/>
      <c r="Z56" s="150"/>
      <c r="AA56" s="150"/>
      <c r="AB56" s="116"/>
      <c r="AC56" s="117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1:5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7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1:5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116"/>
      <c r="P58" s="117"/>
      <c r="Q58" s="117"/>
      <c r="R58" s="117"/>
      <c r="S58" s="117"/>
      <c r="T58" s="117"/>
      <c r="U58" s="117"/>
      <c r="V58" s="117"/>
      <c r="W58" s="117"/>
      <c r="X58" s="116"/>
      <c r="Y58" s="116"/>
      <c r="Z58" s="116"/>
      <c r="AA58" s="116"/>
      <c r="AB58" s="116"/>
      <c r="AC58" s="117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1:5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116"/>
      <c r="P59" s="117"/>
      <c r="Q59" s="117"/>
      <c r="R59" s="117"/>
      <c r="S59" s="117"/>
      <c r="T59" s="117"/>
      <c r="U59" s="117"/>
      <c r="V59" s="117"/>
      <c r="W59" s="117"/>
      <c r="X59" s="116"/>
      <c r="Y59" s="116"/>
      <c r="Z59" s="116"/>
      <c r="AA59" s="116"/>
      <c r="AB59" s="116"/>
      <c r="AC59" s="117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1:5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116"/>
      <c r="P60" s="117"/>
      <c r="Q60" s="117"/>
      <c r="R60" s="117"/>
      <c r="S60" s="117"/>
      <c r="T60" s="117"/>
      <c r="U60" s="117"/>
      <c r="V60" s="117"/>
      <c r="W60" s="117"/>
      <c r="X60" s="116"/>
      <c r="Y60" s="116"/>
      <c r="Z60" s="116"/>
      <c r="AA60" s="116"/>
      <c r="AB60" s="116"/>
      <c r="AC60" s="117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1:5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116"/>
      <c r="P61" s="117"/>
      <c r="Q61" s="117"/>
      <c r="R61" s="117"/>
      <c r="S61" s="117"/>
      <c r="T61" s="117"/>
      <c r="U61" s="117"/>
      <c r="V61" s="117"/>
      <c r="W61" s="117"/>
      <c r="X61" s="116"/>
      <c r="Y61" s="116"/>
      <c r="Z61" s="116"/>
      <c r="AA61" s="116" t="s">
        <v>131</v>
      </c>
      <c r="AB61" s="116"/>
      <c r="AC61" s="117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1:5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116"/>
      <c r="P62" s="117"/>
      <c r="Q62" s="117"/>
      <c r="R62" s="117"/>
      <c r="S62" s="117"/>
      <c r="T62" s="117"/>
      <c r="U62" s="117"/>
      <c r="V62" s="117"/>
      <c r="W62" s="117"/>
      <c r="X62" s="116"/>
      <c r="Y62" s="116"/>
      <c r="Z62" s="116"/>
      <c r="AA62" s="116"/>
      <c r="AB62" s="116"/>
      <c r="AC62" s="117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1:5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16"/>
      <c r="P63" s="117"/>
      <c r="Q63" s="117"/>
      <c r="R63" s="117"/>
      <c r="S63" s="117"/>
      <c r="T63" s="117"/>
      <c r="U63" s="117"/>
      <c r="V63" s="117"/>
      <c r="W63" s="117"/>
      <c r="X63" s="116"/>
      <c r="Y63" s="116"/>
      <c r="Z63" s="116"/>
      <c r="AA63" s="116"/>
      <c r="AB63" s="116"/>
      <c r="AC63" s="117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1:5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116"/>
      <c r="P64" s="117"/>
      <c r="Q64" s="117"/>
      <c r="R64" s="117"/>
      <c r="S64" s="117"/>
      <c r="T64" s="117"/>
      <c r="U64" s="117"/>
      <c r="V64" s="117"/>
      <c r="W64" s="117"/>
      <c r="X64" s="116"/>
      <c r="Y64" s="116"/>
      <c r="Z64" s="116"/>
      <c r="AA64" s="116"/>
      <c r="AB64" s="116"/>
      <c r="AC64" s="117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1:5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116"/>
      <c r="P65" s="117"/>
      <c r="Q65" s="117"/>
      <c r="R65" s="117"/>
      <c r="S65" s="117"/>
      <c r="T65" s="117"/>
      <c r="U65" s="117"/>
      <c r="V65" s="117"/>
      <c r="W65" s="117"/>
      <c r="X65" s="116"/>
      <c r="Y65" s="116"/>
      <c r="Z65" s="116"/>
      <c r="AA65" s="116"/>
      <c r="AB65" s="116"/>
      <c r="AC65" s="117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1:5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17"/>
      <c r="Q66" s="117"/>
      <c r="R66" s="117"/>
      <c r="S66" s="117"/>
      <c r="T66" s="117"/>
      <c r="U66" s="117"/>
      <c r="V66" s="117"/>
      <c r="W66" s="117"/>
      <c r="X66" s="116"/>
      <c r="Y66" s="116"/>
      <c r="Z66" s="116"/>
      <c r="AA66" s="116"/>
      <c r="AB66" s="116"/>
      <c r="AC66" s="117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1:5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17"/>
      <c r="Q67" s="117"/>
      <c r="R67" s="117"/>
      <c r="S67" s="117"/>
      <c r="T67" s="117"/>
      <c r="U67" s="117"/>
      <c r="V67" s="117"/>
      <c r="W67" s="117"/>
      <c r="X67" s="116"/>
      <c r="Y67" s="116"/>
      <c r="Z67" s="116"/>
      <c r="AA67" s="116"/>
      <c r="AB67" s="116"/>
      <c r="AC67" s="117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1:5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1:5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1:5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1:5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1:5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1:5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1:5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1:5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1:5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1:5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1:5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1:5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1:5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1:5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1:5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1:5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1:5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1:5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1:5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1:5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1:5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1:5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1:5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1:5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1:5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1:5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1:5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1:5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1:5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1:5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1:5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1:5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1:5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1:5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1:5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1:5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1:5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1:5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1:5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1:5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1:5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1:5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1:5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1:5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1:5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1:5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1:5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1:5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1:5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1:5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1:5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1:5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1:5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1:5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1:5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1:5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1:5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1:5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1:5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1:5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1:5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1:5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1:5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1:5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1:5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1:5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1:5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1:5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1:5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1:5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1:5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1:5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1:5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1:5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1:5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1:5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1:5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1:5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1:5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1:5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1:5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1:5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1:5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1: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1:5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1:5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1:5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1:5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1:5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1:5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1:5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1:5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1:5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1:5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1:5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1:5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1:5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1:5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1:5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1:5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1:5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1:5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1:5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1:5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1:5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1:5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1:5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1:5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1:5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1:5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1:5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1:5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1:5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1:5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1:5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1:5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1:5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1:5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1:5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1:5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1:5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1:5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1:5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1:5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1:5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1:5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1:5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1:5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1:5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1:5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1:5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1:5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1:5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1:5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1:5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1:5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1:5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1:5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1:5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1:5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1:5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1:5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1:5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1:5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1:5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1:5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1:5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1:5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1:5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1:5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spans="1:5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spans="1:5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spans="1:5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spans="1:5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spans="1:51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spans="1:51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spans="1:51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spans="1:51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spans="1:51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spans="1:51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spans="1:51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spans="1:51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spans="1:51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spans="1:5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spans="1:51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spans="1:51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pans="1:51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spans="1:51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spans="1:51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spans="1:51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spans="1:51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spans="1:51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spans="1:51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spans="1:5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spans="1:51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spans="1:51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spans="1:51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spans="1:51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spans="1:51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spans="1:51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spans="1:51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spans="1:51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spans="1:51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spans="1: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spans="1:51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spans="1:51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spans="1:51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spans="1:51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spans="1:51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spans="1:51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spans="1:51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spans="1:51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spans="1:5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spans="1:51" ht="15.75" customHeight="1"/>
    <row r="263" spans="1:51" ht="15.75" customHeight="1"/>
    <row r="264" spans="1:51" ht="15.75" customHeight="1"/>
    <row r="265" spans="1:51" ht="15.75" customHeight="1"/>
    <row r="266" spans="1:51" ht="15.75" customHeight="1"/>
    <row r="267" spans="1:51" ht="15.75" customHeight="1"/>
    <row r="268" spans="1:51" ht="15.75" customHeight="1"/>
    <row r="269" spans="1:51" ht="15.75" customHeight="1"/>
    <row r="270" spans="1:51" ht="15.75" customHeight="1"/>
    <row r="271" spans="1:51" ht="15.75" customHeight="1"/>
    <row r="272" spans="1:51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3">
    <mergeCell ref="AF37:AI37"/>
    <mergeCell ref="AV40:AW40"/>
    <mergeCell ref="AX40:AY40"/>
    <mergeCell ref="P47:Q47"/>
    <mergeCell ref="Z47:AA47"/>
    <mergeCell ref="P48:Q48"/>
    <mergeCell ref="Z48:AA48"/>
    <mergeCell ref="N27:N28"/>
    <mergeCell ref="N29:N31"/>
    <mergeCell ref="O29:O31"/>
    <mergeCell ref="P29:P31"/>
    <mergeCell ref="Q29:Q31"/>
    <mergeCell ref="N32:N33"/>
    <mergeCell ref="O32:O33"/>
    <mergeCell ref="P32:P33"/>
    <mergeCell ref="Q32:Q33"/>
    <mergeCell ref="S32:S33"/>
    <mergeCell ref="T32:T33"/>
    <mergeCell ref="U32:U33"/>
    <mergeCell ref="V32:V33"/>
    <mergeCell ref="W32:W33"/>
    <mergeCell ref="X32:X33"/>
    <mergeCell ref="Y32:Y33"/>
    <mergeCell ref="Z32:AA32"/>
    <mergeCell ref="AV41:AW41"/>
    <mergeCell ref="AX41:AY41"/>
    <mergeCell ref="AQ43:AU44"/>
    <mergeCell ref="Z49:AA49"/>
    <mergeCell ref="Z50:AA50"/>
    <mergeCell ref="Z51:AA51"/>
    <mergeCell ref="Z52:AA52"/>
    <mergeCell ref="Z53:AA53"/>
    <mergeCell ref="AF41:AI41"/>
    <mergeCell ref="AG44:AJ45"/>
    <mergeCell ref="Z46:AA46"/>
    <mergeCell ref="AB40:AE40"/>
    <mergeCell ref="AF40:AI40"/>
    <mergeCell ref="AJ40:AM40"/>
    <mergeCell ref="AN40:AQ40"/>
    <mergeCell ref="AR40:AU40"/>
    <mergeCell ref="AB41:AE41"/>
    <mergeCell ref="AJ41:AM41"/>
    <mergeCell ref="AN41:AQ41"/>
    <mergeCell ref="AR41:AU41"/>
    <mergeCell ref="AR21:AU21"/>
    <mergeCell ref="AV21:AW21"/>
    <mergeCell ref="AX21:AY21"/>
    <mergeCell ref="AV23:AW23"/>
    <mergeCell ref="AX23:AY23"/>
    <mergeCell ref="AJ34:AM34"/>
    <mergeCell ref="AN34:AQ34"/>
    <mergeCell ref="AR34:AU34"/>
    <mergeCell ref="AB36:AE36"/>
    <mergeCell ref="AF36:AI36"/>
    <mergeCell ref="AJ36:AM38"/>
    <mergeCell ref="AN36:AQ38"/>
    <mergeCell ref="AB38:AE38"/>
    <mergeCell ref="AF38:AI38"/>
    <mergeCell ref="AR32:AU33"/>
    <mergeCell ref="AX32:AY32"/>
    <mergeCell ref="AB32:AE33"/>
    <mergeCell ref="AF32:AI33"/>
    <mergeCell ref="AJ32:AM33"/>
    <mergeCell ref="AN32:AQ33"/>
    <mergeCell ref="AR36:AU38"/>
    <mergeCell ref="AV36:AW38"/>
    <mergeCell ref="AX36:AY38"/>
    <mergeCell ref="AB37:AE37"/>
    <mergeCell ref="AJ24:AM24"/>
    <mergeCell ref="AX24:AY24"/>
    <mergeCell ref="Z26:AA26"/>
    <mergeCell ref="U27:U28"/>
    <mergeCell ref="AX27:AY28"/>
    <mergeCell ref="AV29:AW31"/>
    <mergeCell ref="AX29:AY31"/>
    <mergeCell ref="Z27:AA28"/>
    <mergeCell ref="AB27:AE28"/>
    <mergeCell ref="AB29:AE31"/>
    <mergeCell ref="AF29:AI31"/>
    <mergeCell ref="AJ29:AM31"/>
    <mergeCell ref="AN29:AQ31"/>
    <mergeCell ref="AR29:AU31"/>
    <mergeCell ref="V27:V28"/>
    <mergeCell ref="Y27:Y28"/>
    <mergeCell ref="U29:U31"/>
    <mergeCell ref="V29:V31"/>
    <mergeCell ref="Y29:Y31"/>
    <mergeCell ref="Z29:AA31"/>
    <mergeCell ref="Z24:AA24"/>
    <mergeCell ref="AB24:AE24"/>
    <mergeCell ref="AF24:AI24"/>
    <mergeCell ref="AR22:AU22"/>
    <mergeCell ref="AV22:AW22"/>
    <mergeCell ref="AX22:AY22"/>
    <mergeCell ref="Z22:AA22"/>
    <mergeCell ref="Z23:AA23"/>
    <mergeCell ref="AB23:AE23"/>
    <mergeCell ref="AF23:AI23"/>
    <mergeCell ref="AJ23:AM23"/>
    <mergeCell ref="AN23:AQ23"/>
    <mergeCell ref="AR23:AU23"/>
    <mergeCell ref="Z21:AA21"/>
    <mergeCell ref="AB21:AE21"/>
    <mergeCell ref="AF21:AI21"/>
    <mergeCell ref="AJ21:AM21"/>
    <mergeCell ref="AN21:AQ21"/>
    <mergeCell ref="AB22:AE22"/>
    <mergeCell ref="AF22:AI22"/>
    <mergeCell ref="AJ22:AM22"/>
    <mergeCell ref="AN22:AQ22"/>
    <mergeCell ref="AX15:AY19"/>
    <mergeCell ref="AF9:AI9"/>
    <mergeCell ref="AJ9:AM9"/>
    <mergeCell ref="F11:F19"/>
    <mergeCell ref="H11:H19"/>
    <mergeCell ref="I11:I14"/>
    <mergeCell ref="J11:J12"/>
    <mergeCell ref="AJ13:AM14"/>
    <mergeCell ref="AB13:AE14"/>
    <mergeCell ref="AF13:AI14"/>
    <mergeCell ref="Y13:Y14"/>
    <mergeCell ref="Z13:AA14"/>
    <mergeCell ref="Z11:AA12"/>
    <mergeCell ref="AB11:AE11"/>
    <mergeCell ref="AB12:AE12"/>
    <mergeCell ref="U13:U14"/>
    <mergeCell ref="V13:V14"/>
    <mergeCell ref="O15:O19"/>
    <mergeCell ref="P15:P19"/>
    <mergeCell ref="Q15:Q19"/>
    <mergeCell ref="U15:U19"/>
    <mergeCell ref="V15:V19"/>
    <mergeCell ref="Y15:Y19"/>
    <mergeCell ref="N13:N14"/>
    <mergeCell ref="O13:O14"/>
    <mergeCell ref="P13:P14"/>
    <mergeCell ref="Q13:Q14"/>
    <mergeCell ref="AR14:AU14"/>
    <mergeCell ref="AV14:AW14"/>
    <mergeCell ref="K11:K12"/>
    <mergeCell ref="N15:N19"/>
    <mergeCell ref="Z15:AA19"/>
    <mergeCell ref="AB15:AE19"/>
    <mergeCell ref="AF15:AI19"/>
    <mergeCell ref="AJ15:AM19"/>
    <mergeCell ref="AN15:AQ19"/>
    <mergeCell ref="AR15:AU19"/>
    <mergeCell ref="AV15:AW19"/>
    <mergeCell ref="C1:AA1"/>
    <mergeCell ref="I7:J9"/>
    <mergeCell ref="Z7:AE7"/>
    <mergeCell ref="AF7:AU7"/>
    <mergeCell ref="AV7:AW7"/>
    <mergeCell ref="Z9:AA9"/>
    <mergeCell ref="AB9:AE9"/>
    <mergeCell ref="AV9:AW9"/>
    <mergeCell ref="N11:N12"/>
    <mergeCell ref="O11:O12"/>
    <mergeCell ref="P11:P12"/>
    <mergeCell ref="Q11:Q12"/>
    <mergeCell ref="U11:U12"/>
    <mergeCell ref="Y11:Y12"/>
    <mergeCell ref="AX11:AY12"/>
    <mergeCell ref="AX13:AY14"/>
    <mergeCell ref="AN9:AQ9"/>
    <mergeCell ref="AR9:AU9"/>
    <mergeCell ref="AX9:AY9"/>
    <mergeCell ref="AX10:AY10"/>
    <mergeCell ref="AN13:AQ14"/>
    <mergeCell ref="AR13:AU13"/>
    <mergeCell ref="AV13:AW13"/>
    <mergeCell ref="Z40:AA40"/>
    <mergeCell ref="Z41:AA41"/>
    <mergeCell ref="K32:K33"/>
    <mergeCell ref="L32:L34"/>
    <mergeCell ref="U36:U38"/>
    <mergeCell ref="Y36:Y38"/>
    <mergeCell ref="Z36:AA36"/>
    <mergeCell ref="Z37:AA37"/>
    <mergeCell ref="Z38:AA38"/>
    <mergeCell ref="M11:M12"/>
    <mergeCell ref="A13:A40"/>
    <mergeCell ref="B13:B40"/>
    <mergeCell ref="C13:C24"/>
    <mergeCell ref="D13:D24"/>
    <mergeCell ref="M13:M14"/>
    <mergeCell ref="M15:M19"/>
    <mergeCell ref="E26:E40"/>
    <mergeCell ref="F26:F31"/>
    <mergeCell ref="F32:F34"/>
    <mergeCell ref="F36:F38"/>
    <mergeCell ref="I26:I28"/>
    <mergeCell ref="J27:J31"/>
    <mergeCell ref="I29:I31"/>
    <mergeCell ref="K27:K28"/>
    <mergeCell ref="L27:L28"/>
    <mergeCell ref="M27:M28"/>
    <mergeCell ref="K29:K31"/>
    <mergeCell ref="L29:L31"/>
    <mergeCell ref="M29:M31"/>
    <mergeCell ref="G32:G34"/>
    <mergeCell ref="H32:H34"/>
    <mergeCell ref="I32:I34"/>
    <mergeCell ref="J32:J34"/>
    <mergeCell ref="P36:P38"/>
    <mergeCell ref="M21:M24"/>
    <mergeCell ref="H22:H24"/>
    <mergeCell ref="I22:I23"/>
    <mergeCell ref="J23:J24"/>
    <mergeCell ref="O27:O28"/>
    <mergeCell ref="P27:P28"/>
    <mergeCell ref="Q27:Q28"/>
    <mergeCell ref="M32:M34"/>
    <mergeCell ref="C26:C40"/>
    <mergeCell ref="D26:D40"/>
    <mergeCell ref="G26:G31"/>
    <mergeCell ref="H26:H31"/>
    <mergeCell ref="H36:H38"/>
    <mergeCell ref="I36:I38"/>
    <mergeCell ref="J36:J38"/>
    <mergeCell ref="N36:N38"/>
    <mergeCell ref="O36:O38"/>
    <mergeCell ref="G36:G38"/>
    <mergeCell ref="G13:G19"/>
    <mergeCell ref="J13:J19"/>
    <mergeCell ref="I15:I19"/>
    <mergeCell ref="K13:K14"/>
    <mergeCell ref="L13:L14"/>
    <mergeCell ref="L11:L12"/>
    <mergeCell ref="K15:K19"/>
    <mergeCell ref="L15:L19"/>
    <mergeCell ref="E13:E24"/>
    <mergeCell ref="F21:F24"/>
  </mergeCells>
  <pageMargins left="0.511811024" right="0.511811024" top="0.78740157499999996" bottom="0.78740157499999996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S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6.42578125" customWidth="1"/>
    <col min="6" max="6" width="27.140625" customWidth="1"/>
    <col min="7" max="7" width="22" customWidth="1"/>
    <col min="8" max="8" width="25.42578125" customWidth="1"/>
    <col min="9" max="9" width="32.7109375" customWidth="1"/>
    <col min="10" max="10" width="34.42578125" customWidth="1"/>
    <col min="11" max="11" width="75" customWidth="1"/>
    <col min="12" max="12" width="35.140625" customWidth="1"/>
    <col min="14" max="14" width="43.42578125" customWidth="1"/>
    <col min="17" max="17" width="25.85546875" customWidth="1"/>
    <col min="26" max="26" width="23.28515625" customWidth="1"/>
    <col min="27" max="29" width="6.140625" customWidth="1"/>
    <col min="30" max="30" width="22.140625" customWidth="1"/>
    <col min="31" max="36" width="6.140625" customWidth="1"/>
    <col min="37" max="37" width="9.42578125" customWidth="1"/>
    <col min="38" max="40" width="6.140625" customWidth="1"/>
    <col min="41" max="41" width="18.140625" customWidth="1"/>
    <col min="42" max="42" width="6.140625" customWidth="1"/>
    <col min="43" max="43" width="20.85546875" customWidth="1"/>
    <col min="44" max="45" width="6.140625" customWidth="1"/>
  </cols>
  <sheetData>
    <row r="1" spans="1:45" ht="49.5" customHeight="1">
      <c r="A1" s="1"/>
      <c r="B1" s="2"/>
      <c r="C1" s="398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  <c r="AA1" s="362"/>
      <c r="AB1" s="362"/>
    </row>
    <row r="2" spans="1:45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5.75" customHeight="1">
      <c r="A3" s="447" t="s">
        <v>0</v>
      </c>
      <c r="B3" s="448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40" t="s">
        <v>165</v>
      </c>
      <c r="AB3" s="362"/>
      <c r="AC3" s="362"/>
      <c r="AD3" s="362"/>
      <c r="AE3" s="449" t="s">
        <v>165</v>
      </c>
      <c r="AF3" s="362"/>
      <c r="AG3" s="362"/>
      <c r="AH3" s="362"/>
      <c r="AI3" s="362"/>
      <c r="AJ3" s="362"/>
      <c r="AK3" s="362"/>
      <c r="AL3" s="362"/>
      <c r="AM3" s="362"/>
      <c r="AN3" s="362"/>
      <c r="AO3" s="3"/>
      <c r="AP3" s="3"/>
      <c r="AQ3" s="3"/>
      <c r="AR3" s="3"/>
      <c r="AS3" s="3"/>
    </row>
    <row r="4" spans="1:45" ht="15.75" customHeight="1">
      <c r="A4" s="426"/>
      <c r="B4" s="426"/>
      <c r="C4" s="125"/>
      <c r="D4" s="124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9"/>
      <c r="S4" s="9"/>
      <c r="T4" s="9"/>
      <c r="U4" s="9"/>
      <c r="V4" s="10"/>
      <c r="W4" s="9"/>
      <c r="X4" s="9"/>
      <c r="Y4" s="9"/>
      <c r="Z4" s="9"/>
      <c r="AA4" s="440" t="s">
        <v>166</v>
      </c>
      <c r="AB4" s="362"/>
      <c r="AC4" s="362"/>
      <c r="AD4" s="362"/>
      <c r="AE4" s="449" t="s">
        <v>167</v>
      </c>
      <c r="AF4" s="362"/>
      <c r="AG4" s="362"/>
      <c r="AH4" s="362"/>
      <c r="AI4" s="362"/>
      <c r="AJ4" s="362"/>
      <c r="AK4" s="362"/>
      <c r="AL4" s="362"/>
      <c r="AM4" s="362"/>
      <c r="AN4" s="362"/>
      <c r="AO4" s="9"/>
      <c r="AP4" s="9"/>
      <c r="AQ4" s="9"/>
      <c r="AR4" s="9"/>
      <c r="AS4" s="9"/>
    </row>
    <row r="5" spans="1:45" ht="15.75" customHeight="1">
      <c r="A5" s="162" t="s">
        <v>4</v>
      </c>
      <c r="B5" s="163">
        <v>1910200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9"/>
      <c r="S5" s="9"/>
      <c r="T5" s="9"/>
      <c r="U5" s="9"/>
      <c r="V5" s="10"/>
      <c r="W5" s="13"/>
      <c r="X5" s="9"/>
      <c r="Y5" s="9"/>
      <c r="Z5" s="9"/>
      <c r="AA5" s="164"/>
      <c r="AB5" s="164"/>
      <c r="AC5" s="164"/>
      <c r="AD5" s="165" t="s">
        <v>168</v>
      </c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9"/>
      <c r="AP5" s="9"/>
      <c r="AQ5" s="9"/>
      <c r="AR5" s="9"/>
      <c r="AS5" s="9"/>
    </row>
    <row r="6" spans="1:45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9"/>
      <c r="S6" s="9"/>
      <c r="T6" s="9"/>
      <c r="U6" s="15"/>
      <c r="V6" s="10"/>
      <c r="W6" s="10"/>
      <c r="X6" s="9"/>
      <c r="Y6" s="9"/>
      <c r="Z6" s="9"/>
      <c r="AA6" s="166"/>
      <c r="AB6" s="166"/>
      <c r="AC6" s="166"/>
      <c r="AD6" s="165" t="s">
        <v>169</v>
      </c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"/>
      <c r="AP6" s="16"/>
      <c r="AQ6" s="16"/>
      <c r="AR6" s="16"/>
      <c r="AS6" s="16"/>
    </row>
    <row r="7" spans="1:45" ht="15.75" customHeight="1">
      <c r="A7" s="9"/>
      <c r="B7" s="123" t="s">
        <v>7</v>
      </c>
      <c r="C7" s="130" t="s">
        <v>8</v>
      </c>
      <c r="D7" s="124"/>
      <c r="E7" s="7"/>
      <c r="I7" s="450"/>
      <c r="J7" s="354"/>
      <c r="K7" s="3"/>
      <c r="L7" s="3"/>
      <c r="M7" s="3"/>
      <c r="N7" s="3"/>
      <c r="O7" s="3"/>
      <c r="P7" s="3"/>
      <c r="Q7" s="3"/>
      <c r="R7" s="9"/>
      <c r="S7" s="9"/>
      <c r="T7" s="9"/>
      <c r="U7" s="9"/>
      <c r="V7" s="9"/>
      <c r="W7" s="9"/>
      <c r="X7" s="9"/>
      <c r="Y7" s="9"/>
      <c r="Z7" s="9"/>
      <c r="AA7" s="399" t="s">
        <v>9</v>
      </c>
      <c r="AB7" s="362"/>
      <c r="AC7" s="362"/>
      <c r="AD7" s="362"/>
      <c r="AE7" s="362"/>
      <c r="AF7" s="362"/>
      <c r="AG7" s="400" t="s">
        <v>10</v>
      </c>
      <c r="AH7" s="362"/>
      <c r="AI7" s="362"/>
      <c r="AJ7" s="362"/>
      <c r="AK7" s="362"/>
      <c r="AL7" s="362"/>
      <c r="AM7" s="362"/>
      <c r="AN7" s="362"/>
      <c r="AO7" s="16"/>
      <c r="AP7" s="16"/>
      <c r="AQ7" s="16"/>
      <c r="AR7" s="16"/>
      <c r="AS7" s="16"/>
    </row>
    <row r="8" spans="1:45" ht="15.75" customHeight="1">
      <c r="A8" s="9"/>
      <c r="B8" s="131" t="s">
        <v>12</v>
      </c>
      <c r="C8" s="132" t="s">
        <v>13</v>
      </c>
      <c r="D8" s="132" t="s">
        <v>14</v>
      </c>
      <c r="E8" s="133"/>
      <c r="I8" s="354"/>
      <c r="J8" s="354"/>
      <c r="K8" s="7"/>
      <c r="L8" s="9"/>
      <c r="M8" s="9"/>
      <c r="N8" s="9"/>
      <c r="O8" s="9"/>
      <c r="P8" s="9"/>
      <c r="Q8" s="9"/>
      <c r="R8" s="20"/>
      <c r="S8" s="20"/>
      <c r="T8" s="20"/>
      <c r="U8" s="20"/>
      <c r="V8" s="20"/>
      <c r="W8" s="20"/>
      <c r="X8" s="20"/>
      <c r="Y8" s="20"/>
      <c r="Z8" s="20"/>
      <c r="AA8" s="441" t="s">
        <v>18</v>
      </c>
      <c r="AB8" s="442"/>
      <c r="AC8" s="443"/>
      <c r="AD8" s="441" t="s">
        <v>19</v>
      </c>
      <c r="AE8" s="442"/>
      <c r="AF8" s="442"/>
      <c r="AG8" s="441" t="s">
        <v>20</v>
      </c>
      <c r="AH8" s="442"/>
      <c r="AI8" s="442"/>
      <c r="AJ8" s="443"/>
      <c r="AK8" s="441" t="s">
        <v>21</v>
      </c>
      <c r="AL8" s="442"/>
      <c r="AM8" s="442"/>
      <c r="AN8" s="443"/>
      <c r="AO8" s="441" t="s">
        <v>24</v>
      </c>
      <c r="AP8" s="443"/>
      <c r="AQ8" s="24"/>
      <c r="AR8" s="24"/>
      <c r="AS8" s="24"/>
    </row>
    <row r="9" spans="1:45" ht="15.75" customHeight="1">
      <c r="A9" s="9"/>
      <c r="B9" s="134">
        <v>16000000</v>
      </c>
      <c r="C9" s="134">
        <f>B9*D9</f>
        <v>9760000</v>
      </c>
      <c r="D9" s="135">
        <v>0.61</v>
      </c>
      <c r="E9" s="7"/>
      <c r="I9" s="354"/>
      <c r="J9" s="354"/>
      <c r="K9" s="7"/>
      <c r="L9" s="9"/>
      <c r="M9" s="9"/>
      <c r="N9" s="9"/>
      <c r="O9" s="9"/>
      <c r="P9" s="9"/>
      <c r="Q9" s="9"/>
      <c r="R9" s="20"/>
      <c r="S9" s="20"/>
      <c r="T9" s="20"/>
      <c r="U9" s="20" t="s">
        <v>15</v>
      </c>
      <c r="V9" s="20"/>
      <c r="W9" s="20"/>
      <c r="X9" s="20"/>
      <c r="Y9" s="20" t="s">
        <v>16</v>
      </c>
      <c r="Z9" s="167" t="s">
        <v>170</v>
      </c>
      <c r="AA9" s="444" t="s">
        <v>14</v>
      </c>
      <c r="AB9" s="442"/>
      <c r="AC9" s="443"/>
      <c r="AD9" s="444" t="s">
        <v>14</v>
      </c>
      <c r="AE9" s="442"/>
      <c r="AF9" s="443"/>
      <c r="AG9" s="444" t="s">
        <v>14</v>
      </c>
      <c r="AH9" s="442"/>
      <c r="AI9" s="442"/>
      <c r="AJ9" s="442"/>
      <c r="AK9" s="445" t="s">
        <v>14</v>
      </c>
      <c r="AL9" s="442"/>
      <c r="AM9" s="442"/>
      <c r="AN9" s="443"/>
      <c r="AO9" s="446">
        <v>0.61</v>
      </c>
      <c r="AP9" s="443"/>
      <c r="AQ9" s="24"/>
      <c r="AR9" s="24"/>
      <c r="AS9" s="24"/>
    </row>
    <row r="10" spans="1:45" ht="15.75" customHeight="1">
      <c r="A10" s="451" t="s">
        <v>25</v>
      </c>
      <c r="B10" s="452"/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171</v>
      </c>
      <c r="O10" s="32" t="s">
        <v>36</v>
      </c>
      <c r="P10" s="32" t="s">
        <v>37</v>
      </c>
      <c r="Q10" s="32" t="s">
        <v>38</v>
      </c>
      <c r="R10" s="32" t="s">
        <v>39</v>
      </c>
      <c r="S10" s="32" t="s">
        <v>138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139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89"/>
      <c r="AP10" s="362"/>
      <c r="AQ10" s="34"/>
      <c r="AR10" s="34"/>
      <c r="AS10" s="34"/>
    </row>
    <row r="11" spans="1:45" ht="15.75" customHeight="1">
      <c r="A11" s="453" t="s">
        <v>58</v>
      </c>
      <c r="B11" s="454"/>
      <c r="C11" s="38"/>
      <c r="D11" s="39"/>
      <c r="E11" s="40"/>
      <c r="F11" s="360" t="s">
        <v>51</v>
      </c>
      <c r="G11" s="42"/>
      <c r="H11" s="377">
        <f>E13*G13</f>
        <v>573060</v>
      </c>
      <c r="I11" s="360" t="s">
        <v>52</v>
      </c>
      <c r="J11" s="396" t="s">
        <v>140</v>
      </c>
      <c r="K11" s="360" t="s">
        <v>54</v>
      </c>
      <c r="L11" s="353" t="s">
        <v>55</v>
      </c>
      <c r="M11" s="378">
        <v>1</v>
      </c>
      <c r="N11" s="438" t="s">
        <v>172</v>
      </c>
      <c r="O11" s="355">
        <v>0.12</v>
      </c>
      <c r="P11" s="365">
        <f>H11*O11</f>
        <v>68767.199999999997</v>
      </c>
      <c r="Q11" s="366" t="s">
        <v>56</v>
      </c>
      <c r="R11" s="402"/>
      <c r="S11" s="44"/>
      <c r="T11" s="44"/>
      <c r="U11" s="44"/>
      <c r="V11" s="367">
        <v>4.8499999999999996</v>
      </c>
      <c r="W11" s="44"/>
      <c r="X11" s="44"/>
      <c r="Y11" s="44"/>
      <c r="Z11" s="432">
        <f>P11/V11*1000</f>
        <v>14178804.123711342</v>
      </c>
      <c r="AA11" s="411">
        <f>P11</f>
        <v>68767.199999999997</v>
      </c>
      <c r="AB11" s="380"/>
      <c r="AC11" s="395"/>
      <c r="AD11" s="362"/>
      <c r="AE11" s="362"/>
      <c r="AF11" s="386"/>
      <c r="AG11" s="46"/>
      <c r="AH11" s="47"/>
      <c r="AI11" s="47"/>
      <c r="AJ11" s="48"/>
      <c r="AK11" s="46"/>
      <c r="AL11" s="47"/>
      <c r="AM11" s="47"/>
      <c r="AN11" s="48"/>
      <c r="AO11" s="420">
        <f>SUM(AA11:AN12)</f>
        <v>68767.199999999997</v>
      </c>
      <c r="AP11" s="380"/>
      <c r="AQ11" s="139"/>
      <c r="AR11" s="139"/>
      <c r="AS11" s="139"/>
    </row>
    <row r="12" spans="1:45" ht="15.75" customHeight="1">
      <c r="A12" s="369"/>
      <c r="B12" s="376"/>
      <c r="C12" s="38"/>
      <c r="D12" s="39"/>
      <c r="E12" s="40"/>
      <c r="F12" s="350"/>
      <c r="G12" s="42"/>
      <c r="H12" s="350"/>
      <c r="I12" s="350"/>
      <c r="J12" s="354"/>
      <c r="K12" s="351"/>
      <c r="L12" s="354"/>
      <c r="M12" s="351"/>
      <c r="N12" s="351"/>
      <c r="O12" s="351"/>
      <c r="P12" s="351"/>
      <c r="Q12" s="351"/>
      <c r="R12" s="351"/>
      <c r="S12" s="44"/>
      <c r="T12" s="44"/>
      <c r="U12" s="44"/>
      <c r="V12" s="351"/>
      <c r="W12" s="44"/>
      <c r="X12" s="44"/>
      <c r="Y12" s="44"/>
      <c r="Z12" s="354"/>
      <c r="AA12" s="381"/>
      <c r="AB12" s="354"/>
      <c r="AC12" s="395"/>
      <c r="AD12" s="362"/>
      <c r="AE12" s="362"/>
      <c r="AF12" s="386"/>
      <c r="AG12" s="46"/>
      <c r="AH12" s="47"/>
      <c r="AI12" s="47"/>
      <c r="AJ12" s="48"/>
      <c r="AK12" s="46"/>
      <c r="AL12" s="47"/>
      <c r="AM12" s="47"/>
      <c r="AN12" s="48"/>
      <c r="AO12" s="384"/>
      <c r="AP12" s="354"/>
      <c r="AQ12" s="139"/>
      <c r="AR12" s="139"/>
      <c r="AS12" s="139"/>
    </row>
    <row r="13" spans="1:45" ht="15.75" customHeight="1">
      <c r="A13" s="369"/>
      <c r="B13" s="376"/>
      <c r="C13" s="358" t="s">
        <v>59</v>
      </c>
      <c r="D13" s="359">
        <v>0.6</v>
      </c>
      <c r="E13" s="349">
        <f>V48*D13</f>
        <v>1146120</v>
      </c>
      <c r="F13" s="350"/>
      <c r="G13" s="352">
        <v>0.5</v>
      </c>
      <c r="H13" s="350"/>
      <c r="I13" s="350"/>
      <c r="J13" s="414" t="s">
        <v>141</v>
      </c>
      <c r="K13" s="360" t="s">
        <v>148</v>
      </c>
      <c r="L13" s="430" t="s">
        <v>149</v>
      </c>
      <c r="M13" s="378">
        <v>1</v>
      </c>
      <c r="N13" s="438" t="s">
        <v>173</v>
      </c>
      <c r="O13" s="355">
        <v>0.48</v>
      </c>
      <c r="P13" s="365">
        <f>H11*O13</f>
        <v>275068.79999999999</v>
      </c>
      <c r="Q13" s="366" t="s">
        <v>43</v>
      </c>
      <c r="R13" s="367">
        <v>7.0000000000000007E-2</v>
      </c>
      <c r="S13" s="50"/>
      <c r="T13" s="50"/>
      <c r="U13" s="50"/>
      <c r="V13" s="367">
        <v>4.8499999999999996</v>
      </c>
      <c r="W13" s="378">
        <f>P13/R13</f>
        <v>3929554.285714285</v>
      </c>
      <c r="X13" s="50"/>
      <c r="Y13" s="50"/>
      <c r="Z13" s="368">
        <f>P13/V13*1000</f>
        <v>56715216.494845368</v>
      </c>
      <c r="AA13" s="379"/>
      <c r="AB13" s="380"/>
      <c r="AC13" s="382">
        <v>150000</v>
      </c>
      <c r="AD13" s="380"/>
      <c r="AE13" s="380"/>
      <c r="AF13" s="383"/>
      <c r="AG13" s="382">
        <v>90000</v>
      </c>
      <c r="AH13" s="380"/>
      <c r="AI13" s="380"/>
      <c r="AJ13" s="383"/>
      <c r="AK13" s="382">
        <v>35069</v>
      </c>
      <c r="AL13" s="380"/>
      <c r="AM13" s="380"/>
      <c r="AN13" s="383"/>
      <c r="AO13" s="420">
        <f>SUM(AA13:AN14)</f>
        <v>275069</v>
      </c>
      <c r="AP13" s="380"/>
      <c r="AQ13" s="138"/>
      <c r="AR13" s="138"/>
      <c r="AS13" s="138"/>
    </row>
    <row r="14" spans="1:45" ht="15.75" customHeight="1">
      <c r="A14" s="369"/>
      <c r="B14" s="376"/>
      <c r="C14" s="350"/>
      <c r="D14" s="350"/>
      <c r="E14" s="350"/>
      <c r="F14" s="350"/>
      <c r="G14" s="350"/>
      <c r="H14" s="350"/>
      <c r="I14" s="351"/>
      <c r="J14" s="350"/>
      <c r="K14" s="351"/>
      <c r="L14" s="351"/>
      <c r="M14" s="351"/>
      <c r="N14" s="351"/>
      <c r="O14" s="351"/>
      <c r="P14" s="351"/>
      <c r="Q14" s="351"/>
      <c r="R14" s="351"/>
      <c r="S14" s="50"/>
      <c r="T14" s="50"/>
      <c r="U14" s="50"/>
      <c r="V14" s="351"/>
      <c r="W14" s="351"/>
      <c r="X14" s="50"/>
      <c r="Y14" s="50"/>
      <c r="Z14" s="370"/>
      <c r="AA14" s="381"/>
      <c r="AB14" s="354"/>
      <c r="AC14" s="384"/>
      <c r="AD14" s="354"/>
      <c r="AE14" s="354"/>
      <c r="AF14" s="385"/>
      <c r="AG14" s="384"/>
      <c r="AH14" s="354"/>
      <c r="AI14" s="354"/>
      <c r="AJ14" s="385"/>
      <c r="AK14" s="384"/>
      <c r="AL14" s="354"/>
      <c r="AM14" s="354"/>
      <c r="AN14" s="385"/>
      <c r="AO14" s="384"/>
      <c r="AP14" s="354"/>
      <c r="AQ14" s="138"/>
      <c r="AR14" s="138"/>
      <c r="AS14" s="138"/>
    </row>
    <row r="15" spans="1:45" ht="15.75" customHeight="1">
      <c r="A15" s="369"/>
      <c r="B15" s="376"/>
      <c r="C15" s="350"/>
      <c r="D15" s="350"/>
      <c r="E15" s="350"/>
      <c r="F15" s="350"/>
      <c r="G15" s="350"/>
      <c r="H15" s="350"/>
      <c r="I15" s="360" t="s">
        <v>64</v>
      </c>
      <c r="J15" s="350"/>
      <c r="K15" s="360" t="s">
        <v>150</v>
      </c>
      <c r="L15" s="430" t="s">
        <v>149</v>
      </c>
      <c r="M15" s="378">
        <v>2</v>
      </c>
      <c r="N15" s="51"/>
      <c r="O15" s="355">
        <v>0.4</v>
      </c>
      <c r="P15" s="365">
        <f>H11*O15</f>
        <v>229224</v>
      </c>
      <c r="Q15" s="366" t="s">
        <v>43</v>
      </c>
      <c r="R15" s="367">
        <v>7.0000000000000007E-2</v>
      </c>
      <c r="S15" s="50"/>
      <c r="T15" s="50"/>
      <c r="U15" s="50"/>
      <c r="V15" s="367">
        <v>4.8499999999999996</v>
      </c>
      <c r="W15" s="378">
        <f>P15/R15</f>
        <v>3274628.5714285709</v>
      </c>
      <c r="X15" s="50"/>
      <c r="Y15" s="50"/>
      <c r="Z15" s="368">
        <f>P15/V15*1000</f>
        <v>47262680.412371144</v>
      </c>
      <c r="AA15" s="379"/>
      <c r="AB15" s="380"/>
      <c r="AC15" s="403">
        <v>100000</v>
      </c>
      <c r="AD15" s="380"/>
      <c r="AE15" s="380"/>
      <c r="AF15" s="383"/>
      <c r="AG15" s="403">
        <v>84236</v>
      </c>
      <c r="AH15" s="380"/>
      <c r="AI15" s="380"/>
      <c r="AJ15" s="383"/>
      <c r="AK15" s="403">
        <f>45000-12</f>
        <v>44988</v>
      </c>
      <c r="AL15" s="380"/>
      <c r="AM15" s="380"/>
      <c r="AN15" s="383"/>
      <c r="AO15" s="420">
        <f>SUM(AA15:AN19)</f>
        <v>229224</v>
      </c>
      <c r="AP15" s="380"/>
      <c r="AQ15" s="139"/>
      <c r="AR15" s="139"/>
      <c r="AS15" s="139"/>
    </row>
    <row r="16" spans="1:45" ht="15.75" customHeight="1">
      <c r="A16" s="369"/>
      <c r="B16" s="376"/>
      <c r="C16" s="350"/>
      <c r="D16" s="350"/>
      <c r="E16" s="350"/>
      <c r="F16" s="350"/>
      <c r="G16" s="350"/>
      <c r="H16" s="350"/>
      <c r="I16" s="350"/>
      <c r="J16" s="350"/>
      <c r="K16" s="350"/>
      <c r="L16" s="350"/>
      <c r="M16" s="350"/>
      <c r="N16" s="51"/>
      <c r="O16" s="350"/>
      <c r="P16" s="350"/>
      <c r="Q16" s="350"/>
      <c r="R16" s="350"/>
      <c r="S16" s="50"/>
      <c r="T16" s="50"/>
      <c r="U16" s="50"/>
      <c r="V16" s="350"/>
      <c r="W16" s="350"/>
      <c r="X16" s="50"/>
      <c r="Y16" s="50"/>
      <c r="Z16" s="369"/>
      <c r="AA16" s="381"/>
      <c r="AB16" s="354"/>
      <c r="AC16" s="381"/>
      <c r="AD16" s="354"/>
      <c r="AE16" s="354"/>
      <c r="AF16" s="385"/>
      <c r="AG16" s="381"/>
      <c r="AH16" s="354"/>
      <c r="AI16" s="354"/>
      <c r="AJ16" s="385"/>
      <c r="AK16" s="381"/>
      <c r="AL16" s="354"/>
      <c r="AM16" s="354"/>
      <c r="AN16" s="385"/>
      <c r="AO16" s="384"/>
      <c r="AP16" s="354"/>
      <c r="AQ16" s="139"/>
      <c r="AR16" s="139"/>
      <c r="AS16" s="139"/>
    </row>
    <row r="17" spans="1:45" ht="15.75" customHeight="1">
      <c r="A17" s="369"/>
      <c r="B17" s="376"/>
      <c r="C17" s="350"/>
      <c r="D17" s="350"/>
      <c r="E17" s="350"/>
      <c r="F17" s="350"/>
      <c r="G17" s="350"/>
      <c r="H17" s="350"/>
      <c r="I17" s="350"/>
      <c r="J17" s="350"/>
      <c r="K17" s="350"/>
      <c r="L17" s="350"/>
      <c r="M17" s="350"/>
      <c r="N17" s="51"/>
      <c r="O17" s="350"/>
      <c r="P17" s="350"/>
      <c r="Q17" s="350"/>
      <c r="R17" s="350"/>
      <c r="S17" s="50"/>
      <c r="T17" s="50"/>
      <c r="U17" s="50"/>
      <c r="V17" s="350"/>
      <c r="W17" s="350"/>
      <c r="X17" s="50"/>
      <c r="Y17" s="50"/>
      <c r="Z17" s="369"/>
      <c r="AA17" s="381"/>
      <c r="AB17" s="354"/>
      <c r="AC17" s="381"/>
      <c r="AD17" s="354"/>
      <c r="AE17" s="354"/>
      <c r="AF17" s="385"/>
      <c r="AG17" s="381"/>
      <c r="AH17" s="354"/>
      <c r="AI17" s="354"/>
      <c r="AJ17" s="385"/>
      <c r="AK17" s="381"/>
      <c r="AL17" s="354"/>
      <c r="AM17" s="354"/>
      <c r="AN17" s="385"/>
      <c r="AO17" s="384"/>
      <c r="AP17" s="354"/>
      <c r="AQ17" s="139"/>
      <c r="AR17" s="139"/>
      <c r="AS17" s="139"/>
    </row>
    <row r="18" spans="1:45" ht="15.75" customHeight="1">
      <c r="A18" s="369"/>
      <c r="B18" s="376"/>
      <c r="C18" s="350"/>
      <c r="D18" s="350"/>
      <c r="E18" s="350"/>
      <c r="F18" s="350"/>
      <c r="G18" s="350"/>
      <c r="H18" s="350"/>
      <c r="I18" s="350"/>
      <c r="J18" s="350"/>
      <c r="K18" s="350"/>
      <c r="L18" s="350"/>
      <c r="M18" s="350"/>
      <c r="N18" s="51"/>
      <c r="O18" s="350"/>
      <c r="P18" s="350"/>
      <c r="Q18" s="350"/>
      <c r="R18" s="350"/>
      <c r="S18" s="50"/>
      <c r="T18" s="50"/>
      <c r="U18" s="50"/>
      <c r="V18" s="350"/>
      <c r="W18" s="350"/>
      <c r="X18" s="50"/>
      <c r="Y18" s="50"/>
      <c r="Z18" s="369"/>
      <c r="AA18" s="381"/>
      <c r="AB18" s="354"/>
      <c r="AC18" s="381"/>
      <c r="AD18" s="354"/>
      <c r="AE18" s="354"/>
      <c r="AF18" s="385"/>
      <c r="AG18" s="381"/>
      <c r="AH18" s="354"/>
      <c r="AI18" s="354"/>
      <c r="AJ18" s="385"/>
      <c r="AK18" s="381"/>
      <c r="AL18" s="354"/>
      <c r="AM18" s="354"/>
      <c r="AN18" s="385"/>
      <c r="AO18" s="384"/>
      <c r="AP18" s="354"/>
      <c r="AQ18" s="139"/>
      <c r="AR18" s="139"/>
      <c r="AS18" s="139"/>
    </row>
    <row r="19" spans="1:45" ht="15.75" customHeight="1">
      <c r="A19" s="369"/>
      <c r="B19" s="376"/>
      <c r="C19" s="350"/>
      <c r="D19" s="350"/>
      <c r="E19" s="350"/>
      <c r="F19" s="351"/>
      <c r="G19" s="351"/>
      <c r="H19" s="351"/>
      <c r="I19" s="351"/>
      <c r="J19" s="351"/>
      <c r="K19" s="351"/>
      <c r="L19" s="351"/>
      <c r="M19" s="351"/>
      <c r="N19" s="51"/>
      <c r="O19" s="351"/>
      <c r="P19" s="351"/>
      <c r="Q19" s="351"/>
      <c r="R19" s="351"/>
      <c r="S19" s="50"/>
      <c r="T19" s="50"/>
      <c r="U19" s="50"/>
      <c r="V19" s="351"/>
      <c r="W19" s="351"/>
      <c r="X19" s="50"/>
      <c r="Y19" s="50"/>
      <c r="Z19" s="370"/>
      <c r="AA19" s="381"/>
      <c r="AB19" s="354"/>
      <c r="AC19" s="381"/>
      <c r="AD19" s="354"/>
      <c r="AE19" s="354"/>
      <c r="AF19" s="385"/>
      <c r="AG19" s="381"/>
      <c r="AH19" s="354"/>
      <c r="AI19" s="354"/>
      <c r="AJ19" s="385"/>
      <c r="AK19" s="381"/>
      <c r="AL19" s="354"/>
      <c r="AM19" s="354"/>
      <c r="AN19" s="385"/>
      <c r="AO19" s="384"/>
      <c r="AP19" s="354"/>
      <c r="AQ19" s="139"/>
      <c r="AR19" s="139"/>
      <c r="AS19" s="139"/>
    </row>
    <row r="20" spans="1:45" ht="6.75" customHeight="1">
      <c r="A20" s="369"/>
      <c r="B20" s="376"/>
      <c r="C20" s="350"/>
      <c r="D20" s="350"/>
      <c r="E20" s="350"/>
      <c r="F20" s="56"/>
      <c r="G20" s="57"/>
      <c r="H20" s="56"/>
      <c r="I20" s="56"/>
      <c r="J20" s="56"/>
      <c r="K20" s="58"/>
      <c r="L20" s="59"/>
      <c r="M20" s="60"/>
      <c r="N20" s="59"/>
      <c r="O20" s="59"/>
      <c r="P20" s="61"/>
      <c r="Q20" s="62"/>
      <c r="R20" s="63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136"/>
      <c r="AP20" s="136"/>
      <c r="AQ20" s="136"/>
      <c r="AR20" s="136"/>
      <c r="AS20" s="136"/>
    </row>
    <row r="21" spans="1:45" ht="15.75" customHeight="1">
      <c r="A21" s="369"/>
      <c r="B21" s="376"/>
      <c r="C21" s="350"/>
      <c r="D21" s="350"/>
      <c r="E21" s="350"/>
      <c r="F21" s="371" t="s">
        <v>74</v>
      </c>
      <c r="G21" s="68"/>
      <c r="H21" s="69"/>
      <c r="I21" s="70"/>
      <c r="J21" s="71"/>
      <c r="K21" s="40"/>
      <c r="L21" s="49"/>
      <c r="M21" s="431" t="s">
        <v>151</v>
      </c>
      <c r="N21" s="51"/>
      <c r="O21" s="51"/>
      <c r="P21" s="52"/>
      <c r="Q21" s="53"/>
      <c r="R21" s="50"/>
      <c r="S21" s="54"/>
      <c r="T21" s="50"/>
      <c r="U21" s="50"/>
      <c r="V21" s="50"/>
      <c r="W21" s="50"/>
      <c r="X21" s="43"/>
      <c r="Y21" s="50"/>
      <c r="Z21" s="50"/>
      <c r="AA21" s="361"/>
      <c r="AB21" s="362"/>
      <c r="AC21" s="361"/>
      <c r="AD21" s="362"/>
      <c r="AE21" s="362"/>
      <c r="AF21" s="386"/>
      <c r="AG21" s="361"/>
      <c r="AH21" s="362"/>
      <c r="AI21" s="362"/>
      <c r="AJ21" s="386"/>
      <c r="AK21" s="361"/>
      <c r="AL21" s="362"/>
      <c r="AM21" s="362"/>
      <c r="AN21" s="386"/>
      <c r="AO21" s="421">
        <f>AC21</f>
        <v>0</v>
      </c>
      <c r="AP21" s="362"/>
      <c r="AQ21" s="139"/>
      <c r="AR21" s="139"/>
      <c r="AS21" s="139"/>
    </row>
    <row r="22" spans="1:45" ht="15.75" customHeight="1">
      <c r="A22" s="369"/>
      <c r="B22" s="376"/>
      <c r="C22" s="350"/>
      <c r="D22" s="350"/>
      <c r="E22" s="350"/>
      <c r="F22" s="350"/>
      <c r="G22" s="68"/>
      <c r="H22" s="372">
        <f>E13*G24</f>
        <v>573060</v>
      </c>
      <c r="I22" s="373" t="s">
        <v>78</v>
      </c>
      <c r="J22" s="72" t="s">
        <v>79</v>
      </c>
      <c r="K22" s="40" t="s">
        <v>80</v>
      </c>
      <c r="L22" s="53" t="s">
        <v>81</v>
      </c>
      <c r="M22" s="350"/>
      <c r="N22" s="51"/>
      <c r="O22" s="51">
        <v>0.35</v>
      </c>
      <c r="P22" s="52">
        <f>H22*O22</f>
        <v>200571</v>
      </c>
      <c r="Q22" s="53" t="s">
        <v>42</v>
      </c>
      <c r="R22" s="50"/>
      <c r="S22" s="50"/>
      <c r="T22" s="50"/>
      <c r="U22" s="50"/>
      <c r="V22" s="52">
        <v>37</v>
      </c>
      <c r="W22" s="50"/>
      <c r="X22" s="50"/>
      <c r="Y22" s="50"/>
      <c r="Z22" s="55">
        <f>P22/V22*1000</f>
        <v>5420837.8378378376</v>
      </c>
      <c r="AA22" s="361"/>
      <c r="AB22" s="362"/>
      <c r="AC22" s="361"/>
      <c r="AD22" s="362"/>
      <c r="AE22" s="362"/>
      <c r="AF22" s="386"/>
      <c r="AG22" s="412">
        <v>140000</v>
      </c>
      <c r="AH22" s="362"/>
      <c r="AI22" s="362"/>
      <c r="AJ22" s="386"/>
      <c r="AK22" s="406">
        <v>60571</v>
      </c>
      <c r="AL22" s="362"/>
      <c r="AM22" s="362"/>
      <c r="AN22" s="386"/>
      <c r="AO22" s="418">
        <f t="shared" ref="AO22:AO24" si="0">SUM(AA22:AN22)</f>
        <v>200571</v>
      </c>
      <c r="AP22" s="362"/>
      <c r="AQ22" s="139"/>
      <c r="AR22" s="139"/>
      <c r="AS22" s="139"/>
    </row>
    <row r="23" spans="1:45" ht="15.75" customHeight="1">
      <c r="A23" s="369"/>
      <c r="B23" s="376"/>
      <c r="C23" s="350"/>
      <c r="D23" s="350"/>
      <c r="E23" s="350"/>
      <c r="F23" s="350"/>
      <c r="G23" s="68"/>
      <c r="H23" s="369"/>
      <c r="I23" s="374"/>
      <c r="J23" s="375" t="s">
        <v>76</v>
      </c>
      <c r="K23" s="40" t="s">
        <v>82</v>
      </c>
      <c r="L23" s="49" t="s">
        <v>62</v>
      </c>
      <c r="M23" s="350"/>
      <c r="N23" s="168" t="s">
        <v>174</v>
      </c>
      <c r="O23" s="51">
        <v>0.25</v>
      </c>
      <c r="P23" s="52">
        <f>H22*O23</f>
        <v>143265</v>
      </c>
      <c r="Q23" s="53" t="s">
        <v>138</v>
      </c>
      <c r="R23" s="50"/>
      <c r="S23" s="54">
        <v>0.1</v>
      </c>
      <c r="T23" s="50"/>
      <c r="U23" s="50"/>
      <c r="V23" s="50"/>
      <c r="W23" s="50"/>
      <c r="X23" s="43">
        <f t="shared" ref="X23:X24" si="1">P23/S23</f>
        <v>1432650</v>
      </c>
      <c r="Y23" s="50"/>
      <c r="Z23" s="50"/>
      <c r="AA23" s="361"/>
      <c r="AB23" s="362"/>
      <c r="AC23" s="406">
        <v>100000</v>
      </c>
      <c r="AD23" s="362"/>
      <c r="AE23" s="362"/>
      <c r="AF23" s="386"/>
      <c r="AG23" s="406">
        <v>43265</v>
      </c>
      <c r="AH23" s="362"/>
      <c r="AI23" s="362"/>
      <c r="AJ23" s="386"/>
      <c r="AK23" s="361"/>
      <c r="AL23" s="362"/>
      <c r="AM23" s="362"/>
      <c r="AN23" s="386"/>
      <c r="AO23" s="418">
        <f t="shared" si="0"/>
        <v>143265</v>
      </c>
      <c r="AP23" s="362"/>
      <c r="AQ23" s="139"/>
      <c r="AR23" s="139"/>
      <c r="AS23" s="139"/>
    </row>
    <row r="24" spans="1:45" ht="15.75" customHeight="1">
      <c r="A24" s="369"/>
      <c r="B24" s="376"/>
      <c r="C24" s="351"/>
      <c r="D24" s="351"/>
      <c r="E24" s="351"/>
      <c r="F24" s="350"/>
      <c r="G24" s="68">
        <v>0.5</v>
      </c>
      <c r="H24" s="369"/>
      <c r="I24" s="73" t="s">
        <v>52</v>
      </c>
      <c r="J24" s="376"/>
      <c r="K24" s="40" t="s">
        <v>77</v>
      </c>
      <c r="L24" s="49" t="s">
        <v>62</v>
      </c>
      <c r="M24" s="351"/>
      <c r="N24" s="51"/>
      <c r="O24" s="51">
        <v>0.4</v>
      </c>
      <c r="P24" s="52">
        <f>H22*O24</f>
        <v>229224</v>
      </c>
      <c r="Q24" s="53" t="s">
        <v>138</v>
      </c>
      <c r="R24" s="50"/>
      <c r="S24" s="54">
        <v>0.1</v>
      </c>
      <c r="T24" s="50"/>
      <c r="U24" s="50"/>
      <c r="V24" s="50"/>
      <c r="W24" s="50"/>
      <c r="X24" s="43">
        <f t="shared" si="1"/>
        <v>2292240</v>
      </c>
      <c r="Y24" s="50"/>
      <c r="Z24" s="50"/>
      <c r="AA24" s="361"/>
      <c r="AB24" s="362"/>
      <c r="AC24" s="405">
        <v>133243</v>
      </c>
      <c r="AD24" s="362"/>
      <c r="AE24" s="362"/>
      <c r="AF24" s="386"/>
      <c r="AG24" s="405">
        <v>70000</v>
      </c>
      <c r="AH24" s="362"/>
      <c r="AI24" s="362"/>
      <c r="AJ24" s="386"/>
      <c r="AK24" s="405">
        <v>25980</v>
      </c>
      <c r="AL24" s="362"/>
      <c r="AM24" s="362"/>
      <c r="AN24" s="386"/>
      <c r="AO24" s="418">
        <f t="shared" si="0"/>
        <v>229223</v>
      </c>
      <c r="AP24" s="362"/>
      <c r="AQ24" s="139"/>
      <c r="AR24" s="139"/>
      <c r="AS24" s="139"/>
    </row>
    <row r="25" spans="1:45" ht="7.5" customHeight="1">
      <c r="A25" s="369"/>
      <c r="B25" s="376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60"/>
      <c r="N25" s="79"/>
      <c r="O25" s="79"/>
      <c r="P25" s="81"/>
      <c r="Q25" s="82"/>
      <c r="R25" s="83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137"/>
      <c r="AP25" s="137"/>
      <c r="AQ25" s="137"/>
      <c r="AR25" s="137"/>
      <c r="AS25" s="137"/>
    </row>
    <row r="26" spans="1:45" ht="15.75" customHeight="1">
      <c r="A26" s="369"/>
      <c r="B26" s="376"/>
      <c r="C26" s="358" t="s">
        <v>83</v>
      </c>
      <c r="D26" s="359">
        <v>0.4</v>
      </c>
      <c r="E26" s="456">
        <f>V48*D26</f>
        <v>764080</v>
      </c>
      <c r="F26" s="414" t="s">
        <v>129</v>
      </c>
      <c r="G26" s="352">
        <v>0.42</v>
      </c>
      <c r="H26" s="437">
        <f>E26*G26</f>
        <v>320913.59999999998</v>
      </c>
      <c r="I26" s="360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141" t="s">
        <v>175</v>
      </c>
      <c r="O26" s="51">
        <v>0.2</v>
      </c>
      <c r="P26" s="52">
        <f>H26*O26</f>
        <v>64182.720000000001</v>
      </c>
      <c r="Q26" s="89" t="s">
        <v>87</v>
      </c>
      <c r="R26" s="50"/>
      <c r="S26" s="50"/>
      <c r="T26" s="50"/>
      <c r="U26" s="50"/>
      <c r="V26" s="54">
        <v>2.5</v>
      </c>
      <c r="W26" s="50"/>
      <c r="X26" s="50"/>
      <c r="Y26" s="50"/>
      <c r="Z26" s="55">
        <f t="shared" ref="Z26:Z27" si="2">P26/V26*1000</f>
        <v>25673088</v>
      </c>
      <c r="AA26" s="413">
        <v>25603</v>
      </c>
      <c r="AB26" s="362"/>
      <c r="AC26" s="405">
        <f>P26-AA26</f>
        <v>38579.72</v>
      </c>
      <c r="AD26" s="362"/>
      <c r="AE26" s="362"/>
      <c r="AF26" s="386"/>
      <c r="AG26" s="46"/>
      <c r="AH26" s="47"/>
      <c r="AI26" s="47"/>
      <c r="AJ26" s="48"/>
      <c r="AK26" s="46"/>
      <c r="AL26" s="47"/>
      <c r="AM26" s="47"/>
      <c r="AN26" s="48"/>
      <c r="AO26" s="138">
        <f>SUM(AA26:AN26)</f>
        <v>64182.720000000001</v>
      </c>
      <c r="AP26" s="139"/>
      <c r="AQ26" s="139"/>
      <c r="AR26" s="139"/>
      <c r="AS26" s="139"/>
    </row>
    <row r="27" spans="1:45" ht="15.75" customHeight="1">
      <c r="A27" s="369"/>
      <c r="B27" s="376"/>
      <c r="C27" s="350"/>
      <c r="D27" s="350"/>
      <c r="E27" s="350"/>
      <c r="F27" s="350"/>
      <c r="G27" s="350"/>
      <c r="H27" s="350"/>
      <c r="I27" s="350"/>
      <c r="J27" s="360" t="s">
        <v>88</v>
      </c>
      <c r="K27" s="360" t="s">
        <v>176</v>
      </c>
      <c r="L27" s="430" t="s">
        <v>149</v>
      </c>
      <c r="M27" s="378">
        <v>2</v>
      </c>
      <c r="N27" s="51"/>
      <c r="O27" s="355">
        <v>0.3</v>
      </c>
      <c r="P27" s="365">
        <f>H26*O27</f>
        <v>96274.079999999987</v>
      </c>
      <c r="Q27" s="407" t="s">
        <v>90</v>
      </c>
      <c r="R27" s="367">
        <v>0.5</v>
      </c>
      <c r="S27" s="50"/>
      <c r="T27" s="50"/>
      <c r="U27" s="50"/>
      <c r="V27" s="367">
        <v>2.5</v>
      </c>
      <c r="W27" s="378">
        <f>P27/R27</f>
        <v>192548.15999999997</v>
      </c>
      <c r="X27" s="50"/>
      <c r="Y27" s="50"/>
      <c r="Z27" s="368">
        <f t="shared" si="2"/>
        <v>38509632</v>
      </c>
      <c r="AA27" s="379"/>
      <c r="AB27" s="380"/>
      <c r="AC27" s="382">
        <v>74183</v>
      </c>
      <c r="AD27" s="380"/>
      <c r="AE27" s="380"/>
      <c r="AF27" s="383"/>
      <c r="AG27" s="382">
        <v>22091</v>
      </c>
      <c r="AH27" s="380"/>
      <c r="AI27" s="380"/>
      <c r="AJ27" s="383"/>
      <c r="AK27" s="46"/>
      <c r="AL27" s="47"/>
      <c r="AM27" s="47"/>
      <c r="AN27" s="48"/>
      <c r="AO27" s="420">
        <f>SUM(AA27:AN28)</f>
        <v>96274</v>
      </c>
      <c r="AP27" s="380"/>
      <c r="AQ27" s="139"/>
      <c r="AR27" s="139"/>
      <c r="AS27" s="139"/>
    </row>
    <row r="28" spans="1:45" ht="15.75" customHeight="1">
      <c r="A28" s="369"/>
      <c r="B28" s="376"/>
      <c r="C28" s="350"/>
      <c r="D28" s="350"/>
      <c r="E28" s="350"/>
      <c r="F28" s="350"/>
      <c r="G28" s="350"/>
      <c r="H28" s="350"/>
      <c r="I28" s="351"/>
      <c r="J28" s="350"/>
      <c r="K28" s="351"/>
      <c r="L28" s="351"/>
      <c r="M28" s="351"/>
      <c r="N28" s="51"/>
      <c r="O28" s="351"/>
      <c r="P28" s="351"/>
      <c r="Q28" s="351"/>
      <c r="R28" s="351"/>
      <c r="S28" s="50"/>
      <c r="T28" s="50"/>
      <c r="U28" s="50"/>
      <c r="V28" s="351"/>
      <c r="W28" s="351"/>
      <c r="X28" s="50"/>
      <c r="Y28" s="50"/>
      <c r="Z28" s="370"/>
      <c r="AA28" s="381"/>
      <c r="AB28" s="354"/>
      <c r="AC28" s="384"/>
      <c r="AD28" s="354"/>
      <c r="AE28" s="354"/>
      <c r="AF28" s="385"/>
      <c r="AG28" s="384"/>
      <c r="AH28" s="354"/>
      <c r="AI28" s="354"/>
      <c r="AJ28" s="385"/>
      <c r="AK28" s="46"/>
      <c r="AL28" s="47"/>
      <c r="AM28" s="47"/>
      <c r="AN28" s="48"/>
      <c r="AO28" s="384"/>
      <c r="AP28" s="354"/>
      <c r="AQ28" s="139"/>
      <c r="AR28" s="139"/>
      <c r="AS28" s="139"/>
    </row>
    <row r="29" spans="1:45" ht="15.75" customHeight="1">
      <c r="A29" s="369"/>
      <c r="B29" s="376"/>
      <c r="C29" s="350"/>
      <c r="D29" s="350"/>
      <c r="E29" s="350"/>
      <c r="F29" s="350"/>
      <c r="G29" s="350"/>
      <c r="H29" s="350"/>
      <c r="I29" s="360" t="s">
        <v>64</v>
      </c>
      <c r="J29" s="350"/>
      <c r="K29" s="360" t="s">
        <v>177</v>
      </c>
      <c r="L29" s="430" t="s">
        <v>149</v>
      </c>
      <c r="M29" s="378">
        <v>1</v>
      </c>
      <c r="N29" s="438" t="s">
        <v>178</v>
      </c>
      <c r="O29" s="355">
        <v>0.5</v>
      </c>
      <c r="P29" s="365">
        <f>H26*O29</f>
        <v>160456.79999999999</v>
      </c>
      <c r="Q29" s="407" t="s">
        <v>90</v>
      </c>
      <c r="R29" s="367">
        <v>0.5</v>
      </c>
      <c r="S29" s="50"/>
      <c r="T29" s="50"/>
      <c r="U29" s="50"/>
      <c r="V29" s="367">
        <v>2.5</v>
      </c>
      <c r="W29" s="378">
        <f>P29/R29</f>
        <v>320913.59999999998</v>
      </c>
      <c r="X29" s="50"/>
      <c r="Y29" s="50"/>
      <c r="Z29" s="368">
        <f>P29/V29*1000</f>
        <v>64182719.999999993</v>
      </c>
      <c r="AA29" s="379"/>
      <c r="AB29" s="380"/>
      <c r="AC29" s="403">
        <v>99169</v>
      </c>
      <c r="AD29" s="380"/>
      <c r="AE29" s="380"/>
      <c r="AF29" s="383"/>
      <c r="AG29" s="403">
        <v>37909</v>
      </c>
      <c r="AH29" s="380"/>
      <c r="AI29" s="380"/>
      <c r="AJ29" s="383"/>
      <c r="AK29" s="403">
        <v>23379</v>
      </c>
      <c r="AL29" s="380"/>
      <c r="AM29" s="380"/>
      <c r="AN29" s="383"/>
      <c r="AO29" s="420">
        <f>SUM(AC29:AN31)</f>
        <v>160457</v>
      </c>
      <c r="AP29" s="380"/>
      <c r="AQ29" s="139"/>
      <c r="AR29" s="139"/>
      <c r="AS29" s="139"/>
    </row>
    <row r="30" spans="1:45" ht="15.75" customHeight="1">
      <c r="A30" s="369"/>
      <c r="B30" s="376"/>
      <c r="C30" s="350"/>
      <c r="D30" s="350"/>
      <c r="E30" s="350"/>
      <c r="F30" s="350"/>
      <c r="G30" s="350"/>
      <c r="H30" s="350"/>
      <c r="I30" s="350"/>
      <c r="J30" s="350"/>
      <c r="K30" s="350"/>
      <c r="L30" s="350"/>
      <c r="M30" s="350"/>
      <c r="N30" s="350"/>
      <c r="O30" s="350"/>
      <c r="P30" s="350"/>
      <c r="Q30" s="350"/>
      <c r="R30" s="350"/>
      <c r="S30" s="50"/>
      <c r="T30" s="50"/>
      <c r="U30" s="50"/>
      <c r="V30" s="350"/>
      <c r="W30" s="350"/>
      <c r="X30" s="50"/>
      <c r="Y30" s="50"/>
      <c r="Z30" s="369"/>
      <c r="AA30" s="381"/>
      <c r="AB30" s="354"/>
      <c r="AC30" s="381"/>
      <c r="AD30" s="354"/>
      <c r="AE30" s="354"/>
      <c r="AF30" s="385"/>
      <c r="AG30" s="381"/>
      <c r="AH30" s="354"/>
      <c r="AI30" s="354"/>
      <c r="AJ30" s="385"/>
      <c r="AK30" s="381"/>
      <c r="AL30" s="354"/>
      <c r="AM30" s="354"/>
      <c r="AN30" s="385"/>
      <c r="AO30" s="384"/>
      <c r="AP30" s="354"/>
      <c r="AQ30" s="139"/>
      <c r="AR30" s="139"/>
      <c r="AS30" s="139"/>
    </row>
    <row r="31" spans="1:45" ht="36" customHeight="1">
      <c r="A31" s="369"/>
      <c r="B31" s="376"/>
      <c r="C31" s="350"/>
      <c r="D31" s="350"/>
      <c r="E31" s="350"/>
      <c r="F31" s="350"/>
      <c r="G31" s="351"/>
      <c r="H31" s="351"/>
      <c r="I31" s="351"/>
      <c r="J31" s="350"/>
      <c r="K31" s="351"/>
      <c r="L31" s="351"/>
      <c r="M31" s="351"/>
      <c r="N31" s="351"/>
      <c r="O31" s="351"/>
      <c r="P31" s="351"/>
      <c r="Q31" s="351"/>
      <c r="R31" s="351"/>
      <c r="S31" s="50"/>
      <c r="T31" s="50"/>
      <c r="U31" s="50"/>
      <c r="V31" s="351"/>
      <c r="W31" s="351"/>
      <c r="X31" s="50"/>
      <c r="Y31" s="50"/>
      <c r="Z31" s="370"/>
      <c r="AA31" s="381"/>
      <c r="AB31" s="354"/>
      <c r="AC31" s="381"/>
      <c r="AD31" s="354"/>
      <c r="AE31" s="354"/>
      <c r="AF31" s="385"/>
      <c r="AG31" s="381"/>
      <c r="AH31" s="354"/>
      <c r="AI31" s="354"/>
      <c r="AJ31" s="385"/>
      <c r="AK31" s="381"/>
      <c r="AL31" s="354"/>
      <c r="AM31" s="354"/>
      <c r="AN31" s="385"/>
      <c r="AO31" s="384"/>
      <c r="AP31" s="354"/>
      <c r="AQ31" s="138">
        <f>P29-AO29</f>
        <v>-0.20000000001164153</v>
      </c>
      <c r="AR31" s="139"/>
      <c r="AS31" s="139"/>
    </row>
    <row r="32" spans="1:45" ht="15.75" customHeight="1">
      <c r="A32" s="369"/>
      <c r="B32" s="376"/>
      <c r="C32" s="350"/>
      <c r="D32" s="350"/>
      <c r="E32" s="350"/>
      <c r="F32" s="425" t="s">
        <v>142</v>
      </c>
      <c r="G32" s="352">
        <v>0.26</v>
      </c>
      <c r="H32" s="437">
        <f>E26*G32</f>
        <v>198660.80000000002</v>
      </c>
      <c r="I32" s="373" t="s">
        <v>75</v>
      </c>
      <c r="J32" s="360" t="s">
        <v>143</v>
      </c>
      <c r="K32" s="360" t="s">
        <v>101</v>
      </c>
      <c r="L32" s="430" t="s">
        <v>55</v>
      </c>
      <c r="M32" s="378">
        <v>1</v>
      </c>
      <c r="N32" s="51"/>
      <c r="O32" s="355">
        <v>0.5</v>
      </c>
      <c r="P32" s="365">
        <f>H32*O32</f>
        <v>99330.400000000009</v>
      </c>
      <c r="Q32" s="366" t="s">
        <v>42</v>
      </c>
      <c r="R32" s="402"/>
      <c r="S32" s="50"/>
      <c r="T32" s="402"/>
      <c r="U32" s="402"/>
      <c r="V32" s="367">
        <v>6</v>
      </c>
      <c r="W32" s="424"/>
      <c r="X32" s="402"/>
      <c r="Y32" s="402"/>
      <c r="Z32" s="368">
        <f>P32/V32*1000</f>
        <v>16555066.66666667</v>
      </c>
      <c r="AA32" s="361"/>
      <c r="AB32" s="362"/>
      <c r="AC32" s="427">
        <v>76563</v>
      </c>
      <c r="AD32" s="380"/>
      <c r="AE32" s="380"/>
      <c r="AF32" s="383"/>
      <c r="AG32" s="427">
        <v>22767</v>
      </c>
      <c r="AH32" s="380"/>
      <c r="AI32" s="380"/>
      <c r="AJ32" s="383"/>
      <c r="AK32" s="422"/>
      <c r="AL32" s="380"/>
      <c r="AM32" s="380"/>
      <c r="AN32" s="383"/>
      <c r="AO32" s="421"/>
      <c r="AP32" s="362"/>
      <c r="AQ32" s="139"/>
      <c r="AR32" s="139"/>
      <c r="AS32" s="139"/>
    </row>
    <row r="33" spans="1:45" ht="15.75" customHeight="1">
      <c r="A33" s="369"/>
      <c r="B33" s="376"/>
      <c r="C33" s="350"/>
      <c r="D33" s="350"/>
      <c r="E33" s="350"/>
      <c r="F33" s="350"/>
      <c r="G33" s="350"/>
      <c r="H33" s="350"/>
      <c r="I33" s="374"/>
      <c r="J33" s="350"/>
      <c r="K33" s="350"/>
      <c r="L33" s="350"/>
      <c r="M33" s="350"/>
      <c r="N33" s="51"/>
      <c r="O33" s="351"/>
      <c r="P33" s="351"/>
      <c r="Q33" s="351"/>
      <c r="R33" s="351"/>
      <c r="S33" s="50"/>
      <c r="T33" s="351"/>
      <c r="U33" s="351"/>
      <c r="V33" s="351"/>
      <c r="W33" s="351"/>
      <c r="X33" s="351"/>
      <c r="Y33" s="351"/>
      <c r="Z33" s="370"/>
      <c r="AA33" s="46"/>
      <c r="AB33" s="47"/>
      <c r="AC33" s="384"/>
      <c r="AD33" s="354"/>
      <c r="AE33" s="354"/>
      <c r="AF33" s="385"/>
      <c r="AG33" s="384"/>
      <c r="AH33" s="354"/>
      <c r="AI33" s="354"/>
      <c r="AJ33" s="385"/>
      <c r="AK33" s="381"/>
      <c r="AL33" s="354"/>
      <c r="AM33" s="354"/>
      <c r="AN33" s="385"/>
      <c r="AO33" s="138">
        <f t="shared" ref="AO33:AO34" si="3">SUM(AA32:AN33)</f>
        <v>99330</v>
      </c>
      <c r="AP33" s="139"/>
      <c r="AQ33" s="138">
        <f>AO34-AO33</f>
        <v>0</v>
      </c>
      <c r="AR33" s="139"/>
      <c r="AS33" s="139"/>
    </row>
    <row r="34" spans="1:45" ht="43.5" customHeight="1">
      <c r="A34" s="369"/>
      <c r="B34" s="376"/>
      <c r="C34" s="350"/>
      <c r="D34" s="350"/>
      <c r="E34" s="350"/>
      <c r="F34" s="351"/>
      <c r="G34" s="351"/>
      <c r="H34" s="351"/>
      <c r="I34" s="426"/>
      <c r="J34" s="351"/>
      <c r="K34" s="140" t="s">
        <v>144</v>
      </c>
      <c r="L34" s="351"/>
      <c r="M34" s="351"/>
      <c r="N34" s="51"/>
      <c r="O34" s="51">
        <v>0.5</v>
      </c>
      <c r="P34" s="52">
        <f>H32*O34</f>
        <v>99330.400000000009</v>
      </c>
      <c r="Q34" s="141" t="s">
        <v>41</v>
      </c>
      <c r="R34" s="50"/>
      <c r="S34" s="50"/>
      <c r="T34" s="50"/>
      <c r="U34" s="54">
        <v>0.8</v>
      </c>
      <c r="V34" s="50"/>
      <c r="W34" s="96"/>
      <c r="X34" s="50"/>
      <c r="Y34" s="43">
        <f>P34/U34</f>
        <v>124163</v>
      </c>
      <c r="Z34" s="142"/>
      <c r="AA34" s="46"/>
      <c r="AB34" s="47"/>
      <c r="AC34" s="409">
        <v>59330</v>
      </c>
      <c r="AD34" s="362"/>
      <c r="AE34" s="362"/>
      <c r="AF34" s="386"/>
      <c r="AG34" s="409">
        <v>20000</v>
      </c>
      <c r="AH34" s="362"/>
      <c r="AI34" s="362"/>
      <c r="AJ34" s="386"/>
      <c r="AK34" s="409">
        <v>20000</v>
      </c>
      <c r="AL34" s="362"/>
      <c r="AM34" s="362"/>
      <c r="AN34" s="386"/>
      <c r="AO34" s="138">
        <f t="shared" si="3"/>
        <v>99330</v>
      </c>
      <c r="AP34" s="139"/>
      <c r="AQ34" s="138">
        <f>P34-AO34</f>
        <v>0.40000000000873115</v>
      </c>
      <c r="AR34" s="139"/>
      <c r="AS34" s="139"/>
    </row>
    <row r="35" spans="1:45" ht="10.5" customHeight="1">
      <c r="A35" s="369"/>
      <c r="B35" s="376"/>
      <c r="C35" s="350"/>
      <c r="D35" s="350"/>
      <c r="E35" s="350"/>
      <c r="F35" s="58"/>
      <c r="G35" s="98"/>
      <c r="H35" s="99"/>
      <c r="I35" s="58"/>
      <c r="J35" s="58"/>
      <c r="K35" s="58"/>
      <c r="L35" s="62"/>
      <c r="M35" s="60"/>
      <c r="N35" s="59"/>
      <c r="O35" s="59"/>
      <c r="P35" s="61"/>
      <c r="Q35" s="62"/>
      <c r="R35" s="63"/>
      <c r="S35" s="63"/>
      <c r="T35" s="63"/>
      <c r="U35" s="63"/>
      <c r="V35" s="63"/>
      <c r="W35" s="60"/>
      <c r="X35" s="63"/>
      <c r="Y35" s="63"/>
      <c r="Z35" s="64"/>
      <c r="AA35" s="65"/>
      <c r="AB35" s="66"/>
      <c r="AC35" s="66"/>
      <c r="AD35" s="66"/>
      <c r="AE35" s="66"/>
      <c r="AF35" s="67"/>
      <c r="AG35" s="65"/>
      <c r="AH35" s="66"/>
      <c r="AI35" s="66"/>
      <c r="AJ35" s="67"/>
      <c r="AK35" s="65"/>
      <c r="AL35" s="66"/>
      <c r="AM35" s="66"/>
      <c r="AN35" s="67"/>
      <c r="AO35" s="136"/>
      <c r="AP35" s="136"/>
      <c r="AQ35" s="136"/>
      <c r="AR35" s="136"/>
      <c r="AS35" s="136"/>
    </row>
    <row r="36" spans="1:45" ht="15.75" customHeight="1">
      <c r="A36" s="369"/>
      <c r="B36" s="376"/>
      <c r="C36" s="350"/>
      <c r="D36" s="350"/>
      <c r="E36" s="350"/>
      <c r="F36" s="360" t="s">
        <v>102</v>
      </c>
      <c r="G36" s="352">
        <v>0.12</v>
      </c>
      <c r="H36" s="377">
        <f>E26*G36</f>
        <v>91689.599999999991</v>
      </c>
      <c r="I36" s="360" t="s">
        <v>70</v>
      </c>
      <c r="J36" s="360" t="s">
        <v>103</v>
      </c>
      <c r="K36" s="360" t="s">
        <v>179</v>
      </c>
      <c r="L36" s="366" t="s">
        <v>154</v>
      </c>
      <c r="M36" s="378">
        <v>1</v>
      </c>
      <c r="N36" s="51"/>
      <c r="O36" s="355">
        <v>1</v>
      </c>
      <c r="P36" s="365">
        <f>H36*O36</f>
        <v>91689.599999999991</v>
      </c>
      <c r="Q36" s="366" t="s">
        <v>58</v>
      </c>
      <c r="R36" s="50"/>
      <c r="S36" s="50"/>
      <c r="T36" s="50"/>
      <c r="U36" s="50"/>
      <c r="V36" s="367">
        <f>45/18.77</f>
        <v>2.3974427277570594</v>
      </c>
      <c r="W36" s="96"/>
      <c r="X36" s="50"/>
      <c r="Y36" s="50"/>
      <c r="Z36" s="368">
        <f>P36/V36*1000</f>
        <v>38244750.93333333</v>
      </c>
      <c r="AA36" s="382">
        <v>40000</v>
      </c>
      <c r="AB36" s="380"/>
      <c r="AC36" s="382">
        <v>51690</v>
      </c>
      <c r="AD36" s="380"/>
      <c r="AE36" s="380"/>
      <c r="AF36" s="380"/>
      <c r="AG36" s="361"/>
      <c r="AH36" s="362"/>
      <c r="AI36" s="362"/>
      <c r="AJ36" s="386"/>
      <c r="AK36" s="379"/>
      <c r="AL36" s="380"/>
      <c r="AM36" s="380"/>
      <c r="AN36" s="383"/>
      <c r="AO36" s="420">
        <f>SUM(AA35:AN36)</f>
        <v>91690</v>
      </c>
      <c r="AP36" s="380"/>
      <c r="AQ36" s="139"/>
      <c r="AR36" s="139"/>
      <c r="AS36" s="139"/>
    </row>
    <row r="37" spans="1:45" ht="15.75" customHeight="1">
      <c r="A37" s="369"/>
      <c r="B37" s="376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0"/>
      <c r="N37" s="51"/>
      <c r="O37" s="350"/>
      <c r="P37" s="350"/>
      <c r="Q37" s="350"/>
      <c r="R37" s="50"/>
      <c r="S37" s="50"/>
      <c r="T37" s="50"/>
      <c r="U37" s="50"/>
      <c r="V37" s="350"/>
      <c r="W37" s="96"/>
      <c r="X37" s="50"/>
      <c r="Y37" s="50"/>
      <c r="Z37" s="369"/>
      <c r="AA37" s="384"/>
      <c r="AB37" s="354"/>
      <c r="AC37" s="384"/>
      <c r="AD37" s="354"/>
      <c r="AE37" s="354"/>
      <c r="AF37" s="354"/>
      <c r="AG37" s="361"/>
      <c r="AH37" s="362"/>
      <c r="AI37" s="362"/>
      <c r="AJ37" s="386"/>
      <c r="AK37" s="381"/>
      <c r="AL37" s="354"/>
      <c r="AM37" s="354"/>
      <c r="AN37" s="385"/>
      <c r="AO37" s="384"/>
      <c r="AP37" s="354"/>
      <c r="AQ37" s="138">
        <f>P36-AO36</f>
        <v>-0.40000000000873115</v>
      </c>
      <c r="AR37" s="139"/>
      <c r="AS37" s="139"/>
    </row>
    <row r="38" spans="1:45" ht="15.75" customHeight="1">
      <c r="A38" s="369"/>
      <c r="B38" s="376"/>
      <c r="C38" s="350"/>
      <c r="D38" s="350"/>
      <c r="E38" s="350"/>
      <c r="F38" s="351"/>
      <c r="G38" s="351"/>
      <c r="H38" s="351"/>
      <c r="I38" s="351"/>
      <c r="J38" s="351"/>
      <c r="K38" s="351"/>
      <c r="L38" s="351"/>
      <c r="M38" s="351"/>
      <c r="N38" s="51"/>
      <c r="O38" s="351"/>
      <c r="P38" s="351"/>
      <c r="Q38" s="351"/>
      <c r="R38" s="50"/>
      <c r="S38" s="50"/>
      <c r="T38" s="50"/>
      <c r="U38" s="50"/>
      <c r="V38" s="351"/>
      <c r="W38" s="96"/>
      <c r="X38" s="50"/>
      <c r="Y38" s="50"/>
      <c r="Z38" s="370"/>
      <c r="AA38" s="384"/>
      <c r="AB38" s="354"/>
      <c r="AC38" s="384"/>
      <c r="AD38" s="354"/>
      <c r="AE38" s="354"/>
      <c r="AF38" s="354"/>
      <c r="AG38" s="361"/>
      <c r="AH38" s="362"/>
      <c r="AI38" s="362"/>
      <c r="AJ38" s="386"/>
      <c r="AK38" s="381"/>
      <c r="AL38" s="354"/>
      <c r="AM38" s="354"/>
      <c r="AN38" s="385"/>
      <c r="AO38" s="384"/>
      <c r="AP38" s="354"/>
      <c r="AQ38" s="139"/>
      <c r="AR38" s="139"/>
      <c r="AS38" s="139"/>
    </row>
    <row r="39" spans="1:45" ht="12" customHeight="1">
      <c r="A39" s="369"/>
      <c r="B39" s="376"/>
      <c r="C39" s="350"/>
      <c r="D39" s="350"/>
      <c r="E39" s="350"/>
      <c r="F39" s="58"/>
      <c r="G39" s="98"/>
      <c r="H39" s="99"/>
      <c r="I39" s="100"/>
      <c r="J39" s="58"/>
      <c r="K39" s="58"/>
      <c r="L39" s="62"/>
      <c r="M39" s="60"/>
      <c r="N39" s="59"/>
      <c r="O39" s="59"/>
      <c r="P39" s="61"/>
      <c r="Q39" s="62"/>
      <c r="R39" s="63"/>
      <c r="S39" s="63"/>
      <c r="T39" s="63"/>
      <c r="U39" s="63"/>
      <c r="V39" s="63"/>
      <c r="W39" s="60"/>
      <c r="X39" s="63"/>
      <c r="Y39" s="60"/>
      <c r="Z39" s="60"/>
      <c r="AA39" s="66"/>
      <c r="AB39" s="66"/>
      <c r="AC39" s="66"/>
      <c r="AD39" s="66"/>
      <c r="AE39" s="66"/>
      <c r="AF39" s="66"/>
      <c r="AG39" s="65"/>
      <c r="AH39" s="66"/>
      <c r="AI39" s="66"/>
      <c r="AJ39" s="67"/>
      <c r="AK39" s="65"/>
      <c r="AL39" s="66"/>
      <c r="AM39" s="66"/>
      <c r="AN39" s="67"/>
      <c r="AO39" s="136"/>
      <c r="AP39" s="136"/>
      <c r="AQ39" s="136"/>
      <c r="AR39" s="136"/>
      <c r="AS39" s="136"/>
    </row>
    <row r="40" spans="1:45" ht="15.75" customHeight="1">
      <c r="A40" s="370"/>
      <c r="B40" s="455"/>
      <c r="C40" s="351"/>
      <c r="D40" s="351"/>
      <c r="E40" s="351"/>
      <c r="F40" s="40" t="s">
        <v>107</v>
      </c>
      <c r="G40" s="97">
        <v>0.2</v>
      </c>
      <c r="H40" s="94">
        <f>E26*G40</f>
        <v>152816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1</v>
      </c>
      <c r="N40" s="51"/>
      <c r="O40" s="51">
        <v>1</v>
      </c>
      <c r="P40" s="52">
        <f>H40*O40</f>
        <v>152816</v>
      </c>
      <c r="Q40" s="53" t="s">
        <v>111</v>
      </c>
      <c r="R40" s="50"/>
      <c r="S40" s="50"/>
      <c r="T40" s="50"/>
      <c r="U40" s="50"/>
      <c r="V40" s="54">
        <v>4.8499999999999996</v>
      </c>
      <c r="W40" s="96"/>
      <c r="X40" s="50"/>
      <c r="Y40" s="50"/>
      <c r="Z40" s="43">
        <f>P40/V40*1000</f>
        <v>31508453.608247425</v>
      </c>
      <c r="AA40" s="405">
        <v>32474</v>
      </c>
      <c r="AB40" s="362"/>
      <c r="AC40" s="405">
        <f>70649+5281</f>
        <v>75930</v>
      </c>
      <c r="AD40" s="362"/>
      <c r="AE40" s="362"/>
      <c r="AF40" s="362"/>
      <c r="AG40" s="405">
        <v>34000</v>
      </c>
      <c r="AH40" s="362"/>
      <c r="AI40" s="362"/>
      <c r="AJ40" s="362"/>
      <c r="AK40" s="405">
        <f>10413</f>
        <v>10413</v>
      </c>
      <c r="AL40" s="362"/>
      <c r="AM40" s="362"/>
      <c r="AN40" s="362"/>
      <c r="AO40" s="418">
        <f>SUM(AA39:AN40)</f>
        <v>152817</v>
      </c>
      <c r="AP40" s="362"/>
      <c r="AQ40" s="139"/>
      <c r="AR40" s="139"/>
      <c r="AS40" s="139"/>
    </row>
    <row r="41" spans="1:45" ht="15.75" customHeight="1">
      <c r="A41" s="145" t="s">
        <v>112</v>
      </c>
      <c r="B41" s="145"/>
      <c r="C41" s="145"/>
      <c r="D41" s="145"/>
      <c r="E41" s="146">
        <f>SUM(E13:E40)</f>
        <v>1910200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6">
        <f>SUM(P13:P40)+P11</f>
        <v>1910200</v>
      </c>
      <c r="Q41" s="145"/>
      <c r="R41" s="148"/>
      <c r="S41" s="148"/>
      <c r="T41" s="148"/>
      <c r="U41" s="148"/>
      <c r="V41" s="148"/>
      <c r="W41" s="107">
        <f>W13+W15+W17+W18+W27+W29+W31</f>
        <v>7717644.6171428561</v>
      </c>
      <c r="X41" s="107">
        <f>X21+X23+X24</f>
        <v>3724890</v>
      </c>
      <c r="Y41" s="107">
        <f>Y34</f>
        <v>124163</v>
      </c>
      <c r="Z41" s="107">
        <f>Z13+Z15+Z17+Z18+Z21+Z22+Z23+Z24+Z27+Z29+Z31+Z36+Z40+Z26+Z11</f>
        <v>321696183.41034645</v>
      </c>
      <c r="AA41" s="419">
        <f>SUM(AA11:AB40)</f>
        <v>166844.20000000001</v>
      </c>
      <c r="AB41" s="362"/>
      <c r="AC41" s="419">
        <f>SUM(AC11:AF40)</f>
        <v>958687.72</v>
      </c>
      <c r="AD41" s="362"/>
      <c r="AE41" s="362"/>
      <c r="AF41" s="362"/>
      <c r="AG41" s="419">
        <f>SUM(AG11:AJ40)</f>
        <v>564268</v>
      </c>
      <c r="AH41" s="362"/>
      <c r="AI41" s="362"/>
      <c r="AJ41" s="362"/>
      <c r="AK41" s="419">
        <f>SUM(AK11:AN40)</f>
        <v>220400</v>
      </c>
      <c r="AL41" s="362"/>
      <c r="AM41" s="362"/>
      <c r="AN41" s="362"/>
      <c r="AO41" s="419">
        <f>AA41+AC41+AG41+AK41</f>
        <v>1910199.92</v>
      </c>
      <c r="AP41" s="362"/>
      <c r="AQ41" s="146"/>
      <c r="AR41" s="146"/>
      <c r="AS41" s="146"/>
    </row>
    <row r="42" spans="1:45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6"/>
      <c r="T43" s="116"/>
      <c r="U43" s="116"/>
      <c r="V43" s="116"/>
      <c r="W43" s="149"/>
      <c r="X43" s="117"/>
      <c r="Y43" s="116"/>
      <c r="Z43" s="116"/>
      <c r="AA43" s="116"/>
      <c r="AB43" s="116"/>
      <c r="AC43" s="116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ht="15.75" customHeight="1">
      <c r="A44" s="3"/>
      <c r="B44" s="3"/>
      <c r="C44" s="3"/>
      <c r="D44" s="3"/>
      <c r="E44" s="3"/>
      <c r="N44" s="3"/>
      <c r="O44" s="3"/>
      <c r="P44" s="116"/>
      <c r="Q44" s="116"/>
      <c r="R44" s="116"/>
      <c r="S44" s="116"/>
      <c r="T44" s="116"/>
      <c r="U44" s="116"/>
      <c r="V44" s="116"/>
      <c r="W44" s="117"/>
      <c r="X44" s="117"/>
      <c r="Y44" s="117"/>
      <c r="Z44" s="117"/>
      <c r="AA44" s="116"/>
      <c r="AB44" s="439"/>
      <c r="AC44" s="354"/>
      <c r="AD44" s="3"/>
      <c r="AE44" s="3"/>
      <c r="AF44" s="3"/>
      <c r="AG44" s="3"/>
      <c r="AH44" s="415"/>
      <c r="AI44" s="354"/>
      <c r="AJ44" s="354"/>
      <c r="AK44" s="354"/>
      <c r="AL44" s="3"/>
      <c r="AM44" s="3"/>
      <c r="AN44" s="3"/>
      <c r="AO44" s="3"/>
      <c r="AP44" s="3"/>
      <c r="AQ44" s="3"/>
      <c r="AR44" s="3"/>
      <c r="AS44" s="3"/>
    </row>
    <row r="45" spans="1:45" ht="15.75" customHeight="1">
      <c r="A45" s="3"/>
      <c r="B45" s="3"/>
      <c r="C45" s="3"/>
      <c r="D45" s="3"/>
      <c r="E45" s="3"/>
      <c r="N45" s="3"/>
      <c r="O45" s="3"/>
      <c r="P45" s="458" t="s">
        <v>180</v>
      </c>
      <c r="Q45" s="380"/>
      <c r="R45" s="380"/>
      <c r="S45" s="380"/>
      <c r="T45" s="380"/>
      <c r="U45" s="380"/>
      <c r="V45" s="116"/>
      <c r="W45" s="117"/>
      <c r="X45" s="117"/>
      <c r="Y45" s="169"/>
      <c r="Z45" s="169"/>
      <c r="AA45" s="150"/>
      <c r="AB45" s="150"/>
      <c r="AC45" s="116"/>
      <c r="AD45" s="117"/>
      <c r="AE45" s="3"/>
      <c r="AF45" s="3"/>
      <c r="AG45" s="3"/>
      <c r="AH45" s="354"/>
      <c r="AI45" s="354"/>
      <c r="AJ45" s="354"/>
      <c r="AK45" s="354"/>
      <c r="AL45" s="3"/>
      <c r="AM45" s="3"/>
      <c r="AN45" s="3"/>
      <c r="AO45" s="3"/>
      <c r="AP45" s="3"/>
      <c r="AQ45" s="3"/>
      <c r="AR45" s="3"/>
      <c r="AS45" s="3"/>
    </row>
    <row r="46" spans="1:45" ht="15.75" customHeight="1">
      <c r="A46" s="3"/>
      <c r="B46" s="3"/>
      <c r="C46" s="3"/>
      <c r="D46" s="3"/>
      <c r="E46" s="3"/>
      <c r="N46" s="3"/>
      <c r="O46" s="3"/>
      <c r="P46" s="384"/>
      <c r="Q46" s="354"/>
      <c r="R46" s="354"/>
      <c r="S46" s="354"/>
      <c r="T46" s="354"/>
      <c r="U46" s="354"/>
      <c r="V46" s="116"/>
      <c r="W46" s="117"/>
      <c r="X46" s="117"/>
      <c r="Y46" s="169"/>
      <c r="Z46" s="169"/>
      <c r="AA46" s="429" t="s">
        <v>113</v>
      </c>
      <c r="AB46" s="354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155"/>
      <c r="O47" s="155"/>
      <c r="P47" s="156" t="s">
        <v>155</v>
      </c>
      <c r="Q47" s="434" t="s">
        <v>156</v>
      </c>
      <c r="R47" s="435"/>
      <c r="S47" s="156" t="s">
        <v>157</v>
      </c>
      <c r="T47" s="157" t="s">
        <v>158</v>
      </c>
      <c r="U47" s="156" t="s">
        <v>159</v>
      </c>
      <c r="V47" s="116"/>
      <c r="W47" s="117"/>
      <c r="X47" s="117"/>
      <c r="Y47" s="169"/>
      <c r="Z47" s="170" t="s">
        <v>130</v>
      </c>
      <c r="AA47" s="457">
        <f>AA41</f>
        <v>166844.20000000001</v>
      </c>
      <c r="AB47" s="354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/>
      <c r="N48" s="158"/>
      <c r="O48" s="158" t="s">
        <v>160</v>
      </c>
      <c r="P48" s="159"/>
      <c r="Q48" s="459">
        <v>166844</v>
      </c>
      <c r="R48" s="354"/>
      <c r="S48" s="171">
        <v>958688</v>
      </c>
      <c r="T48" s="172">
        <v>564268</v>
      </c>
      <c r="U48" s="171">
        <v>220400</v>
      </c>
      <c r="V48" s="173">
        <f>Q48+S48+T48+U48</f>
        <v>1910200</v>
      </c>
      <c r="W48" s="117"/>
      <c r="X48" s="117"/>
      <c r="Y48" s="169"/>
      <c r="Z48" s="169" t="s">
        <v>118</v>
      </c>
      <c r="AA48" s="457">
        <f>AC41</f>
        <v>958687.72</v>
      </c>
      <c r="AB48" s="354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18">
        <f>P15+P16+P17+P22+P23+P2+P29+P30+P31</f>
        <v>733516.80000000005</v>
      </c>
      <c r="Q49" s="116" t="s">
        <v>117</v>
      </c>
      <c r="R49" s="116"/>
      <c r="S49" s="116"/>
      <c r="T49" s="116"/>
      <c r="U49" s="116"/>
      <c r="V49" s="116"/>
      <c r="W49" s="117"/>
      <c r="X49" s="117"/>
      <c r="Y49" s="169"/>
      <c r="Z49" s="169" t="s">
        <v>120</v>
      </c>
      <c r="AA49" s="457">
        <f>AG41</f>
        <v>564268</v>
      </c>
      <c r="AB49" s="354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/>
      <c r="N50" s="3"/>
      <c r="O50" s="3"/>
      <c r="P50" s="116">
        <f>P18+P19</f>
        <v>0</v>
      </c>
      <c r="Q50" s="116"/>
      <c r="R50" s="118">
        <f>P49</f>
        <v>733516.80000000005</v>
      </c>
      <c r="S50" s="116"/>
      <c r="T50" s="116"/>
      <c r="U50" s="116"/>
      <c r="V50" s="116"/>
      <c r="W50" s="117"/>
      <c r="X50" s="117"/>
      <c r="Y50" s="169"/>
      <c r="Z50" s="169" t="s">
        <v>123</v>
      </c>
      <c r="AA50" s="457">
        <f>AK41</f>
        <v>220400</v>
      </c>
      <c r="AB50" s="354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/>
      <c r="N51" s="3"/>
      <c r="O51" s="3"/>
      <c r="P51" s="118">
        <f>P36+P37+P38</f>
        <v>91689.599999999991</v>
      </c>
      <c r="Q51" s="116" t="s">
        <v>122</v>
      </c>
      <c r="R51" s="119"/>
      <c r="S51" s="116"/>
      <c r="T51" s="116"/>
      <c r="U51" s="116"/>
      <c r="V51" s="116"/>
      <c r="W51" s="117"/>
      <c r="X51" s="117"/>
      <c r="Y51" s="169"/>
      <c r="Z51" s="169"/>
      <c r="AA51" s="457"/>
      <c r="AB51" s="354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118">
        <f>P32</f>
        <v>99330.400000000009</v>
      </c>
      <c r="Q52" s="116" t="s">
        <v>125</v>
      </c>
      <c r="R52" s="116"/>
      <c r="S52" s="116"/>
      <c r="T52" s="116"/>
      <c r="U52" s="116">
        <v>1200000</v>
      </c>
      <c r="V52" s="116"/>
      <c r="W52" s="117"/>
      <c r="X52" s="117"/>
      <c r="Y52" s="169"/>
      <c r="Z52" s="169"/>
      <c r="AA52" s="457"/>
      <c r="AB52" s="354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121">
        <f>P48+P49+P50+P51+P52</f>
        <v>924536.8</v>
      </c>
      <c r="Q53" s="116"/>
      <c r="R53" s="116"/>
      <c r="S53" s="116"/>
      <c r="T53" s="116"/>
      <c r="U53" s="116">
        <v>179414</v>
      </c>
      <c r="V53" s="116"/>
      <c r="W53" s="117"/>
      <c r="X53" s="117"/>
      <c r="Y53" s="169"/>
      <c r="Z53" s="169"/>
      <c r="AA53" s="457"/>
      <c r="AB53" s="354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3"/>
      <c r="P54" s="116"/>
      <c r="Q54" s="116"/>
      <c r="R54" s="116"/>
      <c r="S54" s="116"/>
      <c r="T54" s="116"/>
      <c r="U54" s="116"/>
      <c r="V54" s="116"/>
      <c r="W54" s="117"/>
      <c r="X54" s="117"/>
      <c r="Y54" s="169"/>
      <c r="Z54" s="169"/>
      <c r="AA54" s="150"/>
      <c r="AB54" s="150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16"/>
      <c r="Q55" s="116"/>
      <c r="R55" s="116"/>
      <c r="S55" s="116"/>
      <c r="T55" s="116"/>
      <c r="U55" s="116"/>
      <c r="V55" s="116"/>
      <c r="W55" s="117"/>
      <c r="X55" s="117"/>
      <c r="Y55" s="169"/>
      <c r="Z55" s="169"/>
      <c r="AA55" s="150"/>
      <c r="AB55" s="150"/>
      <c r="AC55" s="116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16"/>
      <c r="Q56" s="116"/>
      <c r="R56" s="116"/>
      <c r="S56" s="116"/>
      <c r="T56" s="116"/>
      <c r="U56" s="116"/>
      <c r="V56" s="116"/>
      <c r="W56" s="117"/>
      <c r="X56" s="117"/>
      <c r="Y56" s="169"/>
      <c r="Z56" s="169"/>
      <c r="AA56" s="150"/>
      <c r="AB56" s="150"/>
      <c r="AC56" s="116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16"/>
      <c r="Q57" s="116"/>
      <c r="R57" s="116"/>
      <c r="S57" s="116"/>
      <c r="T57" s="116"/>
      <c r="U57" s="116"/>
      <c r="V57" s="116"/>
      <c r="W57" s="117"/>
      <c r="X57" s="117"/>
      <c r="Y57" s="117"/>
      <c r="Z57" s="117"/>
      <c r="AA57" s="116"/>
      <c r="AB57" s="116"/>
      <c r="AC57" s="116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16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6"/>
      <c r="AB58" s="116"/>
      <c r="AC58" s="116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16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6"/>
      <c r="AB59" s="116"/>
      <c r="AC59" s="116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16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6"/>
      <c r="AB60" s="116"/>
      <c r="AC60" s="116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16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6"/>
      <c r="AB61" s="116" t="s">
        <v>131</v>
      </c>
      <c r="AC61" s="116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16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6"/>
      <c r="AB62" s="116"/>
      <c r="AC62" s="116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16"/>
      <c r="Q63" s="117"/>
      <c r="R63" s="117"/>
      <c r="S63" s="117"/>
      <c r="T63" s="117"/>
      <c r="U63" s="117"/>
      <c r="V63" s="117"/>
      <c r="W63" s="117"/>
      <c r="X63" s="117"/>
      <c r="Y63" s="116"/>
      <c r="Z63" s="116"/>
      <c r="AA63" s="116"/>
      <c r="AB63" s="116"/>
      <c r="AC63" s="116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16"/>
      <c r="Q64" s="117"/>
      <c r="R64" s="117"/>
      <c r="S64" s="117"/>
      <c r="T64" s="117"/>
      <c r="U64" s="117"/>
      <c r="V64" s="117"/>
      <c r="W64" s="117"/>
      <c r="X64" s="117"/>
      <c r="Y64" s="116"/>
      <c r="Z64" s="116"/>
      <c r="AA64" s="116"/>
      <c r="AB64" s="116"/>
      <c r="AC64" s="116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16"/>
      <c r="Q65" s="117"/>
      <c r="R65" s="117"/>
      <c r="S65" s="117"/>
      <c r="T65" s="117"/>
      <c r="U65" s="117"/>
      <c r="V65" s="117"/>
      <c r="W65" s="117"/>
      <c r="X65" s="117"/>
      <c r="Y65" s="116"/>
      <c r="Z65" s="116"/>
      <c r="AA65" s="116"/>
      <c r="AB65" s="116"/>
      <c r="AC65" s="116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117"/>
      <c r="R66" s="117"/>
      <c r="S66" s="117"/>
      <c r="T66" s="117"/>
      <c r="U66" s="117"/>
      <c r="V66" s="117"/>
      <c r="W66" s="117"/>
      <c r="X66" s="117"/>
      <c r="Y66" s="116"/>
      <c r="Z66" s="116"/>
      <c r="AA66" s="116"/>
      <c r="AB66" s="116"/>
      <c r="AC66" s="116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117"/>
      <c r="R67" s="117"/>
      <c r="S67" s="117"/>
      <c r="T67" s="117"/>
      <c r="U67" s="117"/>
      <c r="V67" s="117"/>
      <c r="W67" s="117"/>
      <c r="X67" s="117"/>
      <c r="Y67" s="116"/>
      <c r="Z67" s="116"/>
      <c r="AA67" s="116"/>
      <c r="AB67" s="116"/>
      <c r="AC67" s="116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1:4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1:4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4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1:4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1:4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1:4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1:4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1:4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1:4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1:4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1:4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1:4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1:4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1:4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1:4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4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1:4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1:4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1:4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1:4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1:4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1:4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1:4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1:4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1:4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1:4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1:4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1:4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1:4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1:4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1:4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1:4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1:4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1:4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1:4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1:4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4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1:4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1:4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1:4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1:4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1:4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1:4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4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1:4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1:4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4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1:4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1:4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1: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1:4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1:4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1:4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1:4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1:4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1:4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1:4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1:4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1:4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1:4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4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1:4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1:4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1:4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1:4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1:4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4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1:4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4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4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1:4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1:4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1:4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1:4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1:4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1:4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1:4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1:4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1:4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1:4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1:4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1:4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1:4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4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1:4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1:4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1:4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1:4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1:4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1:4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1:4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1:4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1:4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1:4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1:4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1:4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1:4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1:4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1:4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1:4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1:4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1:4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1:4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1:4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1:4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1:4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1:4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1:4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1:4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1:4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1:4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1:4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1:4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1:4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1:4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1:4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1:4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1:4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1:4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1:4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1:4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1:4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1:4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1:4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1:4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1:4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1:4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1:4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1:4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1:4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1:4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1:4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1:4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1:4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1:4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1:4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1:4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1:4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4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1:4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4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1:4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1: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1:4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1:4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1:4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1:4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1:4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1:4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1:4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1:4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4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1:4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1:4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1:4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1:45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 spans="1:45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 spans="1:45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 spans="1:45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</row>
    <row r="262" spans="1:45" ht="15.75" customHeight="1"/>
    <row r="263" spans="1:45" ht="15.75" customHeight="1"/>
    <row r="264" spans="1:45" ht="15.75" customHeight="1"/>
    <row r="265" spans="1:45" ht="15.75" customHeight="1"/>
    <row r="266" spans="1:45" ht="15.75" customHeight="1"/>
    <row r="267" spans="1:45" ht="15.75" customHeight="1"/>
    <row r="268" spans="1:45" ht="15.75" customHeight="1"/>
    <row r="269" spans="1:45" ht="15.75" customHeight="1"/>
    <row r="270" spans="1:45" ht="15.75" customHeight="1"/>
    <row r="271" spans="1:45" ht="15.75" customHeight="1"/>
    <row r="272" spans="1:4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4">
    <mergeCell ref="E13:E24"/>
    <mergeCell ref="I15:I19"/>
    <mergeCell ref="E26:E40"/>
    <mergeCell ref="AC26:AF26"/>
    <mergeCell ref="AA50:AB50"/>
    <mergeCell ref="AA51:AB51"/>
    <mergeCell ref="AA52:AB52"/>
    <mergeCell ref="AA53:AB53"/>
    <mergeCell ref="P45:U46"/>
    <mergeCell ref="AA46:AB46"/>
    <mergeCell ref="Q47:R47"/>
    <mergeCell ref="AA47:AB47"/>
    <mergeCell ref="Q48:R48"/>
    <mergeCell ref="AA48:AB48"/>
    <mergeCell ref="AA49:AB49"/>
    <mergeCell ref="O27:O28"/>
    <mergeCell ref="P27:P28"/>
    <mergeCell ref="Q27:Q28"/>
    <mergeCell ref="R27:R28"/>
    <mergeCell ref="V27:V28"/>
    <mergeCell ref="AA29:AB31"/>
    <mergeCell ref="AC29:AF31"/>
    <mergeCell ref="AG29:AJ31"/>
    <mergeCell ref="AK29:AN31"/>
    <mergeCell ref="O29:O31"/>
    <mergeCell ref="P29:P31"/>
    <mergeCell ref="Q29:Q31"/>
    <mergeCell ref="R29:R31"/>
    <mergeCell ref="V29:V31"/>
    <mergeCell ref="W29:W31"/>
    <mergeCell ref="Z29:Z31"/>
    <mergeCell ref="I22:I23"/>
    <mergeCell ref="J23:J24"/>
    <mergeCell ref="G26:G31"/>
    <mergeCell ref="H26:H31"/>
    <mergeCell ref="I26:I28"/>
    <mergeCell ref="J27:J31"/>
    <mergeCell ref="K27:K28"/>
    <mergeCell ref="L27:L28"/>
    <mergeCell ref="M27:M28"/>
    <mergeCell ref="AG13:AJ14"/>
    <mergeCell ref="AK13:AN14"/>
    <mergeCell ref="AO13:AP14"/>
    <mergeCell ref="H11:H19"/>
    <mergeCell ref="G13:G19"/>
    <mergeCell ref="J11:J12"/>
    <mergeCell ref="K13:K14"/>
    <mergeCell ref="L13:L14"/>
    <mergeCell ref="M13:M14"/>
    <mergeCell ref="N13:N14"/>
    <mergeCell ref="O13:O14"/>
    <mergeCell ref="V11:V12"/>
    <mergeCell ref="Z11:Z12"/>
    <mergeCell ref="V15:V19"/>
    <mergeCell ref="W15:W19"/>
    <mergeCell ref="Z15:Z19"/>
    <mergeCell ref="AA15:AB19"/>
    <mergeCell ref="AC15:AF19"/>
    <mergeCell ref="I11:I14"/>
    <mergeCell ref="AK40:AN40"/>
    <mergeCell ref="AO40:AP40"/>
    <mergeCell ref="AK41:AN41"/>
    <mergeCell ref="AO41:AP41"/>
    <mergeCell ref="AG37:AJ37"/>
    <mergeCell ref="AG38:AJ38"/>
    <mergeCell ref="AG40:AJ40"/>
    <mergeCell ref="AG41:AJ41"/>
    <mergeCell ref="AH44:AK45"/>
    <mergeCell ref="AG23:AJ23"/>
    <mergeCell ref="AK23:AN23"/>
    <mergeCell ref="AO23:AP23"/>
    <mergeCell ref="AG24:AJ24"/>
    <mergeCell ref="AK24:AN24"/>
    <mergeCell ref="AO24:AP24"/>
    <mergeCell ref="AO27:AP28"/>
    <mergeCell ref="AK36:AN38"/>
    <mergeCell ref="AO36:AP38"/>
    <mergeCell ref="AG27:AJ28"/>
    <mergeCell ref="AG32:AJ33"/>
    <mergeCell ref="AK32:AN33"/>
    <mergeCell ref="AO32:AP32"/>
    <mergeCell ref="AG34:AJ34"/>
    <mergeCell ref="AK34:AN34"/>
    <mergeCell ref="AG36:AJ36"/>
    <mergeCell ref="AO29:AP31"/>
    <mergeCell ref="AK22:AN22"/>
    <mergeCell ref="AO22:AP22"/>
    <mergeCell ref="AG15:AJ19"/>
    <mergeCell ref="AK15:AN19"/>
    <mergeCell ref="AO15:AP19"/>
    <mergeCell ref="AG21:AJ21"/>
    <mergeCell ref="AK21:AN21"/>
    <mergeCell ref="AO21:AP21"/>
    <mergeCell ref="AG22:AJ22"/>
    <mergeCell ref="AO10:AP10"/>
    <mergeCell ref="AO11:AP12"/>
    <mergeCell ref="C1:AB1"/>
    <mergeCell ref="A3:A4"/>
    <mergeCell ref="B3:B4"/>
    <mergeCell ref="AA3:AD3"/>
    <mergeCell ref="AE3:AN3"/>
    <mergeCell ref="AE4:AN4"/>
    <mergeCell ref="I7:J9"/>
    <mergeCell ref="A10:B10"/>
    <mergeCell ref="K11:K12"/>
    <mergeCell ref="L11:L12"/>
    <mergeCell ref="M11:M12"/>
    <mergeCell ref="N11:N12"/>
    <mergeCell ref="O11:O12"/>
    <mergeCell ref="P11:P12"/>
    <mergeCell ref="Q11:Q12"/>
    <mergeCell ref="R11:R12"/>
    <mergeCell ref="AA11:AB12"/>
    <mergeCell ref="AC11:AF11"/>
    <mergeCell ref="AC12:AF12"/>
    <mergeCell ref="AA9:AC9"/>
    <mergeCell ref="AD9:AF9"/>
    <mergeCell ref="A11:B40"/>
    <mergeCell ref="AA4:AD4"/>
    <mergeCell ref="AA7:AF7"/>
    <mergeCell ref="AG7:AN7"/>
    <mergeCell ref="AA8:AC8"/>
    <mergeCell ref="AD8:AF8"/>
    <mergeCell ref="AG8:AJ8"/>
    <mergeCell ref="AK8:AN8"/>
    <mergeCell ref="AO8:AP8"/>
    <mergeCell ref="AG9:AJ9"/>
    <mergeCell ref="AK9:AN9"/>
    <mergeCell ref="AO9:AP9"/>
    <mergeCell ref="AA41:AB41"/>
    <mergeCell ref="AB44:AC44"/>
    <mergeCell ref="W32:W33"/>
    <mergeCell ref="X32:X33"/>
    <mergeCell ref="AC34:AF34"/>
    <mergeCell ref="AC36:AF38"/>
    <mergeCell ref="AA40:AB40"/>
    <mergeCell ref="AC40:AF40"/>
    <mergeCell ref="AC41:AF41"/>
    <mergeCell ref="AA21:AB21"/>
    <mergeCell ref="AC21:AF21"/>
    <mergeCell ref="AA22:AB22"/>
    <mergeCell ref="AC22:AF22"/>
    <mergeCell ref="AA23:AB23"/>
    <mergeCell ref="AC23:AF23"/>
    <mergeCell ref="F11:F19"/>
    <mergeCell ref="F26:F31"/>
    <mergeCell ref="I29:I31"/>
    <mergeCell ref="K29:K31"/>
    <mergeCell ref="L29:L31"/>
    <mergeCell ref="M29:M31"/>
    <mergeCell ref="N29:N31"/>
    <mergeCell ref="P13:P14"/>
    <mergeCell ref="Q13:Q14"/>
    <mergeCell ref="R13:R14"/>
    <mergeCell ref="V13:V14"/>
    <mergeCell ref="W13:W14"/>
    <mergeCell ref="Z13:Z14"/>
    <mergeCell ref="AA13:AB14"/>
    <mergeCell ref="AC13:AF14"/>
    <mergeCell ref="J13:J19"/>
    <mergeCell ref="K15:K19"/>
    <mergeCell ref="L15:L19"/>
    <mergeCell ref="K36:K38"/>
    <mergeCell ref="L36:L38"/>
    <mergeCell ref="M36:M38"/>
    <mergeCell ref="O36:O38"/>
    <mergeCell ref="P36:P38"/>
    <mergeCell ref="Q36:Q38"/>
    <mergeCell ref="V36:V38"/>
    <mergeCell ref="C13:C24"/>
    <mergeCell ref="D13:D24"/>
    <mergeCell ref="C26:C40"/>
    <mergeCell ref="D26:D40"/>
    <mergeCell ref="F36:F38"/>
    <mergeCell ref="G36:G38"/>
    <mergeCell ref="H36:H38"/>
    <mergeCell ref="I36:I38"/>
    <mergeCell ref="J36:J38"/>
    <mergeCell ref="M15:M19"/>
    <mergeCell ref="O15:O19"/>
    <mergeCell ref="P15:P19"/>
    <mergeCell ref="Q15:Q19"/>
    <mergeCell ref="R15:R19"/>
    <mergeCell ref="F21:F24"/>
    <mergeCell ref="M21:M24"/>
    <mergeCell ref="H22:H24"/>
    <mergeCell ref="AA24:AB24"/>
    <mergeCell ref="AC24:AF24"/>
    <mergeCell ref="W27:W28"/>
    <mergeCell ref="Z27:Z28"/>
    <mergeCell ref="AA27:AB28"/>
    <mergeCell ref="AC27:AF28"/>
    <mergeCell ref="V32:V33"/>
    <mergeCell ref="Z36:Z38"/>
    <mergeCell ref="AA36:AB38"/>
    <mergeCell ref="AA26:AB26"/>
    <mergeCell ref="P32:P33"/>
    <mergeCell ref="Q32:Q33"/>
    <mergeCell ref="R32:R33"/>
    <mergeCell ref="T32:T33"/>
    <mergeCell ref="U32:U33"/>
    <mergeCell ref="Y32:Y33"/>
    <mergeCell ref="Z32:Z33"/>
    <mergeCell ref="AA32:AB32"/>
    <mergeCell ref="AC32:AF33"/>
    <mergeCell ref="F32:F34"/>
    <mergeCell ref="G32:G34"/>
    <mergeCell ref="H32:H34"/>
    <mergeCell ref="I32:I34"/>
    <mergeCell ref="J32:J34"/>
    <mergeCell ref="K32:K33"/>
    <mergeCell ref="L32:L34"/>
    <mergeCell ref="M32:M34"/>
    <mergeCell ref="O32:O33"/>
  </mergeCells>
  <pageMargins left="0.511811024" right="0.511811024" top="0.78740157499999996" bottom="0.78740157499999996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S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6.42578125" customWidth="1"/>
    <col min="6" max="6" width="27.140625" customWidth="1"/>
    <col min="7" max="7" width="22" customWidth="1"/>
    <col min="8" max="8" width="25.42578125" customWidth="1"/>
    <col min="9" max="9" width="32.7109375" customWidth="1"/>
    <col min="10" max="10" width="34.42578125" customWidth="1"/>
    <col min="11" max="11" width="75" customWidth="1"/>
    <col min="12" max="12" width="35.140625" customWidth="1"/>
    <col min="14" max="14" width="43.42578125" customWidth="1"/>
    <col min="17" max="17" width="25.85546875" customWidth="1"/>
    <col min="26" max="26" width="23.28515625" customWidth="1"/>
    <col min="27" max="29" width="6.140625" customWidth="1"/>
    <col min="30" max="30" width="22.140625" customWidth="1"/>
    <col min="31" max="36" width="6.140625" customWidth="1"/>
    <col min="37" max="37" width="9.42578125" customWidth="1"/>
    <col min="38" max="40" width="6.140625" customWidth="1"/>
    <col min="41" max="41" width="18.140625" customWidth="1"/>
    <col min="42" max="42" width="6.140625" customWidth="1"/>
    <col min="43" max="43" width="20.85546875" customWidth="1"/>
    <col min="44" max="45" width="6.140625" customWidth="1"/>
  </cols>
  <sheetData>
    <row r="1" spans="1:45" ht="49.5" customHeight="1">
      <c r="A1" s="1"/>
      <c r="B1" s="2"/>
      <c r="C1" s="398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  <c r="AA1" s="362"/>
      <c r="AB1" s="362"/>
    </row>
    <row r="2" spans="1:45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5.75" customHeight="1">
      <c r="A3" s="447" t="s">
        <v>0</v>
      </c>
      <c r="B3" s="448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40" t="s">
        <v>165</v>
      </c>
      <c r="AB3" s="362"/>
      <c r="AC3" s="362"/>
      <c r="AD3" s="362"/>
      <c r="AE3" s="449" t="s">
        <v>165</v>
      </c>
      <c r="AF3" s="362"/>
      <c r="AG3" s="362"/>
      <c r="AH3" s="362"/>
      <c r="AI3" s="362"/>
      <c r="AJ3" s="362"/>
      <c r="AK3" s="362"/>
      <c r="AL3" s="362"/>
      <c r="AM3" s="362"/>
      <c r="AN3" s="362"/>
      <c r="AO3" s="3"/>
      <c r="AP3" s="3"/>
      <c r="AQ3" s="3"/>
      <c r="AR3" s="3"/>
      <c r="AS3" s="3"/>
    </row>
    <row r="4" spans="1:45" ht="15.75" customHeight="1">
      <c r="A4" s="426"/>
      <c r="B4" s="426"/>
      <c r="C4" s="125"/>
      <c r="D4" s="124"/>
      <c r="E4" s="8"/>
      <c r="F4" s="466" t="s">
        <v>181</v>
      </c>
      <c r="G4" s="380"/>
      <c r="H4" s="380"/>
      <c r="I4" s="3"/>
      <c r="J4" s="3"/>
      <c r="K4" s="3"/>
      <c r="L4" s="3"/>
      <c r="M4" s="3"/>
      <c r="N4" s="3"/>
      <c r="O4" s="3"/>
      <c r="P4" s="3"/>
      <c r="Q4" s="3"/>
      <c r="R4" s="9"/>
      <c r="S4" s="9"/>
      <c r="T4" s="9"/>
      <c r="U4" s="9"/>
      <c r="V4" s="10"/>
      <c r="W4" s="9"/>
      <c r="X4" s="9"/>
      <c r="Y4" s="9"/>
      <c r="Z4" s="9"/>
      <c r="AA4" s="440" t="s">
        <v>166</v>
      </c>
      <c r="AB4" s="362"/>
      <c r="AC4" s="362"/>
      <c r="AD4" s="362"/>
      <c r="AE4" s="449" t="s">
        <v>167</v>
      </c>
      <c r="AF4" s="362"/>
      <c r="AG4" s="362"/>
      <c r="AH4" s="362"/>
      <c r="AI4" s="362"/>
      <c r="AJ4" s="362"/>
      <c r="AK4" s="362"/>
      <c r="AL4" s="362"/>
      <c r="AM4" s="362"/>
      <c r="AN4" s="362"/>
      <c r="AO4" s="9"/>
      <c r="AP4" s="9"/>
      <c r="AQ4" s="9"/>
      <c r="AR4" s="9"/>
      <c r="AS4" s="9"/>
    </row>
    <row r="5" spans="1:45" ht="15.75" customHeight="1">
      <c r="A5" s="162" t="s">
        <v>4</v>
      </c>
      <c r="B5" s="163">
        <v>1910200</v>
      </c>
      <c r="C5" s="127">
        <v>2198126</v>
      </c>
      <c r="D5" s="124"/>
      <c r="E5" s="12"/>
      <c r="F5" s="384"/>
      <c r="G5" s="354"/>
      <c r="H5" s="354"/>
      <c r="I5" s="3"/>
      <c r="J5" s="3"/>
      <c r="K5" s="3"/>
      <c r="L5" s="3"/>
      <c r="M5" s="3"/>
      <c r="N5" s="3"/>
      <c r="O5" s="3"/>
      <c r="P5" s="3"/>
      <c r="Q5" s="3"/>
      <c r="R5" s="9"/>
      <c r="S5" s="9"/>
      <c r="T5" s="9"/>
      <c r="U5" s="9"/>
      <c r="V5" s="10"/>
      <c r="W5" s="13"/>
      <c r="X5" s="9"/>
      <c r="Y5" s="9"/>
      <c r="Z5" s="9"/>
      <c r="AA5" s="164"/>
      <c r="AB5" s="164"/>
      <c r="AC5" s="164"/>
      <c r="AD5" s="165" t="s">
        <v>168</v>
      </c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9"/>
      <c r="AP5" s="9"/>
      <c r="AQ5" s="9"/>
      <c r="AR5" s="9"/>
      <c r="AS5" s="9"/>
    </row>
    <row r="6" spans="1:45" ht="15.75" customHeight="1">
      <c r="A6" s="122" t="s">
        <v>5</v>
      </c>
      <c r="B6" s="123" t="s">
        <v>6</v>
      </c>
      <c r="C6" s="128"/>
      <c r="D6" s="124"/>
      <c r="E6" s="8"/>
      <c r="F6" s="384"/>
      <c r="G6" s="354"/>
      <c r="H6" s="354"/>
      <c r="I6" s="3"/>
      <c r="J6" s="3"/>
      <c r="K6" s="3"/>
      <c r="L6" s="3"/>
      <c r="M6" s="3"/>
      <c r="N6" s="3"/>
      <c r="O6" s="3"/>
      <c r="P6" s="3"/>
      <c r="Q6" s="3"/>
      <c r="R6" s="9"/>
      <c r="S6" s="9"/>
      <c r="T6" s="9"/>
      <c r="U6" s="15"/>
      <c r="V6" s="10"/>
      <c r="W6" s="10"/>
      <c r="X6" s="9"/>
      <c r="Y6" s="9"/>
      <c r="Z6" s="9"/>
      <c r="AA6" s="166"/>
      <c r="AB6" s="166"/>
      <c r="AC6" s="166"/>
      <c r="AD6" s="165" t="s">
        <v>169</v>
      </c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"/>
      <c r="AP6" s="16"/>
      <c r="AQ6" s="16"/>
      <c r="AR6" s="16"/>
      <c r="AS6" s="16"/>
    </row>
    <row r="7" spans="1:45" ht="15.75" customHeight="1">
      <c r="A7" s="9"/>
      <c r="B7" s="123" t="s">
        <v>7</v>
      </c>
      <c r="C7" s="130" t="s">
        <v>8</v>
      </c>
      <c r="D7" s="124"/>
      <c r="E7" s="7"/>
      <c r="F7" s="384"/>
      <c r="G7" s="354"/>
      <c r="H7" s="354"/>
      <c r="I7" s="450"/>
      <c r="J7" s="354"/>
      <c r="K7" s="3"/>
      <c r="L7" s="3"/>
      <c r="M7" s="3"/>
      <c r="N7" s="3"/>
      <c r="O7" s="3"/>
      <c r="P7" s="3"/>
      <c r="Q7" s="3"/>
      <c r="R7" s="9"/>
      <c r="S7" s="9"/>
      <c r="T7" s="9"/>
      <c r="U7" s="9"/>
      <c r="V7" s="9"/>
      <c r="W7" s="9"/>
      <c r="X7" s="9"/>
      <c r="Y7" s="9"/>
      <c r="Z7" s="9"/>
      <c r="AA7" s="399" t="s">
        <v>9</v>
      </c>
      <c r="AB7" s="362"/>
      <c r="AC7" s="362"/>
      <c r="AD7" s="362"/>
      <c r="AE7" s="362"/>
      <c r="AF7" s="362"/>
      <c r="AG7" s="400" t="s">
        <v>10</v>
      </c>
      <c r="AH7" s="362"/>
      <c r="AI7" s="362"/>
      <c r="AJ7" s="362"/>
      <c r="AK7" s="362"/>
      <c r="AL7" s="362"/>
      <c r="AM7" s="362"/>
      <c r="AN7" s="362"/>
      <c r="AO7" s="16"/>
      <c r="AP7" s="16"/>
      <c r="AQ7" s="16"/>
      <c r="AR7" s="16"/>
      <c r="AS7" s="16"/>
    </row>
    <row r="8" spans="1:45" ht="15.75" customHeight="1">
      <c r="A8" s="9"/>
      <c r="B8" s="131" t="s">
        <v>12</v>
      </c>
      <c r="C8" s="132" t="s">
        <v>13</v>
      </c>
      <c r="D8" s="132" t="s">
        <v>14</v>
      </c>
      <c r="E8" s="133"/>
      <c r="F8" s="384"/>
      <c r="G8" s="354"/>
      <c r="H8" s="354"/>
      <c r="I8" s="354"/>
      <c r="J8" s="354"/>
      <c r="K8" s="7"/>
      <c r="L8" s="9"/>
      <c r="M8" s="9"/>
      <c r="N8" s="9"/>
      <c r="O8" s="9"/>
      <c r="P8" s="9"/>
      <c r="Q8" s="9"/>
      <c r="R8" s="20"/>
      <c r="S8" s="20"/>
      <c r="T8" s="20"/>
      <c r="U8" s="20"/>
      <c r="V8" s="20"/>
      <c r="W8" s="20"/>
      <c r="X8" s="20"/>
      <c r="Y8" s="20"/>
      <c r="Z8" s="20"/>
      <c r="AA8" s="441" t="s">
        <v>18</v>
      </c>
      <c r="AB8" s="442"/>
      <c r="AC8" s="443"/>
      <c r="AD8" s="441" t="s">
        <v>19</v>
      </c>
      <c r="AE8" s="442"/>
      <c r="AF8" s="442"/>
      <c r="AG8" s="441" t="s">
        <v>20</v>
      </c>
      <c r="AH8" s="442"/>
      <c r="AI8" s="442"/>
      <c r="AJ8" s="443"/>
      <c r="AK8" s="441" t="s">
        <v>21</v>
      </c>
      <c r="AL8" s="442"/>
      <c r="AM8" s="442"/>
      <c r="AN8" s="443"/>
      <c r="AO8" s="441" t="s">
        <v>24</v>
      </c>
      <c r="AP8" s="443"/>
      <c r="AQ8" s="24"/>
      <c r="AR8" s="24"/>
      <c r="AS8" s="24"/>
    </row>
    <row r="9" spans="1:45" ht="15.75" customHeight="1">
      <c r="A9" s="9"/>
      <c r="B9" s="134">
        <v>16000000</v>
      </c>
      <c r="C9" s="134">
        <f>B9*D9</f>
        <v>9760000</v>
      </c>
      <c r="D9" s="135">
        <v>0.61</v>
      </c>
      <c r="E9" s="7"/>
      <c r="I9" s="354"/>
      <c r="J9" s="354"/>
      <c r="K9" s="7"/>
      <c r="L9" s="9"/>
      <c r="M9" s="9"/>
      <c r="N9" s="9"/>
      <c r="O9" s="9"/>
      <c r="P9" s="9"/>
      <c r="Q9" s="9"/>
      <c r="R9" s="20"/>
      <c r="S9" s="20"/>
      <c r="T9" s="20"/>
      <c r="U9" s="20" t="s">
        <v>15</v>
      </c>
      <c r="V9" s="20"/>
      <c r="W9" s="20"/>
      <c r="X9" s="20"/>
      <c r="Y9" s="20" t="s">
        <v>16</v>
      </c>
      <c r="Z9" s="167" t="s">
        <v>170</v>
      </c>
      <c r="AA9" s="444" t="s">
        <v>14</v>
      </c>
      <c r="AB9" s="442"/>
      <c r="AC9" s="443"/>
      <c r="AD9" s="444" t="s">
        <v>14</v>
      </c>
      <c r="AE9" s="442"/>
      <c r="AF9" s="443"/>
      <c r="AG9" s="444" t="s">
        <v>14</v>
      </c>
      <c r="AH9" s="442"/>
      <c r="AI9" s="442"/>
      <c r="AJ9" s="442"/>
      <c r="AK9" s="445" t="s">
        <v>14</v>
      </c>
      <c r="AL9" s="442"/>
      <c r="AM9" s="442"/>
      <c r="AN9" s="443"/>
      <c r="AO9" s="446">
        <v>0.61</v>
      </c>
      <c r="AP9" s="443"/>
      <c r="AQ9" s="24"/>
      <c r="AR9" s="24"/>
      <c r="AS9" s="24"/>
    </row>
    <row r="10" spans="1:45" ht="15.75" customHeight="1">
      <c r="A10" s="467" t="s">
        <v>25</v>
      </c>
      <c r="B10" s="468"/>
      <c r="C10" s="174" t="s">
        <v>5</v>
      </c>
      <c r="D10" s="174" t="s">
        <v>26</v>
      </c>
      <c r="E10" s="175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171</v>
      </c>
      <c r="O10" s="32" t="s">
        <v>36</v>
      </c>
      <c r="P10" s="32" t="s">
        <v>37</v>
      </c>
      <c r="Q10" s="32" t="s">
        <v>38</v>
      </c>
      <c r="R10" s="32" t="s">
        <v>39</v>
      </c>
      <c r="S10" s="32" t="s">
        <v>138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139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89"/>
      <c r="AP10" s="362"/>
      <c r="AQ10" s="34"/>
      <c r="AR10" s="34"/>
      <c r="AS10" s="34"/>
    </row>
    <row r="11" spans="1:45" ht="15.75" customHeight="1">
      <c r="A11" s="469" t="s">
        <v>58</v>
      </c>
      <c r="B11" s="470"/>
      <c r="C11" s="475" t="s">
        <v>59</v>
      </c>
      <c r="D11" s="176"/>
      <c r="E11" s="177"/>
      <c r="F11" s="493" t="s">
        <v>51</v>
      </c>
      <c r="G11" s="178"/>
      <c r="H11" s="476">
        <f>E13*G13</f>
        <v>573060</v>
      </c>
      <c r="I11" s="464" t="s">
        <v>52</v>
      </c>
      <c r="J11" s="464" t="s">
        <v>140</v>
      </c>
      <c r="K11" s="464" t="s">
        <v>54</v>
      </c>
      <c r="L11" s="491" t="s">
        <v>55</v>
      </c>
      <c r="M11" s="480">
        <v>1</v>
      </c>
      <c r="N11" s="492" t="s">
        <v>172</v>
      </c>
      <c r="O11" s="483">
        <v>0.12</v>
      </c>
      <c r="P11" s="477">
        <f>H11*O11</f>
        <v>68767.199999999997</v>
      </c>
      <c r="Q11" s="478" t="s">
        <v>56</v>
      </c>
      <c r="R11" s="488"/>
      <c r="S11" s="179"/>
      <c r="T11" s="179"/>
      <c r="U11" s="179"/>
      <c r="V11" s="479">
        <v>4.8499999999999996</v>
      </c>
      <c r="W11" s="179"/>
      <c r="X11" s="179"/>
      <c r="Y11" s="179"/>
      <c r="Z11" s="480">
        <f>P11/V11*1000</f>
        <v>14178804.123711342</v>
      </c>
      <c r="AA11" s="382">
        <f>P11</f>
        <v>68767.199999999997</v>
      </c>
      <c r="AB11" s="380"/>
      <c r="AC11" s="395"/>
      <c r="AD11" s="362"/>
      <c r="AE11" s="362"/>
      <c r="AF11" s="386"/>
      <c r="AG11" s="46"/>
      <c r="AH11" s="47"/>
      <c r="AI11" s="47"/>
      <c r="AJ11" s="48"/>
      <c r="AK11" s="46"/>
      <c r="AL11" s="47"/>
      <c r="AM11" s="47"/>
      <c r="AN11" s="48"/>
      <c r="AO11" s="420">
        <f>SUM(AA11:AN12)</f>
        <v>68767.199999999997</v>
      </c>
      <c r="AP11" s="380"/>
      <c r="AQ11" s="139"/>
      <c r="AR11" s="139"/>
      <c r="AS11" s="139"/>
    </row>
    <row r="12" spans="1:45" ht="15.75" customHeight="1">
      <c r="A12" s="471"/>
      <c r="B12" s="472"/>
      <c r="C12" s="471"/>
      <c r="D12" s="180"/>
      <c r="E12" s="181"/>
      <c r="F12" s="354"/>
      <c r="G12" s="182"/>
      <c r="H12" s="472"/>
      <c r="I12" s="461"/>
      <c r="J12" s="462"/>
      <c r="K12" s="462"/>
      <c r="L12" s="462"/>
      <c r="M12" s="462"/>
      <c r="N12" s="462"/>
      <c r="O12" s="462"/>
      <c r="P12" s="462"/>
      <c r="Q12" s="462"/>
      <c r="R12" s="462"/>
      <c r="S12" s="179"/>
      <c r="T12" s="179"/>
      <c r="U12" s="179"/>
      <c r="V12" s="462"/>
      <c r="W12" s="179"/>
      <c r="X12" s="179"/>
      <c r="Y12" s="179"/>
      <c r="Z12" s="462"/>
      <c r="AA12" s="384"/>
      <c r="AB12" s="354"/>
      <c r="AC12" s="395"/>
      <c r="AD12" s="362"/>
      <c r="AE12" s="362"/>
      <c r="AF12" s="386"/>
      <c r="AG12" s="46"/>
      <c r="AH12" s="47"/>
      <c r="AI12" s="47"/>
      <c r="AJ12" s="48"/>
      <c r="AK12" s="46"/>
      <c r="AL12" s="47"/>
      <c r="AM12" s="47"/>
      <c r="AN12" s="48"/>
      <c r="AO12" s="384"/>
      <c r="AP12" s="354"/>
      <c r="AQ12" s="139"/>
      <c r="AR12" s="139"/>
      <c r="AS12" s="139"/>
    </row>
    <row r="13" spans="1:45" ht="15.75" customHeight="1">
      <c r="A13" s="471"/>
      <c r="B13" s="472"/>
      <c r="C13" s="471"/>
      <c r="D13" s="481">
        <v>0.6</v>
      </c>
      <c r="E13" s="482">
        <f>V43*D13</f>
        <v>1146120</v>
      </c>
      <c r="F13" s="354"/>
      <c r="G13" s="489">
        <v>0.5</v>
      </c>
      <c r="H13" s="472"/>
      <c r="I13" s="461"/>
      <c r="J13" s="463" t="s">
        <v>141</v>
      </c>
      <c r="K13" s="464" t="s">
        <v>148</v>
      </c>
      <c r="L13" s="491" t="s">
        <v>149</v>
      </c>
      <c r="M13" s="480">
        <v>1</v>
      </c>
      <c r="N13" s="492" t="s">
        <v>173</v>
      </c>
      <c r="O13" s="483">
        <v>0.48</v>
      </c>
      <c r="P13" s="477">
        <f>H11*O13</f>
        <v>275068.79999999999</v>
      </c>
      <c r="Q13" s="478" t="s">
        <v>43</v>
      </c>
      <c r="R13" s="479">
        <v>7.0000000000000007E-2</v>
      </c>
      <c r="S13" s="179"/>
      <c r="T13" s="179"/>
      <c r="U13" s="179"/>
      <c r="V13" s="479">
        <v>4.8499999999999996</v>
      </c>
      <c r="W13" s="480">
        <f>P13/R13</f>
        <v>3929554.285714285</v>
      </c>
      <c r="X13" s="179"/>
      <c r="Y13" s="179"/>
      <c r="Z13" s="480">
        <f>P13/V13*1000</f>
        <v>56715216.494845368</v>
      </c>
      <c r="AA13" s="433"/>
      <c r="AB13" s="380"/>
      <c r="AC13" s="382">
        <v>150000</v>
      </c>
      <c r="AD13" s="380"/>
      <c r="AE13" s="380"/>
      <c r="AF13" s="383"/>
      <c r="AG13" s="382">
        <v>90000</v>
      </c>
      <c r="AH13" s="380"/>
      <c r="AI13" s="380"/>
      <c r="AJ13" s="383"/>
      <c r="AK13" s="382">
        <v>35069</v>
      </c>
      <c r="AL13" s="380"/>
      <c r="AM13" s="380"/>
      <c r="AN13" s="383"/>
      <c r="AO13" s="420">
        <f>SUM(AA13:AN14)</f>
        <v>275069</v>
      </c>
      <c r="AP13" s="380"/>
      <c r="AQ13" s="138"/>
      <c r="AR13" s="138"/>
      <c r="AS13" s="138"/>
    </row>
    <row r="14" spans="1:45" ht="36" customHeight="1">
      <c r="A14" s="471"/>
      <c r="B14" s="472"/>
      <c r="C14" s="471"/>
      <c r="D14" s="471"/>
      <c r="E14" s="461"/>
      <c r="F14" s="494"/>
      <c r="G14" s="462"/>
      <c r="H14" s="474"/>
      <c r="I14" s="462"/>
      <c r="J14" s="462"/>
      <c r="K14" s="462"/>
      <c r="L14" s="462"/>
      <c r="M14" s="462"/>
      <c r="N14" s="462"/>
      <c r="O14" s="462"/>
      <c r="P14" s="462"/>
      <c r="Q14" s="462"/>
      <c r="R14" s="462"/>
      <c r="S14" s="179"/>
      <c r="T14" s="179"/>
      <c r="U14" s="179"/>
      <c r="V14" s="462"/>
      <c r="W14" s="462"/>
      <c r="X14" s="179"/>
      <c r="Y14" s="179"/>
      <c r="Z14" s="462"/>
      <c r="AA14" s="384"/>
      <c r="AB14" s="354"/>
      <c r="AC14" s="384"/>
      <c r="AD14" s="354"/>
      <c r="AE14" s="354"/>
      <c r="AF14" s="385"/>
      <c r="AG14" s="384"/>
      <c r="AH14" s="354"/>
      <c r="AI14" s="354"/>
      <c r="AJ14" s="385"/>
      <c r="AK14" s="384"/>
      <c r="AL14" s="354"/>
      <c r="AM14" s="354"/>
      <c r="AN14" s="385"/>
      <c r="AO14" s="384"/>
      <c r="AP14" s="354"/>
      <c r="AQ14" s="138"/>
      <c r="AR14" s="138"/>
      <c r="AS14" s="138"/>
    </row>
    <row r="15" spans="1:45" ht="6.75" customHeight="1">
      <c r="A15" s="471"/>
      <c r="B15" s="472"/>
      <c r="C15" s="471"/>
      <c r="D15" s="471"/>
      <c r="E15" s="461"/>
      <c r="F15" s="183"/>
      <c r="G15" s="184"/>
      <c r="H15" s="185"/>
      <c r="I15" s="185"/>
      <c r="J15" s="185"/>
      <c r="K15" s="185"/>
      <c r="L15" s="186"/>
      <c r="M15" s="187"/>
      <c r="N15" s="186"/>
      <c r="O15" s="186"/>
      <c r="P15" s="188"/>
      <c r="Q15" s="189"/>
      <c r="R15" s="190"/>
      <c r="S15" s="190"/>
      <c r="T15" s="190"/>
      <c r="U15" s="190"/>
      <c r="V15" s="190"/>
      <c r="W15" s="187"/>
      <c r="X15" s="190"/>
      <c r="Y15" s="190"/>
      <c r="Z15" s="187"/>
      <c r="AA15" s="66"/>
      <c r="AB15" s="66"/>
      <c r="AC15" s="66"/>
      <c r="AD15" s="66"/>
      <c r="AE15" s="66"/>
      <c r="AF15" s="67"/>
      <c r="AG15" s="65"/>
      <c r="AH15" s="66"/>
      <c r="AI15" s="66"/>
      <c r="AJ15" s="67"/>
      <c r="AK15" s="65"/>
      <c r="AL15" s="66"/>
      <c r="AM15" s="66"/>
      <c r="AN15" s="67"/>
      <c r="AO15" s="136"/>
      <c r="AP15" s="136"/>
      <c r="AQ15" s="136"/>
      <c r="AR15" s="136"/>
      <c r="AS15" s="136"/>
    </row>
    <row r="16" spans="1:45" ht="15.75" customHeight="1">
      <c r="A16" s="471"/>
      <c r="B16" s="472"/>
      <c r="C16" s="471"/>
      <c r="D16" s="471"/>
      <c r="E16" s="461"/>
      <c r="F16" s="495" t="s">
        <v>74</v>
      </c>
      <c r="G16" s="178"/>
      <c r="H16" s="476">
        <f>E13*G19</f>
        <v>573060</v>
      </c>
      <c r="I16" s="464" t="s">
        <v>78</v>
      </c>
      <c r="J16" s="464" t="s">
        <v>79</v>
      </c>
      <c r="K16" s="464"/>
      <c r="L16" s="491"/>
      <c r="M16" s="496" t="s">
        <v>151</v>
      </c>
      <c r="N16" s="191"/>
      <c r="O16" s="191"/>
      <c r="P16" s="192"/>
      <c r="Q16" s="193"/>
      <c r="R16" s="179"/>
      <c r="S16" s="194"/>
      <c r="T16" s="179"/>
      <c r="U16" s="179"/>
      <c r="V16" s="179"/>
      <c r="W16" s="179"/>
      <c r="X16" s="195"/>
      <c r="Y16" s="179"/>
      <c r="Z16" s="179"/>
      <c r="AA16" s="395"/>
      <c r="AB16" s="362"/>
      <c r="AC16" s="361"/>
      <c r="AD16" s="362"/>
      <c r="AE16" s="362"/>
      <c r="AF16" s="386"/>
      <c r="AG16" s="361"/>
      <c r="AH16" s="362"/>
      <c r="AI16" s="362"/>
      <c r="AJ16" s="386"/>
      <c r="AK16" s="361"/>
      <c r="AL16" s="362"/>
      <c r="AM16" s="362"/>
      <c r="AN16" s="386"/>
      <c r="AO16" s="421">
        <f>AC16</f>
        <v>0</v>
      </c>
      <c r="AP16" s="362"/>
      <c r="AQ16" s="139"/>
      <c r="AR16" s="139"/>
      <c r="AS16" s="139"/>
    </row>
    <row r="17" spans="1:45" ht="15.75" customHeight="1">
      <c r="A17" s="471"/>
      <c r="B17" s="472"/>
      <c r="C17" s="471"/>
      <c r="D17" s="471"/>
      <c r="E17" s="461"/>
      <c r="F17" s="354"/>
      <c r="G17" s="182"/>
      <c r="H17" s="472"/>
      <c r="I17" s="461"/>
      <c r="J17" s="462"/>
      <c r="K17" s="462"/>
      <c r="L17" s="462"/>
      <c r="M17" s="461"/>
      <c r="N17" s="191"/>
      <c r="O17" s="191"/>
      <c r="P17" s="192"/>
      <c r="Q17" s="193"/>
      <c r="R17" s="179"/>
      <c r="S17" s="179"/>
      <c r="T17" s="179"/>
      <c r="U17" s="179"/>
      <c r="V17" s="192">
        <v>37</v>
      </c>
      <c r="W17" s="179"/>
      <c r="X17" s="179"/>
      <c r="Y17" s="179"/>
      <c r="Z17" s="195">
        <f>P17/V17*1000</f>
        <v>0</v>
      </c>
      <c r="AA17" s="395"/>
      <c r="AB17" s="362"/>
      <c r="AC17" s="361"/>
      <c r="AD17" s="362"/>
      <c r="AE17" s="362"/>
      <c r="AF17" s="386"/>
      <c r="AG17" s="412">
        <v>140000</v>
      </c>
      <c r="AH17" s="362"/>
      <c r="AI17" s="362"/>
      <c r="AJ17" s="386"/>
      <c r="AK17" s="406">
        <v>60571</v>
      </c>
      <c r="AL17" s="362"/>
      <c r="AM17" s="362"/>
      <c r="AN17" s="386"/>
      <c r="AO17" s="418">
        <f t="shared" ref="AO17:AO19" si="0">SUM(AA17:AN17)</f>
        <v>200571</v>
      </c>
      <c r="AP17" s="362"/>
      <c r="AQ17" s="139"/>
      <c r="AR17" s="139"/>
      <c r="AS17" s="139"/>
    </row>
    <row r="18" spans="1:45" ht="15.75" customHeight="1">
      <c r="A18" s="471"/>
      <c r="B18" s="472"/>
      <c r="C18" s="471"/>
      <c r="D18" s="471"/>
      <c r="E18" s="461"/>
      <c r="F18" s="354"/>
      <c r="G18" s="182"/>
      <c r="H18" s="472"/>
      <c r="I18" s="462"/>
      <c r="J18" s="464" t="s">
        <v>76</v>
      </c>
      <c r="K18" s="464" t="s">
        <v>82</v>
      </c>
      <c r="L18" s="491" t="s">
        <v>62</v>
      </c>
      <c r="M18" s="461"/>
      <c r="N18" s="196" t="s">
        <v>182</v>
      </c>
      <c r="O18" s="191"/>
      <c r="P18" s="192"/>
      <c r="Q18" s="193"/>
      <c r="R18" s="179"/>
      <c r="S18" s="194">
        <v>0.1</v>
      </c>
      <c r="T18" s="179"/>
      <c r="U18" s="179"/>
      <c r="V18" s="179"/>
      <c r="W18" s="179"/>
      <c r="X18" s="195">
        <f t="shared" ref="X18:X19" si="1">P18/S18</f>
        <v>0</v>
      </c>
      <c r="Y18" s="179"/>
      <c r="Z18" s="179"/>
      <c r="AA18" s="395"/>
      <c r="AB18" s="362"/>
      <c r="AC18" s="406">
        <v>100000</v>
      </c>
      <c r="AD18" s="362"/>
      <c r="AE18" s="362"/>
      <c r="AF18" s="386"/>
      <c r="AG18" s="406">
        <v>43265</v>
      </c>
      <c r="AH18" s="362"/>
      <c r="AI18" s="362"/>
      <c r="AJ18" s="386"/>
      <c r="AK18" s="361"/>
      <c r="AL18" s="362"/>
      <c r="AM18" s="362"/>
      <c r="AN18" s="386"/>
      <c r="AO18" s="418">
        <f t="shared" si="0"/>
        <v>143265</v>
      </c>
      <c r="AP18" s="362"/>
      <c r="AQ18" s="139"/>
      <c r="AR18" s="139"/>
      <c r="AS18" s="139"/>
    </row>
    <row r="19" spans="1:45" ht="15.75" customHeight="1">
      <c r="A19" s="471"/>
      <c r="B19" s="472"/>
      <c r="C19" s="473"/>
      <c r="D19" s="473"/>
      <c r="E19" s="462"/>
      <c r="F19" s="494"/>
      <c r="G19" s="197">
        <v>0.5</v>
      </c>
      <c r="H19" s="474"/>
      <c r="I19" s="198" t="s">
        <v>52</v>
      </c>
      <c r="J19" s="462"/>
      <c r="K19" s="462"/>
      <c r="L19" s="462"/>
      <c r="M19" s="462"/>
      <c r="N19" s="191"/>
      <c r="O19" s="191"/>
      <c r="P19" s="192"/>
      <c r="Q19" s="193"/>
      <c r="R19" s="179"/>
      <c r="S19" s="194">
        <v>0.1</v>
      </c>
      <c r="T19" s="179"/>
      <c r="U19" s="179"/>
      <c r="V19" s="179"/>
      <c r="W19" s="179"/>
      <c r="X19" s="195">
        <f t="shared" si="1"/>
        <v>0</v>
      </c>
      <c r="Y19" s="179"/>
      <c r="Z19" s="179"/>
      <c r="AA19" s="395"/>
      <c r="AB19" s="362"/>
      <c r="AC19" s="405">
        <v>133243</v>
      </c>
      <c r="AD19" s="362"/>
      <c r="AE19" s="362"/>
      <c r="AF19" s="386"/>
      <c r="AG19" s="405">
        <v>70000</v>
      </c>
      <c r="AH19" s="362"/>
      <c r="AI19" s="362"/>
      <c r="AJ19" s="386"/>
      <c r="AK19" s="405">
        <v>25980</v>
      </c>
      <c r="AL19" s="362"/>
      <c r="AM19" s="362"/>
      <c r="AN19" s="386"/>
      <c r="AO19" s="418">
        <f t="shared" si="0"/>
        <v>229223</v>
      </c>
      <c r="AP19" s="362"/>
      <c r="AQ19" s="139"/>
      <c r="AR19" s="139"/>
      <c r="AS19" s="139"/>
    </row>
    <row r="20" spans="1:45" ht="7.5" customHeight="1">
      <c r="A20" s="471"/>
      <c r="B20" s="472"/>
      <c r="C20" s="199"/>
      <c r="D20" s="200"/>
      <c r="E20" s="201"/>
      <c r="F20" s="202"/>
      <c r="G20" s="203"/>
      <c r="H20" s="202"/>
      <c r="I20" s="202"/>
      <c r="J20" s="202"/>
      <c r="K20" s="202"/>
      <c r="L20" s="204"/>
      <c r="M20" s="187"/>
      <c r="N20" s="204"/>
      <c r="O20" s="204"/>
      <c r="P20" s="205"/>
      <c r="Q20" s="206"/>
      <c r="R20" s="207"/>
      <c r="S20" s="207"/>
      <c r="T20" s="207"/>
      <c r="U20" s="207"/>
      <c r="V20" s="207"/>
      <c r="W20" s="208"/>
      <c r="X20" s="207"/>
      <c r="Y20" s="207"/>
      <c r="Z20" s="208"/>
      <c r="AA20" s="86"/>
      <c r="AB20" s="86"/>
      <c r="AC20" s="86"/>
      <c r="AD20" s="86"/>
      <c r="AE20" s="86"/>
      <c r="AF20" s="87"/>
      <c r="AG20" s="85"/>
      <c r="AH20" s="86"/>
      <c r="AI20" s="86"/>
      <c r="AJ20" s="87"/>
      <c r="AK20" s="85"/>
      <c r="AL20" s="86"/>
      <c r="AM20" s="86"/>
      <c r="AN20" s="87"/>
      <c r="AO20" s="137"/>
      <c r="AP20" s="137"/>
      <c r="AQ20" s="137"/>
      <c r="AR20" s="137"/>
      <c r="AS20" s="137"/>
    </row>
    <row r="21" spans="1:45" ht="15.75" customHeight="1">
      <c r="A21" s="471"/>
      <c r="B21" s="472"/>
      <c r="C21" s="484" t="s">
        <v>83</v>
      </c>
      <c r="D21" s="485">
        <v>0.4</v>
      </c>
      <c r="E21" s="460">
        <f>V43*D21</f>
        <v>764080</v>
      </c>
      <c r="F21" s="463" t="s">
        <v>129</v>
      </c>
      <c r="G21" s="486">
        <v>0.42</v>
      </c>
      <c r="H21" s="487">
        <f>E21*G21</f>
        <v>320913.59999999998</v>
      </c>
      <c r="I21" s="464" t="s">
        <v>52</v>
      </c>
      <c r="J21" s="198" t="s">
        <v>85</v>
      </c>
      <c r="K21" s="198" t="s">
        <v>86</v>
      </c>
      <c r="L21" s="209" t="s">
        <v>55</v>
      </c>
      <c r="M21" s="195">
        <v>1</v>
      </c>
      <c r="N21" s="210" t="s">
        <v>175</v>
      </c>
      <c r="O21" s="191">
        <v>0.2</v>
      </c>
      <c r="P21" s="192">
        <f>H21*O21</f>
        <v>64182.720000000001</v>
      </c>
      <c r="Q21" s="211" t="s">
        <v>87</v>
      </c>
      <c r="R21" s="179"/>
      <c r="S21" s="179"/>
      <c r="T21" s="179"/>
      <c r="U21" s="179"/>
      <c r="V21" s="194">
        <v>2.5</v>
      </c>
      <c r="W21" s="179"/>
      <c r="X21" s="179"/>
      <c r="Y21" s="179"/>
      <c r="Z21" s="195">
        <f t="shared" ref="Z21:Z22" si="2">P21/V21*1000</f>
        <v>25673088</v>
      </c>
      <c r="AA21" s="405">
        <v>25603</v>
      </c>
      <c r="AB21" s="362"/>
      <c r="AC21" s="405">
        <f>P21-AA21</f>
        <v>38579.72</v>
      </c>
      <c r="AD21" s="362"/>
      <c r="AE21" s="362"/>
      <c r="AF21" s="386"/>
      <c r="AG21" s="46"/>
      <c r="AH21" s="47"/>
      <c r="AI21" s="47"/>
      <c r="AJ21" s="48"/>
      <c r="AK21" s="46"/>
      <c r="AL21" s="47"/>
      <c r="AM21" s="47"/>
      <c r="AN21" s="48"/>
      <c r="AO21" s="138">
        <f>SUM(AA21:AN21)</f>
        <v>64182.720000000001</v>
      </c>
      <c r="AP21" s="139"/>
      <c r="AQ21" s="139"/>
      <c r="AR21" s="139"/>
      <c r="AS21" s="139"/>
    </row>
    <row r="22" spans="1:45" ht="15.75" customHeight="1">
      <c r="A22" s="471"/>
      <c r="B22" s="472"/>
      <c r="C22" s="461"/>
      <c r="D22" s="461"/>
      <c r="E22" s="461"/>
      <c r="F22" s="461"/>
      <c r="G22" s="461"/>
      <c r="H22" s="461"/>
      <c r="I22" s="461"/>
      <c r="J22" s="464" t="s">
        <v>88</v>
      </c>
      <c r="K22" s="464" t="s">
        <v>176</v>
      </c>
      <c r="L22" s="491" t="s">
        <v>149</v>
      </c>
      <c r="M22" s="480">
        <v>2</v>
      </c>
      <c r="N22" s="491"/>
      <c r="O22" s="483">
        <v>0.3</v>
      </c>
      <c r="P22" s="477">
        <f>H21*O22</f>
        <v>96274.079999999987</v>
      </c>
      <c r="Q22" s="490" t="s">
        <v>90</v>
      </c>
      <c r="R22" s="479">
        <v>0.5</v>
      </c>
      <c r="S22" s="179"/>
      <c r="T22" s="179"/>
      <c r="U22" s="179"/>
      <c r="V22" s="479">
        <v>2.5</v>
      </c>
      <c r="W22" s="480">
        <f>P22/R22</f>
        <v>192548.15999999997</v>
      </c>
      <c r="X22" s="179"/>
      <c r="Y22" s="179"/>
      <c r="Z22" s="480">
        <f t="shared" si="2"/>
        <v>38509632</v>
      </c>
      <c r="AA22" s="433"/>
      <c r="AB22" s="380"/>
      <c r="AC22" s="382">
        <v>74183</v>
      </c>
      <c r="AD22" s="380"/>
      <c r="AE22" s="380"/>
      <c r="AF22" s="383"/>
      <c r="AG22" s="382">
        <v>22091</v>
      </c>
      <c r="AH22" s="380"/>
      <c r="AI22" s="380"/>
      <c r="AJ22" s="383"/>
      <c r="AK22" s="46"/>
      <c r="AL22" s="47"/>
      <c r="AM22" s="47"/>
      <c r="AN22" s="48"/>
      <c r="AO22" s="420">
        <f>SUM(AA22:AN23)</f>
        <v>96274</v>
      </c>
      <c r="AP22" s="380"/>
      <c r="AQ22" s="139"/>
      <c r="AR22" s="139"/>
      <c r="AS22" s="139"/>
    </row>
    <row r="23" spans="1:45" ht="15.75" customHeight="1">
      <c r="A23" s="471"/>
      <c r="B23" s="472"/>
      <c r="C23" s="461"/>
      <c r="D23" s="461"/>
      <c r="E23" s="461"/>
      <c r="F23" s="461"/>
      <c r="G23" s="461"/>
      <c r="H23" s="461"/>
      <c r="I23" s="462"/>
      <c r="J23" s="461"/>
      <c r="K23" s="462"/>
      <c r="L23" s="462"/>
      <c r="M23" s="462"/>
      <c r="N23" s="462"/>
      <c r="O23" s="462"/>
      <c r="P23" s="462"/>
      <c r="Q23" s="462"/>
      <c r="R23" s="462"/>
      <c r="S23" s="179"/>
      <c r="T23" s="179"/>
      <c r="U23" s="179"/>
      <c r="V23" s="462"/>
      <c r="W23" s="462"/>
      <c r="X23" s="179"/>
      <c r="Y23" s="179"/>
      <c r="Z23" s="462"/>
      <c r="AA23" s="384"/>
      <c r="AB23" s="354"/>
      <c r="AC23" s="384"/>
      <c r="AD23" s="354"/>
      <c r="AE23" s="354"/>
      <c r="AF23" s="385"/>
      <c r="AG23" s="384"/>
      <c r="AH23" s="354"/>
      <c r="AI23" s="354"/>
      <c r="AJ23" s="385"/>
      <c r="AK23" s="46"/>
      <c r="AL23" s="47"/>
      <c r="AM23" s="47"/>
      <c r="AN23" s="48"/>
      <c r="AO23" s="384"/>
      <c r="AP23" s="354"/>
      <c r="AQ23" s="139"/>
      <c r="AR23" s="139"/>
      <c r="AS23" s="139"/>
    </row>
    <row r="24" spans="1:45" ht="15.75" customHeight="1">
      <c r="A24" s="471"/>
      <c r="B24" s="472"/>
      <c r="C24" s="461"/>
      <c r="D24" s="461"/>
      <c r="E24" s="461"/>
      <c r="F24" s="461"/>
      <c r="G24" s="461"/>
      <c r="H24" s="461"/>
      <c r="I24" s="464" t="s">
        <v>64</v>
      </c>
      <c r="J24" s="461"/>
      <c r="K24" s="464" t="s">
        <v>177</v>
      </c>
      <c r="L24" s="491" t="s">
        <v>149</v>
      </c>
      <c r="M24" s="480">
        <v>1</v>
      </c>
      <c r="N24" s="491"/>
      <c r="O24" s="483">
        <v>0.5</v>
      </c>
      <c r="P24" s="477">
        <f>H21*O24</f>
        <v>160456.79999999999</v>
      </c>
      <c r="Q24" s="490" t="s">
        <v>90</v>
      </c>
      <c r="R24" s="479">
        <v>0.5</v>
      </c>
      <c r="S24" s="179"/>
      <c r="T24" s="179"/>
      <c r="U24" s="179"/>
      <c r="V24" s="479">
        <v>2.5</v>
      </c>
      <c r="W24" s="480">
        <f>P24/R24</f>
        <v>320913.59999999998</v>
      </c>
      <c r="X24" s="179"/>
      <c r="Y24" s="179"/>
      <c r="Z24" s="480">
        <f>P24/V24*1000</f>
        <v>64182719.999999993</v>
      </c>
      <c r="AA24" s="433"/>
      <c r="AB24" s="380"/>
      <c r="AC24" s="403">
        <v>99169</v>
      </c>
      <c r="AD24" s="380"/>
      <c r="AE24" s="380"/>
      <c r="AF24" s="383"/>
      <c r="AG24" s="403">
        <v>37909</v>
      </c>
      <c r="AH24" s="380"/>
      <c r="AI24" s="380"/>
      <c r="AJ24" s="383"/>
      <c r="AK24" s="403">
        <v>23379</v>
      </c>
      <c r="AL24" s="380"/>
      <c r="AM24" s="380"/>
      <c r="AN24" s="383"/>
      <c r="AO24" s="420">
        <f>SUM(AC24:AN26)</f>
        <v>160457</v>
      </c>
      <c r="AP24" s="380"/>
      <c r="AQ24" s="139"/>
      <c r="AR24" s="139"/>
      <c r="AS24" s="139"/>
    </row>
    <row r="25" spans="1:45" ht="15.75" customHeight="1">
      <c r="A25" s="471"/>
      <c r="B25" s="472"/>
      <c r="C25" s="461"/>
      <c r="D25" s="461"/>
      <c r="E25" s="461"/>
      <c r="F25" s="461"/>
      <c r="G25" s="461"/>
      <c r="H25" s="461"/>
      <c r="I25" s="461"/>
      <c r="J25" s="461"/>
      <c r="K25" s="461"/>
      <c r="L25" s="461"/>
      <c r="M25" s="461"/>
      <c r="N25" s="461"/>
      <c r="O25" s="461"/>
      <c r="P25" s="461"/>
      <c r="Q25" s="461"/>
      <c r="R25" s="461"/>
      <c r="S25" s="179"/>
      <c r="T25" s="179"/>
      <c r="U25" s="179"/>
      <c r="V25" s="461"/>
      <c r="W25" s="461"/>
      <c r="X25" s="179"/>
      <c r="Y25" s="179"/>
      <c r="Z25" s="461"/>
      <c r="AA25" s="384"/>
      <c r="AB25" s="354"/>
      <c r="AC25" s="381"/>
      <c r="AD25" s="354"/>
      <c r="AE25" s="354"/>
      <c r="AF25" s="385"/>
      <c r="AG25" s="381"/>
      <c r="AH25" s="354"/>
      <c r="AI25" s="354"/>
      <c r="AJ25" s="385"/>
      <c r="AK25" s="381"/>
      <c r="AL25" s="354"/>
      <c r="AM25" s="354"/>
      <c r="AN25" s="385"/>
      <c r="AO25" s="384"/>
      <c r="AP25" s="354"/>
      <c r="AQ25" s="139"/>
      <c r="AR25" s="139"/>
      <c r="AS25" s="139"/>
    </row>
    <row r="26" spans="1:45" ht="36" customHeight="1">
      <c r="A26" s="471"/>
      <c r="B26" s="472"/>
      <c r="C26" s="461"/>
      <c r="D26" s="461"/>
      <c r="E26" s="461"/>
      <c r="F26" s="462"/>
      <c r="G26" s="462"/>
      <c r="H26" s="462"/>
      <c r="I26" s="462"/>
      <c r="J26" s="462"/>
      <c r="K26" s="462"/>
      <c r="L26" s="462"/>
      <c r="M26" s="462"/>
      <c r="N26" s="462"/>
      <c r="O26" s="462"/>
      <c r="P26" s="462"/>
      <c r="Q26" s="462"/>
      <c r="R26" s="462"/>
      <c r="S26" s="179"/>
      <c r="T26" s="179"/>
      <c r="U26" s="179"/>
      <c r="V26" s="462"/>
      <c r="W26" s="462"/>
      <c r="X26" s="179"/>
      <c r="Y26" s="179"/>
      <c r="Z26" s="462"/>
      <c r="AA26" s="384"/>
      <c r="AB26" s="354"/>
      <c r="AC26" s="381"/>
      <c r="AD26" s="354"/>
      <c r="AE26" s="354"/>
      <c r="AF26" s="385"/>
      <c r="AG26" s="381"/>
      <c r="AH26" s="354"/>
      <c r="AI26" s="354"/>
      <c r="AJ26" s="385"/>
      <c r="AK26" s="381"/>
      <c r="AL26" s="354"/>
      <c r="AM26" s="354"/>
      <c r="AN26" s="385"/>
      <c r="AO26" s="384"/>
      <c r="AP26" s="354"/>
      <c r="AQ26" s="138">
        <f>P24-AO24</f>
        <v>-0.20000000001164153</v>
      </c>
      <c r="AR26" s="139"/>
      <c r="AS26" s="139"/>
    </row>
    <row r="27" spans="1:45" ht="15.75" customHeight="1">
      <c r="A27" s="471"/>
      <c r="B27" s="472"/>
      <c r="C27" s="461"/>
      <c r="D27" s="461"/>
      <c r="E27" s="461"/>
      <c r="F27" s="464" t="s">
        <v>142</v>
      </c>
      <c r="G27" s="486">
        <v>0.26</v>
      </c>
      <c r="H27" s="487">
        <f>E21*G27</f>
        <v>198660.80000000002</v>
      </c>
      <c r="I27" s="464" t="s">
        <v>75</v>
      </c>
      <c r="J27" s="464" t="s">
        <v>143</v>
      </c>
      <c r="K27" s="464" t="s">
        <v>101</v>
      </c>
      <c r="L27" s="491" t="s">
        <v>55</v>
      </c>
      <c r="M27" s="480">
        <v>1</v>
      </c>
      <c r="N27" s="491"/>
      <c r="O27" s="483">
        <v>0.5</v>
      </c>
      <c r="P27" s="477">
        <f>H27*O27</f>
        <v>99330.400000000009</v>
      </c>
      <c r="Q27" s="478" t="s">
        <v>42</v>
      </c>
      <c r="R27" s="488"/>
      <c r="S27" s="179"/>
      <c r="T27" s="488"/>
      <c r="U27" s="488"/>
      <c r="V27" s="479">
        <v>6</v>
      </c>
      <c r="W27" s="497"/>
      <c r="X27" s="488"/>
      <c r="Y27" s="488"/>
      <c r="Z27" s="480">
        <f>P27/V27*1000</f>
        <v>16555066.66666667</v>
      </c>
      <c r="AA27" s="395"/>
      <c r="AB27" s="362"/>
      <c r="AC27" s="427">
        <v>76563</v>
      </c>
      <c r="AD27" s="380"/>
      <c r="AE27" s="380"/>
      <c r="AF27" s="383"/>
      <c r="AG27" s="427">
        <v>22767</v>
      </c>
      <c r="AH27" s="380"/>
      <c r="AI27" s="380"/>
      <c r="AJ27" s="383"/>
      <c r="AK27" s="422"/>
      <c r="AL27" s="380"/>
      <c r="AM27" s="380"/>
      <c r="AN27" s="383"/>
      <c r="AO27" s="421"/>
      <c r="AP27" s="362"/>
      <c r="AQ27" s="139"/>
      <c r="AR27" s="139"/>
      <c r="AS27" s="139"/>
    </row>
    <row r="28" spans="1:45" ht="15.75" customHeight="1">
      <c r="A28" s="471"/>
      <c r="B28" s="472"/>
      <c r="C28" s="461"/>
      <c r="D28" s="461"/>
      <c r="E28" s="461"/>
      <c r="F28" s="461"/>
      <c r="G28" s="461"/>
      <c r="H28" s="461"/>
      <c r="I28" s="461"/>
      <c r="J28" s="461"/>
      <c r="K28" s="462"/>
      <c r="L28" s="461"/>
      <c r="M28" s="461"/>
      <c r="N28" s="461"/>
      <c r="O28" s="462"/>
      <c r="P28" s="462"/>
      <c r="Q28" s="462"/>
      <c r="R28" s="462"/>
      <c r="S28" s="179"/>
      <c r="T28" s="462"/>
      <c r="U28" s="462"/>
      <c r="V28" s="462"/>
      <c r="W28" s="462"/>
      <c r="X28" s="462"/>
      <c r="Y28" s="462"/>
      <c r="Z28" s="462"/>
      <c r="AA28" s="47"/>
      <c r="AB28" s="47"/>
      <c r="AC28" s="384"/>
      <c r="AD28" s="354"/>
      <c r="AE28" s="354"/>
      <c r="AF28" s="385"/>
      <c r="AG28" s="384"/>
      <c r="AH28" s="354"/>
      <c r="AI28" s="354"/>
      <c r="AJ28" s="385"/>
      <c r="AK28" s="381"/>
      <c r="AL28" s="354"/>
      <c r="AM28" s="354"/>
      <c r="AN28" s="385"/>
      <c r="AO28" s="138">
        <f t="shared" ref="AO28:AO29" si="3">SUM(AA27:AN28)</f>
        <v>99330</v>
      </c>
      <c r="AP28" s="139"/>
      <c r="AQ28" s="138">
        <f>AO29-AO28</f>
        <v>0</v>
      </c>
      <c r="AR28" s="139"/>
      <c r="AS28" s="139"/>
    </row>
    <row r="29" spans="1:45" ht="43.5" customHeight="1">
      <c r="A29" s="471"/>
      <c r="B29" s="472"/>
      <c r="C29" s="461"/>
      <c r="D29" s="461"/>
      <c r="E29" s="461"/>
      <c r="F29" s="462"/>
      <c r="G29" s="462"/>
      <c r="H29" s="462"/>
      <c r="I29" s="462"/>
      <c r="J29" s="462"/>
      <c r="K29" s="212" t="s">
        <v>144</v>
      </c>
      <c r="L29" s="462"/>
      <c r="M29" s="462"/>
      <c r="N29" s="462"/>
      <c r="O29" s="191">
        <v>0.5</v>
      </c>
      <c r="P29" s="192">
        <f>H27*O29</f>
        <v>99330.400000000009</v>
      </c>
      <c r="Q29" s="196" t="s">
        <v>41</v>
      </c>
      <c r="R29" s="179"/>
      <c r="S29" s="179"/>
      <c r="T29" s="179"/>
      <c r="U29" s="194">
        <v>0.8</v>
      </c>
      <c r="V29" s="179"/>
      <c r="W29" s="213"/>
      <c r="X29" s="179"/>
      <c r="Y29" s="195">
        <f>P29/U29</f>
        <v>124163</v>
      </c>
      <c r="Z29" s="179"/>
      <c r="AA29" s="47"/>
      <c r="AB29" s="47"/>
      <c r="AC29" s="409">
        <v>59330</v>
      </c>
      <c r="AD29" s="362"/>
      <c r="AE29" s="362"/>
      <c r="AF29" s="386"/>
      <c r="AG29" s="409">
        <v>20000</v>
      </c>
      <c r="AH29" s="362"/>
      <c r="AI29" s="362"/>
      <c r="AJ29" s="386"/>
      <c r="AK29" s="409">
        <v>20000</v>
      </c>
      <c r="AL29" s="362"/>
      <c r="AM29" s="362"/>
      <c r="AN29" s="386"/>
      <c r="AO29" s="138">
        <f t="shared" si="3"/>
        <v>99330</v>
      </c>
      <c r="AP29" s="139"/>
      <c r="AQ29" s="138">
        <f>P29-AO29</f>
        <v>0.40000000000873115</v>
      </c>
      <c r="AR29" s="139"/>
      <c r="AS29" s="139"/>
    </row>
    <row r="30" spans="1:45" ht="10.5" customHeight="1">
      <c r="A30" s="471"/>
      <c r="B30" s="472"/>
      <c r="C30" s="461"/>
      <c r="D30" s="461"/>
      <c r="E30" s="461"/>
      <c r="F30" s="185"/>
      <c r="G30" s="214"/>
      <c r="H30" s="215"/>
      <c r="I30" s="185"/>
      <c r="J30" s="185"/>
      <c r="K30" s="185"/>
      <c r="L30" s="189"/>
      <c r="M30" s="187"/>
      <c r="N30" s="189"/>
      <c r="O30" s="186"/>
      <c r="P30" s="188"/>
      <c r="Q30" s="189"/>
      <c r="R30" s="190"/>
      <c r="S30" s="190"/>
      <c r="T30" s="190"/>
      <c r="U30" s="190"/>
      <c r="V30" s="190"/>
      <c r="W30" s="187"/>
      <c r="X30" s="190"/>
      <c r="Y30" s="190"/>
      <c r="Z30" s="187"/>
      <c r="AA30" s="66"/>
      <c r="AB30" s="66"/>
      <c r="AC30" s="66"/>
      <c r="AD30" s="66"/>
      <c r="AE30" s="66"/>
      <c r="AF30" s="67"/>
      <c r="AG30" s="65"/>
      <c r="AH30" s="66"/>
      <c r="AI30" s="66"/>
      <c r="AJ30" s="67"/>
      <c r="AK30" s="65"/>
      <c r="AL30" s="66"/>
      <c r="AM30" s="66"/>
      <c r="AN30" s="67"/>
      <c r="AO30" s="136"/>
      <c r="AP30" s="136"/>
      <c r="AQ30" s="136"/>
      <c r="AR30" s="136"/>
      <c r="AS30" s="136"/>
    </row>
    <row r="31" spans="1:45" ht="15.75" customHeight="1">
      <c r="A31" s="471"/>
      <c r="B31" s="472"/>
      <c r="C31" s="461"/>
      <c r="D31" s="461"/>
      <c r="E31" s="461"/>
      <c r="F31" s="464" t="s">
        <v>102</v>
      </c>
      <c r="G31" s="486">
        <v>0.12</v>
      </c>
      <c r="H31" s="465">
        <f>E21*G31</f>
        <v>91689.599999999991</v>
      </c>
      <c r="I31" s="464" t="s">
        <v>70</v>
      </c>
      <c r="J31" s="464" t="s">
        <v>103</v>
      </c>
      <c r="K31" s="464" t="s">
        <v>179</v>
      </c>
      <c r="L31" s="478" t="s">
        <v>154</v>
      </c>
      <c r="M31" s="480">
        <v>1</v>
      </c>
      <c r="N31" s="478"/>
      <c r="O31" s="483">
        <v>1</v>
      </c>
      <c r="P31" s="477">
        <f>H31*O31</f>
        <v>91689.599999999991</v>
      </c>
      <c r="Q31" s="478" t="s">
        <v>58</v>
      </c>
      <c r="R31" s="179"/>
      <c r="S31" s="179"/>
      <c r="T31" s="179"/>
      <c r="U31" s="179"/>
      <c r="V31" s="479">
        <f>45/18.77</f>
        <v>2.3974427277570594</v>
      </c>
      <c r="W31" s="213"/>
      <c r="X31" s="179"/>
      <c r="Y31" s="179"/>
      <c r="Z31" s="480">
        <f>P31/V31*1000</f>
        <v>38244750.93333333</v>
      </c>
      <c r="AA31" s="382">
        <v>40000</v>
      </c>
      <c r="AB31" s="380"/>
      <c r="AC31" s="382">
        <v>51690</v>
      </c>
      <c r="AD31" s="380"/>
      <c r="AE31" s="380"/>
      <c r="AF31" s="380"/>
      <c r="AG31" s="361"/>
      <c r="AH31" s="362"/>
      <c r="AI31" s="362"/>
      <c r="AJ31" s="386"/>
      <c r="AK31" s="379"/>
      <c r="AL31" s="380"/>
      <c r="AM31" s="380"/>
      <c r="AN31" s="383"/>
      <c r="AO31" s="420">
        <f>SUM(AA30:AN31)</f>
        <v>91690</v>
      </c>
      <c r="AP31" s="380"/>
      <c r="AQ31" s="139"/>
      <c r="AR31" s="139"/>
      <c r="AS31" s="139"/>
    </row>
    <row r="32" spans="1:45" ht="15.75" customHeight="1">
      <c r="A32" s="471"/>
      <c r="B32" s="472"/>
      <c r="C32" s="461"/>
      <c r="D32" s="461"/>
      <c r="E32" s="461"/>
      <c r="F32" s="461"/>
      <c r="G32" s="461"/>
      <c r="H32" s="461"/>
      <c r="I32" s="461"/>
      <c r="J32" s="461"/>
      <c r="K32" s="461"/>
      <c r="L32" s="461"/>
      <c r="M32" s="461"/>
      <c r="N32" s="461"/>
      <c r="O32" s="461"/>
      <c r="P32" s="461"/>
      <c r="Q32" s="461"/>
      <c r="R32" s="179"/>
      <c r="S32" s="179"/>
      <c r="T32" s="179"/>
      <c r="U32" s="179"/>
      <c r="V32" s="461"/>
      <c r="W32" s="213"/>
      <c r="X32" s="179"/>
      <c r="Y32" s="179"/>
      <c r="Z32" s="461"/>
      <c r="AA32" s="384"/>
      <c r="AB32" s="354"/>
      <c r="AC32" s="384"/>
      <c r="AD32" s="354"/>
      <c r="AE32" s="354"/>
      <c r="AF32" s="354"/>
      <c r="AG32" s="361"/>
      <c r="AH32" s="362"/>
      <c r="AI32" s="362"/>
      <c r="AJ32" s="386"/>
      <c r="AK32" s="381"/>
      <c r="AL32" s="354"/>
      <c r="AM32" s="354"/>
      <c r="AN32" s="385"/>
      <c r="AO32" s="384"/>
      <c r="AP32" s="354"/>
      <c r="AQ32" s="138">
        <f>P31-AO31</f>
        <v>-0.40000000000873115</v>
      </c>
      <c r="AR32" s="139"/>
      <c r="AS32" s="139"/>
    </row>
    <row r="33" spans="1:45" ht="15.75" customHeight="1">
      <c r="A33" s="471"/>
      <c r="B33" s="472"/>
      <c r="C33" s="461"/>
      <c r="D33" s="461"/>
      <c r="E33" s="461"/>
      <c r="F33" s="462"/>
      <c r="G33" s="462"/>
      <c r="H33" s="462"/>
      <c r="I33" s="462"/>
      <c r="J33" s="462"/>
      <c r="K33" s="462"/>
      <c r="L33" s="462"/>
      <c r="M33" s="462"/>
      <c r="N33" s="462"/>
      <c r="O33" s="462"/>
      <c r="P33" s="462"/>
      <c r="Q33" s="462"/>
      <c r="R33" s="179"/>
      <c r="S33" s="179"/>
      <c r="T33" s="179"/>
      <c r="U33" s="179"/>
      <c r="V33" s="462"/>
      <c r="W33" s="213"/>
      <c r="X33" s="179"/>
      <c r="Y33" s="179"/>
      <c r="Z33" s="462"/>
      <c r="AA33" s="384"/>
      <c r="AB33" s="354"/>
      <c r="AC33" s="384"/>
      <c r="AD33" s="354"/>
      <c r="AE33" s="354"/>
      <c r="AF33" s="354"/>
      <c r="AG33" s="361"/>
      <c r="AH33" s="362"/>
      <c r="AI33" s="362"/>
      <c r="AJ33" s="386"/>
      <c r="AK33" s="381"/>
      <c r="AL33" s="354"/>
      <c r="AM33" s="354"/>
      <c r="AN33" s="385"/>
      <c r="AO33" s="384"/>
      <c r="AP33" s="354"/>
      <c r="AQ33" s="139"/>
      <c r="AR33" s="139"/>
      <c r="AS33" s="139"/>
    </row>
    <row r="34" spans="1:45" ht="12" customHeight="1">
      <c r="A34" s="471"/>
      <c r="B34" s="472"/>
      <c r="C34" s="461"/>
      <c r="D34" s="461"/>
      <c r="E34" s="461"/>
      <c r="F34" s="185"/>
      <c r="G34" s="214"/>
      <c r="H34" s="215"/>
      <c r="I34" s="185"/>
      <c r="J34" s="185"/>
      <c r="K34" s="185"/>
      <c r="L34" s="189"/>
      <c r="M34" s="187"/>
      <c r="N34" s="189"/>
      <c r="O34" s="186"/>
      <c r="P34" s="188"/>
      <c r="Q34" s="189"/>
      <c r="R34" s="190"/>
      <c r="S34" s="190"/>
      <c r="T34" s="190"/>
      <c r="U34" s="190"/>
      <c r="V34" s="190"/>
      <c r="W34" s="187"/>
      <c r="X34" s="190"/>
      <c r="Y34" s="187"/>
      <c r="Z34" s="187"/>
      <c r="AA34" s="66"/>
      <c r="AB34" s="66"/>
      <c r="AC34" s="66"/>
      <c r="AD34" s="66"/>
      <c r="AE34" s="66"/>
      <c r="AF34" s="66"/>
      <c r="AG34" s="65"/>
      <c r="AH34" s="66"/>
      <c r="AI34" s="66"/>
      <c r="AJ34" s="67"/>
      <c r="AK34" s="65"/>
      <c r="AL34" s="66"/>
      <c r="AM34" s="66"/>
      <c r="AN34" s="67"/>
      <c r="AO34" s="136"/>
      <c r="AP34" s="136"/>
      <c r="AQ34" s="136"/>
      <c r="AR34" s="136"/>
      <c r="AS34" s="136"/>
    </row>
    <row r="35" spans="1:45" ht="88.5" customHeight="1">
      <c r="A35" s="473"/>
      <c r="B35" s="474"/>
      <c r="C35" s="462"/>
      <c r="D35" s="462"/>
      <c r="E35" s="462"/>
      <c r="F35" s="198" t="s">
        <v>107</v>
      </c>
      <c r="G35" s="216">
        <v>0.2</v>
      </c>
      <c r="H35" s="217">
        <f>E21*G35</f>
        <v>152816</v>
      </c>
      <c r="I35" s="198" t="s">
        <v>75</v>
      </c>
      <c r="J35" s="198" t="s">
        <v>108</v>
      </c>
      <c r="K35" s="198" t="s">
        <v>109</v>
      </c>
      <c r="L35" s="193" t="s">
        <v>110</v>
      </c>
      <c r="M35" s="195">
        <v>1</v>
      </c>
      <c r="N35" s="196" t="s">
        <v>183</v>
      </c>
      <c r="O35" s="191">
        <v>1</v>
      </c>
      <c r="P35" s="192">
        <f>H35*O35</f>
        <v>152816</v>
      </c>
      <c r="Q35" s="193" t="s">
        <v>111</v>
      </c>
      <c r="R35" s="179"/>
      <c r="S35" s="179"/>
      <c r="T35" s="179"/>
      <c r="U35" s="179"/>
      <c r="V35" s="194">
        <v>4.8499999999999996</v>
      </c>
      <c r="W35" s="213"/>
      <c r="X35" s="179"/>
      <c r="Y35" s="179"/>
      <c r="Z35" s="195">
        <f>P35/V35*1000</f>
        <v>31508453.608247425</v>
      </c>
      <c r="AA35" s="405">
        <v>32474</v>
      </c>
      <c r="AB35" s="362"/>
      <c r="AC35" s="405">
        <f>70649+5281</f>
        <v>75930</v>
      </c>
      <c r="AD35" s="362"/>
      <c r="AE35" s="362"/>
      <c r="AF35" s="362"/>
      <c r="AG35" s="405">
        <v>34000</v>
      </c>
      <c r="AH35" s="362"/>
      <c r="AI35" s="362"/>
      <c r="AJ35" s="362"/>
      <c r="AK35" s="405">
        <f>10413</f>
        <v>10413</v>
      </c>
      <c r="AL35" s="362"/>
      <c r="AM35" s="362"/>
      <c r="AN35" s="362"/>
      <c r="AO35" s="418">
        <f>SUM(AA34:AN35)</f>
        <v>152817</v>
      </c>
      <c r="AP35" s="362"/>
      <c r="AQ35" s="139"/>
      <c r="AR35" s="139"/>
      <c r="AS35" s="139"/>
    </row>
    <row r="36" spans="1:45" ht="15.75" customHeight="1">
      <c r="A36" s="145" t="s">
        <v>112</v>
      </c>
      <c r="B36" s="145"/>
      <c r="C36" s="145"/>
      <c r="D36" s="145"/>
      <c r="E36" s="146">
        <f>SUM(E13:E35)</f>
        <v>1910200</v>
      </c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6">
        <f>SUM(P13:P35)+P11</f>
        <v>1107916</v>
      </c>
      <c r="Q36" s="145"/>
      <c r="R36" s="148"/>
      <c r="S36" s="148"/>
      <c r="T36" s="148"/>
      <c r="U36" s="148"/>
      <c r="V36" s="148"/>
      <c r="W36" s="107" t="e">
        <f>W13+#REF!+#REF!+#REF!+W22+W24+W26</f>
        <v>#REF!</v>
      </c>
      <c r="X36" s="107">
        <f>X16+X18+X19</f>
        <v>0</v>
      </c>
      <c r="Y36" s="107">
        <f>Y29</f>
        <v>124163</v>
      </c>
      <c r="Z36" s="107" t="e">
        <f>Z13+#REF!+#REF!+#REF!+Z16+Z17+Z18+Z19+Z22+Z24+Z26+Z31+Z35+Z21+Z11</f>
        <v>#REF!</v>
      </c>
      <c r="AA36" s="419">
        <f>SUM(AA11:AB35)</f>
        <v>166844.20000000001</v>
      </c>
      <c r="AB36" s="362"/>
      <c r="AC36" s="419">
        <f>SUM(AC11:AF35)</f>
        <v>858687.72</v>
      </c>
      <c r="AD36" s="362"/>
      <c r="AE36" s="362"/>
      <c r="AF36" s="362"/>
      <c r="AG36" s="419">
        <f>SUM(AG11:AJ35)</f>
        <v>480032</v>
      </c>
      <c r="AH36" s="362"/>
      <c r="AI36" s="362"/>
      <c r="AJ36" s="362"/>
      <c r="AK36" s="419">
        <f>SUM(AK11:AN35)</f>
        <v>175412</v>
      </c>
      <c r="AL36" s="362"/>
      <c r="AM36" s="362"/>
      <c r="AN36" s="362"/>
      <c r="AO36" s="419">
        <f>AA36+AC36+AG36+AK36</f>
        <v>1680975.92</v>
      </c>
      <c r="AP36" s="362"/>
      <c r="AQ36" s="146"/>
      <c r="AR36" s="146"/>
      <c r="AS36" s="146"/>
    </row>
    <row r="37" spans="1:45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16"/>
      <c r="R38" s="116"/>
      <c r="S38" s="116"/>
      <c r="T38" s="116"/>
      <c r="U38" s="116"/>
      <c r="V38" s="116"/>
      <c r="W38" s="149"/>
      <c r="X38" s="117"/>
      <c r="Y38" s="116"/>
      <c r="Z38" s="116"/>
      <c r="AA38" s="116"/>
      <c r="AB38" s="116"/>
      <c r="AC38" s="116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ht="15.75" customHeight="1">
      <c r="A39" s="3"/>
      <c r="B39" s="3"/>
      <c r="C39" s="3"/>
      <c r="D39" s="3"/>
      <c r="E39" s="3"/>
      <c r="N39" s="3"/>
      <c r="O39" s="3"/>
      <c r="P39" s="116"/>
      <c r="Q39" s="116"/>
      <c r="R39" s="116"/>
      <c r="S39" s="116"/>
      <c r="T39" s="116"/>
      <c r="U39" s="116"/>
      <c r="V39" s="116"/>
      <c r="W39" s="117"/>
      <c r="X39" s="117"/>
      <c r="Y39" s="117"/>
      <c r="Z39" s="117"/>
      <c r="AA39" s="116"/>
      <c r="AB39" s="439"/>
      <c r="AC39" s="354"/>
      <c r="AD39" s="3"/>
      <c r="AE39" s="3"/>
      <c r="AF39" s="3"/>
      <c r="AG39" s="3"/>
      <c r="AH39" s="415"/>
      <c r="AI39" s="354"/>
      <c r="AJ39" s="354"/>
      <c r="AK39" s="354"/>
      <c r="AL39" s="3"/>
      <c r="AM39" s="3"/>
      <c r="AN39" s="3"/>
      <c r="AO39" s="3"/>
      <c r="AP39" s="3"/>
      <c r="AQ39" s="3"/>
      <c r="AR39" s="3"/>
      <c r="AS39" s="3"/>
    </row>
    <row r="40" spans="1:45" ht="15.75" customHeight="1">
      <c r="A40" s="3"/>
      <c r="B40" s="3"/>
      <c r="C40" s="3"/>
      <c r="D40" s="3"/>
      <c r="E40" s="3"/>
      <c r="N40" s="3"/>
      <c r="O40" s="3"/>
      <c r="P40" s="458" t="s">
        <v>180</v>
      </c>
      <c r="Q40" s="380"/>
      <c r="R40" s="380"/>
      <c r="S40" s="380"/>
      <c r="T40" s="380"/>
      <c r="U40" s="380"/>
      <c r="V40" s="116"/>
      <c r="W40" s="117"/>
      <c r="X40" s="117"/>
      <c r="Y40" s="169"/>
      <c r="Z40" s="169"/>
      <c r="AA40" s="150"/>
      <c r="AB40" s="150"/>
      <c r="AC40" s="116"/>
      <c r="AD40" s="117"/>
      <c r="AE40" s="3"/>
      <c r="AF40" s="3"/>
      <c r="AG40" s="3"/>
      <c r="AH40" s="354"/>
      <c r="AI40" s="354"/>
      <c r="AJ40" s="354"/>
      <c r="AK40" s="354"/>
      <c r="AL40" s="3"/>
      <c r="AM40" s="3"/>
      <c r="AN40" s="3"/>
      <c r="AO40" s="3"/>
      <c r="AP40" s="3"/>
      <c r="AQ40" s="3"/>
      <c r="AR40" s="3"/>
      <c r="AS40" s="3"/>
    </row>
    <row r="41" spans="1:45" ht="15.75" customHeight="1">
      <c r="A41" s="3"/>
      <c r="B41" s="3"/>
      <c r="C41" s="3"/>
      <c r="D41" s="3"/>
      <c r="E41" s="3"/>
      <c r="N41" s="3"/>
      <c r="O41" s="3"/>
      <c r="P41" s="384"/>
      <c r="Q41" s="354"/>
      <c r="R41" s="354"/>
      <c r="S41" s="354"/>
      <c r="T41" s="354"/>
      <c r="U41" s="354"/>
      <c r="V41" s="116"/>
      <c r="W41" s="117"/>
      <c r="X41" s="117"/>
      <c r="Y41" s="169"/>
      <c r="Z41" s="169"/>
      <c r="AA41" s="429" t="s">
        <v>113</v>
      </c>
      <c r="AB41" s="354"/>
      <c r="AC41" s="116"/>
      <c r="AD41" s="117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 ht="15.75" customHeight="1">
      <c r="A42" s="3"/>
      <c r="B42" s="3"/>
      <c r="C42" s="3"/>
      <c r="D42" s="111"/>
      <c r="E42" s="3"/>
      <c r="F42" s="3"/>
      <c r="G42" s="3"/>
      <c r="H42" s="3"/>
      <c r="I42" s="3"/>
      <c r="J42" s="3"/>
      <c r="K42" s="3"/>
      <c r="L42" s="3"/>
      <c r="M42" s="3"/>
      <c r="N42" s="155"/>
      <c r="O42" s="155"/>
      <c r="P42" s="156" t="s">
        <v>155</v>
      </c>
      <c r="Q42" s="434" t="s">
        <v>156</v>
      </c>
      <c r="R42" s="435"/>
      <c r="S42" s="156" t="s">
        <v>157</v>
      </c>
      <c r="T42" s="157" t="s">
        <v>158</v>
      </c>
      <c r="U42" s="156" t="s">
        <v>159</v>
      </c>
      <c r="V42" s="116"/>
      <c r="W42" s="117"/>
      <c r="X42" s="117"/>
      <c r="Y42" s="169"/>
      <c r="Z42" s="170" t="s">
        <v>130</v>
      </c>
      <c r="AA42" s="457">
        <f>AA36</f>
        <v>166844.20000000001</v>
      </c>
      <c r="AB42" s="354"/>
      <c r="AC42" s="116"/>
      <c r="AD42" s="117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ht="15.75" customHeight="1">
      <c r="A43" s="3"/>
      <c r="B43" s="3"/>
      <c r="C43" s="3"/>
      <c r="D43" s="112"/>
      <c r="E43" s="3"/>
      <c r="F43" s="3"/>
      <c r="G43" s="3"/>
      <c r="H43" s="3"/>
      <c r="I43" s="3"/>
      <c r="J43" s="3"/>
      <c r="K43" s="3"/>
      <c r="L43" s="3"/>
      <c r="M43" s="3"/>
      <c r="N43" s="158"/>
      <c r="O43" s="158" t="s">
        <v>160</v>
      </c>
      <c r="P43" s="159"/>
      <c r="Q43" s="459">
        <v>166844</v>
      </c>
      <c r="R43" s="354"/>
      <c r="S43" s="171">
        <v>958688</v>
      </c>
      <c r="T43" s="172">
        <v>564268</v>
      </c>
      <c r="U43" s="171">
        <v>220400</v>
      </c>
      <c r="V43" s="173">
        <f>Q43+S43+T43+U43</f>
        <v>1910200</v>
      </c>
      <c r="W43" s="117"/>
      <c r="X43" s="117"/>
      <c r="Y43" s="169"/>
      <c r="Z43" s="169" t="s">
        <v>118</v>
      </c>
      <c r="AA43" s="457">
        <f>AC36</f>
        <v>858687.72</v>
      </c>
      <c r="AB43" s="354"/>
      <c r="AC43" s="116"/>
      <c r="AD43" s="117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ht="15.75" customHeight="1">
      <c r="A44" s="3"/>
      <c r="B44" s="111"/>
      <c r="C44" s="111"/>
      <c r="D44" s="11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16" t="e">
        <f>#REF!+#REF!+#REF!+P17+P18+P2+P24+P25+P26</f>
        <v>#REF!</v>
      </c>
      <c r="Q44" s="116" t="s">
        <v>117</v>
      </c>
      <c r="R44" s="116"/>
      <c r="S44" s="116"/>
      <c r="T44" s="116"/>
      <c r="U44" s="116"/>
      <c r="V44" s="116"/>
      <c r="W44" s="117"/>
      <c r="X44" s="117"/>
      <c r="Y44" s="169"/>
      <c r="Z44" s="169" t="s">
        <v>120</v>
      </c>
      <c r="AA44" s="457">
        <f>AG36</f>
        <v>480032</v>
      </c>
      <c r="AB44" s="354"/>
      <c r="AC44" s="116"/>
      <c r="AD44" s="117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45" ht="15.75" customHeight="1">
      <c r="A45" s="3"/>
      <c r="B45" s="115"/>
      <c r="C45" s="115"/>
      <c r="D45" s="109"/>
      <c r="E45" s="3"/>
      <c r="F45" s="3"/>
      <c r="G45" s="112"/>
      <c r="H45" s="3"/>
      <c r="I45" s="3"/>
      <c r="J45" s="3"/>
      <c r="K45" s="3"/>
      <c r="L45" s="3"/>
      <c r="M45" s="3"/>
      <c r="N45" s="3"/>
      <c r="O45" s="3"/>
      <c r="P45" s="116" t="e">
        <f>#REF!+#REF!</f>
        <v>#REF!</v>
      </c>
      <c r="Q45" s="116"/>
      <c r="R45" s="116" t="e">
        <f>P44</f>
        <v>#REF!</v>
      </c>
      <c r="S45" s="116"/>
      <c r="T45" s="116"/>
      <c r="U45" s="116"/>
      <c r="V45" s="116"/>
      <c r="W45" s="117"/>
      <c r="X45" s="117"/>
      <c r="Y45" s="169"/>
      <c r="Z45" s="169" t="s">
        <v>123</v>
      </c>
      <c r="AA45" s="457">
        <f>AK36</f>
        <v>175412</v>
      </c>
      <c r="AB45" s="354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 ht="15.75" customHeight="1">
      <c r="A46" s="3"/>
      <c r="B46" s="115"/>
      <c r="C46" s="115"/>
      <c r="D46" s="109"/>
      <c r="E46" s="3"/>
      <c r="F46" s="3"/>
      <c r="G46" s="109"/>
      <c r="H46" s="3"/>
      <c r="I46" s="3"/>
      <c r="J46" s="3"/>
      <c r="K46" s="3"/>
      <c r="L46" s="3"/>
      <c r="M46" s="3"/>
      <c r="N46" s="3"/>
      <c r="O46" s="3"/>
      <c r="P46" s="118">
        <f>P31+P32+P33</f>
        <v>91689.599999999991</v>
      </c>
      <c r="Q46" s="116" t="s">
        <v>122</v>
      </c>
      <c r="R46" s="119"/>
      <c r="S46" s="116"/>
      <c r="T46" s="116"/>
      <c r="U46" s="116"/>
      <c r="V46" s="116"/>
      <c r="W46" s="117"/>
      <c r="X46" s="117"/>
      <c r="Y46" s="169"/>
      <c r="Z46" s="169"/>
      <c r="AA46" s="457"/>
      <c r="AB46" s="354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 ht="15.75" customHeight="1">
      <c r="A47" s="3"/>
      <c r="B47" s="115"/>
      <c r="C47" s="115"/>
      <c r="D47" s="109"/>
      <c r="E47" s="3"/>
      <c r="F47" s="3"/>
      <c r="G47" s="109"/>
      <c r="H47" s="3"/>
      <c r="I47" s="3"/>
      <c r="J47" s="3"/>
      <c r="K47" s="3"/>
      <c r="L47" s="3"/>
      <c r="M47" s="3"/>
      <c r="N47" s="3"/>
      <c r="O47" s="3"/>
      <c r="P47" s="118">
        <f>P27</f>
        <v>99330.400000000009</v>
      </c>
      <c r="Q47" s="116" t="s">
        <v>125</v>
      </c>
      <c r="R47" s="116"/>
      <c r="S47" s="116"/>
      <c r="T47" s="116"/>
      <c r="U47" s="116">
        <v>1200000</v>
      </c>
      <c r="V47" s="116"/>
      <c r="W47" s="117"/>
      <c r="X47" s="117"/>
      <c r="Y47" s="169"/>
      <c r="Z47" s="169"/>
      <c r="AA47" s="457"/>
      <c r="AB47" s="354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 ht="15.75" customHeight="1">
      <c r="A48" s="3"/>
      <c r="B48" s="115"/>
      <c r="C48" s="115"/>
      <c r="D48" s="109"/>
      <c r="E48" s="3"/>
      <c r="F48" s="3"/>
      <c r="G48" s="109"/>
      <c r="H48" s="3"/>
      <c r="I48" s="3"/>
      <c r="J48" s="3"/>
      <c r="K48" s="3"/>
      <c r="L48" s="3"/>
      <c r="M48" s="3"/>
      <c r="N48" s="3"/>
      <c r="O48" s="3"/>
      <c r="P48" s="218" t="e">
        <f>P43+P44+P45+P46+P47</f>
        <v>#REF!</v>
      </c>
      <c r="Q48" s="116"/>
      <c r="R48" s="116"/>
      <c r="S48" s="116"/>
      <c r="T48" s="116"/>
      <c r="U48" s="116">
        <v>179414</v>
      </c>
      <c r="V48" s="116"/>
      <c r="W48" s="117"/>
      <c r="X48" s="117"/>
      <c r="Y48" s="169"/>
      <c r="Z48" s="169"/>
      <c r="AA48" s="457"/>
      <c r="AB48" s="354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 ht="15.75" customHeight="1">
      <c r="A49" s="3"/>
      <c r="B49" s="111"/>
      <c r="C49" s="111"/>
      <c r="D49" s="3"/>
      <c r="E49" s="3"/>
      <c r="F49" s="3"/>
      <c r="G49" s="109"/>
      <c r="H49" s="3"/>
      <c r="I49" s="3"/>
      <c r="J49" s="3"/>
      <c r="K49" s="3"/>
      <c r="L49" s="3"/>
      <c r="M49" s="3"/>
      <c r="N49" s="3"/>
      <c r="O49" s="3"/>
      <c r="P49" s="116"/>
      <c r="Q49" s="116"/>
      <c r="R49" s="116"/>
      <c r="S49" s="116"/>
      <c r="T49" s="116"/>
      <c r="U49" s="116"/>
      <c r="V49" s="116"/>
      <c r="W49" s="117"/>
      <c r="X49" s="117"/>
      <c r="Y49" s="169"/>
      <c r="Z49" s="169"/>
      <c r="AA49" s="150"/>
      <c r="AB49" s="150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15.75" customHeight="1">
      <c r="A50" s="3"/>
      <c r="B50" s="111"/>
      <c r="C50" s="11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16"/>
      <c r="Q50" s="116"/>
      <c r="R50" s="116"/>
      <c r="S50" s="116"/>
      <c r="T50" s="116"/>
      <c r="U50" s="116"/>
      <c r="V50" s="116"/>
      <c r="W50" s="117"/>
      <c r="X50" s="117"/>
      <c r="Y50" s="169"/>
      <c r="Z50" s="169"/>
      <c r="AA50" s="150"/>
      <c r="AB50" s="150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 ht="15.75" customHeight="1">
      <c r="A51" s="3"/>
      <c r="B51" s="111"/>
      <c r="C51" s="11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116"/>
      <c r="Q51" s="116"/>
      <c r="R51" s="116"/>
      <c r="S51" s="116"/>
      <c r="T51" s="116"/>
      <c r="U51" s="116"/>
      <c r="V51" s="116"/>
      <c r="W51" s="117"/>
      <c r="X51" s="169"/>
      <c r="Y51" s="169"/>
      <c r="Z51" s="169"/>
      <c r="AA51" s="150"/>
      <c r="AB51" s="150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116"/>
      <c r="Q52" s="116"/>
      <c r="R52" s="116"/>
      <c r="S52" s="116"/>
      <c r="T52" s="116"/>
      <c r="U52" s="116"/>
      <c r="V52" s="116"/>
      <c r="W52" s="117"/>
      <c r="X52" s="169" t="s">
        <v>184</v>
      </c>
      <c r="Y52" s="219">
        <v>166844.20000000001</v>
      </c>
      <c r="Z52" s="117"/>
      <c r="AA52" s="116"/>
      <c r="AB52" s="116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16"/>
      <c r="Q53" s="117"/>
      <c r="R53" s="117"/>
      <c r="S53" s="117"/>
      <c r="T53" s="117"/>
      <c r="U53" s="117"/>
      <c r="V53" s="117"/>
      <c r="W53" s="117"/>
      <c r="X53" s="169" t="s">
        <v>185</v>
      </c>
      <c r="Y53" s="219">
        <v>300000</v>
      </c>
      <c r="Z53" s="117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16"/>
      <c r="Q54" s="117"/>
      <c r="R54" s="117"/>
      <c r="S54" s="117"/>
      <c r="T54" s="117"/>
      <c r="U54" s="117"/>
      <c r="V54" s="117"/>
      <c r="W54" s="117"/>
      <c r="X54" s="169" t="s">
        <v>186</v>
      </c>
      <c r="Y54" s="219">
        <v>500000</v>
      </c>
      <c r="Z54" s="117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16"/>
      <c r="Q55" s="117"/>
      <c r="R55" s="117"/>
      <c r="S55" s="117"/>
      <c r="T55" s="117"/>
      <c r="U55" s="117"/>
      <c r="V55" s="117"/>
      <c r="W55" s="117"/>
      <c r="X55" s="169" t="s">
        <v>187</v>
      </c>
      <c r="Y55" s="219">
        <v>300000</v>
      </c>
      <c r="Z55" s="117"/>
      <c r="AA55" s="116"/>
      <c r="AB55" s="116"/>
      <c r="AC55" s="116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16"/>
      <c r="Q56" s="117"/>
      <c r="R56" s="117"/>
      <c r="S56" s="117"/>
      <c r="T56" s="117"/>
      <c r="U56" s="117"/>
      <c r="V56" s="117"/>
      <c r="W56" s="117"/>
      <c r="X56" s="169"/>
      <c r="Y56" s="219"/>
      <c r="Z56" s="117"/>
      <c r="AA56" s="116"/>
      <c r="AB56" s="116" t="s">
        <v>131</v>
      </c>
      <c r="AC56" s="116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16"/>
      <c r="Q57" s="117"/>
      <c r="R57" s="117"/>
      <c r="S57" s="117"/>
      <c r="T57" s="117"/>
      <c r="U57" s="117"/>
      <c r="V57" s="117"/>
      <c r="W57" s="117"/>
      <c r="X57" s="169"/>
      <c r="Y57" s="219">
        <f>Y52+Y53+Y54+Y55</f>
        <v>1266844.2</v>
      </c>
      <c r="Z57" s="117"/>
      <c r="AA57" s="116"/>
      <c r="AB57" s="116"/>
      <c r="AC57" s="116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16"/>
      <c r="Q58" s="117"/>
      <c r="R58" s="117"/>
      <c r="S58" s="117"/>
      <c r="T58" s="117"/>
      <c r="U58" s="117"/>
      <c r="V58" s="117"/>
      <c r="W58" s="117"/>
      <c r="X58" s="117"/>
      <c r="Y58" s="116"/>
      <c r="Z58" s="116"/>
      <c r="AA58" s="116"/>
      <c r="AB58" s="116"/>
      <c r="AC58" s="116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16"/>
      <c r="Q59" s="117"/>
      <c r="R59" s="117"/>
      <c r="S59" s="117"/>
      <c r="T59" s="117"/>
      <c r="U59" s="117"/>
      <c r="V59" s="117"/>
      <c r="W59" s="117"/>
      <c r="X59" s="117"/>
      <c r="Y59" s="116"/>
      <c r="Z59" s="116"/>
      <c r="AA59" s="116"/>
      <c r="AB59" s="116"/>
      <c r="AC59" s="116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16"/>
      <c r="Q60" s="117"/>
      <c r="R60" s="117"/>
      <c r="S60" s="117"/>
      <c r="T60" s="117"/>
      <c r="U60" s="117"/>
      <c r="V60" s="117"/>
      <c r="W60" s="117"/>
      <c r="X60" s="117"/>
      <c r="Y60" s="116"/>
      <c r="Z60" s="116"/>
      <c r="AA60" s="116"/>
      <c r="AB60" s="116"/>
      <c r="AC60" s="116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7"/>
      <c r="R61" s="117"/>
      <c r="S61" s="117"/>
      <c r="T61" s="117"/>
      <c r="U61" s="117"/>
      <c r="V61" s="117"/>
      <c r="W61" s="117"/>
      <c r="X61" s="117"/>
      <c r="Y61" s="116"/>
      <c r="Z61" s="116"/>
      <c r="AA61" s="116"/>
      <c r="AB61" s="116"/>
      <c r="AC61" s="116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7"/>
      <c r="R62" s="117"/>
      <c r="S62" s="117"/>
      <c r="T62" s="117"/>
      <c r="U62" s="117"/>
      <c r="V62" s="117"/>
      <c r="W62" s="117"/>
      <c r="X62" s="117"/>
      <c r="Y62" s="116"/>
      <c r="Z62" s="116"/>
      <c r="AA62" s="116"/>
      <c r="AB62" s="116"/>
      <c r="AC62" s="116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1:4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1:4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4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1:4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1:4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1:4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1:4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1:4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1:4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1:4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1:4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1:4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1:4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1:4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1:4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4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1:4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1:4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1:4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1:4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1:4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1:4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1:4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1:4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1:4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1:4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1:4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1:4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1:4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1:4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1:4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1:4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1:4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1:4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1:4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1:4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4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1:4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1:4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1:4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1:4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1:4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1:4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4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1:4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1:4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4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1:4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1:4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1: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1:4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1:4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1:4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1:4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1:4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1:4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1:4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1:4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1:4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1:4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4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1:4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1:4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1:4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1:4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1:4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4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1:4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4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4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1:4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1:4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1:4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1:4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1:4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1:4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1:4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1:4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1:4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1:4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1:4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1:4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1:4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4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1:4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1:4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1:4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1:4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1:4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1:4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1:4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1:4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1:4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1:4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1:4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1:4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1:4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1:4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1:4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1:4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1:4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1:4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1:4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1:4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1:4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1:4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1:4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1:4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1:4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1:4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1:4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1:4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1:4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1:4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1:4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1:4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1:4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1:4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1:4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1:4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1:4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1:4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1:4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1:4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1:4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1:4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1:4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1:4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1:4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1:4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1:4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1:4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1:4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1:4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1:4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1:4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1:4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1:4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4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1:4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4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1:4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1: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1:4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1:4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1:4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1:4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1:4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1:4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1:4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1:4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4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1:4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1:4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1:4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1:45" ht="15.75" customHeight="1"/>
    <row r="259" spans="1:45" ht="15.75" customHeight="1"/>
    <row r="260" spans="1:45" ht="15.75" customHeight="1"/>
    <row r="261" spans="1:45" ht="15.75" customHeight="1"/>
    <row r="262" spans="1:45" ht="15.75" customHeight="1"/>
    <row r="263" spans="1:45" ht="15.75" customHeight="1"/>
    <row r="264" spans="1:45" ht="15.75" customHeight="1"/>
    <row r="265" spans="1:45" ht="15.75" customHeight="1"/>
    <row r="266" spans="1:45" ht="15.75" customHeight="1"/>
    <row r="267" spans="1:45" ht="15.75" customHeight="1"/>
    <row r="268" spans="1:45" ht="15.75" customHeight="1"/>
    <row r="269" spans="1:45" ht="15.75" customHeight="1"/>
    <row r="270" spans="1:45" ht="15.75" customHeight="1"/>
    <row r="271" spans="1:45" ht="15.75" customHeight="1"/>
    <row r="272" spans="1:4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7">
    <mergeCell ref="AA45:AB45"/>
    <mergeCell ref="AA46:AB46"/>
    <mergeCell ref="AA47:AB47"/>
    <mergeCell ref="AA48:AB48"/>
    <mergeCell ref="P40:U41"/>
    <mergeCell ref="AA41:AB41"/>
    <mergeCell ref="Q42:R42"/>
    <mergeCell ref="AA42:AB42"/>
    <mergeCell ref="Q43:R43"/>
    <mergeCell ref="AA43:AB43"/>
    <mergeCell ref="AA44:AB44"/>
    <mergeCell ref="AG33:AJ33"/>
    <mergeCell ref="AG35:AJ35"/>
    <mergeCell ref="AK35:AN35"/>
    <mergeCell ref="AO35:AP35"/>
    <mergeCell ref="AG36:AJ36"/>
    <mergeCell ref="AK36:AN36"/>
    <mergeCell ref="AO36:AP36"/>
    <mergeCell ref="AH39:AK40"/>
    <mergeCell ref="AC29:AF29"/>
    <mergeCell ref="AG29:AJ29"/>
    <mergeCell ref="AK29:AN29"/>
    <mergeCell ref="AG31:AJ31"/>
    <mergeCell ref="AK31:AN33"/>
    <mergeCell ref="AO31:AP33"/>
    <mergeCell ref="AG32:AJ32"/>
    <mergeCell ref="L27:L29"/>
    <mergeCell ref="M27:M29"/>
    <mergeCell ref="Y27:Y28"/>
    <mergeCell ref="Z27:Z28"/>
    <mergeCell ref="AA27:AB27"/>
    <mergeCell ref="AC27:AF28"/>
    <mergeCell ref="AG27:AJ28"/>
    <mergeCell ref="AK27:AN28"/>
    <mergeCell ref="AO27:AP27"/>
    <mergeCell ref="N27:N29"/>
    <mergeCell ref="O27:O28"/>
    <mergeCell ref="T27:T28"/>
    <mergeCell ref="U27:U28"/>
    <mergeCell ref="V27:V28"/>
    <mergeCell ref="W27:W28"/>
    <mergeCell ref="X27:X28"/>
    <mergeCell ref="AG24:AJ26"/>
    <mergeCell ref="AK24:AN26"/>
    <mergeCell ref="AO24:AP26"/>
    <mergeCell ref="M24:M26"/>
    <mergeCell ref="N24:N26"/>
    <mergeCell ref="V24:V26"/>
    <mergeCell ref="W24:W26"/>
    <mergeCell ref="Z24:Z26"/>
    <mergeCell ref="AA24:AB26"/>
    <mergeCell ref="AC24:AF26"/>
    <mergeCell ref="P11:P12"/>
    <mergeCell ref="Q11:Q12"/>
    <mergeCell ref="R11:R12"/>
    <mergeCell ref="V11:V12"/>
    <mergeCell ref="Z11:Z12"/>
    <mergeCell ref="AA11:AB12"/>
    <mergeCell ref="AO11:AP12"/>
    <mergeCell ref="F11:F14"/>
    <mergeCell ref="F16:F19"/>
    <mergeCell ref="H16:H19"/>
    <mergeCell ref="I16:I18"/>
    <mergeCell ref="K16:K17"/>
    <mergeCell ref="L16:L17"/>
    <mergeCell ref="M16:M19"/>
    <mergeCell ref="K18:K19"/>
    <mergeCell ref="L18:L19"/>
    <mergeCell ref="AA18:AB18"/>
    <mergeCell ref="AA19:AB19"/>
    <mergeCell ref="AC19:AF19"/>
    <mergeCell ref="AG19:AJ19"/>
    <mergeCell ref="AK19:AN19"/>
    <mergeCell ref="AO19:AP19"/>
    <mergeCell ref="AO9:AP9"/>
    <mergeCell ref="AO10:AP10"/>
    <mergeCell ref="AA7:AF7"/>
    <mergeCell ref="AG7:AN7"/>
    <mergeCell ref="AA8:AC8"/>
    <mergeCell ref="AD8:AF8"/>
    <mergeCell ref="AG8:AJ8"/>
    <mergeCell ref="AK8:AN8"/>
    <mergeCell ref="AO8:AP8"/>
    <mergeCell ref="C1:AB1"/>
    <mergeCell ref="A3:A4"/>
    <mergeCell ref="B3:B4"/>
    <mergeCell ref="AA3:AD3"/>
    <mergeCell ref="AE3:AN3"/>
    <mergeCell ref="AA4:AD4"/>
    <mergeCell ref="AE4:AN4"/>
    <mergeCell ref="AA9:AC9"/>
    <mergeCell ref="AD9:AF9"/>
    <mergeCell ref="AG9:AJ9"/>
    <mergeCell ref="AK9:AN9"/>
    <mergeCell ref="AG22:AJ23"/>
    <mergeCell ref="AO22:AP23"/>
    <mergeCell ref="AA21:AB21"/>
    <mergeCell ref="AC21:AF21"/>
    <mergeCell ref="V22:V23"/>
    <mergeCell ref="W22:W23"/>
    <mergeCell ref="Z22:Z23"/>
    <mergeCell ref="AA22:AB23"/>
    <mergeCell ref="AC22:AF23"/>
    <mergeCell ref="AG18:AJ18"/>
    <mergeCell ref="AK18:AN18"/>
    <mergeCell ref="AA17:AB17"/>
    <mergeCell ref="AC17:AF17"/>
    <mergeCell ref="AG17:AJ17"/>
    <mergeCell ref="AK17:AN17"/>
    <mergeCell ref="AO17:AP17"/>
    <mergeCell ref="AC18:AF18"/>
    <mergeCell ref="AO18:AP18"/>
    <mergeCell ref="AK16:AN16"/>
    <mergeCell ref="AO16:AP16"/>
    <mergeCell ref="AC11:AF11"/>
    <mergeCell ref="AC12:AF12"/>
    <mergeCell ref="AK13:AN14"/>
    <mergeCell ref="AO13:AP14"/>
    <mergeCell ref="AA16:AB16"/>
    <mergeCell ref="AC16:AF16"/>
    <mergeCell ref="AG16:AJ16"/>
    <mergeCell ref="AC13:AF14"/>
    <mergeCell ref="AG13:AJ14"/>
    <mergeCell ref="P13:P14"/>
    <mergeCell ref="Q13:Q14"/>
    <mergeCell ref="R13:R14"/>
    <mergeCell ref="V13:V14"/>
    <mergeCell ref="W13:W14"/>
    <mergeCell ref="Z13:Z14"/>
    <mergeCell ref="AA13:AB14"/>
    <mergeCell ref="Q27:Q28"/>
    <mergeCell ref="R27:R28"/>
    <mergeCell ref="G13:G14"/>
    <mergeCell ref="G31:G33"/>
    <mergeCell ref="P22:P23"/>
    <mergeCell ref="Q22:Q23"/>
    <mergeCell ref="R22:R23"/>
    <mergeCell ref="P24:P26"/>
    <mergeCell ref="Q24:Q26"/>
    <mergeCell ref="R24:R26"/>
    <mergeCell ref="P27:P28"/>
    <mergeCell ref="J13:J14"/>
    <mergeCell ref="K13:K14"/>
    <mergeCell ref="L13:L14"/>
    <mergeCell ref="M13:M14"/>
    <mergeCell ref="N13:N14"/>
    <mergeCell ref="O13:O14"/>
    <mergeCell ref="I11:I14"/>
    <mergeCell ref="J11:J12"/>
    <mergeCell ref="K11:K12"/>
    <mergeCell ref="L11:L12"/>
    <mergeCell ref="M11:M12"/>
    <mergeCell ref="N11:N12"/>
    <mergeCell ref="O11:O12"/>
    <mergeCell ref="K31:K33"/>
    <mergeCell ref="L31:L33"/>
    <mergeCell ref="M31:M33"/>
    <mergeCell ref="N31:N33"/>
    <mergeCell ref="O31:O33"/>
    <mergeCell ref="C21:C35"/>
    <mergeCell ref="D21:D35"/>
    <mergeCell ref="G21:G26"/>
    <mergeCell ref="H21:H26"/>
    <mergeCell ref="K24:K26"/>
    <mergeCell ref="L24:L26"/>
    <mergeCell ref="I21:I23"/>
    <mergeCell ref="J22:J26"/>
    <mergeCell ref="K22:K23"/>
    <mergeCell ref="L22:L23"/>
    <mergeCell ref="M22:M23"/>
    <mergeCell ref="N22:N23"/>
    <mergeCell ref="O22:O23"/>
    <mergeCell ref="O24:O26"/>
    <mergeCell ref="I24:I26"/>
    <mergeCell ref="G27:G29"/>
    <mergeCell ref="H27:H29"/>
    <mergeCell ref="I27:I29"/>
    <mergeCell ref="K27:K28"/>
    <mergeCell ref="AA35:AB35"/>
    <mergeCell ref="AA36:AB36"/>
    <mergeCell ref="AC36:AF36"/>
    <mergeCell ref="AB39:AC39"/>
    <mergeCell ref="P31:P33"/>
    <mergeCell ref="Q31:Q33"/>
    <mergeCell ref="V31:V33"/>
    <mergeCell ref="Z31:Z33"/>
    <mergeCell ref="AA31:AB33"/>
    <mergeCell ref="AC31:AF33"/>
    <mergeCell ref="AC35:AF35"/>
    <mergeCell ref="E21:E35"/>
    <mergeCell ref="F21:F26"/>
    <mergeCell ref="F27:F29"/>
    <mergeCell ref="F31:F33"/>
    <mergeCell ref="H31:H33"/>
    <mergeCell ref="I31:I33"/>
    <mergeCell ref="F4:H8"/>
    <mergeCell ref="I7:J9"/>
    <mergeCell ref="A10:B10"/>
    <mergeCell ref="A11:B35"/>
    <mergeCell ref="C11:C19"/>
    <mergeCell ref="H11:H14"/>
    <mergeCell ref="J27:J29"/>
    <mergeCell ref="J31:J33"/>
    <mergeCell ref="D13:D19"/>
    <mergeCell ref="E13:E19"/>
    <mergeCell ref="J16:J17"/>
    <mergeCell ref="J18:J19"/>
  </mergeCells>
  <pageMargins left="0.511811024" right="0.511811024" top="0.78740157499999996" bottom="0.78740157499999996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R1000"/>
  <sheetViews>
    <sheetView showGridLines="0" workbookViewId="0"/>
  </sheetViews>
  <sheetFormatPr baseColWidth="10" defaultColWidth="14.42578125" defaultRowHeight="15" customHeight="1"/>
  <cols>
    <col min="1" max="1" width="23.42578125" customWidth="1"/>
    <col min="2" max="2" width="48.140625" customWidth="1"/>
    <col min="3" max="3" width="36" customWidth="1"/>
    <col min="5" max="5" width="23.42578125" customWidth="1"/>
    <col min="6" max="6" width="31" customWidth="1"/>
    <col min="10" max="10" width="27.85546875" customWidth="1"/>
    <col min="11" max="11" width="18.140625" customWidth="1"/>
    <col min="12" max="12" width="50.7109375" customWidth="1"/>
    <col min="13" max="13" width="44.28515625" customWidth="1"/>
    <col min="15" max="15" width="17.85546875" customWidth="1"/>
    <col min="16" max="16" width="37.85546875" customWidth="1"/>
    <col min="29" max="29" width="25.28515625" customWidth="1"/>
  </cols>
  <sheetData>
    <row r="1" spans="1:44" ht="47.25" customHeight="1">
      <c r="A1" s="220"/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</row>
    <row r="2" spans="1:44" ht="15.75" customHeight="1">
      <c r="A2" s="447" t="s">
        <v>0</v>
      </c>
      <c r="B2" s="448" t="s">
        <v>1</v>
      </c>
      <c r="C2" s="9"/>
      <c r="D2" s="124"/>
      <c r="E2" s="498"/>
      <c r="F2" s="354"/>
      <c r="G2" s="354"/>
      <c r="H2" s="354"/>
      <c r="I2" s="354"/>
      <c r="J2" s="354"/>
      <c r="K2" s="354"/>
      <c r="L2" s="354"/>
      <c r="M2" s="498"/>
      <c r="N2" s="354"/>
      <c r="O2" s="354"/>
      <c r="P2" s="498"/>
      <c r="Q2" s="354"/>
      <c r="R2" s="354"/>
      <c r="S2" s="354"/>
    </row>
    <row r="3" spans="1:44" ht="15.75" customHeight="1">
      <c r="A3" s="426"/>
      <c r="B3" s="426"/>
      <c r="C3" s="125"/>
      <c r="D3" s="12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4"/>
      <c r="R3" s="354"/>
      <c r="S3" s="354"/>
    </row>
    <row r="4" spans="1:44" ht="15.75" customHeight="1">
      <c r="A4" s="162" t="s">
        <v>4</v>
      </c>
      <c r="B4" s="163">
        <v>1910200</v>
      </c>
      <c r="C4" s="127">
        <v>2198126</v>
      </c>
      <c r="D4" s="12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AN4" s="3"/>
      <c r="AO4" s="3"/>
    </row>
    <row r="5" spans="1:44" ht="15.75" customHeight="1">
      <c r="A5" s="122" t="s">
        <v>5</v>
      </c>
      <c r="B5" s="123" t="s">
        <v>6</v>
      </c>
      <c r="C5" s="128"/>
      <c r="D5" s="124"/>
      <c r="E5" s="354"/>
      <c r="F5" s="354"/>
      <c r="G5" s="354"/>
      <c r="H5" s="354"/>
      <c r="I5" s="354"/>
      <c r="J5" s="354"/>
      <c r="K5" s="354"/>
      <c r="L5" s="354"/>
      <c r="M5" s="354"/>
      <c r="N5" s="354"/>
      <c r="O5" s="354"/>
      <c r="P5" s="354"/>
      <c r="Q5" s="354"/>
      <c r="R5" s="354"/>
      <c r="S5" s="354"/>
      <c r="AN5" s="9"/>
      <c r="AO5" s="9"/>
    </row>
    <row r="6" spans="1:44" ht="15.75" customHeight="1">
      <c r="A6" s="9"/>
      <c r="E6" s="354"/>
      <c r="F6" s="354"/>
      <c r="G6" s="354"/>
      <c r="H6" s="354"/>
      <c r="I6" s="354"/>
      <c r="J6" s="354"/>
      <c r="K6" s="354"/>
      <c r="L6" s="354"/>
      <c r="M6" s="354"/>
      <c r="N6" s="354"/>
      <c r="O6" s="354"/>
      <c r="P6" s="354"/>
      <c r="Q6" s="354"/>
      <c r="R6" s="354"/>
      <c r="S6" s="354"/>
      <c r="AN6" s="9"/>
      <c r="AO6" s="9"/>
    </row>
    <row r="7" spans="1:44" ht="15.75" customHeight="1">
      <c r="A7" s="9"/>
      <c r="B7" s="221" t="s">
        <v>7</v>
      </c>
      <c r="C7" s="499" t="s">
        <v>188</v>
      </c>
      <c r="D7" s="500"/>
      <c r="E7" s="354"/>
      <c r="F7" s="354"/>
      <c r="G7" s="354"/>
      <c r="H7" s="354"/>
      <c r="I7" s="354"/>
      <c r="J7" s="354"/>
      <c r="K7" s="354"/>
      <c r="L7" s="354"/>
      <c r="M7" s="354"/>
      <c r="N7" s="354"/>
      <c r="O7" s="354"/>
      <c r="P7" s="354"/>
      <c r="Q7" s="354"/>
      <c r="R7" s="354"/>
      <c r="S7" s="354"/>
      <c r="AN7" s="16"/>
      <c r="AO7" s="16"/>
    </row>
    <row r="8" spans="1:44" ht="21" customHeight="1">
      <c r="A8" s="9"/>
      <c r="B8" s="222" t="s">
        <v>189</v>
      </c>
      <c r="C8" s="222" t="s">
        <v>13</v>
      </c>
      <c r="D8" s="222" t="s">
        <v>14</v>
      </c>
      <c r="E8" s="354"/>
      <c r="F8" s="354"/>
      <c r="G8" s="354"/>
      <c r="H8" s="354"/>
      <c r="I8" s="354"/>
      <c r="J8" s="354"/>
      <c r="K8" s="354"/>
      <c r="L8" s="354"/>
      <c r="M8" s="354"/>
      <c r="N8" s="354"/>
      <c r="O8" s="354"/>
      <c r="P8" s="354"/>
      <c r="Q8" s="354"/>
      <c r="R8" s="354"/>
      <c r="S8" s="354"/>
      <c r="AN8" s="16"/>
      <c r="AO8" s="16"/>
    </row>
    <row r="9" spans="1:44" ht="15.75" customHeight="1">
      <c r="B9" s="43">
        <v>35000000</v>
      </c>
      <c r="C9" s="43">
        <f>B9*D9</f>
        <v>21700000</v>
      </c>
      <c r="D9" s="51">
        <v>0.62</v>
      </c>
      <c r="AB9" s="503" t="s">
        <v>165</v>
      </c>
      <c r="AC9" s="362"/>
      <c r="AD9" s="501" t="s">
        <v>165</v>
      </c>
      <c r="AE9" s="362"/>
      <c r="AF9" s="362"/>
      <c r="AG9" s="362"/>
      <c r="AH9" s="362"/>
      <c r="AI9" s="362"/>
      <c r="AJ9" s="362"/>
      <c r="AK9" s="362"/>
      <c r="AL9" s="362"/>
      <c r="AM9" s="362"/>
      <c r="AN9" s="16"/>
      <c r="AO9" s="16"/>
    </row>
    <row r="10" spans="1:44" ht="15.75" customHeight="1">
      <c r="AB10" s="503" t="s">
        <v>166</v>
      </c>
      <c r="AC10" s="362"/>
      <c r="AD10" s="501" t="s">
        <v>167</v>
      </c>
      <c r="AE10" s="362"/>
      <c r="AF10" s="362"/>
      <c r="AG10" s="362"/>
      <c r="AH10" s="362"/>
      <c r="AI10" s="362"/>
      <c r="AJ10" s="362"/>
      <c r="AK10" s="362"/>
      <c r="AL10" s="362"/>
      <c r="AM10" s="362"/>
      <c r="AN10" s="16"/>
      <c r="AO10" s="16"/>
    </row>
    <row r="11" spans="1:44" ht="15.75" customHeight="1">
      <c r="AB11" s="223"/>
      <c r="AC11" s="223" t="s">
        <v>168</v>
      </c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16"/>
      <c r="AO11" s="16"/>
    </row>
    <row r="12" spans="1:44" ht="15.75" customHeight="1">
      <c r="AB12" s="224"/>
      <c r="AC12" s="223" t="s">
        <v>169</v>
      </c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16"/>
      <c r="AO12" s="16"/>
    </row>
    <row r="13" spans="1:44" ht="15.75" customHeight="1">
      <c r="AB13" s="504"/>
      <c r="AC13" s="362"/>
      <c r="AD13" s="362"/>
      <c r="AE13" s="362"/>
      <c r="AF13" s="505" t="s">
        <v>10</v>
      </c>
      <c r="AG13" s="362"/>
      <c r="AH13" s="362"/>
      <c r="AI13" s="362"/>
      <c r="AJ13" s="362"/>
      <c r="AK13" s="362"/>
      <c r="AL13" s="362"/>
      <c r="AM13" s="362"/>
      <c r="AN13" s="16"/>
      <c r="AO13" s="16"/>
    </row>
    <row r="14" spans="1:44" ht="15.75" customHeight="1">
      <c r="X14" s="225">
        <f>X21/3</f>
        <v>500290.47619047615</v>
      </c>
      <c r="AB14" s="502" t="s">
        <v>19</v>
      </c>
      <c r="AC14" s="442"/>
      <c r="AD14" s="442"/>
      <c r="AE14" s="442"/>
      <c r="AF14" s="502" t="s">
        <v>20</v>
      </c>
      <c r="AG14" s="442"/>
      <c r="AH14" s="442"/>
      <c r="AI14" s="443"/>
      <c r="AJ14" s="502" t="s">
        <v>21</v>
      </c>
      <c r="AK14" s="442"/>
      <c r="AL14" s="442"/>
      <c r="AM14" s="443"/>
      <c r="AN14" s="441" t="s">
        <v>24</v>
      </c>
      <c r="AO14" s="443"/>
    </row>
    <row r="15" spans="1:44" ht="15.75" customHeight="1">
      <c r="AB15" s="526">
        <v>0.7</v>
      </c>
      <c r="AC15" s="442"/>
      <c r="AD15" s="442"/>
      <c r="AE15" s="443"/>
      <c r="AF15" s="527">
        <v>0.5</v>
      </c>
      <c r="AG15" s="442"/>
      <c r="AH15" s="442"/>
      <c r="AI15" s="442"/>
      <c r="AJ15" s="527">
        <v>0.5</v>
      </c>
      <c r="AK15" s="442"/>
      <c r="AL15" s="442"/>
      <c r="AM15" s="443"/>
      <c r="AN15" s="446">
        <v>0.61</v>
      </c>
      <c r="AO15" s="443"/>
    </row>
    <row r="16" spans="1:44" ht="15.75" customHeight="1">
      <c r="A16" s="451" t="s">
        <v>25</v>
      </c>
      <c r="B16" s="452"/>
      <c r="C16" s="29" t="s">
        <v>5</v>
      </c>
      <c r="D16" s="29" t="s">
        <v>26</v>
      </c>
      <c r="E16" s="30" t="s">
        <v>190</v>
      </c>
      <c r="F16" s="31" t="s">
        <v>28</v>
      </c>
      <c r="G16" s="31" t="s">
        <v>29</v>
      </c>
      <c r="H16" s="31"/>
      <c r="I16" s="31" t="s">
        <v>29</v>
      </c>
      <c r="J16" s="31" t="s">
        <v>191</v>
      </c>
      <c r="K16" s="31" t="s">
        <v>30</v>
      </c>
      <c r="L16" s="31" t="s">
        <v>192</v>
      </c>
      <c r="M16" s="31" t="s">
        <v>193</v>
      </c>
      <c r="N16" s="32"/>
      <c r="O16" s="32" t="s">
        <v>194</v>
      </c>
      <c r="P16" s="32" t="s">
        <v>195</v>
      </c>
      <c r="Q16" s="32" t="s">
        <v>35</v>
      </c>
      <c r="R16" s="32" t="s">
        <v>38</v>
      </c>
      <c r="S16" s="32" t="s">
        <v>39</v>
      </c>
      <c r="T16" s="32" t="s">
        <v>138</v>
      </c>
      <c r="U16" s="32" t="s">
        <v>40</v>
      </c>
      <c r="V16" s="32" t="s">
        <v>41</v>
      </c>
      <c r="W16" s="32" t="s">
        <v>42</v>
      </c>
      <c r="X16" s="32" t="s">
        <v>43</v>
      </c>
      <c r="Y16" s="32" t="s">
        <v>139</v>
      </c>
      <c r="Z16" s="32" t="s">
        <v>45</v>
      </c>
      <c r="AA16" s="32" t="s">
        <v>46</v>
      </c>
      <c r="AB16" s="226" t="s">
        <v>49</v>
      </c>
      <c r="AC16" s="226" t="s">
        <v>50</v>
      </c>
      <c r="AD16" s="226" t="s">
        <v>47</v>
      </c>
      <c r="AE16" s="227" t="s">
        <v>48</v>
      </c>
      <c r="AF16" s="228" t="s">
        <v>49</v>
      </c>
      <c r="AG16" s="226" t="s">
        <v>50</v>
      </c>
      <c r="AH16" s="226" t="s">
        <v>47</v>
      </c>
      <c r="AI16" s="227" t="s">
        <v>48</v>
      </c>
      <c r="AJ16" s="228" t="s">
        <v>49</v>
      </c>
      <c r="AK16" s="226" t="s">
        <v>50</v>
      </c>
      <c r="AL16" s="226" t="s">
        <v>47</v>
      </c>
      <c r="AM16" s="227" t="s">
        <v>48</v>
      </c>
      <c r="AN16" s="389"/>
      <c r="AO16" s="362"/>
      <c r="AP16" s="34"/>
      <c r="AQ16" s="34"/>
      <c r="AR16" s="34"/>
    </row>
    <row r="17" spans="1:44" ht="60" customHeight="1">
      <c r="A17" s="453" t="s">
        <v>58</v>
      </c>
      <c r="B17" s="454"/>
      <c r="C17" s="425" t="s">
        <v>196</v>
      </c>
      <c r="D17" s="542">
        <v>0.1</v>
      </c>
      <c r="E17" s="541">
        <f>B4*D17</f>
        <v>191020</v>
      </c>
      <c r="F17" s="519" t="s">
        <v>197</v>
      </c>
      <c r="G17" s="518">
        <v>1</v>
      </c>
      <c r="H17" s="511">
        <f>E17*G17</f>
        <v>191020</v>
      </c>
      <c r="I17" s="229">
        <v>0.5</v>
      </c>
      <c r="J17" s="230" t="s">
        <v>75</v>
      </c>
      <c r="K17" s="231">
        <f>H17*I17</f>
        <v>95510</v>
      </c>
      <c r="L17" s="232" t="s">
        <v>198</v>
      </c>
      <c r="M17" s="233" t="s">
        <v>199</v>
      </c>
      <c r="N17" s="234" t="s">
        <v>42</v>
      </c>
      <c r="O17" s="234" t="s">
        <v>200</v>
      </c>
      <c r="P17" s="235" t="s">
        <v>201</v>
      </c>
      <c r="Q17" s="234">
        <v>1</v>
      </c>
      <c r="R17" s="236" t="s">
        <v>58</v>
      </c>
      <c r="S17" s="236" t="s">
        <v>69</v>
      </c>
      <c r="T17" s="236" t="s">
        <v>69</v>
      </c>
      <c r="U17" s="236" t="s">
        <v>69</v>
      </c>
      <c r="V17" s="236" t="s">
        <v>69</v>
      </c>
      <c r="W17" s="233">
        <v>2</v>
      </c>
      <c r="X17" s="236" t="s">
        <v>69</v>
      </c>
      <c r="Y17" s="236" t="s">
        <v>69</v>
      </c>
      <c r="Z17" s="236" t="s">
        <v>69</v>
      </c>
      <c r="AA17" s="237">
        <f t="shared" ref="AA17:AA18" si="0">K17/W17*1000</f>
        <v>47755000</v>
      </c>
      <c r="AB17" s="238">
        <f>K17/2</f>
        <v>47755</v>
      </c>
      <c r="AC17" s="238">
        <v>47755</v>
      </c>
      <c r="AD17" s="239"/>
      <c r="AE17" s="240"/>
      <c r="AF17" s="240"/>
      <c r="AG17" s="240"/>
      <c r="AH17" s="240"/>
      <c r="AI17" s="240"/>
      <c r="AJ17" s="240"/>
      <c r="AK17" s="240"/>
      <c r="AL17" s="240"/>
      <c r="AM17" s="240"/>
      <c r="AN17" s="113"/>
      <c r="AO17" s="113"/>
      <c r="AP17" s="113"/>
      <c r="AQ17" s="113"/>
      <c r="AR17" s="113"/>
    </row>
    <row r="18" spans="1:44" ht="63" customHeight="1">
      <c r="A18" s="369"/>
      <c r="B18" s="376"/>
      <c r="C18" s="351"/>
      <c r="D18" s="351"/>
      <c r="E18" s="370"/>
      <c r="F18" s="426"/>
      <c r="G18" s="426"/>
      <c r="H18" s="426"/>
      <c r="I18" s="229">
        <v>0.5</v>
      </c>
      <c r="J18" s="230" t="s">
        <v>75</v>
      </c>
      <c r="K18" s="231">
        <f>H17*I18</f>
        <v>95510</v>
      </c>
      <c r="L18" s="241" t="s">
        <v>202</v>
      </c>
      <c r="M18" s="233" t="s">
        <v>199</v>
      </c>
      <c r="N18" s="234" t="s">
        <v>42</v>
      </c>
      <c r="O18" s="234" t="s">
        <v>200</v>
      </c>
      <c r="P18" s="235" t="s">
        <v>201</v>
      </c>
      <c r="Q18" s="234">
        <v>1</v>
      </c>
      <c r="R18" s="236" t="s">
        <v>58</v>
      </c>
      <c r="S18" s="236" t="s">
        <v>69</v>
      </c>
      <c r="T18" s="236" t="s">
        <v>69</v>
      </c>
      <c r="U18" s="236" t="s">
        <v>69</v>
      </c>
      <c r="V18" s="236" t="s">
        <v>69</v>
      </c>
      <c r="W18" s="233">
        <v>2</v>
      </c>
      <c r="X18" s="236" t="s">
        <v>69</v>
      </c>
      <c r="Y18" s="236" t="s">
        <v>69</v>
      </c>
      <c r="Z18" s="236" t="s">
        <v>69</v>
      </c>
      <c r="AA18" s="237">
        <f t="shared" si="0"/>
        <v>47755000</v>
      </c>
      <c r="AB18" s="239"/>
      <c r="AC18" s="240"/>
      <c r="AD18" s="242">
        <f>K18/4</f>
        <v>23877.5</v>
      </c>
      <c r="AE18" s="242">
        <v>23877.5</v>
      </c>
      <c r="AF18" s="242">
        <v>23877.5</v>
      </c>
      <c r="AG18" s="242">
        <v>23877.5</v>
      </c>
      <c r="AH18" s="240"/>
      <c r="AI18" s="240"/>
      <c r="AJ18" s="240"/>
      <c r="AK18" s="240"/>
      <c r="AL18" s="240"/>
      <c r="AM18" s="240"/>
      <c r="AN18" s="113"/>
      <c r="AO18" s="113"/>
      <c r="AP18" s="113"/>
      <c r="AQ18" s="113"/>
      <c r="AR18" s="113"/>
    </row>
    <row r="19" spans="1:44" ht="15.75" customHeight="1">
      <c r="A19" s="369"/>
      <c r="B19" s="376"/>
      <c r="C19" s="358" t="s">
        <v>59</v>
      </c>
      <c r="D19" s="359">
        <v>0.5</v>
      </c>
      <c r="E19" s="541">
        <f>B4*D19</f>
        <v>955100</v>
      </c>
      <c r="F19" s="519" t="s">
        <v>203</v>
      </c>
      <c r="G19" s="518">
        <v>0.55000000000000004</v>
      </c>
      <c r="H19" s="511">
        <f>E19*G19</f>
        <v>525305</v>
      </c>
      <c r="I19" s="518">
        <v>0.25</v>
      </c>
      <c r="J19" s="519" t="s">
        <v>75</v>
      </c>
      <c r="K19" s="511">
        <f>H19*I19</f>
        <v>131326.25</v>
      </c>
      <c r="L19" s="512" t="s">
        <v>198</v>
      </c>
      <c r="M19" s="536" t="s">
        <v>204</v>
      </c>
      <c r="N19" s="516" t="s">
        <v>39</v>
      </c>
      <c r="O19" s="537" t="s">
        <v>205</v>
      </c>
      <c r="P19" s="516" t="s">
        <v>107</v>
      </c>
      <c r="Q19" s="516">
        <v>3</v>
      </c>
      <c r="R19" s="539" t="s">
        <v>58</v>
      </c>
      <c r="S19" s="540">
        <v>7.0000000000000007E-2</v>
      </c>
      <c r="T19" s="539" t="s">
        <v>69</v>
      </c>
      <c r="U19" s="539" t="s">
        <v>69</v>
      </c>
      <c r="V19" s="539" t="s">
        <v>69</v>
      </c>
      <c r="W19" s="539" t="s">
        <v>69</v>
      </c>
      <c r="X19" s="516">
        <f>K19/S19</f>
        <v>1876089.2857142854</v>
      </c>
      <c r="Y19" s="539" t="s">
        <v>69</v>
      </c>
      <c r="Z19" s="507" t="s">
        <v>69</v>
      </c>
      <c r="AA19" s="507" t="s">
        <v>69</v>
      </c>
      <c r="AB19" s="508">
        <f>K19/3</f>
        <v>43775.416666666664</v>
      </c>
      <c r="AC19" s="508">
        <v>43775.416666666664</v>
      </c>
      <c r="AD19" s="508">
        <v>43775.416666666664</v>
      </c>
      <c r="AE19" s="240"/>
      <c r="AF19" s="240"/>
      <c r="AG19" s="240"/>
      <c r="AH19" s="240"/>
      <c r="AI19" s="240"/>
      <c r="AJ19" s="240"/>
      <c r="AK19" s="240"/>
      <c r="AL19" s="240"/>
      <c r="AM19" s="240"/>
      <c r="AN19" s="113"/>
      <c r="AO19" s="113"/>
      <c r="AP19" s="113"/>
      <c r="AQ19" s="113"/>
      <c r="AR19" s="113"/>
    </row>
    <row r="20" spans="1:44" ht="33" customHeight="1">
      <c r="A20" s="369"/>
      <c r="B20" s="376"/>
      <c r="C20" s="350"/>
      <c r="D20" s="350"/>
      <c r="E20" s="369"/>
      <c r="F20" s="374"/>
      <c r="G20" s="374"/>
      <c r="H20" s="374"/>
      <c r="I20" s="426"/>
      <c r="J20" s="426"/>
      <c r="K20" s="426"/>
      <c r="L20" s="509"/>
      <c r="M20" s="455"/>
      <c r="N20" s="455"/>
      <c r="O20" s="455"/>
      <c r="P20" s="455"/>
      <c r="Q20" s="455"/>
      <c r="R20" s="354"/>
      <c r="S20" s="354"/>
      <c r="T20" s="354"/>
      <c r="U20" s="354"/>
      <c r="V20" s="354"/>
      <c r="W20" s="354"/>
      <c r="X20" s="455"/>
      <c r="Y20" s="354"/>
      <c r="Z20" s="376"/>
      <c r="AA20" s="376"/>
      <c r="AB20" s="509"/>
      <c r="AC20" s="509"/>
      <c r="AD20" s="509"/>
      <c r="AE20" s="240"/>
      <c r="AF20" s="240"/>
      <c r="AG20" s="240"/>
      <c r="AH20" s="240"/>
      <c r="AI20" s="240"/>
      <c r="AJ20" s="240"/>
      <c r="AK20" s="240"/>
      <c r="AL20" s="240"/>
      <c r="AM20" s="240"/>
      <c r="AN20" s="113"/>
      <c r="AO20" s="113"/>
      <c r="AP20" s="113"/>
      <c r="AQ20" s="113"/>
      <c r="AR20" s="113"/>
    </row>
    <row r="21" spans="1:44" ht="15.75" customHeight="1">
      <c r="A21" s="369"/>
      <c r="B21" s="376"/>
      <c r="C21" s="350"/>
      <c r="D21" s="350"/>
      <c r="E21" s="369"/>
      <c r="F21" s="374"/>
      <c r="G21" s="374"/>
      <c r="H21" s="374"/>
      <c r="I21" s="518">
        <v>0.2</v>
      </c>
      <c r="J21" s="519" t="s">
        <v>75</v>
      </c>
      <c r="K21" s="511">
        <f>H19*I21</f>
        <v>105061</v>
      </c>
      <c r="L21" s="535" t="s">
        <v>202</v>
      </c>
      <c r="M21" s="536" t="s">
        <v>206</v>
      </c>
      <c r="N21" s="516" t="s">
        <v>39</v>
      </c>
      <c r="O21" s="516" t="s">
        <v>182</v>
      </c>
      <c r="P21" s="516" t="s">
        <v>207</v>
      </c>
      <c r="Q21" s="516">
        <v>2</v>
      </c>
      <c r="R21" s="507" t="s">
        <v>58</v>
      </c>
      <c r="S21" s="540">
        <v>7.0000000000000007E-2</v>
      </c>
      <c r="T21" s="539" t="s">
        <v>69</v>
      </c>
      <c r="U21" s="539" t="s">
        <v>69</v>
      </c>
      <c r="V21" s="539" t="s">
        <v>69</v>
      </c>
      <c r="W21" s="539" t="s">
        <v>69</v>
      </c>
      <c r="X21" s="516">
        <f>K21/S21</f>
        <v>1500871.4285714284</v>
      </c>
      <c r="Y21" s="539" t="s">
        <v>69</v>
      </c>
      <c r="Z21" s="539" t="s">
        <v>69</v>
      </c>
      <c r="AA21" s="539" t="s">
        <v>69</v>
      </c>
      <c r="AB21" s="240"/>
      <c r="AC21" s="240"/>
      <c r="AD21" s="240"/>
      <c r="AE21" s="240"/>
      <c r="AF21" s="510">
        <f>K21/3</f>
        <v>35020.333333333336</v>
      </c>
      <c r="AG21" s="510">
        <v>35020.333333333336</v>
      </c>
      <c r="AH21" s="510">
        <v>35020.333333333336</v>
      </c>
      <c r="AI21" s="240"/>
      <c r="AJ21" s="240"/>
      <c r="AK21" s="240"/>
      <c r="AL21" s="240"/>
      <c r="AM21" s="240"/>
      <c r="AN21" s="113"/>
      <c r="AO21" s="113"/>
      <c r="AP21" s="113"/>
      <c r="AQ21" s="113"/>
      <c r="AR21" s="113"/>
    </row>
    <row r="22" spans="1:44" ht="15.75" customHeight="1">
      <c r="A22" s="369"/>
      <c r="B22" s="376"/>
      <c r="C22" s="350"/>
      <c r="D22" s="350"/>
      <c r="E22" s="369"/>
      <c r="F22" s="374"/>
      <c r="G22" s="374"/>
      <c r="H22" s="374"/>
      <c r="I22" s="426"/>
      <c r="J22" s="426"/>
      <c r="K22" s="426"/>
      <c r="L22" s="509"/>
      <c r="M22" s="455"/>
      <c r="N22" s="455"/>
      <c r="O22" s="455"/>
      <c r="P22" s="455"/>
      <c r="Q22" s="455"/>
      <c r="R22" s="455"/>
      <c r="S22" s="354"/>
      <c r="T22" s="354"/>
      <c r="U22" s="354"/>
      <c r="V22" s="354"/>
      <c r="W22" s="354"/>
      <c r="X22" s="455"/>
      <c r="Y22" s="354"/>
      <c r="Z22" s="354"/>
      <c r="AA22" s="354"/>
      <c r="AB22" s="240"/>
      <c r="AC22" s="240"/>
      <c r="AD22" s="240"/>
      <c r="AE22" s="240"/>
      <c r="AF22" s="509"/>
      <c r="AG22" s="509"/>
      <c r="AH22" s="509"/>
      <c r="AI22" s="240"/>
      <c r="AJ22" s="240"/>
      <c r="AK22" s="240"/>
      <c r="AL22" s="240"/>
      <c r="AM22" s="240"/>
      <c r="AN22" s="113"/>
      <c r="AO22" s="113"/>
      <c r="AP22" s="113"/>
      <c r="AQ22" s="113"/>
      <c r="AR22" s="113"/>
    </row>
    <row r="23" spans="1:44" ht="15.75" customHeight="1">
      <c r="A23" s="369"/>
      <c r="B23" s="376"/>
      <c r="C23" s="350"/>
      <c r="D23" s="350"/>
      <c r="E23" s="369"/>
      <c r="F23" s="374"/>
      <c r="G23" s="374"/>
      <c r="H23" s="374"/>
      <c r="I23" s="518">
        <v>0.55000000000000004</v>
      </c>
      <c r="J23" s="519" t="s">
        <v>208</v>
      </c>
      <c r="K23" s="511">
        <f>H19*I23</f>
        <v>288917.75</v>
      </c>
      <c r="L23" s="535" t="s">
        <v>202</v>
      </c>
      <c r="M23" s="536" t="s">
        <v>182</v>
      </c>
      <c r="N23" s="516" t="s">
        <v>39</v>
      </c>
      <c r="O23" s="244" t="s">
        <v>182</v>
      </c>
      <c r="P23" s="516" t="s">
        <v>209</v>
      </c>
      <c r="Q23" s="516">
        <v>8</v>
      </c>
      <c r="R23" s="507" t="s">
        <v>58</v>
      </c>
      <c r="S23" s="538">
        <v>7.0000000000000007E-2</v>
      </c>
      <c r="T23" s="513" t="s">
        <v>69</v>
      </c>
      <c r="U23" s="513" t="s">
        <v>69</v>
      </c>
      <c r="V23" s="513" t="s">
        <v>69</v>
      </c>
      <c r="W23" s="513" t="s">
        <v>69</v>
      </c>
      <c r="X23" s="243">
        <f>(K23/S23)/8</f>
        <v>515924.55357142852</v>
      </c>
      <c r="Y23" s="513" t="s">
        <v>69</v>
      </c>
      <c r="Z23" s="513" t="s">
        <v>69</v>
      </c>
      <c r="AA23" s="513" t="s">
        <v>69</v>
      </c>
      <c r="AB23" s="240"/>
      <c r="AC23" s="240"/>
      <c r="AD23" s="240"/>
      <c r="AE23" s="240"/>
      <c r="AF23" s="506">
        <f>K23/8</f>
        <v>36114.71875</v>
      </c>
      <c r="AG23" s="362"/>
      <c r="AH23" s="245"/>
      <c r="AI23" s="245"/>
      <c r="AJ23" s="245"/>
      <c r="AK23" s="245"/>
      <c r="AL23" s="245"/>
      <c r="AM23" s="245"/>
      <c r="AN23" s="113"/>
      <c r="AO23" s="113"/>
      <c r="AP23" s="113"/>
      <c r="AQ23" s="113"/>
      <c r="AR23" s="113"/>
    </row>
    <row r="24" spans="1:44" ht="15.75" customHeight="1">
      <c r="A24" s="369"/>
      <c r="B24" s="376"/>
      <c r="C24" s="350"/>
      <c r="D24" s="350"/>
      <c r="E24" s="369"/>
      <c r="F24" s="374"/>
      <c r="G24" s="374"/>
      <c r="H24" s="374"/>
      <c r="I24" s="374"/>
      <c r="J24" s="374"/>
      <c r="K24" s="374"/>
      <c r="L24" s="509"/>
      <c r="M24" s="376"/>
      <c r="N24" s="376"/>
      <c r="O24" s="244" t="s">
        <v>182</v>
      </c>
      <c r="P24" s="376"/>
      <c r="Q24" s="376"/>
      <c r="R24" s="376"/>
      <c r="S24" s="354"/>
      <c r="T24" s="354"/>
      <c r="U24" s="354"/>
      <c r="V24" s="354"/>
      <c r="W24" s="354"/>
      <c r="X24" s="243">
        <v>515924.55357142852</v>
      </c>
      <c r="Y24" s="354"/>
      <c r="Z24" s="354"/>
      <c r="AA24" s="354"/>
      <c r="AB24" s="240"/>
      <c r="AC24" s="240"/>
      <c r="AD24" s="240"/>
      <c r="AE24" s="240"/>
      <c r="AF24" s="506">
        <v>36114.71875</v>
      </c>
      <c r="AG24" s="362"/>
      <c r="AH24" s="245"/>
      <c r="AI24" s="245"/>
      <c r="AJ24" s="245"/>
      <c r="AK24" s="245"/>
      <c r="AL24" s="245"/>
      <c r="AM24" s="245"/>
      <c r="AN24" s="113"/>
      <c r="AO24" s="113"/>
      <c r="AP24" s="113"/>
      <c r="AQ24" s="113"/>
      <c r="AR24" s="113"/>
    </row>
    <row r="25" spans="1:44" ht="15.75" customHeight="1">
      <c r="A25" s="369"/>
      <c r="B25" s="376"/>
      <c r="C25" s="350"/>
      <c r="D25" s="350"/>
      <c r="E25" s="369"/>
      <c r="F25" s="374"/>
      <c r="G25" s="374"/>
      <c r="H25" s="374"/>
      <c r="I25" s="374"/>
      <c r="J25" s="374"/>
      <c r="K25" s="374"/>
      <c r="L25" s="509"/>
      <c r="M25" s="376"/>
      <c r="N25" s="376"/>
      <c r="O25" s="244" t="s">
        <v>182</v>
      </c>
      <c r="P25" s="376"/>
      <c r="Q25" s="376"/>
      <c r="R25" s="376"/>
      <c r="S25" s="354"/>
      <c r="T25" s="354"/>
      <c r="U25" s="354"/>
      <c r="V25" s="354"/>
      <c r="W25" s="354"/>
      <c r="X25" s="243">
        <v>515924.55357142852</v>
      </c>
      <c r="Y25" s="354"/>
      <c r="Z25" s="354"/>
      <c r="AA25" s="354"/>
      <c r="AB25" s="240"/>
      <c r="AC25" s="240"/>
      <c r="AD25" s="240"/>
      <c r="AE25" s="240"/>
      <c r="AF25" s="245"/>
      <c r="AG25" s="245"/>
      <c r="AH25" s="506">
        <v>36114.71875</v>
      </c>
      <c r="AI25" s="362"/>
      <c r="AJ25" s="245"/>
      <c r="AK25" s="245"/>
      <c r="AL25" s="245"/>
      <c r="AM25" s="245"/>
      <c r="AN25" s="113"/>
      <c r="AO25" s="113"/>
      <c r="AP25" s="113"/>
      <c r="AQ25" s="113"/>
      <c r="AR25" s="113"/>
    </row>
    <row r="26" spans="1:44" ht="15.75" customHeight="1">
      <c r="A26" s="369"/>
      <c r="B26" s="376"/>
      <c r="C26" s="350"/>
      <c r="D26" s="350"/>
      <c r="E26" s="369"/>
      <c r="F26" s="374"/>
      <c r="G26" s="374"/>
      <c r="H26" s="374"/>
      <c r="I26" s="374"/>
      <c r="J26" s="374"/>
      <c r="K26" s="374"/>
      <c r="L26" s="509"/>
      <c r="M26" s="376"/>
      <c r="N26" s="376"/>
      <c r="O26" s="244" t="s">
        <v>182</v>
      </c>
      <c r="P26" s="376"/>
      <c r="Q26" s="376"/>
      <c r="R26" s="376"/>
      <c r="S26" s="354"/>
      <c r="T26" s="354"/>
      <c r="U26" s="354"/>
      <c r="V26" s="354"/>
      <c r="W26" s="354"/>
      <c r="X26" s="243">
        <v>515924.55357142852</v>
      </c>
      <c r="Y26" s="354"/>
      <c r="Z26" s="354"/>
      <c r="AA26" s="354"/>
      <c r="AB26" s="240"/>
      <c r="AC26" s="240"/>
      <c r="AD26" s="240"/>
      <c r="AE26" s="240"/>
      <c r="AF26" s="245"/>
      <c r="AG26" s="245"/>
      <c r="AH26" s="506">
        <v>36114.71875</v>
      </c>
      <c r="AI26" s="362"/>
      <c r="AJ26" s="245"/>
      <c r="AK26" s="245"/>
      <c r="AL26" s="245"/>
      <c r="AM26" s="245"/>
      <c r="AN26" s="113"/>
      <c r="AO26" s="113"/>
      <c r="AP26" s="113"/>
      <c r="AQ26" s="113"/>
      <c r="AR26" s="113"/>
    </row>
    <row r="27" spans="1:44" ht="15.75" customHeight="1">
      <c r="A27" s="369"/>
      <c r="B27" s="376"/>
      <c r="C27" s="350"/>
      <c r="D27" s="350"/>
      <c r="E27" s="369"/>
      <c r="F27" s="374"/>
      <c r="G27" s="374"/>
      <c r="H27" s="374"/>
      <c r="I27" s="374"/>
      <c r="J27" s="374"/>
      <c r="K27" s="374"/>
      <c r="L27" s="509"/>
      <c r="M27" s="376"/>
      <c r="N27" s="376"/>
      <c r="O27" s="244" t="s">
        <v>182</v>
      </c>
      <c r="P27" s="376"/>
      <c r="Q27" s="376"/>
      <c r="R27" s="376"/>
      <c r="S27" s="354"/>
      <c r="T27" s="354"/>
      <c r="U27" s="354"/>
      <c r="V27" s="354"/>
      <c r="W27" s="354"/>
      <c r="X27" s="243">
        <v>515924.55357142852</v>
      </c>
      <c r="Y27" s="354"/>
      <c r="Z27" s="354"/>
      <c r="AA27" s="354"/>
      <c r="AB27" s="240"/>
      <c r="AC27" s="240"/>
      <c r="AD27" s="240"/>
      <c r="AE27" s="240"/>
      <c r="AF27" s="245"/>
      <c r="AG27" s="245"/>
      <c r="AH27" s="245"/>
      <c r="AI27" s="245"/>
      <c r="AJ27" s="506">
        <v>36114.71875</v>
      </c>
      <c r="AK27" s="362"/>
      <c r="AL27" s="245"/>
      <c r="AM27" s="245"/>
      <c r="AN27" s="113"/>
      <c r="AO27" s="113"/>
      <c r="AP27" s="113"/>
      <c r="AQ27" s="113"/>
      <c r="AR27" s="113"/>
    </row>
    <row r="28" spans="1:44" ht="15.75" customHeight="1">
      <c r="A28" s="369"/>
      <c r="B28" s="376"/>
      <c r="C28" s="350"/>
      <c r="D28" s="350"/>
      <c r="E28" s="369"/>
      <c r="F28" s="374"/>
      <c r="G28" s="374"/>
      <c r="H28" s="374"/>
      <c r="I28" s="374"/>
      <c r="J28" s="374"/>
      <c r="K28" s="374"/>
      <c r="L28" s="509"/>
      <c r="M28" s="376"/>
      <c r="N28" s="376"/>
      <c r="O28" s="244" t="s">
        <v>182</v>
      </c>
      <c r="P28" s="376"/>
      <c r="Q28" s="376"/>
      <c r="R28" s="376"/>
      <c r="S28" s="354"/>
      <c r="T28" s="354"/>
      <c r="U28" s="354"/>
      <c r="V28" s="354"/>
      <c r="W28" s="354"/>
      <c r="X28" s="243">
        <v>515924.55357142852</v>
      </c>
      <c r="Y28" s="354"/>
      <c r="Z28" s="354"/>
      <c r="AA28" s="354"/>
      <c r="AB28" s="240"/>
      <c r="AC28" s="240"/>
      <c r="AD28" s="240"/>
      <c r="AE28" s="240"/>
      <c r="AF28" s="245"/>
      <c r="AG28" s="245"/>
      <c r="AH28" s="245"/>
      <c r="AI28" s="245"/>
      <c r="AJ28" s="506">
        <v>36114.71875</v>
      </c>
      <c r="AK28" s="362"/>
      <c r="AL28" s="245"/>
      <c r="AM28" s="245"/>
      <c r="AN28" s="113"/>
      <c r="AO28" s="113"/>
      <c r="AP28" s="113"/>
      <c r="AQ28" s="113"/>
      <c r="AR28" s="113"/>
    </row>
    <row r="29" spans="1:44" ht="15.75" customHeight="1">
      <c r="A29" s="369"/>
      <c r="B29" s="376"/>
      <c r="C29" s="350"/>
      <c r="D29" s="350"/>
      <c r="E29" s="369"/>
      <c r="F29" s="374"/>
      <c r="G29" s="374"/>
      <c r="H29" s="374"/>
      <c r="I29" s="374"/>
      <c r="J29" s="374"/>
      <c r="K29" s="374"/>
      <c r="L29" s="509"/>
      <c r="M29" s="376"/>
      <c r="N29" s="376"/>
      <c r="O29" s="244" t="s">
        <v>182</v>
      </c>
      <c r="P29" s="376"/>
      <c r="Q29" s="376"/>
      <c r="R29" s="376"/>
      <c r="S29" s="354"/>
      <c r="T29" s="354"/>
      <c r="U29" s="354"/>
      <c r="V29" s="354"/>
      <c r="W29" s="354"/>
      <c r="X29" s="243">
        <v>515924.55357142852</v>
      </c>
      <c r="Y29" s="354"/>
      <c r="Z29" s="354"/>
      <c r="AA29" s="354"/>
      <c r="AB29" s="240"/>
      <c r="AC29" s="240"/>
      <c r="AD29" s="240"/>
      <c r="AE29" s="240"/>
      <c r="AF29" s="245"/>
      <c r="AG29" s="245"/>
      <c r="AH29" s="245"/>
      <c r="AI29" s="245"/>
      <c r="AJ29" s="245"/>
      <c r="AK29" s="245"/>
      <c r="AL29" s="506">
        <v>36114.71875</v>
      </c>
      <c r="AM29" s="362"/>
      <c r="AN29" s="113"/>
      <c r="AO29" s="113"/>
      <c r="AP29" s="113"/>
      <c r="AQ29" s="113"/>
      <c r="AR29" s="113"/>
    </row>
    <row r="30" spans="1:44" ht="15.75" customHeight="1">
      <c r="A30" s="369"/>
      <c r="B30" s="376"/>
      <c r="C30" s="350"/>
      <c r="D30" s="350"/>
      <c r="E30" s="369"/>
      <c r="F30" s="426"/>
      <c r="G30" s="426"/>
      <c r="H30" s="426"/>
      <c r="I30" s="426"/>
      <c r="J30" s="426"/>
      <c r="K30" s="426"/>
      <c r="L30" s="509"/>
      <c r="M30" s="455"/>
      <c r="N30" s="455"/>
      <c r="O30" s="244" t="s">
        <v>182</v>
      </c>
      <c r="P30" s="455"/>
      <c r="Q30" s="455"/>
      <c r="R30" s="455"/>
      <c r="S30" s="354"/>
      <c r="T30" s="354"/>
      <c r="U30" s="354"/>
      <c r="V30" s="354"/>
      <c r="W30" s="354"/>
      <c r="X30" s="243">
        <v>515924.55357142852</v>
      </c>
      <c r="Y30" s="354"/>
      <c r="Z30" s="354"/>
      <c r="AA30" s="354"/>
      <c r="AB30" s="240"/>
      <c r="AC30" s="240"/>
      <c r="AD30" s="240"/>
      <c r="AE30" s="240"/>
      <c r="AF30" s="245"/>
      <c r="AG30" s="245"/>
      <c r="AH30" s="245"/>
      <c r="AI30" s="245"/>
      <c r="AJ30" s="245"/>
      <c r="AK30" s="245"/>
      <c r="AL30" s="506">
        <v>36114.71875</v>
      </c>
      <c r="AM30" s="362"/>
      <c r="AN30" s="113"/>
      <c r="AO30" s="113"/>
      <c r="AP30" s="113"/>
      <c r="AQ30" s="113"/>
      <c r="AR30" s="113"/>
    </row>
    <row r="31" spans="1:44" ht="15.75" customHeight="1">
      <c r="A31" s="369"/>
      <c r="B31" s="376"/>
      <c r="C31" s="350"/>
      <c r="D31" s="350"/>
      <c r="E31" s="369"/>
      <c r="F31" s="532" t="s">
        <v>210</v>
      </c>
      <c r="G31" s="518">
        <v>0.45</v>
      </c>
      <c r="H31" s="511">
        <f>E19*G31</f>
        <v>429795</v>
      </c>
      <c r="I31" s="518">
        <v>0.45</v>
      </c>
      <c r="J31" s="519" t="s">
        <v>9</v>
      </c>
      <c r="K31" s="511">
        <f>H31*I31</f>
        <v>193407.75</v>
      </c>
      <c r="L31" s="512" t="s">
        <v>198</v>
      </c>
      <c r="M31" s="375" t="s">
        <v>79</v>
      </c>
      <c r="N31" s="516" t="s">
        <v>39</v>
      </c>
      <c r="O31" s="516" t="s">
        <v>211</v>
      </c>
      <c r="P31" s="516" t="s">
        <v>212</v>
      </c>
      <c r="Q31" s="516">
        <v>1</v>
      </c>
      <c r="R31" s="507" t="s">
        <v>58</v>
      </c>
      <c r="S31" s="536">
        <v>0.1</v>
      </c>
      <c r="T31" s="507" t="s">
        <v>69</v>
      </c>
      <c r="U31" s="507" t="s">
        <v>69</v>
      </c>
      <c r="V31" s="507" t="s">
        <v>69</v>
      </c>
      <c r="W31" s="507" t="s">
        <v>69</v>
      </c>
      <c r="X31" s="516">
        <f>K31/S31</f>
        <v>1934077.5</v>
      </c>
      <c r="Y31" s="507" t="s">
        <v>69</v>
      </c>
      <c r="Z31" s="507" t="s">
        <v>69</v>
      </c>
      <c r="AA31" s="507" t="s">
        <v>69</v>
      </c>
      <c r="AB31" s="514">
        <f>K31/2</f>
        <v>96703.875</v>
      </c>
      <c r="AC31" s="380"/>
      <c r="AD31" s="515">
        <f>K31/2</f>
        <v>96703.875</v>
      </c>
      <c r="AE31" s="380"/>
      <c r="AF31" s="240"/>
      <c r="AG31" s="240"/>
      <c r="AH31" s="240"/>
      <c r="AI31" s="240"/>
      <c r="AJ31" s="240"/>
      <c r="AK31" s="240"/>
      <c r="AL31" s="240"/>
      <c r="AM31" s="240"/>
      <c r="AN31" s="113"/>
      <c r="AO31" s="113"/>
      <c r="AP31" s="113"/>
      <c r="AQ31" s="113"/>
      <c r="AR31" s="113"/>
    </row>
    <row r="32" spans="1:44" ht="111.75" customHeight="1">
      <c r="A32" s="369"/>
      <c r="B32" s="376"/>
      <c r="C32" s="350"/>
      <c r="D32" s="350"/>
      <c r="E32" s="369"/>
      <c r="F32" s="374"/>
      <c r="G32" s="374"/>
      <c r="H32" s="374"/>
      <c r="I32" s="426"/>
      <c r="J32" s="426"/>
      <c r="K32" s="426"/>
      <c r="L32" s="509"/>
      <c r="M32" s="376"/>
      <c r="N32" s="455"/>
      <c r="O32" s="455"/>
      <c r="P32" s="455"/>
      <c r="Q32" s="376"/>
      <c r="R32" s="455"/>
      <c r="S32" s="376"/>
      <c r="T32" s="376"/>
      <c r="U32" s="376"/>
      <c r="V32" s="376"/>
      <c r="W32" s="376"/>
      <c r="X32" s="376"/>
      <c r="Y32" s="376"/>
      <c r="Z32" s="376"/>
      <c r="AA32" s="376"/>
      <c r="AB32" s="384"/>
      <c r="AC32" s="354"/>
      <c r="AD32" s="384"/>
      <c r="AE32" s="354"/>
      <c r="AF32" s="240"/>
      <c r="AG32" s="240"/>
      <c r="AH32" s="240"/>
      <c r="AI32" s="240"/>
      <c r="AJ32" s="240"/>
      <c r="AK32" s="240"/>
      <c r="AL32" s="240"/>
      <c r="AM32" s="240"/>
      <c r="AN32" s="113"/>
      <c r="AO32" s="113"/>
      <c r="AP32" s="113"/>
      <c r="AQ32" s="113"/>
      <c r="AR32" s="113"/>
    </row>
    <row r="33" spans="1:44" ht="15.75" customHeight="1">
      <c r="A33" s="369"/>
      <c r="B33" s="376"/>
      <c r="C33" s="350"/>
      <c r="D33" s="350"/>
      <c r="E33" s="369"/>
      <c r="F33" s="374"/>
      <c r="G33" s="374"/>
      <c r="H33" s="374"/>
      <c r="I33" s="518">
        <v>0.55000000000000004</v>
      </c>
      <c r="J33" s="519" t="s">
        <v>213</v>
      </c>
      <c r="K33" s="511">
        <f>H31*I33</f>
        <v>236387.25000000003</v>
      </c>
      <c r="L33" s="520" t="s">
        <v>202</v>
      </c>
      <c r="M33" s="375" t="s">
        <v>76</v>
      </c>
      <c r="N33" s="516" t="s">
        <v>39</v>
      </c>
      <c r="O33" s="516" t="s">
        <v>214</v>
      </c>
      <c r="P33" s="516" t="s">
        <v>212</v>
      </c>
      <c r="Q33" s="516">
        <v>2</v>
      </c>
      <c r="R33" s="507" t="s">
        <v>58</v>
      </c>
      <c r="S33" s="536">
        <v>0.1</v>
      </c>
      <c r="T33" s="507" t="s">
        <v>69</v>
      </c>
      <c r="U33" s="507" t="s">
        <v>69</v>
      </c>
      <c r="V33" s="507" t="s">
        <v>69</v>
      </c>
      <c r="W33" s="507" t="s">
        <v>69</v>
      </c>
      <c r="X33" s="516">
        <f>K33/S33</f>
        <v>2363872.5</v>
      </c>
      <c r="Y33" s="507" t="s">
        <v>69</v>
      </c>
      <c r="Z33" s="507" t="s">
        <v>69</v>
      </c>
      <c r="AA33" s="507" t="s">
        <v>69</v>
      </c>
      <c r="AB33" s="240"/>
      <c r="AC33" s="240"/>
      <c r="AD33" s="240"/>
      <c r="AE33" s="240"/>
      <c r="AF33" s="515">
        <f>K33/2</f>
        <v>118193.62500000001</v>
      </c>
      <c r="AG33" s="380"/>
      <c r="AH33" s="380"/>
      <c r="AI33" s="380"/>
      <c r="AJ33" s="515">
        <v>118193.62500000001</v>
      </c>
      <c r="AK33" s="380"/>
      <c r="AL33" s="380"/>
      <c r="AM33" s="380"/>
      <c r="AN33" s="113"/>
      <c r="AO33" s="113"/>
      <c r="AP33" s="113"/>
      <c r="AQ33" s="113"/>
      <c r="AR33" s="113"/>
    </row>
    <row r="34" spans="1:44" ht="15.75" customHeight="1">
      <c r="A34" s="369"/>
      <c r="B34" s="376"/>
      <c r="C34" s="351"/>
      <c r="D34" s="351"/>
      <c r="E34" s="370"/>
      <c r="F34" s="426"/>
      <c r="G34" s="426"/>
      <c r="H34" s="426"/>
      <c r="I34" s="426"/>
      <c r="J34" s="426"/>
      <c r="K34" s="426"/>
      <c r="L34" s="509"/>
      <c r="M34" s="376"/>
      <c r="N34" s="455"/>
      <c r="O34" s="455"/>
      <c r="P34" s="455"/>
      <c r="Q34" s="455"/>
      <c r="R34" s="455"/>
      <c r="S34" s="376"/>
      <c r="T34" s="455"/>
      <c r="U34" s="455"/>
      <c r="V34" s="455"/>
      <c r="W34" s="455"/>
      <c r="X34" s="376"/>
      <c r="Y34" s="455"/>
      <c r="Z34" s="455"/>
      <c r="AA34" s="455"/>
      <c r="AB34" s="240"/>
      <c r="AC34" s="240"/>
      <c r="AD34" s="240"/>
      <c r="AE34" s="240"/>
      <c r="AF34" s="384"/>
      <c r="AG34" s="354"/>
      <c r="AH34" s="354"/>
      <c r="AI34" s="354"/>
      <c r="AJ34" s="384"/>
      <c r="AK34" s="354"/>
      <c r="AL34" s="354"/>
      <c r="AM34" s="354"/>
      <c r="AN34" s="113"/>
      <c r="AO34" s="113"/>
      <c r="AP34" s="113"/>
      <c r="AQ34" s="113"/>
      <c r="AR34" s="113"/>
    </row>
    <row r="35" spans="1:44" ht="15.75" customHeight="1">
      <c r="A35" s="369"/>
      <c r="B35" s="376"/>
      <c r="C35" s="74"/>
      <c r="D35" s="74"/>
      <c r="E35" s="75"/>
      <c r="F35" s="246"/>
      <c r="G35" s="247"/>
      <c r="H35" s="247"/>
      <c r="I35" s="247"/>
      <c r="J35" s="246"/>
      <c r="K35" s="246"/>
      <c r="L35" s="248"/>
      <c r="M35" s="249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1"/>
      <c r="AA35" s="252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2"/>
      <c r="AO35" s="252"/>
      <c r="AP35" s="113"/>
      <c r="AQ35" s="113"/>
      <c r="AR35" s="113"/>
    </row>
    <row r="36" spans="1:44" ht="15.75" customHeight="1">
      <c r="A36" s="369"/>
      <c r="B36" s="376"/>
      <c r="C36" s="358" t="s">
        <v>83</v>
      </c>
      <c r="D36" s="359">
        <v>0.4</v>
      </c>
      <c r="E36" s="541">
        <f>B4*D36</f>
        <v>764080</v>
      </c>
      <c r="F36" s="519" t="s">
        <v>215</v>
      </c>
      <c r="G36" s="518">
        <v>0.15</v>
      </c>
      <c r="H36" s="511">
        <f>E36*G36</f>
        <v>114612</v>
      </c>
      <c r="I36" s="518">
        <v>1</v>
      </c>
      <c r="J36" s="519" t="s">
        <v>216</v>
      </c>
      <c r="K36" s="511">
        <f>H36*I36</f>
        <v>114612</v>
      </c>
      <c r="L36" s="512" t="s">
        <v>198</v>
      </c>
      <c r="M36" s="517" t="s">
        <v>217</v>
      </c>
      <c r="N36" s="517" t="s">
        <v>42</v>
      </c>
      <c r="O36" s="517" t="str">
        <f>M36</f>
        <v xml:space="preserve">VIDEO NOTA </v>
      </c>
      <c r="P36" s="517" t="s">
        <v>218</v>
      </c>
      <c r="Q36" s="524">
        <v>1</v>
      </c>
      <c r="R36" s="525" t="s">
        <v>58</v>
      </c>
      <c r="S36" s="525" t="s">
        <v>69</v>
      </c>
      <c r="T36" s="525" t="s">
        <v>69</v>
      </c>
      <c r="U36" s="525" t="s">
        <v>69</v>
      </c>
      <c r="V36" s="525" t="s">
        <v>69</v>
      </c>
      <c r="W36" s="525">
        <v>15</v>
      </c>
      <c r="X36" s="525" t="s">
        <v>69</v>
      </c>
      <c r="Y36" s="525" t="s">
        <v>69</v>
      </c>
      <c r="Z36" s="525" t="s">
        <v>69</v>
      </c>
      <c r="AA36" s="524">
        <f>K36/W36*1000</f>
        <v>7640800</v>
      </c>
      <c r="AB36" s="240"/>
      <c r="AC36" s="240"/>
      <c r="AD36" s="240"/>
      <c r="AE36" s="240"/>
      <c r="AF36" s="515">
        <f>K36</f>
        <v>114612</v>
      </c>
      <c r="AG36" s="380"/>
      <c r="AH36" s="380"/>
      <c r="AI36" s="380"/>
      <c r="AJ36" s="240"/>
      <c r="AK36" s="240"/>
      <c r="AL36" s="240"/>
      <c r="AM36" s="240"/>
      <c r="AN36" s="113"/>
      <c r="AO36" s="113"/>
      <c r="AP36" s="113"/>
      <c r="AQ36" s="113"/>
      <c r="AR36" s="113"/>
    </row>
    <row r="37" spans="1:44" ht="15.75" customHeight="1">
      <c r="A37" s="369"/>
      <c r="B37" s="376"/>
      <c r="C37" s="350"/>
      <c r="D37" s="350"/>
      <c r="E37" s="369"/>
      <c r="F37" s="426"/>
      <c r="G37" s="426"/>
      <c r="H37" s="426"/>
      <c r="I37" s="426"/>
      <c r="J37" s="426"/>
      <c r="K37" s="426"/>
      <c r="L37" s="509"/>
      <c r="M37" s="426"/>
      <c r="N37" s="426"/>
      <c r="O37" s="426"/>
      <c r="P37" s="426"/>
      <c r="Q37" s="426"/>
      <c r="R37" s="426"/>
      <c r="S37" s="426"/>
      <c r="T37" s="426"/>
      <c r="U37" s="426"/>
      <c r="V37" s="426"/>
      <c r="W37" s="426"/>
      <c r="X37" s="426"/>
      <c r="Y37" s="426"/>
      <c r="Z37" s="426"/>
      <c r="AA37" s="426"/>
      <c r="AB37" s="240"/>
      <c r="AC37" s="240"/>
      <c r="AD37" s="240"/>
      <c r="AE37" s="240"/>
      <c r="AF37" s="384"/>
      <c r="AG37" s="354"/>
      <c r="AH37" s="354"/>
      <c r="AI37" s="354"/>
      <c r="AJ37" s="240"/>
      <c r="AK37" s="240"/>
      <c r="AL37" s="240"/>
      <c r="AM37" s="240"/>
    </row>
    <row r="38" spans="1:44" ht="15.75" customHeight="1">
      <c r="A38" s="369"/>
      <c r="B38" s="376"/>
      <c r="C38" s="350"/>
      <c r="D38" s="350"/>
      <c r="E38" s="369"/>
      <c r="F38" s="519" t="s">
        <v>219</v>
      </c>
      <c r="G38" s="518">
        <v>0.35</v>
      </c>
      <c r="H38" s="511">
        <f>E36*G38</f>
        <v>267428</v>
      </c>
      <c r="I38" s="518">
        <v>0.4</v>
      </c>
      <c r="J38" s="519" t="s">
        <v>216</v>
      </c>
      <c r="K38" s="511">
        <f>H38*I38</f>
        <v>106971.20000000001</v>
      </c>
      <c r="L38" s="520" t="s">
        <v>202</v>
      </c>
      <c r="M38" s="521" t="s">
        <v>199</v>
      </c>
      <c r="N38" s="517" t="s">
        <v>42</v>
      </c>
      <c r="O38" s="517" t="s">
        <v>220</v>
      </c>
      <c r="P38" s="517" t="s">
        <v>197</v>
      </c>
      <c r="Q38" s="517">
        <v>2</v>
      </c>
      <c r="R38" s="525" t="s">
        <v>58</v>
      </c>
      <c r="S38" s="521">
        <v>0.5</v>
      </c>
      <c r="T38" s="525" t="s">
        <v>69</v>
      </c>
      <c r="U38" s="525" t="s">
        <v>69</v>
      </c>
      <c r="V38" s="525" t="s">
        <v>69</v>
      </c>
      <c r="W38" s="521">
        <v>2.5</v>
      </c>
      <c r="X38" s="524">
        <f>K38/S38</f>
        <v>213942.40000000002</v>
      </c>
      <c r="Y38" s="525" t="s">
        <v>69</v>
      </c>
      <c r="Z38" s="525" t="s">
        <v>69</v>
      </c>
      <c r="AA38" s="524">
        <f>K38/W38*1000</f>
        <v>42788480</v>
      </c>
      <c r="AB38" s="240"/>
      <c r="AC38" s="240"/>
      <c r="AD38" s="240"/>
      <c r="AE38" s="510">
        <v>26971</v>
      </c>
      <c r="AF38" s="515">
        <v>80000</v>
      </c>
      <c r="AG38" s="380"/>
      <c r="AH38" s="380"/>
      <c r="AI38" s="380"/>
      <c r="AJ38" s="240"/>
      <c r="AK38" s="240"/>
      <c r="AL38" s="240"/>
      <c r="AM38" s="240"/>
    </row>
    <row r="39" spans="1:44" ht="15.75" customHeight="1">
      <c r="A39" s="369"/>
      <c r="B39" s="376"/>
      <c r="C39" s="350"/>
      <c r="D39" s="350"/>
      <c r="E39" s="369"/>
      <c r="F39" s="374"/>
      <c r="G39" s="374"/>
      <c r="H39" s="374"/>
      <c r="I39" s="426"/>
      <c r="J39" s="426"/>
      <c r="K39" s="426"/>
      <c r="L39" s="509"/>
      <c r="M39" s="426"/>
      <c r="N39" s="426"/>
      <c r="O39" s="426"/>
      <c r="P39" s="374"/>
      <c r="Q39" s="426"/>
      <c r="R39" s="426"/>
      <c r="S39" s="426"/>
      <c r="T39" s="426"/>
      <c r="U39" s="426"/>
      <c r="V39" s="426"/>
      <c r="W39" s="426"/>
      <c r="X39" s="426"/>
      <c r="Y39" s="426"/>
      <c r="Z39" s="426"/>
      <c r="AA39" s="426"/>
      <c r="AB39" s="240"/>
      <c r="AC39" s="240"/>
      <c r="AD39" s="240"/>
      <c r="AE39" s="509"/>
      <c r="AF39" s="384"/>
      <c r="AG39" s="354"/>
      <c r="AH39" s="354"/>
      <c r="AI39" s="354"/>
      <c r="AJ39" s="240"/>
      <c r="AK39" s="240"/>
      <c r="AL39" s="240"/>
      <c r="AM39" s="240"/>
    </row>
    <row r="40" spans="1:44" ht="15.75" customHeight="1">
      <c r="A40" s="369"/>
      <c r="B40" s="376"/>
      <c r="C40" s="350"/>
      <c r="D40" s="350"/>
      <c r="E40" s="369"/>
      <c r="F40" s="374"/>
      <c r="G40" s="374"/>
      <c r="H40" s="374"/>
      <c r="I40" s="518">
        <v>0.6</v>
      </c>
      <c r="J40" s="519" t="s">
        <v>213</v>
      </c>
      <c r="K40" s="511">
        <f>H38*I40</f>
        <v>160456.79999999999</v>
      </c>
      <c r="L40" s="520" t="s">
        <v>202</v>
      </c>
      <c r="M40" s="521" t="s">
        <v>199</v>
      </c>
      <c r="N40" s="517" t="s">
        <v>42</v>
      </c>
      <c r="O40" s="517" t="s">
        <v>220</v>
      </c>
      <c r="P40" s="374"/>
      <c r="Q40" s="517">
        <v>2</v>
      </c>
      <c r="R40" s="525" t="s">
        <v>58</v>
      </c>
      <c r="S40" s="521">
        <v>0.5</v>
      </c>
      <c r="T40" s="525" t="s">
        <v>69</v>
      </c>
      <c r="U40" s="525" t="s">
        <v>69</v>
      </c>
      <c r="V40" s="525" t="s">
        <v>69</v>
      </c>
      <c r="W40" s="521">
        <v>2.5</v>
      </c>
      <c r="X40" s="524">
        <f>K40/S40</f>
        <v>320913.59999999998</v>
      </c>
      <c r="Y40" s="525" t="s">
        <v>69</v>
      </c>
      <c r="Z40" s="525" t="s">
        <v>69</v>
      </c>
      <c r="AA40" s="524">
        <f>K40/W40*1000</f>
        <v>64182719.999999993</v>
      </c>
      <c r="AB40" s="240"/>
      <c r="AC40" s="240"/>
      <c r="AD40" s="240"/>
      <c r="AE40" s="240"/>
      <c r="AF40" s="240"/>
      <c r="AG40" s="240"/>
      <c r="AH40" s="240"/>
      <c r="AI40" s="240"/>
      <c r="AJ40" s="515">
        <f>K40</f>
        <v>160456.79999999999</v>
      </c>
      <c r="AK40" s="380"/>
      <c r="AL40" s="380"/>
      <c r="AM40" s="380"/>
    </row>
    <row r="41" spans="1:44" ht="15.75" customHeight="1">
      <c r="A41" s="369"/>
      <c r="B41" s="376"/>
      <c r="C41" s="350"/>
      <c r="D41" s="350"/>
      <c r="E41" s="369"/>
      <c r="F41" s="426"/>
      <c r="G41" s="426"/>
      <c r="H41" s="426"/>
      <c r="I41" s="426"/>
      <c r="J41" s="426"/>
      <c r="K41" s="426"/>
      <c r="L41" s="509"/>
      <c r="M41" s="426"/>
      <c r="N41" s="426"/>
      <c r="O41" s="426"/>
      <c r="P41" s="426"/>
      <c r="Q41" s="426"/>
      <c r="R41" s="426"/>
      <c r="S41" s="426"/>
      <c r="T41" s="426"/>
      <c r="U41" s="426"/>
      <c r="V41" s="426"/>
      <c r="W41" s="426"/>
      <c r="X41" s="426"/>
      <c r="Y41" s="426"/>
      <c r="Z41" s="426"/>
      <c r="AA41" s="426"/>
      <c r="AB41" s="240"/>
      <c r="AC41" s="240"/>
      <c r="AD41" s="240"/>
      <c r="AE41" s="240"/>
      <c r="AF41" s="240"/>
      <c r="AG41" s="240"/>
      <c r="AH41" s="240"/>
      <c r="AI41" s="240"/>
      <c r="AJ41" s="384"/>
      <c r="AK41" s="354"/>
      <c r="AL41" s="354"/>
      <c r="AM41" s="354"/>
    </row>
    <row r="42" spans="1:44" ht="15.75" customHeight="1">
      <c r="A42" s="369"/>
      <c r="B42" s="376"/>
      <c r="C42" s="350"/>
      <c r="D42" s="350"/>
      <c r="E42" s="369"/>
      <c r="F42" s="519" t="s">
        <v>221</v>
      </c>
      <c r="G42" s="518">
        <v>0.1</v>
      </c>
      <c r="H42" s="511">
        <f>E36*G42</f>
        <v>76408</v>
      </c>
      <c r="I42" s="229">
        <v>0.4</v>
      </c>
      <c r="J42" s="230" t="s">
        <v>216</v>
      </c>
      <c r="K42" s="231">
        <f>H42*I42</f>
        <v>30563.200000000001</v>
      </c>
      <c r="L42" s="254" t="s">
        <v>198</v>
      </c>
      <c r="M42" s="255" t="s">
        <v>222</v>
      </c>
      <c r="N42" s="255" t="s">
        <v>42</v>
      </c>
      <c r="O42" s="255" t="s">
        <v>223</v>
      </c>
      <c r="P42" s="517" t="s">
        <v>224</v>
      </c>
      <c r="Q42" s="255">
        <v>1</v>
      </c>
      <c r="R42" s="255" t="s">
        <v>58</v>
      </c>
      <c r="S42" s="255" t="s">
        <v>69</v>
      </c>
      <c r="T42" s="255" t="s">
        <v>69</v>
      </c>
      <c r="U42" s="255" t="s">
        <v>69</v>
      </c>
      <c r="V42" s="255" t="s">
        <v>69</v>
      </c>
      <c r="W42" s="256">
        <v>2.5</v>
      </c>
      <c r="X42" s="255" t="s">
        <v>69</v>
      </c>
      <c r="Y42" s="255" t="s">
        <v>69</v>
      </c>
      <c r="Z42" s="255" t="s">
        <v>69</v>
      </c>
      <c r="AA42" s="257">
        <f t="shared" ref="AA42:AA44" si="1">K42/W42*1000</f>
        <v>12225280</v>
      </c>
      <c r="AB42" s="528">
        <f>K42</f>
        <v>30563.200000000001</v>
      </c>
      <c r="AC42" s="362"/>
      <c r="AD42" s="362"/>
      <c r="AE42" s="362"/>
      <c r="AF42" s="240"/>
      <c r="AG42" s="240"/>
      <c r="AH42" s="240"/>
      <c r="AI42" s="240"/>
      <c r="AJ42" s="240"/>
      <c r="AK42" s="240"/>
      <c r="AL42" s="240"/>
      <c r="AM42" s="240"/>
    </row>
    <row r="43" spans="1:44" ht="15.75" customHeight="1">
      <c r="A43" s="369"/>
      <c r="B43" s="376"/>
      <c r="C43" s="350"/>
      <c r="D43" s="350"/>
      <c r="E43" s="369"/>
      <c r="F43" s="426"/>
      <c r="G43" s="426"/>
      <c r="H43" s="426"/>
      <c r="I43" s="229">
        <v>0.6</v>
      </c>
      <c r="J43" s="230" t="s">
        <v>213</v>
      </c>
      <c r="K43" s="231">
        <f>H42*I43</f>
        <v>45844.799999999996</v>
      </c>
      <c r="L43" s="258" t="s">
        <v>202</v>
      </c>
      <c r="M43" s="255" t="s">
        <v>222</v>
      </c>
      <c r="N43" s="255" t="s">
        <v>42</v>
      </c>
      <c r="O43" s="255" t="s">
        <v>223</v>
      </c>
      <c r="P43" s="426"/>
      <c r="Q43" s="255">
        <v>1</v>
      </c>
      <c r="R43" s="255" t="s">
        <v>58</v>
      </c>
      <c r="S43" s="255" t="s">
        <v>69</v>
      </c>
      <c r="T43" s="255" t="s">
        <v>69</v>
      </c>
      <c r="U43" s="255" t="s">
        <v>69</v>
      </c>
      <c r="V43" s="255" t="s">
        <v>69</v>
      </c>
      <c r="W43" s="256">
        <v>2.5</v>
      </c>
      <c r="X43" s="255" t="s">
        <v>69</v>
      </c>
      <c r="Y43" s="255" t="s">
        <v>69</v>
      </c>
      <c r="Z43" s="255" t="s">
        <v>69</v>
      </c>
      <c r="AA43" s="257">
        <f t="shared" si="1"/>
        <v>18337920</v>
      </c>
      <c r="AB43" s="240"/>
      <c r="AC43" s="240"/>
      <c r="AD43" s="240"/>
      <c r="AE43" s="240"/>
      <c r="AF43" s="506">
        <f>K43/2</f>
        <v>22922.399999999998</v>
      </c>
      <c r="AG43" s="362"/>
      <c r="AH43" s="362"/>
      <c r="AI43" s="362"/>
      <c r="AJ43" s="506">
        <v>22922.399999999998</v>
      </c>
      <c r="AK43" s="362"/>
      <c r="AL43" s="362"/>
      <c r="AM43" s="362"/>
    </row>
    <row r="44" spans="1:44" ht="15.75" customHeight="1">
      <c r="A44" s="369"/>
      <c r="B44" s="376"/>
      <c r="C44" s="350"/>
      <c r="D44" s="350"/>
      <c r="E44" s="369"/>
      <c r="F44" s="532" t="s">
        <v>225</v>
      </c>
      <c r="G44" s="518">
        <v>0.2</v>
      </c>
      <c r="H44" s="511">
        <f>E36*G44</f>
        <v>152816</v>
      </c>
      <c r="I44" s="518">
        <v>0.4</v>
      </c>
      <c r="J44" s="519" t="s">
        <v>216</v>
      </c>
      <c r="K44" s="511">
        <f>H44*I44</f>
        <v>61126.400000000001</v>
      </c>
      <c r="L44" s="534" t="s">
        <v>198</v>
      </c>
      <c r="M44" s="517" t="s">
        <v>101</v>
      </c>
      <c r="N44" s="517" t="s">
        <v>42</v>
      </c>
      <c r="O44" s="517" t="str">
        <f>M44</f>
        <v>BANNER</v>
      </c>
      <c r="P44" s="517" t="s">
        <v>100</v>
      </c>
      <c r="Q44" s="517">
        <v>2</v>
      </c>
      <c r="R44" s="517" t="s">
        <v>58</v>
      </c>
      <c r="S44" s="525" t="s">
        <v>69</v>
      </c>
      <c r="T44" s="525" t="s">
        <v>69</v>
      </c>
      <c r="U44" s="525" t="s">
        <v>69</v>
      </c>
      <c r="V44" s="525" t="s">
        <v>69</v>
      </c>
      <c r="W44" s="521">
        <v>5.8</v>
      </c>
      <c r="X44" s="525" t="s">
        <v>69</v>
      </c>
      <c r="Y44" s="525" t="s">
        <v>69</v>
      </c>
      <c r="Z44" s="525" t="s">
        <v>69</v>
      </c>
      <c r="AA44" s="524">
        <f t="shared" si="1"/>
        <v>10539034.482758621</v>
      </c>
      <c r="AB44" s="514">
        <f>K44</f>
        <v>61126.400000000001</v>
      </c>
      <c r="AC44" s="380"/>
      <c r="AD44" s="380"/>
      <c r="AE44" s="380"/>
      <c r="AF44" s="240"/>
      <c r="AG44" s="240"/>
      <c r="AH44" s="240"/>
      <c r="AI44" s="240"/>
      <c r="AJ44" s="240"/>
      <c r="AK44" s="240"/>
      <c r="AL44" s="240"/>
      <c r="AM44" s="240"/>
    </row>
    <row r="45" spans="1:44" ht="15.75" customHeight="1">
      <c r="A45" s="369"/>
      <c r="B45" s="376"/>
      <c r="C45" s="350"/>
      <c r="D45" s="350"/>
      <c r="E45" s="369"/>
      <c r="F45" s="374"/>
      <c r="G45" s="374"/>
      <c r="H45" s="374"/>
      <c r="I45" s="426"/>
      <c r="J45" s="426"/>
      <c r="K45" s="426"/>
      <c r="L45" s="509"/>
      <c r="M45" s="426"/>
      <c r="N45" s="426"/>
      <c r="O45" s="426"/>
      <c r="P45" s="374"/>
      <c r="Q45" s="426"/>
      <c r="R45" s="426"/>
      <c r="S45" s="426"/>
      <c r="T45" s="426"/>
      <c r="U45" s="426"/>
      <c r="V45" s="426"/>
      <c r="W45" s="426"/>
      <c r="X45" s="426"/>
      <c r="Y45" s="426"/>
      <c r="Z45" s="426"/>
      <c r="AA45" s="426"/>
      <c r="AB45" s="384"/>
      <c r="AC45" s="354"/>
      <c r="AD45" s="354"/>
      <c r="AE45" s="354"/>
      <c r="AF45" s="240"/>
      <c r="AG45" s="240"/>
      <c r="AH45" s="240"/>
      <c r="AI45" s="240"/>
      <c r="AJ45" s="240"/>
      <c r="AK45" s="240"/>
      <c r="AL45" s="240"/>
      <c r="AM45" s="240"/>
    </row>
    <row r="46" spans="1:44" ht="15.75" customHeight="1">
      <c r="A46" s="369"/>
      <c r="B46" s="376"/>
      <c r="C46" s="350"/>
      <c r="D46" s="350"/>
      <c r="E46" s="369"/>
      <c r="F46" s="374"/>
      <c r="G46" s="374"/>
      <c r="H46" s="374"/>
      <c r="I46" s="518">
        <v>0.6</v>
      </c>
      <c r="J46" s="519" t="s">
        <v>213</v>
      </c>
      <c r="K46" s="511">
        <f>H44*I46</f>
        <v>91689.599999999991</v>
      </c>
      <c r="L46" s="533" t="s">
        <v>202</v>
      </c>
      <c r="M46" s="517" t="s">
        <v>226</v>
      </c>
      <c r="N46" s="517" t="s">
        <v>39</v>
      </c>
      <c r="O46" s="517" t="str">
        <f>M46</f>
        <v>VIDEO BANNER</v>
      </c>
      <c r="P46" s="374"/>
      <c r="Q46" s="517" t="s">
        <v>227</v>
      </c>
      <c r="R46" s="517" t="s">
        <v>58</v>
      </c>
      <c r="S46" s="521">
        <v>7.0000000000000007E-2</v>
      </c>
      <c r="T46" s="525" t="s">
        <v>69</v>
      </c>
      <c r="U46" s="525" t="s">
        <v>69</v>
      </c>
      <c r="V46" s="525" t="s">
        <v>69</v>
      </c>
      <c r="W46" s="525" t="s">
        <v>69</v>
      </c>
      <c r="X46" s="524">
        <f>K46/S46</f>
        <v>1309851.4285714284</v>
      </c>
      <c r="Y46" s="525" t="s">
        <v>69</v>
      </c>
      <c r="Z46" s="525" t="s">
        <v>69</v>
      </c>
      <c r="AA46" s="525" t="s">
        <v>69</v>
      </c>
      <c r="AB46" s="240"/>
      <c r="AC46" s="240"/>
      <c r="AD46" s="240"/>
      <c r="AE46" s="240"/>
      <c r="AF46" s="515">
        <f>K46</f>
        <v>91689.599999999991</v>
      </c>
      <c r="AG46" s="380"/>
      <c r="AH46" s="380"/>
      <c r="AI46" s="380"/>
      <c r="AJ46" s="259"/>
      <c r="AK46" s="240"/>
      <c r="AL46" s="240"/>
      <c r="AM46" s="240"/>
    </row>
    <row r="47" spans="1:44" ht="15.75" customHeight="1">
      <c r="A47" s="369"/>
      <c r="B47" s="376"/>
      <c r="C47" s="350"/>
      <c r="D47" s="350"/>
      <c r="E47" s="369"/>
      <c r="F47" s="426"/>
      <c r="G47" s="426"/>
      <c r="H47" s="426"/>
      <c r="I47" s="426"/>
      <c r="J47" s="426"/>
      <c r="K47" s="426"/>
      <c r="L47" s="509"/>
      <c r="M47" s="426"/>
      <c r="N47" s="426"/>
      <c r="O47" s="426"/>
      <c r="P47" s="426"/>
      <c r="Q47" s="426"/>
      <c r="R47" s="426"/>
      <c r="S47" s="426"/>
      <c r="T47" s="426"/>
      <c r="U47" s="426"/>
      <c r="V47" s="426"/>
      <c r="W47" s="426"/>
      <c r="X47" s="426"/>
      <c r="Y47" s="426"/>
      <c r="Z47" s="426"/>
      <c r="AA47" s="426"/>
      <c r="AB47" s="240"/>
      <c r="AC47" s="240"/>
      <c r="AD47" s="240"/>
      <c r="AE47" s="240"/>
      <c r="AF47" s="384"/>
      <c r="AG47" s="354"/>
      <c r="AH47" s="354"/>
      <c r="AI47" s="354"/>
      <c r="AJ47" s="259"/>
      <c r="AK47" s="240"/>
      <c r="AL47" s="240"/>
      <c r="AM47" s="240"/>
    </row>
    <row r="48" spans="1:44" ht="15.75" customHeight="1">
      <c r="A48" s="369"/>
      <c r="B48" s="376"/>
      <c r="C48" s="350"/>
      <c r="D48" s="350"/>
      <c r="E48" s="369"/>
      <c r="F48" s="519" t="s">
        <v>228</v>
      </c>
      <c r="G48" s="518">
        <v>0.2</v>
      </c>
      <c r="H48" s="511">
        <f>E36*G48</f>
        <v>152816</v>
      </c>
      <c r="I48" s="518">
        <v>1</v>
      </c>
      <c r="J48" s="519" t="s">
        <v>213</v>
      </c>
      <c r="K48" s="511">
        <f>H48*I48</f>
        <v>152816</v>
      </c>
      <c r="L48" s="533" t="s">
        <v>202</v>
      </c>
      <c r="M48" s="517" t="s">
        <v>229</v>
      </c>
      <c r="N48" s="517" t="s">
        <v>42</v>
      </c>
      <c r="O48" s="517" t="str">
        <f>M48</f>
        <v xml:space="preserve">ESTATTICO </v>
      </c>
      <c r="P48" s="517" t="s">
        <v>227</v>
      </c>
      <c r="Q48" s="517" t="s">
        <v>227</v>
      </c>
      <c r="R48" s="517" t="s">
        <v>58</v>
      </c>
      <c r="S48" s="525" t="s">
        <v>69</v>
      </c>
      <c r="T48" s="525" t="s">
        <v>69</v>
      </c>
      <c r="U48" s="525" t="s">
        <v>69</v>
      </c>
      <c r="V48" s="521">
        <v>0.76</v>
      </c>
      <c r="W48" s="525" t="s">
        <v>69</v>
      </c>
      <c r="X48" s="525" t="s">
        <v>69</v>
      </c>
      <c r="Y48" s="525" t="s">
        <v>69</v>
      </c>
      <c r="Z48" s="524">
        <f>K48/V48</f>
        <v>201073.68421052632</v>
      </c>
      <c r="AA48" s="525" t="s">
        <v>69</v>
      </c>
      <c r="AB48" s="240"/>
      <c r="AC48" s="240"/>
      <c r="AD48" s="240"/>
      <c r="AE48" s="240"/>
      <c r="AF48" s="515">
        <f>K48/2</f>
        <v>76408</v>
      </c>
      <c r="AG48" s="380"/>
      <c r="AH48" s="380"/>
      <c r="AI48" s="380"/>
      <c r="AJ48" s="515">
        <v>76408</v>
      </c>
      <c r="AK48" s="380"/>
      <c r="AL48" s="380"/>
      <c r="AM48" s="380"/>
    </row>
    <row r="49" spans="1:44" ht="15.75" customHeight="1">
      <c r="A49" s="369"/>
      <c r="B49" s="376"/>
      <c r="C49" s="350"/>
      <c r="D49" s="350"/>
      <c r="E49" s="369"/>
      <c r="F49" s="374"/>
      <c r="G49" s="374"/>
      <c r="H49" s="374"/>
      <c r="I49" s="374"/>
      <c r="J49" s="374"/>
      <c r="K49" s="374"/>
      <c r="L49" s="509"/>
      <c r="M49" s="374"/>
      <c r="N49" s="374"/>
      <c r="O49" s="374"/>
      <c r="P49" s="374"/>
      <c r="Q49" s="374"/>
      <c r="R49" s="374"/>
      <c r="S49" s="426"/>
      <c r="T49" s="426"/>
      <c r="U49" s="426"/>
      <c r="V49" s="426"/>
      <c r="W49" s="426"/>
      <c r="X49" s="426"/>
      <c r="Y49" s="426"/>
      <c r="Z49" s="426"/>
      <c r="AA49" s="426"/>
      <c r="AB49" s="240"/>
      <c r="AC49" s="240"/>
      <c r="AD49" s="240"/>
      <c r="AE49" s="240"/>
      <c r="AF49" s="384"/>
      <c r="AG49" s="354"/>
      <c r="AH49" s="354"/>
      <c r="AI49" s="354"/>
      <c r="AJ49" s="384"/>
      <c r="AK49" s="354"/>
      <c r="AL49" s="354"/>
      <c r="AM49" s="354"/>
    </row>
    <row r="50" spans="1:44" ht="15.75" customHeight="1">
      <c r="A50" s="370"/>
      <c r="B50" s="455"/>
      <c r="C50" s="351"/>
      <c r="D50" s="351"/>
      <c r="E50" s="370"/>
      <c r="F50" s="426"/>
      <c r="G50" s="426"/>
      <c r="H50" s="426"/>
      <c r="I50" s="426"/>
      <c r="J50" s="426"/>
      <c r="K50" s="426"/>
      <c r="L50" s="509"/>
      <c r="M50" s="426"/>
      <c r="N50" s="426"/>
      <c r="O50" s="426"/>
      <c r="P50" s="426"/>
      <c r="Q50" s="426"/>
      <c r="R50" s="426"/>
      <c r="S50" s="255"/>
      <c r="T50" s="255"/>
      <c r="U50" s="255"/>
      <c r="V50" s="255"/>
      <c r="W50" s="255"/>
      <c r="X50" s="255"/>
      <c r="Y50" s="255"/>
      <c r="Z50" s="255"/>
      <c r="AA50" s="255"/>
      <c r="AB50" s="240"/>
      <c r="AC50" s="240"/>
      <c r="AD50" s="240"/>
      <c r="AE50" s="240"/>
      <c r="AF50" s="384"/>
      <c r="AG50" s="354"/>
      <c r="AH50" s="354"/>
      <c r="AI50" s="354"/>
      <c r="AJ50" s="384"/>
      <c r="AK50" s="354"/>
      <c r="AL50" s="354"/>
      <c r="AM50" s="354"/>
    </row>
    <row r="51" spans="1:44" ht="15.75" customHeight="1">
      <c r="A51" s="145" t="s">
        <v>112</v>
      </c>
      <c r="B51" s="145"/>
      <c r="C51" s="145"/>
      <c r="D51" s="145"/>
      <c r="E51" s="145">
        <f>SUM(E21:E50)</f>
        <v>764080</v>
      </c>
      <c r="F51" s="260"/>
      <c r="G51" s="260"/>
      <c r="H51" s="260"/>
      <c r="I51" s="260"/>
      <c r="J51" s="260"/>
      <c r="K51" s="260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531">
        <f>SUM(AB17:AE50)</f>
        <v>586659.6</v>
      </c>
      <c r="AC51" s="362"/>
      <c r="AD51" s="362"/>
      <c r="AE51" s="362"/>
      <c r="AF51" s="531">
        <f>SUM(AF17:AI50)</f>
        <v>801100.5</v>
      </c>
      <c r="AG51" s="362"/>
      <c r="AH51" s="362"/>
      <c r="AI51" s="362"/>
      <c r="AJ51" s="531">
        <f>SUM(AJ17:AM50)</f>
        <v>522439.7</v>
      </c>
      <c r="AK51" s="362"/>
      <c r="AL51" s="362"/>
      <c r="AM51" s="362"/>
      <c r="AN51" s="261"/>
      <c r="AO51" s="261"/>
      <c r="AP51" s="261"/>
      <c r="AQ51" s="261"/>
      <c r="AR51" s="261"/>
    </row>
    <row r="52" spans="1:44" ht="15.75" customHeight="1">
      <c r="AN52" s="529" t="s">
        <v>230</v>
      </c>
      <c r="AO52" s="530">
        <f>AB51+AF51+AJ51</f>
        <v>1910199.8</v>
      </c>
      <c r="AP52" s="354"/>
      <c r="AQ52" s="354"/>
    </row>
    <row r="53" spans="1:44" ht="15.75" customHeight="1">
      <c r="AN53" s="354"/>
      <c r="AO53" s="354"/>
      <c r="AP53" s="354"/>
      <c r="AQ53" s="354"/>
    </row>
    <row r="54" spans="1:44" ht="15.75" customHeight="1">
      <c r="F54" s="113">
        <v>525000</v>
      </c>
      <c r="H54" s="113">
        <v>229000</v>
      </c>
      <c r="AN54" s="354"/>
      <c r="AO54" s="354"/>
      <c r="AP54" s="354"/>
      <c r="AQ54" s="354"/>
    </row>
    <row r="55" spans="1:44" ht="15.75" customHeight="1">
      <c r="F55" s="114">
        <f>F54-H31</f>
        <v>95205</v>
      </c>
      <c r="H55" s="114">
        <f>H54-H44</f>
        <v>76184</v>
      </c>
      <c r="Y55" s="262" t="s">
        <v>231</v>
      </c>
      <c r="Z55" s="263">
        <f>AB51</f>
        <v>586659.6</v>
      </c>
      <c r="AN55" s="354"/>
      <c r="AO55" s="354"/>
      <c r="AP55" s="354"/>
      <c r="AQ55" s="354"/>
    </row>
    <row r="56" spans="1:44" ht="15.75" customHeight="1">
      <c r="Y56" s="262" t="s">
        <v>232</v>
      </c>
      <c r="Z56" s="263">
        <f>AF51</f>
        <v>801100.5</v>
      </c>
    </row>
    <row r="57" spans="1:44" ht="15.75" customHeight="1">
      <c r="Y57" s="262" t="s">
        <v>233</v>
      </c>
      <c r="Z57" s="263">
        <f>AJ51</f>
        <v>522439.7</v>
      </c>
    </row>
    <row r="58" spans="1:44" ht="15.75" customHeight="1">
      <c r="J58" s="113"/>
      <c r="K58" s="522" t="s">
        <v>180</v>
      </c>
      <c r="L58" s="380"/>
      <c r="M58" s="380"/>
      <c r="N58" s="380"/>
      <c r="O58" s="380"/>
      <c r="P58" s="380"/>
      <c r="Q58" s="113"/>
    </row>
    <row r="59" spans="1:44" ht="15.75" customHeight="1">
      <c r="J59" s="113"/>
      <c r="K59" s="384"/>
      <c r="L59" s="354"/>
      <c r="M59" s="354"/>
      <c r="N59" s="354"/>
      <c r="O59" s="354"/>
      <c r="P59" s="354"/>
      <c r="Q59" s="113"/>
    </row>
    <row r="60" spans="1:44" ht="15.75" customHeight="1">
      <c r="J60" s="264"/>
      <c r="K60" s="265" t="s">
        <v>155</v>
      </c>
      <c r="L60" s="523" t="s">
        <v>156</v>
      </c>
      <c r="M60" s="392"/>
      <c r="N60" s="265" t="s">
        <v>157</v>
      </c>
      <c r="O60" s="265" t="s">
        <v>158</v>
      </c>
      <c r="P60" s="265" t="s">
        <v>159</v>
      </c>
      <c r="Q60" s="113"/>
    </row>
    <row r="61" spans="1:44" ht="15.75" customHeight="1">
      <c r="J61" s="158" t="s">
        <v>160</v>
      </c>
      <c r="K61" s="113"/>
      <c r="L61" s="459">
        <v>166844</v>
      </c>
      <c r="M61" s="354"/>
      <c r="N61" s="266">
        <v>958688</v>
      </c>
      <c r="O61" s="267">
        <v>564268</v>
      </c>
      <c r="P61" s="268">
        <v>220400</v>
      </c>
      <c r="Q61" s="269">
        <f>L61+N61+O61+P61</f>
        <v>1910200</v>
      </c>
    </row>
    <row r="62" spans="1:44" ht="15.75" customHeight="1"/>
    <row r="63" spans="1:44" ht="15.75" customHeight="1"/>
    <row r="64" spans="1:4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9">
    <mergeCell ref="F38:F41"/>
    <mergeCell ref="G38:G41"/>
    <mergeCell ref="E19:E34"/>
    <mergeCell ref="F19:F30"/>
    <mergeCell ref="E36:E50"/>
    <mergeCell ref="F36:F37"/>
    <mergeCell ref="G36:G37"/>
    <mergeCell ref="H36:H37"/>
    <mergeCell ref="I36:I37"/>
    <mergeCell ref="T31:T32"/>
    <mergeCell ref="U31:U32"/>
    <mergeCell ref="V31:V32"/>
    <mergeCell ref="W31:W32"/>
    <mergeCell ref="X31:X32"/>
    <mergeCell ref="Y31:Y32"/>
    <mergeCell ref="Z31:Z32"/>
    <mergeCell ref="K33:K34"/>
    <mergeCell ref="L33:L34"/>
    <mergeCell ref="M33:M34"/>
    <mergeCell ref="N33:N34"/>
    <mergeCell ref="O33:O34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C17:C18"/>
    <mergeCell ref="D17:D18"/>
    <mergeCell ref="I33:I34"/>
    <mergeCell ref="J33:J34"/>
    <mergeCell ref="C19:C34"/>
    <mergeCell ref="D19:D34"/>
    <mergeCell ref="F31:F34"/>
    <mergeCell ref="G31:G34"/>
    <mergeCell ref="H31:H34"/>
    <mergeCell ref="I31:I32"/>
    <mergeCell ref="J31:J32"/>
    <mergeCell ref="G17:G18"/>
    <mergeCell ref="H17:H18"/>
    <mergeCell ref="U19:U20"/>
    <mergeCell ref="V19:V20"/>
    <mergeCell ref="W19:W20"/>
    <mergeCell ref="X19:X20"/>
    <mergeCell ref="Y19:Y20"/>
    <mergeCell ref="E17:E18"/>
    <mergeCell ref="F17:F18"/>
    <mergeCell ref="O19:O20"/>
    <mergeCell ref="P19:P20"/>
    <mergeCell ref="P23:P30"/>
    <mergeCell ref="Q23:Q30"/>
    <mergeCell ref="R23:R30"/>
    <mergeCell ref="S23:S30"/>
    <mergeCell ref="T23:T30"/>
    <mergeCell ref="Q19:Q20"/>
    <mergeCell ref="R19:R20"/>
    <mergeCell ref="S19:S20"/>
    <mergeCell ref="T19:T20"/>
    <mergeCell ref="P21:P22"/>
    <mergeCell ref="Q21:Q22"/>
    <mergeCell ref="R21:R22"/>
    <mergeCell ref="S21:S22"/>
    <mergeCell ref="T21:T22"/>
    <mergeCell ref="G19:G30"/>
    <mergeCell ref="H19:H30"/>
    <mergeCell ref="I23:I30"/>
    <mergeCell ref="J23:J30"/>
    <mergeCell ref="K23:K30"/>
    <mergeCell ref="L23:L30"/>
    <mergeCell ref="M23:M30"/>
    <mergeCell ref="N23:N30"/>
    <mergeCell ref="I19:I20"/>
    <mergeCell ref="J19:J20"/>
    <mergeCell ref="K19:K20"/>
    <mergeCell ref="L19:L20"/>
    <mergeCell ref="M19:M20"/>
    <mergeCell ref="N19:N20"/>
    <mergeCell ref="I21:I22"/>
    <mergeCell ref="J21:J22"/>
    <mergeCell ref="K21:K22"/>
    <mergeCell ref="L21:L22"/>
    <mergeCell ref="M21:M22"/>
    <mergeCell ref="Q48:Q50"/>
    <mergeCell ref="R48:R50"/>
    <mergeCell ref="S48:S49"/>
    <mergeCell ref="T48:T49"/>
    <mergeCell ref="U44:U45"/>
    <mergeCell ref="V44:V45"/>
    <mergeCell ref="W44:W45"/>
    <mergeCell ref="X44:X45"/>
    <mergeCell ref="Y44:Y45"/>
    <mergeCell ref="Q46:Q47"/>
    <mergeCell ref="R46:R47"/>
    <mergeCell ref="U46:U47"/>
    <mergeCell ref="V46:V47"/>
    <mergeCell ref="W46:W47"/>
    <mergeCell ref="X46:X47"/>
    <mergeCell ref="Y46:Y47"/>
    <mergeCell ref="F44:F47"/>
    <mergeCell ref="H48:H50"/>
    <mergeCell ref="F48:F50"/>
    <mergeCell ref="G48:G50"/>
    <mergeCell ref="I48:I50"/>
    <mergeCell ref="J48:J50"/>
    <mergeCell ref="K48:K50"/>
    <mergeCell ref="L48:L50"/>
    <mergeCell ref="M48:M50"/>
    <mergeCell ref="I46:I47"/>
    <mergeCell ref="J46:J47"/>
    <mergeCell ref="K46:K47"/>
    <mergeCell ref="L46:L47"/>
    <mergeCell ref="G44:G47"/>
    <mergeCell ref="H44:H47"/>
    <mergeCell ref="I44:I45"/>
    <mergeCell ref="J44:J45"/>
    <mergeCell ref="K44:K45"/>
    <mergeCell ref="L44:L45"/>
    <mergeCell ref="M44:M45"/>
    <mergeCell ref="M46:M47"/>
    <mergeCell ref="AN52:AN55"/>
    <mergeCell ref="AO52:AQ55"/>
    <mergeCell ref="S46:S47"/>
    <mergeCell ref="T46:T47"/>
    <mergeCell ref="AF46:AI47"/>
    <mergeCell ref="AF48:AI50"/>
    <mergeCell ref="AJ48:AM50"/>
    <mergeCell ref="AF51:AI51"/>
    <mergeCell ref="AJ51:AM51"/>
    <mergeCell ref="U48:U49"/>
    <mergeCell ref="V48:V49"/>
    <mergeCell ref="W48:W49"/>
    <mergeCell ref="X48:X49"/>
    <mergeCell ref="Y48:Y49"/>
    <mergeCell ref="Z48:Z49"/>
    <mergeCell ref="AA48:AA49"/>
    <mergeCell ref="Z46:Z47"/>
    <mergeCell ref="AA46:AA47"/>
    <mergeCell ref="AB51:AE51"/>
    <mergeCell ref="AF43:AI43"/>
    <mergeCell ref="AJ43:AM43"/>
    <mergeCell ref="X36:X37"/>
    <mergeCell ref="Y36:Y37"/>
    <mergeCell ref="Z36:Z37"/>
    <mergeCell ref="AA36:AA37"/>
    <mergeCell ref="AF36:AI37"/>
    <mergeCell ref="AF38:AI39"/>
    <mergeCell ref="AJ40:AM41"/>
    <mergeCell ref="AJ15:AM15"/>
    <mergeCell ref="AN15:AO15"/>
    <mergeCell ref="A16:B16"/>
    <mergeCell ref="AN16:AO16"/>
    <mergeCell ref="AJ33:AM34"/>
    <mergeCell ref="J36:J37"/>
    <mergeCell ref="K36:K37"/>
    <mergeCell ref="L36:L37"/>
    <mergeCell ref="M36:M37"/>
    <mergeCell ref="N36:N37"/>
    <mergeCell ref="O36:O37"/>
    <mergeCell ref="P36:P37"/>
    <mergeCell ref="Q36:Q37"/>
    <mergeCell ref="R36:R37"/>
    <mergeCell ref="S36:S37"/>
    <mergeCell ref="T36:T37"/>
    <mergeCell ref="U36:U37"/>
    <mergeCell ref="V36:V37"/>
    <mergeCell ref="W36:W37"/>
    <mergeCell ref="A17:B50"/>
    <mergeCell ref="C36:C50"/>
    <mergeCell ref="D36:D50"/>
    <mergeCell ref="F42:F43"/>
    <mergeCell ref="G42:G43"/>
    <mergeCell ref="Y33:Y34"/>
    <mergeCell ref="Z33:Z34"/>
    <mergeCell ref="Z38:Z39"/>
    <mergeCell ref="AA38:AA39"/>
    <mergeCell ref="Z40:Z41"/>
    <mergeCell ref="AA40:AA41"/>
    <mergeCell ref="AA33:AA34"/>
    <mergeCell ref="AF33:AI34"/>
    <mergeCell ref="AB15:AE15"/>
    <mergeCell ref="AF15:AI15"/>
    <mergeCell ref="AE38:AE39"/>
    <mergeCell ref="Y21:Y22"/>
    <mergeCell ref="Z21:Z22"/>
    <mergeCell ref="AA21:AA22"/>
    <mergeCell ref="AF21:AF22"/>
    <mergeCell ref="AG21:AG22"/>
    <mergeCell ref="X40:X41"/>
    <mergeCell ref="Y40:Y41"/>
    <mergeCell ref="AB44:AE45"/>
    <mergeCell ref="Q40:Q41"/>
    <mergeCell ref="R40:R41"/>
    <mergeCell ref="S40:S41"/>
    <mergeCell ref="T40:T41"/>
    <mergeCell ref="U40:U41"/>
    <mergeCell ref="V40:V41"/>
    <mergeCell ref="W40:W41"/>
    <mergeCell ref="AB42:AE42"/>
    <mergeCell ref="Q44:Q45"/>
    <mergeCell ref="R44:R45"/>
    <mergeCell ref="S44:S45"/>
    <mergeCell ref="T44:T45"/>
    <mergeCell ref="Z44:Z45"/>
    <mergeCell ref="AA44:AA45"/>
    <mergeCell ref="X38:X39"/>
    <mergeCell ref="Y38:Y39"/>
    <mergeCell ref="Q38:Q39"/>
    <mergeCell ref="R38:R39"/>
    <mergeCell ref="S38:S39"/>
    <mergeCell ref="T38:T39"/>
    <mergeCell ref="U38:U39"/>
    <mergeCell ref="V38:V39"/>
    <mergeCell ref="W38:W39"/>
    <mergeCell ref="K58:P59"/>
    <mergeCell ref="L60:M60"/>
    <mergeCell ref="L61:M61"/>
    <mergeCell ref="H38:H41"/>
    <mergeCell ref="I38:I39"/>
    <mergeCell ref="J38:J39"/>
    <mergeCell ref="K38:K39"/>
    <mergeCell ref="L38:L39"/>
    <mergeCell ref="M38:M39"/>
    <mergeCell ref="N38:N39"/>
    <mergeCell ref="P42:P43"/>
    <mergeCell ref="N44:N45"/>
    <mergeCell ref="O44:O45"/>
    <mergeCell ref="P44:P47"/>
    <mergeCell ref="H42:H43"/>
    <mergeCell ref="N48:N50"/>
    <mergeCell ref="O48:O50"/>
    <mergeCell ref="P48:P50"/>
    <mergeCell ref="N46:N47"/>
    <mergeCell ref="O46:O47"/>
    <mergeCell ref="O38:O39"/>
    <mergeCell ref="P38:P41"/>
    <mergeCell ref="O40:O41"/>
    <mergeCell ref="I40:I41"/>
    <mergeCell ref="J40:J41"/>
    <mergeCell ref="K40:K41"/>
    <mergeCell ref="L40:L41"/>
    <mergeCell ref="M40:M41"/>
    <mergeCell ref="N40:N41"/>
    <mergeCell ref="K31:K32"/>
    <mergeCell ref="L31:L32"/>
    <mergeCell ref="AA23:AA30"/>
    <mergeCell ref="AA31:AA32"/>
    <mergeCell ref="AB31:AC32"/>
    <mergeCell ref="AD31:AE32"/>
    <mergeCell ref="N21:N22"/>
    <mergeCell ref="O21:O22"/>
    <mergeCell ref="U23:U30"/>
    <mergeCell ref="V23:V30"/>
    <mergeCell ref="W23:W30"/>
    <mergeCell ref="Y23:Y30"/>
    <mergeCell ref="Z23:Z30"/>
    <mergeCell ref="U21:U22"/>
    <mergeCell ref="V21:V22"/>
    <mergeCell ref="W21:W22"/>
    <mergeCell ref="X21:X22"/>
    <mergeCell ref="M31:M32"/>
    <mergeCell ref="N31:N32"/>
    <mergeCell ref="O31:O32"/>
    <mergeCell ref="P31:P32"/>
    <mergeCell ref="Q31:Q32"/>
    <mergeCell ref="R31:R32"/>
    <mergeCell ref="S31:S32"/>
    <mergeCell ref="AF24:AG24"/>
    <mergeCell ref="AH25:AI25"/>
    <mergeCell ref="AH26:AI26"/>
    <mergeCell ref="AJ27:AK27"/>
    <mergeCell ref="AJ28:AK28"/>
    <mergeCell ref="AL29:AM29"/>
    <mergeCell ref="AL30:AM30"/>
    <mergeCell ref="Z19:Z20"/>
    <mergeCell ref="AA19:AA20"/>
    <mergeCell ref="AB19:AB20"/>
    <mergeCell ref="AC19:AC20"/>
    <mergeCell ref="AD19:AD20"/>
    <mergeCell ref="AH21:AH22"/>
    <mergeCell ref="AF23:AG23"/>
    <mergeCell ref="A2:A3"/>
    <mergeCell ref="B2:B3"/>
    <mergeCell ref="E2:L8"/>
    <mergeCell ref="M2:O8"/>
    <mergeCell ref="P2:S8"/>
    <mergeCell ref="C7:D7"/>
    <mergeCell ref="AD9:AM9"/>
    <mergeCell ref="AJ14:AM14"/>
    <mergeCell ref="AN14:AO14"/>
    <mergeCell ref="AB9:AC9"/>
    <mergeCell ref="AB10:AC10"/>
    <mergeCell ref="AD10:AM10"/>
    <mergeCell ref="AB13:AE13"/>
    <mergeCell ref="AF13:AM13"/>
    <mergeCell ref="AB14:AE14"/>
    <mergeCell ref="AF14:AI14"/>
  </mergeCells>
  <pageMargins left="0.511811024" right="0.511811024" top="0.78740157499999996" bottom="0.78740157499999996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000"/>
  <sheetViews>
    <sheetView workbookViewId="0"/>
  </sheetViews>
  <sheetFormatPr baseColWidth="10" defaultColWidth="14.42578125" defaultRowHeight="15" customHeight="1"/>
  <cols>
    <col min="1" max="1" width="19" customWidth="1"/>
    <col min="7" max="7" width="20.7109375" customWidth="1"/>
  </cols>
  <sheetData>
    <row r="1" spans="1:7" ht="15.75" customHeight="1">
      <c r="A1" s="270" t="s">
        <v>130</v>
      </c>
      <c r="B1" s="271" t="s">
        <v>118</v>
      </c>
      <c r="C1" s="271" t="s">
        <v>120</v>
      </c>
      <c r="D1" s="271" t="s">
        <v>123</v>
      </c>
    </row>
    <row r="2" spans="1:7" ht="15.75" customHeight="1">
      <c r="A2" s="272">
        <v>15918333</v>
      </c>
      <c r="B2" s="273">
        <v>63673333</v>
      </c>
      <c r="C2" s="273">
        <v>15918333</v>
      </c>
      <c r="D2" s="274"/>
    </row>
    <row r="3" spans="1:7" ht="15.75" customHeight="1">
      <c r="A3" s="275"/>
      <c r="B3" s="272">
        <v>127347</v>
      </c>
      <c r="C3" s="272">
        <v>31837</v>
      </c>
      <c r="D3" s="276" t="s">
        <v>69</v>
      </c>
    </row>
    <row r="4" spans="1:7" ht="15.75" customHeight="1">
      <c r="A4" s="277"/>
    </row>
    <row r="5" spans="1:7" ht="15.75" customHeight="1">
      <c r="G5" s="271" t="s">
        <v>234</v>
      </c>
    </row>
    <row r="6" spans="1:7" ht="15.75" customHeight="1">
      <c r="A6" s="271" t="s">
        <v>130</v>
      </c>
      <c r="B6" s="271" t="s">
        <v>118</v>
      </c>
      <c r="C6" s="271" t="s">
        <v>120</v>
      </c>
      <c r="D6" s="271" t="s">
        <v>123</v>
      </c>
      <c r="G6" s="278">
        <f>B2+A17+A22</f>
        <v>117589385</v>
      </c>
    </row>
    <row r="7" spans="1:7" ht="15.75" customHeight="1">
      <c r="A7" s="273">
        <v>619116</v>
      </c>
      <c r="B7" s="273">
        <v>1407076</v>
      </c>
      <c r="C7" s="273">
        <v>2056871</v>
      </c>
      <c r="D7" s="273">
        <v>747319</v>
      </c>
      <c r="E7" s="113" t="s">
        <v>235</v>
      </c>
      <c r="G7" s="271" t="s">
        <v>235</v>
      </c>
    </row>
    <row r="8" spans="1:7" ht="15.75" customHeight="1">
      <c r="A8" s="272">
        <v>43338</v>
      </c>
      <c r="B8" s="272">
        <v>98495</v>
      </c>
      <c r="C8" s="272">
        <v>143981</v>
      </c>
      <c r="D8" s="272">
        <v>53312</v>
      </c>
      <c r="G8" s="278">
        <f>B7+B12</f>
        <v>3770949</v>
      </c>
    </row>
    <row r="9" spans="1:7" ht="15.75" customHeight="1"/>
    <row r="10" spans="1:7" ht="15.75" customHeight="1"/>
    <row r="11" spans="1:7" ht="15.75" customHeight="1">
      <c r="A11" s="271" t="s">
        <v>130</v>
      </c>
      <c r="B11" s="271" t="s">
        <v>118</v>
      </c>
      <c r="C11" s="271" t="s">
        <v>120</v>
      </c>
      <c r="D11" s="271" t="s">
        <v>123</v>
      </c>
    </row>
    <row r="12" spans="1:7" ht="15.75" customHeight="1">
      <c r="A12" s="274"/>
      <c r="B12" s="273">
        <v>2363873</v>
      </c>
      <c r="C12" s="273">
        <v>2592500</v>
      </c>
      <c r="D12" s="273">
        <v>296678</v>
      </c>
      <c r="E12" s="113" t="s">
        <v>235</v>
      </c>
    </row>
    <row r="13" spans="1:7" ht="15.75" customHeight="1">
      <c r="A13" s="274"/>
      <c r="B13" s="272">
        <v>236387</v>
      </c>
      <c r="C13" s="272">
        <v>259250</v>
      </c>
      <c r="D13" s="272">
        <v>29668</v>
      </c>
    </row>
    <row r="14" spans="1:7" ht="15.75" customHeight="1"/>
    <row r="15" spans="1:7" ht="15.75" customHeight="1"/>
    <row r="16" spans="1:7" ht="15.75" customHeight="1">
      <c r="A16" s="271" t="s">
        <v>118</v>
      </c>
      <c r="B16" s="271" t="s">
        <v>120</v>
      </c>
      <c r="C16" s="271" t="s">
        <v>123</v>
      </c>
    </row>
    <row r="17" spans="1:3" ht="15.75" customHeight="1">
      <c r="A17" s="273">
        <v>38107500</v>
      </c>
      <c r="B17" s="273">
        <v>26393000</v>
      </c>
      <c r="C17" s="273">
        <v>69210000</v>
      </c>
    </row>
    <row r="18" spans="1:3" ht="15.75" customHeight="1">
      <c r="A18" s="272">
        <v>76215</v>
      </c>
      <c r="B18" s="272">
        <v>52792</v>
      </c>
      <c r="C18" s="272">
        <v>138420</v>
      </c>
    </row>
    <row r="19" spans="1:3" ht="15.75" customHeight="1"/>
    <row r="20" spans="1:3" ht="15.75" customHeight="1"/>
    <row r="21" spans="1:3" ht="15.75" customHeight="1">
      <c r="A21" s="271" t="s">
        <v>118</v>
      </c>
      <c r="B21" s="271" t="s">
        <v>120</v>
      </c>
    </row>
    <row r="22" spans="1:3" ht="15.75" customHeight="1">
      <c r="A22" s="273">
        <v>15808552</v>
      </c>
      <c r="B22" s="276" t="s">
        <v>236</v>
      </c>
    </row>
    <row r="23" spans="1:3" ht="15.75" customHeight="1">
      <c r="A23" s="273">
        <v>1964777</v>
      </c>
      <c r="B23" s="274"/>
    </row>
    <row r="24" spans="1:3" ht="15.75" customHeight="1">
      <c r="A24" s="272">
        <v>229224</v>
      </c>
      <c r="B24" s="276" t="s">
        <v>237</v>
      </c>
    </row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1000"/>
  <sheetViews>
    <sheetView workbookViewId="0"/>
  </sheetViews>
  <sheetFormatPr baseColWidth="10" defaultColWidth="14.42578125" defaultRowHeight="15" customHeight="1"/>
  <cols>
    <col min="2" max="2" width="27.42578125" hidden="1" customWidth="1"/>
    <col min="3" max="3" width="24.85546875" customWidth="1"/>
  </cols>
  <sheetData>
    <row r="1" spans="1:8" ht="15.75" customHeight="1">
      <c r="A1" s="279" t="s">
        <v>238</v>
      </c>
      <c r="B1" s="280" t="s">
        <v>130</v>
      </c>
      <c r="C1" s="280" t="s">
        <v>118</v>
      </c>
      <c r="D1" s="280" t="s">
        <v>120</v>
      </c>
      <c r="E1" s="281" t="s">
        <v>123</v>
      </c>
    </row>
    <row r="2" spans="1:8" ht="15.75" hidden="1" customHeight="1">
      <c r="A2" s="282" t="s">
        <v>239</v>
      </c>
      <c r="B2" s="283" t="e">
        <f t="shared" ref="B2:B3" si="0">#REF!</f>
        <v>#REF!</v>
      </c>
      <c r="C2" s="283" t="e">
        <f>#REF!+#REF!+#REF!+#REF!</f>
        <v>#REF!</v>
      </c>
      <c r="D2" s="283" t="e">
        <f>#REF!</f>
        <v>#REF!</v>
      </c>
      <c r="E2" s="284"/>
    </row>
    <row r="3" spans="1:8" ht="15.75" hidden="1" customHeight="1">
      <c r="A3" s="282" t="s">
        <v>51</v>
      </c>
      <c r="B3" s="283" t="e">
        <f t="shared" si="0"/>
        <v>#REF!</v>
      </c>
      <c r="C3" s="283" t="e">
        <f>#REF!+#REF!+#REF!</f>
        <v>#REF!</v>
      </c>
      <c r="D3" s="283" t="e">
        <f>#REF!+#REF!+#REF!+#REF!+#REF!+#REF!</f>
        <v>#REF!</v>
      </c>
      <c r="E3" s="283" t="e">
        <f>#REF!+#REF!</f>
        <v>#REF!</v>
      </c>
    </row>
    <row r="4" spans="1:8" ht="15.75" customHeight="1">
      <c r="A4" s="282" t="s">
        <v>212</v>
      </c>
      <c r="B4" s="283"/>
      <c r="C4" s="283" t="e">
        <f t="shared" ref="C4:C7" si="1">#REF!+#REF!</f>
        <v>#REF!</v>
      </c>
      <c r="D4" s="283" t="e">
        <f t="shared" ref="D4:E4" si="2">#REF!</f>
        <v>#REF!</v>
      </c>
      <c r="E4" s="283" t="e">
        <f t="shared" si="2"/>
        <v>#REF!</v>
      </c>
    </row>
    <row r="5" spans="1:8" ht="15.75" customHeight="1">
      <c r="A5" s="282" t="s">
        <v>240</v>
      </c>
      <c r="B5" s="283"/>
      <c r="C5" s="283" t="e">
        <f t="shared" si="1"/>
        <v>#REF!</v>
      </c>
      <c r="D5" s="283" t="e">
        <f t="shared" ref="D5:E5" si="3">#REF!</f>
        <v>#REF!</v>
      </c>
      <c r="E5" s="283" t="e">
        <f t="shared" si="3"/>
        <v>#REF!</v>
      </c>
      <c r="G5" s="225"/>
    </row>
    <row r="6" spans="1:8" ht="15.75" customHeight="1">
      <c r="A6" s="282" t="s">
        <v>224</v>
      </c>
      <c r="B6" s="283"/>
      <c r="C6" s="283" t="e">
        <f t="shared" si="1"/>
        <v>#REF!</v>
      </c>
      <c r="D6" s="283" t="e">
        <f t="shared" ref="D6:E6" si="4">#REF!</f>
        <v>#REF!</v>
      </c>
      <c r="E6" s="283" t="e">
        <f t="shared" si="4"/>
        <v>#REF!</v>
      </c>
      <c r="H6" s="225"/>
    </row>
    <row r="7" spans="1:8" ht="15.75" customHeight="1">
      <c r="A7" s="282" t="s">
        <v>100</v>
      </c>
      <c r="B7" s="283"/>
      <c r="C7" s="283" t="e">
        <f t="shared" si="1"/>
        <v>#REF!</v>
      </c>
      <c r="D7" s="284"/>
      <c r="E7" s="284"/>
    </row>
    <row r="8" spans="1:8" ht="63" customHeight="1">
      <c r="A8" s="282" t="s">
        <v>24</v>
      </c>
      <c r="B8" s="114" t="e">
        <f t="shared" ref="B8:E8" si="5">SUM(B2:B7)</f>
        <v>#REF!</v>
      </c>
      <c r="C8" s="114" t="e">
        <f t="shared" si="5"/>
        <v>#REF!</v>
      </c>
      <c r="D8" s="114" t="e">
        <f t="shared" si="5"/>
        <v>#REF!</v>
      </c>
      <c r="E8" s="114" t="e">
        <f t="shared" si="5"/>
        <v>#REF!</v>
      </c>
    </row>
    <row r="9" spans="1:8" ht="15.75" customHeight="1"/>
    <row r="10" spans="1:8" ht="15.75" customHeight="1"/>
    <row r="11" spans="1:8" ht="15.75" customHeight="1"/>
    <row r="12" spans="1:8" ht="15.75" customHeight="1">
      <c r="B12" s="285" t="s">
        <v>241</v>
      </c>
      <c r="C12" s="286" t="e">
        <f>B8+C8+D8+E8</f>
        <v>#REF!</v>
      </c>
      <c r="D12" s="287" t="s">
        <v>242</v>
      </c>
    </row>
    <row r="13" spans="1:8" ht="15.75" customHeight="1">
      <c r="B13" s="288" t="s">
        <v>243</v>
      </c>
      <c r="C13" s="289" t="e">
        <f>1910200-C12</f>
        <v>#REF!</v>
      </c>
      <c r="D13" s="290" t="s">
        <v>243</v>
      </c>
    </row>
    <row r="14" spans="1:8" ht="15.75" customHeight="1">
      <c r="C14" s="114" t="e">
        <f>C12+C13</f>
        <v>#REF!</v>
      </c>
    </row>
    <row r="15" spans="1:8" ht="15.75" customHeight="1"/>
    <row r="16" spans="1:8" ht="15.75" customHeight="1"/>
    <row r="17" spans="1:8" ht="15.75" customHeight="1">
      <c r="A17" s="113"/>
      <c r="B17" s="522" t="s">
        <v>180</v>
      </c>
      <c r="C17" s="380"/>
      <c r="D17" s="380"/>
      <c r="E17" s="380"/>
      <c r="F17" s="380"/>
      <c r="G17" s="380"/>
      <c r="H17" s="113"/>
    </row>
    <row r="18" spans="1:8" ht="15.75" customHeight="1">
      <c r="A18" s="113"/>
      <c r="B18" s="384"/>
      <c r="C18" s="354"/>
      <c r="D18" s="354"/>
      <c r="E18" s="354"/>
      <c r="F18" s="354"/>
      <c r="G18" s="354"/>
      <c r="H18" s="113"/>
    </row>
    <row r="19" spans="1:8" ht="15.75" customHeight="1">
      <c r="A19" s="264"/>
      <c r="B19" s="265" t="s">
        <v>155</v>
      </c>
      <c r="C19" s="523" t="s">
        <v>156</v>
      </c>
      <c r="D19" s="392"/>
      <c r="E19" s="265" t="s">
        <v>157</v>
      </c>
      <c r="F19" s="265" t="s">
        <v>158</v>
      </c>
      <c r="G19" s="265" t="s">
        <v>159</v>
      </c>
      <c r="H19" s="287" t="s">
        <v>24</v>
      </c>
    </row>
    <row r="20" spans="1:8" ht="15.75" customHeight="1">
      <c r="A20" s="158" t="s">
        <v>160</v>
      </c>
      <c r="B20" s="113"/>
      <c r="C20" s="459">
        <v>166844</v>
      </c>
      <c r="D20" s="354"/>
      <c r="E20" s="266">
        <v>958688</v>
      </c>
      <c r="F20" s="267">
        <v>564268</v>
      </c>
      <c r="G20" s="268">
        <v>220400</v>
      </c>
      <c r="H20" s="291">
        <f>C20+E20+F20+G20</f>
        <v>1910200</v>
      </c>
    </row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7:G18"/>
    <mergeCell ref="C19:D19"/>
    <mergeCell ref="C20:D20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TIGER V2</vt:lpstr>
      <vt:lpstr> TIGER V3</vt:lpstr>
      <vt:lpstr>TIGER V5</vt:lpstr>
      <vt:lpstr>TIGER V6</vt:lpstr>
      <vt:lpstr> TIGER V7</vt:lpstr>
      <vt:lpstr>TIGER V8</vt:lpstr>
      <vt:lpstr>TIGER V9 </vt:lpstr>
      <vt:lpstr>Hoja 9</vt:lpstr>
      <vt:lpstr>Hoja 8</vt:lpstr>
      <vt:lpstr>Hoja 7</vt:lpstr>
      <vt:lpstr>Hoja 4</vt:lpstr>
      <vt:lpstr>DISTRIBUTION OF BUDGET PER MONT</vt:lpstr>
      <vt:lpstr>MATERIALS KTBO BRASIL</vt:lpstr>
      <vt:lpstr>materiales KIDS CORP </vt:lpstr>
      <vt:lpstr>MEDIAPLAN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KTB-US622</cp:lastModifiedBy>
  <dcterms:created xsi:type="dcterms:W3CDTF">2020-07-20T15:38:08Z</dcterms:created>
  <dcterms:modified xsi:type="dcterms:W3CDTF">2021-05-11T01:39:20Z</dcterms:modified>
</cp:coreProperties>
</file>